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2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2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3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4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5.xml" ContentType="application/vnd.openxmlformats-officedocument.themeOverride+xml"/>
  <Override PartName="/xl/drawings/drawing3.xml" ContentType="application/vnd.openxmlformats-officedocument.drawing+xml"/>
  <Override PartName="/xl/tables/table13.xml" ContentType="application/vnd.openxmlformats-officedocument.spreadsheetml.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6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gram Files (x86)\Steam\steamapps\common\rocketleague\Binaries\Win32\bakkesmod\debugtestlogs\fullboost\"/>
    </mc:Choice>
  </mc:AlternateContent>
  <xr:revisionPtr revIDLastSave="0" documentId="13_ncr:1_{45747548-6348-465D-86E3-0AE6B5DA9DF3}" xr6:coauthVersionLast="34" xr6:coauthVersionMax="34" xr10:uidLastSave="{00000000-0000-0000-0000-000000000000}"/>
  <bookViews>
    <workbookView xWindow="0" yWindow="0" windowWidth="28800" windowHeight="12230" activeTab="6" xr2:uid="{00000000-000D-0000-FFFF-FFFF00000000}"/>
  </bookViews>
  <sheets>
    <sheet name="octane" sheetId="1" r:id="rId1"/>
    <sheet name="hybrid" sheetId="3" r:id="rId2"/>
    <sheet name="dominus" sheetId="4" r:id="rId3"/>
    <sheet name="plank" sheetId="5" r:id="rId4"/>
    <sheet name="batmobile" sheetId="6" r:id="rId5"/>
    <sheet name="breakout" sheetId="7" r:id="rId6"/>
    <sheet name="angvel" sheetId="8" r:id="rId7"/>
    <sheet name="ang accel" sheetId="10" r:id="rId8"/>
    <sheet name="anglechange" sheetId="9" r:id="rId9"/>
  </sheets>
  <calcPr calcId="1790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66" i="8" l="1"/>
  <c r="D266" i="8"/>
  <c r="E266" i="8"/>
  <c r="F266" i="8"/>
  <c r="G266" i="8"/>
  <c r="B266" i="8"/>
  <c r="B246" i="8" l="1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AE246" i="8"/>
  <c r="AL246" i="8" s="1"/>
  <c r="AE247" i="8"/>
  <c r="AE248" i="8"/>
  <c r="AE249" i="8"/>
  <c r="AE250" i="8"/>
  <c r="AE251" i="8"/>
  <c r="AE252" i="8"/>
  <c r="AE253" i="8"/>
  <c r="AE254" i="8"/>
  <c r="AE255" i="8"/>
  <c r="AE256" i="8"/>
  <c r="AE257" i="8"/>
  <c r="AE258" i="8"/>
  <c r="AF258" i="8" s="1"/>
  <c r="AE259" i="8"/>
  <c r="AE260" i="8"/>
  <c r="AF260" i="8" s="1"/>
  <c r="AE261" i="8"/>
  <c r="AL261" i="8" s="1"/>
  <c r="AF246" i="8"/>
  <c r="AF247" i="8"/>
  <c r="AF248" i="8"/>
  <c r="AF249" i="8"/>
  <c r="AF250" i="8"/>
  <c r="AF251" i="8"/>
  <c r="AF252" i="8"/>
  <c r="AF253" i="8"/>
  <c r="AF254" i="8"/>
  <c r="AF255" i="8"/>
  <c r="AF256" i="8"/>
  <c r="AF257" i="8"/>
  <c r="AF259" i="8"/>
  <c r="AG261" i="8"/>
  <c r="AG260" i="8" s="1"/>
  <c r="AG259" i="8" s="1"/>
  <c r="AG258" i="8" s="1"/>
  <c r="AG257" i="8" s="1"/>
  <c r="AG256" i="8" s="1"/>
  <c r="AG255" i="8" s="1"/>
  <c r="AG254" i="8" s="1"/>
  <c r="AG253" i="8" s="1"/>
  <c r="AG252" i="8" s="1"/>
  <c r="AG251" i="8" s="1"/>
  <c r="AG250" i="8" s="1"/>
  <c r="AG249" i="8" s="1"/>
  <c r="AG248" i="8" s="1"/>
  <c r="AG247" i="8" s="1"/>
  <c r="AG246" i="8" s="1"/>
  <c r="AH261" i="8"/>
  <c r="AH260" i="8" s="1"/>
  <c r="AH259" i="8" s="1"/>
  <c r="AH258" i="8" s="1"/>
  <c r="AH257" i="8" s="1"/>
  <c r="AH256" i="8" s="1"/>
  <c r="AH255" i="8" s="1"/>
  <c r="AH254" i="8" s="1"/>
  <c r="AH253" i="8" s="1"/>
  <c r="AH252" i="8" s="1"/>
  <c r="AH251" i="8" s="1"/>
  <c r="AH250" i="8" s="1"/>
  <c r="AH249" i="8" s="1"/>
  <c r="AH248" i="8" s="1"/>
  <c r="AH247" i="8" s="1"/>
  <c r="AH246" i="8" s="1"/>
  <c r="AI261" i="8"/>
  <c r="AI260" i="8" s="1"/>
  <c r="AI259" i="8" s="1"/>
  <c r="AI258" i="8" s="1"/>
  <c r="AI257" i="8" s="1"/>
  <c r="AI256" i="8" s="1"/>
  <c r="AI255" i="8" s="1"/>
  <c r="AI254" i="8" s="1"/>
  <c r="AI253" i="8" s="1"/>
  <c r="AI252" i="8" s="1"/>
  <c r="AI251" i="8" s="1"/>
  <c r="AI250" i="8" s="1"/>
  <c r="AI249" i="8" s="1"/>
  <c r="AI248" i="8" s="1"/>
  <c r="AI247" i="8" s="1"/>
  <c r="AI246" i="8" s="1"/>
  <c r="AJ261" i="8"/>
  <c r="AJ260" i="8" s="1"/>
  <c r="AJ259" i="8" s="1"/>
  <c r="AJ258" i="8" s="1"/>
  <c r="AJ257" i="8" s="1"/>
  <c r="AJ256" i="8" s="1"/>
  <c r="AJ255" i="8" s="1"/>
  <c r="AJ254" i="8" s="1"/>
  <c r="AJ253" i="8" s="1"/>
  <c r="AJ252" i="8" s="1"/>
  <c r="AJ251" i="8" s="1"/>
  <c r="AJ250" i="8" s="1"/>
  <c r="AJ249" i="8" s="1"/>
  <c r="AJ248" i="8" s="1"/>
  <c r="AJ247" i="8" s="1"/>
  <c r="AJ246" i="8" s="1"/>
  <c r="AK261" i="8"/>
  <c r="AK260" i="8" s="1"/>
  <c r="AK259" i="8" s="1"/>
  <c r="AK258" i="8" s="1"/>
  <c r="AK257" i="8" s="1"/>
  <c r="AK256" i="8" s="1"/>
  <c r="AK255" i="8" s="1"/>
  <c r="AK254" i="8" s="1"/>
  <c r="AK253" i="8" s="1"/>
  <c r="AK252" i="8" s="1"/>
  <c r="AK251" i="8" s="1"/>
  <c r="AK250" i="8" s="1"/>
  <c r="AK249" i="8" s="1"/>
  <c r="AK248" i="8" s="1"/>
  <c r="AK247" i="8" s="1"/>
  <c r="AK246" i="8" s="1"/>
  <c r="Y54" i="8"/>
  <c r="Y55" i="8"/>
  <c r="Y56" i="8"/>
  <c r="Y57" i="8"/>
  <c r="Y58" i="8"/>
  <c r="Y59" i="8"/>
  <c r="Y60" i="8"/>
  <c r="Y61" i="8"/>
  <c r="Y62" i="8"/>
  <c r="Y63" i="8"/>
  <c r="Y64" i="8"/>
  <c r="Y65" i="8"/>
  <c r="Y66" i="8"/>
  <c r="Y67" i="8"/>
  <c r="Y68" i="8"/>
  <c r="Y69" i="8"/>
  <c r="Y70" i="8"/>
  <c r="Y71" i="8"/>
  <c r="Y72" i="8"/>
  <c r="Y73" i="8"/>
  <c r="Y74" i="8"/>
  <c r="Y75" i="8"/>
  <c r="Y76" i="8"/>
  <c r="Y77" i="8"/>
  <c r="Y78" i="8"/>
  <c r="Y79" i="8"/>
  <c r="Y80" i="8"/>
  <c r="Y81" i="8"/>
  <c r="Y82" i="8"/>
  <c r="Y83" i="8"/>
  <c r="Y84" i="8"/>
  <c r="Y85" i="8"/>
  <c r="Y86" i="8"/>
  <c r="Y87" i="8"/>
  <c r="Y88" i="8"/>
  <c r="Y89" i="8"/>
  <c r="Y90" i="8"/>
  <c r="Y91" i="8"/>
  <c r="Y92" i="8"/>
  <c r="Y93" i="8"/>
  <c r="Y94" i="8"/>
  <c r="Y95" i="8"/>
  <c r="Y96" i="8"/>
  <c r="Y97" i="8"/>
  <c r="Y98" i="8"/>
  <c r="Y99" i="8"/>
  <c r="Y100" i="8"/>
  <c r="Y101" i="8"/>
  <c r="Y102" i="8"/>
  <c r="Y103" i="8"/>
  <c r="Y104" i="8"/>
  <c r="Y105" i="8"/>
  <c r="Y106" i="8"/>
  <c r="Y107" i="8"/>
  <c r="Y108" i="8"/>
  <c r="Y109" i="8"/>
  <c r="Y110" i="8"/>
  <c r="Y111" i="8"/>
  <c r="Y112" i="8"/>
  <c r="Y113" i="8"/>
  <c r="Y114" i="8"/>
  <c r="Y115" i="8"/>
  <c r="Y116" i="8"/>
  <c r="Y117" i="8"/>
  <c r="Y118" i="8"/>
  <c r="Y119" i="8"/>
  <c r="Z54" i="8"/>
  <c r="Z55" i="8"/>
  <c r="Z56" i="8"/>
  <c r="Z57" i="8"/>
  <c r="Z58" i="8"/>
  <c r="Z59" i="8"/>
  <c r="Z60" i="8"/>
  <c r="Z61" i="8"/>
  <c r="Z62" i="8"/>
  <c r="Z63" i="8"/>
  <c r="Z64" i="8"/>
  <c r="Z65" i="8"/>
  <c r="Z66" i="8"/>
  <c r="Z67" i="8"/>
  <c r="Z68" i="8"/>
  <c r="Z69" i="8"/>
  <c r="Z70" i="8"/>
  <c r="Z71" i="8"/>
  <c r="Z72" i="8"/>
  <c r="Z73" i="8"/>
  <c r="Z74" i="8"/>
  <c r="Z75" i="8"/>
  <c r="Z76" i="8"/>
  <c r="Z77" i="8"/>
  <c r="Z78" i="8"/>
  <c r="Z79" i="8"/>
  <c r="Z80" i="8"/>
  <c r="Z81" i="8"/>
  <c r="Z82" i="8"/>
  <c r="Z83" i="8"/>
  <c r="Z84" i="8"/>
  <c r="Z85" i="8"/>
  <c r="Z86" i="8"/>
  <c r="Z87" i="8"/>
  <c r="Z88" i="8"/>
  <c r="Z89" i="8"/>
  <c r="Z90" i="8"/>
  <c r="Z91" i="8"/>
  <c r="Z92" i="8"/>
  <c r="Z93" i="8"/>
  <c r="Z94" i="8"/>
  <c r="Z95" i="8"/>
  <c r="Z96" i="8"/>
  <c r="Z97" i="8"/>
  <c r="Z98" i="8"/>
  <c r="Z99" i="8"/>
  <c r="Z100" i="8"/>
  <c r="Z101" i="8"/>
  <c r="Z102" i="8"/>
  <c r="Z103" i="8"/>
  <c r="Z104" i="8"/>
  <c r="Z105" i="8"/>
  <c r="Z106" i="8"/>
  <c r="Z107" i="8"/>
  <c r="Z108" i="8"/>
  <c r="Z109" i="8"/>
  <c r="Z110" i="8"/>
  <c r="Z111" i="8"/>
  <c r="Z112" i="8"/>
  <c r="Z113" i="8"/>
  <c r="Z114" i="8"/>
  <c r="Z115" i="8"/>
  <c r="Z116" i="8"/>
  <c r="Z117" i="8"/>
  <c r="Z118" i="8"/>
  <c r="Z119" i="8"/>
  <c r="Z53" i="8"/>
  <c r="Y53" i="8"/>
  <c r="AF261" i="8" l="1"/>
  <c r="AL259" i="8"/>
  <c r="AL255" i="8"/>
  <c r="AL247" i="8"/>
  <c r="AL260" i="8"/>
  <c r="AL256" i="8"/>
  <c r="AL252" i="8"/>
  <c r="AL248" i="8"/>
  <c r="AL251" i="8"/>
  <c r="AL258" i="8"/>
  <c r="AL254" i="8"/>
  <c r="AL250" i="8"/>
  <c r="AL257" i="8"/>
  <c r="AL253" i="8"/>
  <c r="AL249" i="8"/>
  <c r="W54" i="8"/>
  <c r="W55" i="8"/>
  <c r="W56" i="8"/>
  <c r="W57" i="8"/>
  <c r="W58" i="8"/>
  <c r="W59" i="8"/>
  <c r="W60" i="8"/>
  <c r="W61" i="8"/>
  <c r="W62" i="8"/>
  <c r="W63" i="8"/>
  <c r="W64" i="8"/>
  <c r="W65" i="8"/>
  <c r="W66" i="8"/>
  <c r="W67" i="8"/>
  <c r="W68" i="8"/>
  <c r="W69" i="8"/>
  <c r="W70" i="8"/>
  <c r="W71" i="8"/>
  <c r="W72" i="8"/>
  <c r="W73" i="8"/>
  <c r="W74" i="8"/>
  <c r="W75" i="8"/>
  <c r="W76" i="8"/>
  <c r="W77" i="8"/>
  <c r="W78" i="8"/>
  <c r="W79" i="8"/>
  <c r="W80" i="8"/>
  <c r="W81" i="8"/>
  <c r="W82" i="8"/>
  <c r="W83" i="8"/>
  <c r="W84" i="8"/>
  <c r="W85" i="8"/>
  <c r="W86" i="8"/>
  <c r="W87" i="8"/>
  <c r="W88" i="8"/>
  <c r="W89" i="8"/>
  <c r="W90" i="8"/>
  <c r="W91" i="8"/>
  <c r="W92" i="8"/>
  <c r="W93" i="8"/>
  <c r="W94" i="8"/>
  <c r="W95" i="8"/>
  <c r="W96" i="8"/>
  <c r="W97" i="8"/>
  <c r="W98" i="8"/>
  <c r="W99" i="8"/>
  <c r="W100" i="8"/>
  <c r="W101" i="8"/>
  <c r="W102" i="8"/>
  <c r="W103" i="8"/>
  <c r="W104" i="8"/>
  <c r="W105" i="8"/>
  <c r="W106" i="8"/>
  <c r="W107" i="8"/>
  <c r="W108" i="8"/>
  <c r="W109" i="8"/>
  <c r="W110" i="8"/>
  <c r="W111" i="8"/>
  <c r="W112" i="8"/>
  <c r="W113" i="8"/>
  <c r="W114" i="8"/>
  <c r="W115" i="8"/>
  <c r="W116" i="8"/>
  <c r="W117" i="8"/>
  <c r="W118" i="8"/>
  <c r="W119" i="8"/>
  <c r="W120" i="8"/>
  <c r="W121" i="8"/>
  <c r="W122" i="8"/>
  <c r="W123" i="8"/>
  <c r="W124" i="8"/>
  <c r="W125" i="8"/>
  <c r="W126" i="8"/>
  <c r="W127" i="8"/>
  <c r="W128" i="8"/>
  <c r="W129" i="8"/>
  <c r="W130" i="8"/>
  <c r="W131" i="8"/>
  <c r="W132" i="8"/>
  <c r="W133" i="8"/>
  <c r="W134" i="8"/>
  <c r="W135" i="8"/>
  <c r="W136" i="8"/>
  <c r="W137" i="8"/>
  <c r="W138" i="8"/>
  <c r="W139" i="8"/>
  <c r="W140" i="8"/>
  <c r="W141" i="8"/>
  <c r="W142" i="8"/>
  <c r="W143" i="8"/>
  <c r="W144" i="8"/>
  <c r="W145" i="8"/>
  <c r="W146" i="8"/>
  <c r="W147" i="8"/>
  <c r="W148" i="8"/>
  <c r="W149" i="8"/>
  <c r="W150" i="8"/>
  <c r="W151" i="8"/>
  <c r="W152" i="8"/>
  <c r="W153" i="8"/>
  <c r="W154" i="8"/>
  <c r="W155" i="8"/>
  <c r="W156" i="8"/>
  <c r="W157" i="8"/>
  <c r="W158" i="8"/>
  <c r="W159" i="8"/>
  <c r="W160" i="8"/>
  <c r="W161" i="8"/>
  <c r="W162" i="8"/>
  <c r="W163" i="8"/>
  <c r="W164" i="8"/>
  <c r="W165" i="8"/>
  <c r="W166" i="8"/>
  <c r="W167" i="8"/>
  <c r="W168" i="8"/>
  <c r="W169" i="8"/>
  <c r="W170" i="8"/>
  <c r="W171" i="8"/>
  <c r="W172" i="8"/>
  <c r="W53" i="8"/>
  <c r="AE52" i="8" l="1"/>
  <c r="AE54" i="8" l="1"/>
  <c r="AE164" i="8"/>
  <c r="AE168" i="8"/>
  <c r="AE172" i="8"/>
  <c r="AE176" i="8"/>
  <c r="AE180" i="8"/>
  <c r="AE184" i="8"/>
  <c r="AE188" i="8"/>
  <c r="AE192" i="8"/>
  <c r="AE196" i="8"/>
  <c r="AE200" i="8"/>
  <c r="AE204" i="8"/>
  <c r="AE208" i="8"/>
  <c r="AE212" i="8"/>
  <c r="AE216" i="8"/>
  <c r="AE220" i="8"/>
  <c r="AE224" i="8"/>
  <c r="AE228" i="8"/>
  <c r="AE232" i="8"/>
  <c r="AE236" i="8"/>
  <c r="AE240" i="8"/>
  <c r="AE244" i="8"/>
  <c r="AE165" i="8"/>
  <c r="AE169" i="8"/>
  <c r="AE173" i="8"/>
  <c r="AE177" i="8"/>
  <c r="AE181" i="8"/>
  <c r="AE185" i="8"/>
  <c r="AE189" i="8"/>
  <c r="AE193" i="8"/>
  <c r="AE197" i="8"/>
  <c r="AE201" i="8"/>
  <c r="AE205" i="8"/>
  <c r="AE209" i="8"/>
  <c r="AE213" i="8"/>
  <c r="AE217" i="8"/>
  <c r="AE221" i="8"/>
  <c r="AE225" i="8"/>
  <c r="AE229" i="8"/>
  <c r="AE233" i="8"/>
  <c r="AE237" i="8"/>
  <c r="AE241" i="8"/>
  <c r="AE245" i="8"/>
  <c r="AL245" i="8" s="1"/>
  <c r="AE162" i="8"/>
  <c r="AE166" i="8"/>
  <c r="AE170" i="8"/>
  <c r="AE174" i="8"/>
  <c r="AE178" i="8"/>
  <c r="AE182" i="8"/>
  <c r="AE186" i="8"/>
  <c r="AE190" i="8"/>
  <c r="AE194" i="8"/>
  <c r="AE198" i="8"/>
  <c r="AE202" i="8"/>
  <c r="AE206" i="8"/>
  <c r="AE210" i="8"/>
  <c r="AE214" i="8"/>
  <c r="AE218" i="8"/>
  <c r="AE222" i="8"/>
  <c r="AE226" i="8"/>
  <c r="AE230" i="8"/>
  <c r="AE234" i="8"/>
  <c r="AE238" i="8"/>
  <c r="AE242" i="8"/>
  <c r="AE239" i="8"/>
  <c r="AL239" i="8" s="1"/>
  <c r="AE223" i="8"/>
  <c r="AE207" i="8"/>
  <c r="AE191" i="8"/>
  <c r="AE175" i="8"/>
  <c r="AL175" i="8" s="1"/>
  <c r="AE132" i="8"/>
  <c r="AE235" i="8"/>
  <c r="AE219" i="8"/>
  <c r="AL219" i="8" s="1"/>
  <c r="AE203" i="8"/>
  <c r="AE187" i="8"/>
  <c r="AE171" i="8"/>
  <c r="AE68" i="8"/>
  <c r="AE231" i="8"/>
  <c r="AE215" i="8"/>
  <c r="AE199" i="8"/>
  <c r="AL199" i="8" s="1"/>
  <c r="AE183" i="8"/>
  <c r="AL183" i="8" s="1"/>
  <c r="AE167" i="8"/>
  <c r="AE243" i="8"/>
  <c r="AL243" i="8" s="1"/>
  <c r="AE227" i="8"/>
  <c r="AE211" i="8"/>
  <c r="AL211" i="8" s="1"/>
  <c r="AE195" i="8"/>
  <c r="AE179" i="8"/>
  <c r="AL179" i="8" s="1"/>
  <c r="AE163" i="8"/>
  <c r="AL163" i="8" s="1"/>
  <c r="AE100" i="8"/>
  <c r="AE116" i="8"/>
  <c r="AE148" i="8"/>
  <c r="AE84" i="8"/>
  <c r="AE160" i="8"/>
  <c r="AE128" i="8"/>
  <c r="AE112" i="8"/>
  <c r="AE80" i="8"/>
  <c r="AE64" i="8"/>
  <c r="AE156" i="8"/>
  <c r="AE140" i="8"/>
  <c r="AE124" i="8"/>
  <c r="AE108" i="8"/>
  <c r="AE92" i="8"/>
  <c r="AE76" i="8"/>
  <c r="AE60" i="8"/>
  <c r="AE144" i="8"/>
  <c r="AE96" i="8"/>
  <c r="AE152" i="8"/>
  <c r="AE136" i="8"/>
  <c r="AE120" i="8"/>
  <c r="AE104" i="8"/>
  <c r="AE88" i="8"/>
  <c r="AE72" i="8"/>
  <c r="AE56" i="8"/>
  <c r="AE161" i="8"/>
  <c r="AE157" i="8"/>
  <c r="AE153" i="8"/>
  <c r="AE149" i="8"/>
  <c r="AE145" i="8"/>
  <c r="AE141" i="8"/>
  <c r="AE137" i="8"/>
  <c r="AE133" i="8"/>
  <c r="AE129" i="8"/>
  <c r="AE125" i="8"/>
  <c r="AE121" i="8"/>
  <c r="AE117" i="8"/>
  <c r="AE113" i="8"/>
  <c r="AE109" i="8"/>
  <c r="AE105" i="8"/>
  <c r="AE101" i="8"/>
  <c r="AE97" i="8"/>
  <c r="AE93" i="8"/>
  <c r="AE89" i="8"/>
  <c r="AE85" i="8"/>
  <c r="AE81" i="8"/>
  <c r="AE77" i="8"/>
  <c r="AE73" i="8"/>
  <c r="AE69" i="8"/>
  <c r="AE65" i="8"/>
  <c r="AE61" i="8"/>
  <c r="AE57" i="8"/>
  <c r="AE159" i="8"/>
  <c r="AL159" i="8" s="1"/>
  <c r="AE155" i="8"/>
  <c r="AL155" i="8" s="1"/>
  <c r="AE151" i="8"/>
  <c r="AL151" i="8" s="1"/>
  <c r="AE147" i="8"/>
  <c r="AE143" i="8"/>
  <c r="AL143" i="8" s="1"/>
  <c r="AE139" i="8"/>
  <c r="AE135" i="8"/>
  <c r="AE131" i="8"/>
  <c r="AL131" i="8" s="1"/>
  <c r="AE127" i="8"/>
  <c r="AE123" i="8"/>
  <c r="AE119" i="8"/>
  <c r="AE115" i="8"/>
  <c r="AE111" i="8"/>
  <c r="AL111" i="8" s="1"/>
  <c r="AE107" i="8"/>
  <c r="AE103" i="8"/>
  <c r="AE99" i="8"/>
  <c r="AE95" i="8"/>
  <c r="AE91" i="8"/>
  <c r="AL91" i="8" s="1"/>
  <c r="AE87" i="8"/>
  <c r="AL87" i="8" s="1"/>
  <c r="AE83" i="8"/>
  <c r="AL83" i="8" s="1"/>
  <c r="AE79" i="8"/>
  <c r="AL79" i="8" s="1"/>
  <c r="AE75" i="8"/>
  <c r="AE71" i="8"/>
  <c r="AE67" i="8"/>
  <c r="AE63" i="8"/>
  <c r="AL63" i="8" s="1"/>
  <c r="AE59" i="8"/>
  <c r="AE55" i="8"/>
  <c r="AE53" i="8"/>
  <c r="AE158" i="8"/>
  <c r="AL158" i="8" s="1"/>
  <c r="AE154" i="8"/>
  <c r="AL154" i="8" s="1"/>
  <c r="AE150" i="8"/>
  <c r="AL150" i="8" s="1"/>
  <c r="AE146" i="8"/>
  <c r="AL146" i="8" s="1"/>
  <c r="AE142" i="8"/>
  <c r="AL142" i="8" s="1"/>
  <c r="AE138" i="8"/>
  <c r="AL138" i="8" s="1"/>
  <c r="AE134" i="8"/>
  <c r="AL134" i="8" s="1"/>
  <c r="AE130" i="8"/>
  <c r="AL130" i="8" s="1"/>
  <c r="AE126" i="8"/>
  <c r="AL126" i="8" s="1"/>
  <c r="AE122" i="8"/>
  <c r="AL122" i="8" s="1"/>
  <c r="AE118" i="8"/>
  <c r="AL118" i="8" s="1"/>
  <c r="AE114" i="8"/>
  <c r="AL114" i="8" s="1"/>
  <c r="AE110" i="8"/>
  <c r="AL110" i="8" s="1"/>
  <c r="AE106" i="8"/>
  <c r="AL106" i="8" s="1"/>
  <c r="AE102" i="8"/>
  <c r="AL102" i="8" s="1"/>
  <c r="AE98" i="8"/>
  <c r="AL98" i="8" s="1"/>
  <c r="AE94" i="8"/>
  <c r="AL94" i="8" s="1"/>
  <c r="AE90" i="8"/>
  <c r="AL90" i="8" s="1"/>
  <c r="AE86" i="8"/>
  <c r="AL86" i="8" s="1"/>
  <c r="AE82" i="8"/>
  <c r="AL82" i="8" s="1"/>
  <c r="AE78" i="8"/>
  <c r="AL78" i="8" s="1"/>
  <c r="AE74" i="8"/>
  <c r="AL74" i="8" s="1"/>
  <c r="AE70" i="8"/>
  <c r="AL70" i="8" s="1"/>
  <c r="AE66" i="8"/>
  <c r="AL66" i="8" s="1"/>
  <c r="AE62" i="8"/>
  <c r="AL62" i="8" s="1"/>
  <c r="AE58" i="8"/>
  <c r="AL58" i="8" s="1"/>
  <c r="AL147" i="8" l="1"/>
  <c r="AL227" i="8"/>
  <c r="AL75" i="8"/>
  <c r="AL139" i="8"/>
  <c r="AL195" i="8"/>
  <c r="AL71" i="8"/>
  <c r="AL135" i="8"/>
  <c r="AL215" i="8"/>
  <c r="AL59" i="8"/>
  <c r="AL123" i="8"/>
  <c r="AL167" i="8"/>
  <c r="AL231" i="8"/>
  <c r="AL95" i="8"/>
  <c r="AL127" i="8"/>
  <c r="AL69" i="8"/>
  <c r="AL85" i="8"/>
  <c r="AL101" i="8"/>
  <c r="AL117" i="8"/>
  <c r="AL133" i="8"/>
  <c r="AL149" i="8"/>
  <c r="AL56" i="8"/>
  <c r="AL120" i="8"/>
  <c r="AL144" i="8"/>
  <c r="AL108" i="8"/>
  <c r="AL64" i="8"/>
  <c r="AL160" i="8"/>
  <c r="AL191" i="8"/>
  <c r="AL242" i="8"/>
  <c r="AL226" i="8"/>
  <c r="AL194" i="8"/>
  <c r="AL178" i="8"/>
  <c r="AL162" i="8"/>
  <c r="AL233" i="8"/>
  <c r="AL217" i="8"/>
  <c r="AL201" i="8"/>
  <c r="AL185" i="8"/>
  <c r="AL169" i="8"/>
  <c r="AL236" i="8"/>
  <c r="AL220" i="8"/>
  <c r="AL204" i="8"/>
  <c r="AL188" i="8"/>
  <c r="AL172" i="8"/>
  <c r="AL53" i="8"/>
  <c r="AL222" i="8"/>
  <c r="AL65" i="8"/>
  <c r="AL81" i="8"/>
  <c r="AL97" i="8"/>
  <c r="AL113" i="8"/>
  <c r="AL129" i="8"/>
  <c r="AL145" i="8"/>
  <c r="AL104" i="8"/>
  <c r="AL92" i="8"/>
  <c r="AL156" i="8"/>
  <c r="AL214" i="8"/>
  <c r="AL198" i="8"/>
  <c r="AL237" i="8"/>
  <c r="AL221" i="8"/>
  <c r="AL205" i="8"/>
  <c r="AL189" i="8"/>
  <c r="AL173" i="8"/>
  <c r="AL240" i="8"/>
  <c r="AL224" i="8"/>
  <c r="AL208" i="8"/>
  <c r="AL192" i="8"/>
  <c r="AL176" i="8"/>
  <c r="AL68" i="8"/>
  <c r="AL67" i="8"/>
  <c r="AL99" i="8"/>
  <c r="AL115" i="8"/>
  <c r="AL57" i="8"/>
  <c r="AL73" i="8"/>
  <c r="AL89" i="8"/>
  <c r="AL105" i="8"/>
  <c r="AL121" i="8"/>
  <c r="AL137" i="8"/>
  <c r="AL153" i="8"/>
  <c r="AL72" i="8"/>
  <c r="AL136" i="8"/>
  <c r="AL60" i="8"/>
  <c r="AL124" i="8"/>
  <c r="AL80" i="8"/>
  <c r="AL84" i="8"/>
  <c r="AL171" i="8"/>
  <c r="AL235" i="8"/>
  <c r="AL207" i="8"/>
  <c r="AL238" i="8"/>
  <c r="AL206" i="8"/>
  <c r="AL190" i="8"/>
  <c r="AL174" i="8"/>
  <c r="AL229" i="8"/>
  <c r="AL213" i="8"/>
  <c r="AL197" i="8"/>
  <c r="AL181" i="8"/>
  <c r="AL165" i="8"/>
  <c r="AL232" i="8"/>
  <c r="AL216" i="8"/>
  <c r="AL200" i="8"/>
  <c r="AL184" i="8"/>
  <c r="AL168" i="8"/>
  <c r="AL100" i="8"/>
  <c r="AL210" i="8"/>
  <c r="AL55" i="8"/>
  <c r="AL103" i="8"/>
  <c r="AL119" i="8"/>
  <c r="AL61" i="8"/>
  <c r="AL77" i="8"/>
  <c r="AL93" i="8"/>
  <c r="AL109" i="8"/>
  <c r="AL125" i="8"/>
  <c r="AL141" i="8"/>
  <c r="AL157" i="8"/>
  <c r="AL88" i="8"/>
  <c r="AL152" i="8"/>
  <c r="AL76" i="8"/>
  <c r="AL140" i="8"/>
  <c r="AL112" i="8"/>
  <c r="AL148" i="8"/>
  <c r="AL187" i="8"/>
  <c r="AL132" i="8"/>
  <c r="AL223" i="8"/>
  <c r="AL234" i="8"/>
  <c r="AL218" i="8"/>
  <c r="AL202" i="8"/>
  <c r="AL186" i="8"/>
  <c r="AL170" i="8"/>
  <c r="AL241" i="8"/>
  <c r="AL225" i="8"/>
  <c r="AL209" i="8"/>
  <c r="AL193" i="8"/>
  <c r="AL177" i="8"/>
  <c r="AL244" i="8"/>
  <c r="AL228" i="8"/>
  <c r="AL212" i="8"/>
  <c r="AL196" i="8"/>
  <c r="AL180" i="8"/>
  <c r="AL164" i="8"/>
  <c r="AL107" i="8"/>
  <c r="AL161" i="8"/>
  <c r="AL96" i="8"/>
  <c r="AL128" i="8"/>
  <c r="AL116" i="8"/>
  <c r="AL203" i="8"/>
  <c r="AL230" i="8"/>
  <c r="AL182" i="8"/>
  <c r="AL166" i="8"/>
  <c r="AL54" i="8"/>
  <c r="AD69" i="9"/>
  <c r="AD70" i="9"/>
  <c r="AD71" i="9"/>
  <c r="AD72" i="9"/>
  <c r="AD73" i="9"/>
  <c r="AD74" i="9"/>
  <c r="AD68" i="9"/>
  <c r="AD77" i="9" l="1"/>
  <c r="Z2" i="1" l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F2" i="9"/>
  <c r="E2" i="9"/>
  <c r="D2" i="9"/>
  <c r="U3" i="6"/>
  <c r="V3" i="6"/>
  <c r="W3" i="6"/>
  <c r="U4" i="6"/>
  <c r="V4" i="6"/>
  <c r="W4" i="6"/>
  <c r="U5" i="6"/>
  <c r="V5" i="6"/>
  <c r="W5" i="6"/>
  <c r="U6" i="6"/>
  <c r="V6" i="6"/>
  <c r="W6" i="6"/>
  <c r="U7" i="6"/>
  <c r="V7" i="6"/>
  <c r="W7" i="6"/>
  <c r="U8" i="6"/>
  <c r="V8" i="6"/>
  <c r="W8" i="6"/>
  <c r="U9" i="6"/>
  <c r="V9" i="6"/>
  <c r="W9" i="6"/>
  <c r="U10" i="6"/>
  <c r="V10" i="6"/>
  <c r="W10" i="6"/>
  <c r="U11" i="6"/>
  <c r="V11" i="6"/>
  <c r="W11" i="6"/>
  <c r="U12" i="6"/>
  <c r="V12" i="6"/>
  <c r="W12" i="6"/>
  <c r="U13" i="6"/>
  <c r="V13" i="6"/>
  <c r="W13" i="6"/>
  <c r="U14" i="6"/>
  <c r="V14" i="6"/>
  <c r="W14" i="6"/>
  <c r="U15" i="6"/>
  <c r="V15" i="6"/>
  <c r="W15" i="6"/>
  <c r="U16" i="6"/>
  <c r="V16" i="6"/>
  <c r="W16" i="6"/>
  <c r="U17" i="6"/>
  <c r="V17" i="6"/>
  <c r="W17" i="6"/>
  <c r="U18" i="6"/>
  <c r="V18" i="6"/>
  <c r="W18" i="6"/>
  <c r="U19" i="6"/>
  <c r="V19" i="6"/>
  <c r="W19" i="6"/>
  <c r="U20" i="6"/>
  <c r="V20" i="6"/>
  <c r="W20" i="6"/>
  <c r="U21" i="6"/>
  <c r="V21" i="6"/>
  <c r="W21" i="6"/>
  <c r="U22" i="6"/>
  <c r="V22" i="6"/>
  <c r="W22" i="6"/>
  <c r="U23" i="6"/>
  <c r="V23" i="6"/>
  <c r="W23" i="6"/>
  <c r="U24" i="6"/>
  <c r="V24" i="6"/>
  <c r="W24" i="6"/>
  <c r="U25" i="6"/>
  <c r="V25" i="6"/>
  <c r="W25" i="6"/>
  <c r="U26" i="6"/>
  <c r="V26" i="6"/>
  <c r="W26" i="6"/>
  <c r="U27" i="6"/>
  <c r="V27" i="6"/>
  <c r="W27" i="6"/>
  <c r="U28" i="6"/>
  <c r="V28" i="6"/>
  <c r="W28" i="6"/>
  <c r="U29" i="6"/>
  <c r="V29" i="6"/>
  <c r="W29" i="6"/>
  <c r="U30" i="6"/>
  <c r="V30" i="6"/>
  <c r="W30" i="6"/>
  <c r="U31" i="6"/>
  <c r="V31" i="6"/>
  <c r="W31" i="6"/>
  <c r="U32" i="6"/>
  <c r="V32" i="6"/>
  <c r="W32" i="6"/>
  <c r="U33" i="6"/>
  <c r="V33" i="6"/>
  <c r="W33" i="6"/>
  <c r="U34" i="6"/>
  <c r="V34" i="6"/>
  <c r="W34" i="6"/>
  <c r="U35" i="6"/>
  <c r="V35" i="6"/>
  <c r="W35" i="6"/>
  <c r="U36" i="6"/>
  <c r="V36" i="6"/>
  <c r="W36" i="6"/>
  <c r="U37" i="6"/>
  <c r="V37" i="6"/>
  <c r="W37" i="6"/>
  <c r="U38" i="6"/>
  <c r="V38" i="6"/>
  <c r="W38" i="6"/>
  <c r="U39" i="6"/>
  <c r="V39" i="6"/>
  <c r="W39" i="6"/>
  <c r="U40" i="6"/>
  <c r="V40" i="6"/>
  <c r="W40" i="6"/>
  <c r="U41" i="6"/>
  <c r="V41" i="6"/>
  <c r="W41" i="6"/>
  <c r="U42" i="6"/>
  <c r="V42" i="6"/>
  <c r="W42" i="6"/>
  <c r="U43" i="6"/>
  <c r="V43" i="6"/>
  <c r="W43" i="6"/>
  <c r="U44" i="6"/>
  <c r="V44" i="6"/>
  <c r="W44" i="6"/>
  <c r="U45" i="6"/>
  <c r="V45" i="6"/>
  <c r="W45" i="6"/>
  <c r="U46" i="6"/>
  <c r="V46" i="6"/>
  <c r="W46" i="6"/>
  <c r="U47" i="6"/>
  <c r="V47" i="6"/>
  <c r="X48" i="6" s="1"/>
  <c r="W47" i="6"/>
  <c r="U48" i="6"/>
  <c r="V48" i="6"/>
  <c r="W48" i="6"/>
  <c r="U49" i="6"/>
  <c r="V49" i="6"/>
  <c r="W49" i="6"/>
  <c r="U50" i="6"/>
  <c r="V50" i="6"/>
  <c r="W50" i="6"/>
  <c r="U51" i="6"/>
  <c r="V51" i="6"/>
  <c r="X52" i="6" s="1"/>
  <c r="W51" i="6"/>
  <c r="U52" i="6"/>
  <c r="V52" i="6"/>
  <c r="W52" i="6"/>
  <c r="U53" i="6"/>
  <c r="V53" i="6"/>
  <c r="W53" i="6"/>
  <c r="U54" i="6"/>
  <c r="V54" i="6"/>
  <c r="W54" i="6"/>
  <c r="U55" i="6"/>
  <c r="V55" i="6"/>
  <c r="X56" i="6" s="1"/>
  <c r="W55" i="6"/>
  <c r="U56" i="6"/>
  <c r="V56" i="6"/>
  <c r="W56" i="6"/>
  <c r="U57" i="6"/>
  <c r="V57" i="6"/>
  <c r="W57" i="6"/>
  <c r="U58" i="6"/>
  <c r="V58" i="6"/>
  <c r="W58" i="6"/>
  <c r="U59" i="6"/>
  <c r="V59" i="6"/>
  <c r="X60" i="6" s="1"/>
  <c r="W59" i="6"/>
  <c r="U60" i="6"/>
  <c r="V60" i="6"/>
  <c r="W60" i="6"/>
  <c r="U61" i="6"/>
  <c r="V61" i="6"/>
  <c r="W61" i="6"/>
  <c r="U62" i="6"/>
  <c r="V62" i="6"/>
  <c r="W62" i="6"/>
  <c r="U63" i="6"/>
  <c r="V63" i="6"/>
  <c r="X64" i="6" s="1"/>
  <c r="W63" i="6"/>
  <c r="U64" i="6"/>
  <c r="V64" i="6"/>
  <c r="W64" i="6"/>
  <c r="U65" i="6"/>
  <c r="V65" i="6"/>
  <c r="W65" i="6"/>
  <c r="U66" i="6"/>
  <c r="V66" i="6"/>
  <c r="W66" i="6"/>
  <c r="U67" i="6"/>
  <c r="V67" i="6"/>
  <c r="X68" i="6" s="1"/>
  <c r="W67" i="6"/>
  <c r="U68" i="6"/>
  <c r="V68" i="6"/>
  <c r="W68" i="6"/>
  <c r="U69" i="6"/>
  <c r="V69" i="6"/>
  <c r="W69" i="6"/>
  <c r="U70" i="6"/>
  <c r="V70" i="6"/>
  <c r="W70" i="6"/>
  <c r="U71" i="6"/>
  <c r="V71" i="6"/>
  <c r="X72" i="6" s="1"/>
  <c r="W71" i="6"/>
  <c r="U72" i="6"/>
  <c r="V72" i="6"/>
  <c r="W72" i="6"/>
  <c r="U73" i="6"/>
  <c r="V73" i="6"/>
  <c r="W73" i="6"/>
  <c r="U74" i="6"/>
  <c r="V74" i="6"/>
  <c r="W74" i="6"/>
  <c r="U75" i="6"/>
  <c r="V75" i="6"/>
  <c r="X76" i="6" s="1"/>
  <c r="W75" i="6"/>
  <c r="U76" i="6"/>
  <c r="V76" i="6"/>
  <c r="W76" i="6"/>
  <c r="U77" i="6"/>
  <c r="V77" i="6"/>
  <c r="W77" i="6"/>
  <c r="U78" i="6"/>
  <c r="V78" i="6"/>
  <c r="W78" i="6"/>
  <c r="U79" i="6"/>
  <c r="V79" i="6"/>
  <c r="X80" i="6" s="1"/>
  <c r="W79" i="6"/>
  <c r="U80" i="6"/>
  <c r="V80" i="6"/>
  <c r="W80" i="6"/>
  <c r="U81" i="6"/>
  <c r="V81" i="6"/>
  <c r="W81" i="6"/>
  <c r="U82" i="6"/>
  <c r="V82" i="6"/>
  <c r="W82" i="6"/>
  <c r="U83" i="6"/>
  <c r="V83" i="6"/>
  <c r="X84" i="6" s="1"/>
  <c r="W83" i="6"/>
  <c r="U84" i="6"/>
  <c r="V84" i="6"/>
  <c r="W84" i="6"/>
  <c r="U85" i="6"/>
  <c r="V85" i="6"/>
  <c r="W85" i="6"/>
  <c r="U86" i="6"/>
  <c r="V86" i="6"/>
  <c r="W86" i="6"/>
  <c r="U87" i="6"/>
  <c r="V87" i="6"/>
  <c r="X88" i="6" s="1"/>
  <c r="W87" i="6"/>
  <c r="U88" i="6"/>
  <c r="V88" i="6"/>
  <c r="W88" i="6"/>
  <c r="U89" i="6"/>
  <c r="V89" i="6"/>
  <c r="W89" i="6"/>
  <c r="U90" i="6"/>
  <c r="V90" i="6"/>
  <c r="W90" i="6"/>
  <c r="U91" i="6"/>
  <c r="V91" i="6"/>
  <c r="X92" i="6" s="1"/>
  <c r="W91" i="6"/>
  <c r="U92" i="6"/>
  <c r="V92" i="6"/>
  <c r="W92" i="6"/>
  <c r="U93" i="6"/>
  <c r="V93" i="6"/>
  <c r="W93" i="6"/>
  <c r="U94" i="6"/>
  <c r="V94" i="6"/>
  <c r="W94" i="6"/>
  <c r="U95" i="6"/>
  <c r="V95" i="6"/>
  <c r="X96" i="6" s="1"/>
  <c r="W95" i="6"/>
  <c r="U96" i="6"/>
  <c r="V96" i="6"/>
  <c r="W96" i="6"/>
  <c r="U97" i="6"/>
  <c r="V97" i="6"/>
  <c r="W97" i="6"/>
  <c r="U98" i="6"/>
  <c r="V98" i="6"/>
  <c r="W98" i="6"/>
  <c r="U99" i="6"/>
  <c r="V99" i="6"/>
  <c r="X100" i="6" s="1"/>
  <c r="W99" i="6"/>
  <c r="U100" i="6"/>
  <c r="V100" i="6"/>
  <c r="W100" i="6"/>
  <c r="U101" i="6"/>
  <c r="V101" i="6"/>
  <c r="W101" i="6"/>
  <c r="U102" i="6"/>
  <c r="V102" i="6"/>
  <c r="W102" i="6"/>
  <c r="U103" i="6"/>
  <c r="V103" i="6"/>
  <c r="X104" i="6" s="1"/>
  <c r="W103" i="6"/>
  <c r="U104" i="6"/>
  <c r="V104" i="6"/>
  <c r="W104" i="6"/>
  <c r="U105" i="6"/>
  <c r="V105" i="6"/>
  <c r="W105" i="6"/>
  <c r="U106" i="6"/>
  <c r="V106" i="6"/>
  <c r="W106" i="6"/>
  <c r="U107" i="6"/>
  <c r="V107" i="6"/>
  <c r="X108" i="6" s="1"/>
  <c r="W107" i="6"/>
  <c r="U108" i="6"/>
  <c r="V108" i="6"/>
  <c r="W108" i="6"/>
  <c r="U109" i="6"/>
  <c r="V109" i="6"/>
  <c r="W109" i="6"/>
  <c r="U110" i="6"/>
  <c r="V110" i="6"/>
  <c r="W110" i="6"/>
  <c r="U111" i="6"/>
  <c r="V111" i="6"/>
  <c r="X112" i="6" s="1"/>
  <c r="W111" i="6"/>
  <c r="U112" i="6"/>
  <c r="V112" i="6"/>
  <c r="W112" i="6"/>
  <c r="U113" i="6"/>
  <c r="V113" i="6"/>
  <c r="W113" i="6"/>
  <c r="U114" i="6"/>
  <c r="V114" i="6"/>
  <c r="W114" i="6"/>
  <c r="U115" i="6"/>
  <c r="V115" i="6"/>
  <c r="X116" i="6" s="1"/>
  <c r="W115" i="6"/>
  <c r="U116" i="6"/>
  <c r="V116" i="6"/>
  <c r="W116" i="6"/>
  <c r="U117" i="6"/>
  <c r="V117" i="6"/>
  <c r="W117" i="6"/>
  <c r="U118" i="6"/>
  <c r="V118" i="6"/>
  <c r="W118" i="6"/>
  <c r="U119" i="6"/>
  <c r="V119" i="6"/>
  <c r="X120" i="6" s="1"/>
  <c r="W119" i="6"/>
  <c r="U120" i="6"/>
  <c r="V120" i="6"/>
  <c r="W120" i="6"/>
  <c r="U121" i="6"/>
  <c r="V121" i="6"/>
  <c r="W121" i="6"/>
  <c r="U122" i="6"/>
  <c r="V122" i="6"/>
  <c r="W122" i="6"/>
  <c r="U123" i="6"/>
  <c r="V123" i="6"/>
  <c r="X124" i="6" s="1"/>
  <c r="W123" i="6"/>
  <c r="U124" i="6"/>
  <c r="V124" i="6"/>
  <c r="W124" i="6"/>
  <c r="U125" i="6"/>
  <c r="V125" i="6"/>
  <c r="W125" i="6"/>
  <c r="U126" i="6"/>
  <c r="V126" i="6"/>
  <c r="W126" i="6"/>
  <c r="U127" i="6"/>
  <c r="V127" i="6"/>
  <c r="X128" i="6" s="1"/>
  <c r="W127" i="6"/>
  <c r="U128" i="6"/>
  <c r="V128" i="6"/>
  <c r="W128" i="6"/>
  <c r="U129" i="6"/>
  <c r="V129" i="6"/>
  <c r="W129" i="6"/>
  <c r="U130" i="6"/>
  <c r="V130" i="6"/>
  <c r="W130" i="6"/>
  <c r="U131" i="6"/>
  <c r="V131" i="6"/>
  <c r="X132" i="6" s="1"/>
  <c r="W131" i="6"/>
  <c r="U132" i="6"/>
  <c r="V132" i="6"/>
  <c r="W132" i="6"/>
  <c r="U133" i="6"/>
  <c r="V133" i="6"/>
  <c r="W133" i="6"/>
  <c r="U134" i="6"/>
  <c r="V134" i="6"/>
  <c r="W134" i="6"/>
  <c r="U135" i="6"/>
  <c r="V135" i="6"/>
  <c r="X136" i="6" s="1"/>
  <c r="W135" i="6"/>
  <c r="U136" i="6"/>
  <c r="V136" i="6"/>
  <c r="W136" i="6"/>
  <c r="U137" i="6"/>
  <c r="V137" i="6"/>
  <c r="W137" i="6"/>
  <c r="U138" i="6"/>
  <c r="V138" i="6"/>
  <c r="W138" i="6"/>
  <c r="U139" i="6"/>
  <c r="V139" i="6"/>
  <c r="X140" i="6" s="1"/>
  <c r="W139" i="6"/>
  <c r="U140" i="6"/>
  <c r="V140" i="6"/>
  <c r="W140" i="6"/>
  <c r="U141" i="6"/>
  <c r="V141" i="6"/>
  <c r="W141" i="6"/>
  <c r="U142" i="6"/>
  <c r="V142" i="6"/>
  <c r="W142" i="6"/>
  <c r="U143" i="6"/>
  <c r="V143" i="6"/>
  <c r="X144" i="6" s="1"/>
  <c r="W143" i="6"/>
  <c r="U144" i="6"/>
  <c r="V144" i="6"/>
  <c r="W144" i="6"/>
  <c r="U145" i="6"/>
  <c r="V145" i="6"/>
  <c r="W145" i="6"/>
  <c r="U146" i="6"/>
  <c r="V146" i="6"/>
  <c r="W146" i="6"/>
  <c r="U147" i="6"/>
  <c r="V147" i="6"/>
  <c r="X148" i="6" s="1"/>
  <c r="W147" i="6"/>
  <c r="U148" i="6"/>
  <c r="V148" i="6"/>
  <c r="W148" i="6"/>
  <c r="U149" i="6"/>
  <c r="V149" i="6"/>
  <c r="W149" i="6"/>
  <c r="U150" i="6"/>
  <c r="V150" i="6"/>
  <c r="W150" i="6"/>
  <c r="U151" i="6"/>
  <c r="V151" i="6"/>
  <c r="X152" i="6" s="1"/>
  <c r="W151" i="6"/>
  <c r="U152" i="6"/>
  <c r="V152" i="6"/>
  <c r="W152" i="6"/>
  <c r="U153" i="6"/>
  <c r="V153" i="6"/>
  <c r="W153" i="6"/>
  <c r="U154" i="6"/>
  <c r="V154" i="6"/>
  <c r="W154" i="6"/>
  <c r="U155" i="6"/>
  <c r="V155" i="6"/>
  <c r="X156" i="6" s="1"/>
  <c r="W155" i="6"/>
  <c r="U156" i="6"/>
  <c r="V156" i="6"/>
  <c r="W156" i="6"/>
  <c r="U157" i="6"/>
  <c r="V157" i="6"/>
  <c r="W157" i="6"/>
  <c r="U158" i="6"/>
  <c r="V158" i="6"/>
  <c r="W158" i="6"/>
  <c r="U159" i="6"/>
  <c r="V159" i="6"/>
  <c r="X160" i="6" s="1"/>
  <c r="W159" i="6"/>
  <c r="U160" i="6"/>
  <c r="V160" i="6"/>
  <c r="W160" i="6"/>
  <c r="U161" i="6"/>
  <c r="V161" i="6"/>
  <c r="W161" i="6"/>
  <c r="U162" i="6"/>
  <c r="V162" i="6"/>
  <c r="W162" i="6"/>
  <c r="U163" i="6"/>
  <c r="V163" i="6"/>
  <c r="X164" i="6" s="1"/>
  <c r="W163" i="6"/>
  <c r="U164" i="6"/>
  <c r="V164" i="6"/>
  <c r="W164" i="6"/>
  <c r="U165" i="6"/>
  <c r="V165" i="6"/>
  <c r="W165" i="6"/>
  <c r="U166" i="6"/>
  <c r="V166" i="6"/>
  <c r="W166" i="6"/>
  <c r="U167" i="6"/>
  <c r="V167" i="6"/>
  <c r="X168" i="6" s="1"/>
  <c r="W167" i="6"/>
  <c r="U168" i="6"/>
  <c r="V168" i="6"/>
  <c r="W168" i="6"/>
  <c r="U169" i="6"/>
  <c r="V169" i="6"/>
  <c r="W169" i="6"/>
  <c r="U170" i="6"/>
  <c r="V170" i="6"/>
  <c r="W170" i="6"/>
  <c r="U171" i="6"/>
  <c r="V171" i="6"/>
  <c r="X172" i="6" s="1"/>
  <c r="W171" i="6"/>
  <c r="U172" i="6"/>
  <c r="V172" i="6"/>
  <c r="W172" i="6"/>
  <c r="U173" i="6"/>
  <c r="V173" i="6"/>
  <c r="W173" i="6"/>
  <c r="U174" i="6"/>
  <c r="V174" i="6"/>
  <c r="W174" i="6"/>
  <c r="U175" i="6"/>
  <c r="V175" i="6"/>
  <c r="X176" i="6" s="1"/>
  <c r="W175" i="6"/>
  <c r="U176" i="6"/>
  <c r="V176" i="6"/>
  <c r="W176" i="6"/>
  <c r="U177" i="6"/>
  <c r="V177" i="6"/>
  <c r="W177" i="6"/>
  <c r="U178" i="6"/>
  <c r="V178" i="6"/>
  <c r="W178" i="6"/>
  <c r="U179" i="6"/>
  <c r="V179" i="6"/>
  <c r="X180" i="6" s="1"/>
  <c r="W179" i="6"/>
  <c r="U180" i="6"/>
  <c r="V180" i="6"/>
  <c r="W180" i="6"/>
  <c r="U181" i="6"/>
  <c r="V181" i="6"/>
  <c r="W181" i="6"/>
  <c r="U182" i="6"/>
  <c r="V182" i="6"/>
  <c r="W182" i="6"/>
  <c r="U183" i="6"/>
  <c r="V183" i="6"/>
  <c r="X184" i="6" s="1"/>
  <c r="W183" i="6"/>
  <c r="U184" i="6"/>
  <c r="V184" i="6"/>
  <c r="W184" i="6"/>
  <c r="U185" i="6"/>
  <c r="V185" i="6"/>
  <c r="W185" i="6"/>
  <c r="U186" i="6"/>
  <c r="V186" i="6"/>
  <c r="W186" i="6"/>
  <c r="U187" i="6"/>
  <c r="V187" i="6"/>
  <c r="X188" i="6" s="1"/>
  <c r="W187" i="6"/>
  <c r="U188" i="6"/>
  <c r="V188" i="6"/>
  <c r="W188" i="6"/>
  <c r="U189" i="6"/>
  <c r="V189" i="6"/>
  <c r="W189" i="6"/>
  <c r="U190" i="6"/>
  <c r="V190" i="6"/>
  <c r="W190" i="6"/>
  <c r="U191" i="6"/>
  <c r="V191" i="6"/>
  <c r="X192" i="6" s="1"/>
  <c r="W191" i="6"/>
  <c r="U192" i="6"/>
  <c r="V192" i="6"/>
  <c r="W192" i="6"/>
  <c r="U193" i="6"/>
  <c r="V193" i="6"/>
  <c r="W193" i="6"/>
  <c r="U194" i="6"/>
  <c r="V194" i="6"/>
  <c r="W194" i="6"/>
  <c r="U195" i="6"/>
  <c r="V195" i="6"/>
  <c r="X196" i="6" s="1"/>
  <c r="W195" i="6"/>
  <c r="U196" i="6"/>
  <c r="V196" i="6"/>
  <c r="W196" i="6"/>
  <c r="U197" i="6"/>
  <c r="V197" i="6"/>
  <c r="W197" i="6"/>
  <c r="U198" i="6"/>
  <c r="V198" i="6"/>
  <c r="W198" i="6"/>
  <c r="U199" i="6"/>
  <c r="V199" i="6"/>
  <c r="X200" i="6" s="1"/>
  <c r="W199" i="6"/>
  <c r="U200" i="6"/>
  <c r="V200" i="6"/>
  <c r="W200" i="6"/>
  <c r="U201" i="6"/>
  <c r="V201" i="6"/>
  <c r="W201" i="6"/>
  <c r="U202" i="6"/>
  <c r="V202" i="6"/>
  <c r="W202" i="6"/>
  <c r="U203" i="6"/>
  <c r="V203" i="6"/>
  <c r="X204" i="6" s="1"/>
  <c r="W203" i="6"/>
  <c r="U204" i="6"/>
  <c r="V204" i="6"/>
  <c r="W204" i="6"/>
  <c r="U205" i="6"/>
  <c r="V205" i="6"/>
  <c r="W205" i="6"/>
  <c r="U206" i="6"/>
  <c r="V206" i="6"/>
  <c r="W206" i="6"/>
  <c r="U207" i="6"/>
  <c r="V207" i="6"/>
  <c r="X208" i="6" s="1"/>
  <c r="W207" i="6"/>
  <c r="U208" i="6"/>
  <c r="V208" i="6"/>
  <c r="W208" i="6"/>
  <c r="U209" i="6"/>
  <c r="V209" i="6"/>
  <c r="W209" i="6"/>
  <c r="U210" i="6"/>
  <c r="V210" i="6"/>
  <c r="W210" i="6"/>
  <c r="U211" i="6"/>
  <c r="V211" i="6"/>
  <c r="X212" i="6" s="1"/>
  <c r="W211" i="6"/>
  <c r="U212" i="6"/>
  <c r="V212" i="6"/>
  <c r="W212" i="6"/>
  <c r="U213" i="6"/>
  <c r="V213" i="6"/>
  <c r="W213" i="6"/>
  <c r="U214" i="6"/>
  <c r="V214" i="6"/>
  <c r="W214" i="6"/>
  <c r="U215" i="6"/>
  <c r="V215" i="6"/>
  <c r="X216" i="6" s="1"/>
  <c r="W215" i="6"/>
  <c r="U216" i="6"/>
  <c r="V216" i="6"/>
  <c r="W216" i="6"/>
  <c r="U217" i="6"/>
  <c r="V217" i="6"/>
  <c r="W217" i="6"/>
  <c r="U218" i="6"/>
  <c r="V218" i="6"/>
  <c r="W218" i="6"/>
  <c r="U219" i="6"/>
  <c r="V219" i="6"/>
  <c r="X220" i="6" s="1"/>
  <c r="W219" i="6"/>
  <c r="U220" i="6"/>
  <c r="V220" i="6"/>
  <c r="W220" i="6"/>
  <c r="U221" i="6"/>
  <c r="V221" i="6"/>
  <c r="W221" i="6"/>
  <c r="U222" i="6"/>
  <c r="V222" i="6"/>
  <c r="W222" i="6"/>
  <c r="U223" i="6"/>
  <c r="V223" i="6"/>
  <c r="X224" i="6" s="1"/>
  <c r="W223" i="6"/>
  <c r="U224" i="6"/>
  <c r="V224" i="6"/>
  <c r="W224" i="6"/>
  <c r="U225" i="6"/>
  <c r="V225" i="6"/>
  <c r="W225" i="6"/>
  <c r="U226" i="6"/>
  <c r="V226" i="6"/>
  <c r="W226" i="6"/>
  <c r="U227" i="6"/>
  <c r="V227" i="6"/>
  <c r="X228" i="6" s="1"/>
  <c r="W227" i="6"/>
  <c r="U228" i="6"/>
  <c r="V228" i="6"/>
  <c r="W228" i="6"/>
  <c r="U229" i="6"/>
  <c r="V229" i="6"/>
  <c r="W229" i="6"/>
  <c r="U230" i="6"/>
  <c r="V230" i="6"/>
  <c r="W230" i="6"/>
  <c r="U231" i="6"/>
  <c r="V231" i="6"/>
  <c r="X232" i="6" s="1"/>
  <c r="W231" i="6"/>
  <c r="U232" i="6"/>
  <c r="V232" i="6"/>
  <c r="W232" i="6"/>
  <c r="U233" i="6"/>
  <c r="V233" i="6"/>
  <c r="W233" i="6"/>
  <c r="U234" i="6"/>
  <c r="V234" i="6"/>
  <c r="W234" i="6"/>
  <c r="U235" i="6"/>
  <c r="V235" i="6"/>
  <c r="X236" i="6" s="1"/>
  <c r="W235" i="6"/>
  <c r="U236" i="6"/>
  <c r="V236" i="6"/>
  <c r="W236" i="6"/>
  <c r="U237" i="6"/>
  <c r="V237" i="6"/>
  <c r="W237" i="6"/>
  <c r="U238" i="6"/>
  <c r="V238" i="6"/>
  <c r="W238" i="6"/>
  <c r="U239" i="6"/>
  <c r="V239" i="6"/>
  <c r="X240" i="6" s="1"/>
  <c r="W239" i="6"/>
  <c r="U240" i="6"/>
  <c r="V240" i="6"/>
  <c r="W240" i="6"/>
  <c r="U241" i="6"/>
  <c r="V241" i="6"/>
  <c r="W241" i="6"/>
  <c r="U242" i="6"/>
  <c r="V242" i="6"/>
  <c r="W242" i="6"/>
  <c r="U243" i="6"/>
  <c r="V243" i="6"/>
  <c r="X244" i="6" s="1"/>
  <c r="W243" i="6"/>
  <c r="U244" i="6"/>
  <c r="V244" i="6"/>
  <c r="W244" i="6"/>
  <c r="U245" i="6"/>
  <c r="V245" i="6"/>
  <c r="W245" i="6"/>
  <c r="U246" i="6"/>
  <c r="V246" i="6"/>
  <c r="W246" i="6"/>
  <c r="U247" i="6"/>
  <c r="V247" i="6"/>
  <c r="X248" i="6" s="1"/>
  <c r="W247" i="6"/>
  <c r="U248" i="6"/>
  <c r="V248" i="6"/>
  <c r="W248" i="6"/>
  <c r="U249" i="6"/>
  <c r="V249" i="6"/>
  <c r="W249" i="6"/>
  <c r="U250" i="6"/>
  <c r="V250" i="6"/>
  <c r="W250" i="6"/>
  <c r="U251" i="6"/>
  <c r="V251" i="6"/>
  <c r="X252" i="6" s="1"/>
  <c r="W251" i="6"/>
  <c r="U252" i="6"/>
  <c r="V252" i="6"/>
  <c r="W252" i="6"/>
  <c r="U253" i="6"/>
  <c r="V253" i="6"/>
  <c r="W253" i="6"/>
  <c r="U254" i="6"/>
  <c r="V254" i="6"/>
  <c r="W254" i="6"/>
  <c r="U255" i="6"/>
  <c r="V255" i="6"/>
  <c r="X256" i="6" s="1"/>
  <c r="W255" i="6"/>
  <c r="U256" i="6"/>
  <c r="V256" i="6"/>
  <c r="W256" i="6"/>
  <c r="U257" i="6"/>
  <c r="V257" i="6"/>
  <c r="W257" i="6"/>
  <c r="U258" i="6"/>
  <c r="V258" i="6"/>
  <c r="W258" i="6"/>
  <c r="U259" i="6"/>
  <c r="V259" i="6"/>
  <c r="X260" i="6" s="1"/>
  <c r="W259" i="6"/>
  <c r="U260" i="6"/>
  <c r="V260" i="6"/>
  <c r="W260" i="6"/>
  <c r="U261" i="6"/>
  <c r="V261" i="6"/>
  <c r="W261" i="6"/>
  <c r="U262" i="6"/>
  <c r="V262" i="6"/>
  <c r="W262" i="6"/>
  <c r="U263" i="6"/>
  <c r="V263" i="6"/>
  <c r="X264" i="6" s="1"/>
  <c r="W263" i="6"/>
  <c r="U264" i="6"/>
  <c r="V264" i="6"/>
  <c r="W264" i="6"/>
  <c r="U265" i="6"/>
  <c r="V265" i="6"/>
  <c r="W265" i="6"/>
  <c r="U266" i="6"/>
  <c r="V266" i="6"/>
  <c r="W266" i="6"/>
  <c r="U267" i="6"/>
  <c r="V267" i="6"/>
  <c r="X268" i="6" s="1"/>
  <c r="W267" i="6"/>
  <c r="U268" i="6"/>
  <c r="V268" i="6"/>
  <c r="W268" i="6"/>
  <c r="U269" i="6"/>
  <c r="V269" i="6"/>
  <c r="W269" i="6"/>
  <c r="U270" i="6"/>
  <c r="V270" i="6"/>
  <c r="W270" i="6"/>
  <c r="U271" i="6"/>
  <c r="V271" i="6"/>
  <c r="X272" i="6" s="1"/>
  <c r="W271" i="6"/>
  <c r="U272" i="6"/>
  <c r="V272" i="6"/>
  <c r="W272" i="6"/>
  <c r="U273" i="6"/>
  <c r="V273" i="6"/>
  <c r="W273" i="6"/>
  <c r="U274" i="6"/>
  <c r="V274" i="6"/>
  <c r="W274" i="6"/>
  <c r="U275" i="6"/>
  <c r="V275" i="6"/>
  <c r="X276" i="6" s="1"/>
  <c r="W275" i="6"/>
  <c r="U276" i="6"/>
  <c r="V276" i="6"/>
  <c r="W276" i="6"/>
  <c r="U277" i="6"/>
  <c r="V277" i="6"/>
  <c r="W277" i="6"/>
  <c r="U278" i="6"/>
  <c r="V278" i="6"/>
  <c r="W278" i="6"/>
  <c r="U279" i="6"/>
  <c r="V279" i="6"/>
  <c r="X280" i="6" s="1"/>
  <c r="W279" i="6"/>
  <c r="U280" i="6"/>
  <c r="V280" i="6"/>
  <c r="W280" i="6"/>
  <c r="U281" i="6"/>
  <c r="V281" i="6"/>
  <c r="W281" i="6"/>
  <c r="U282" i="6"/>
  <c r="V282" i="6"/>
  <c r="W282" i="6"/>
  <c r="U283" i="6"/>
  <c r="V283" i="6"/>
  <c r="X284" i="6" s="1"/>
  <c r="W283" i="6"/>
  <c r="U284" i="6"/>
  <c r="V284" i="6"/>
  <c r="W284" i="6"/>
  <c r="U285" i="6"/>
  <c r="V285" i="6"/>
  <c r="W285" i="6"/>
  <c r="U286" i="6"/>
  <c r="V286" i="6"/>
  <c r="W286" i="6"/>
  <c r="U287" i="6"/>
  <c r="V287" i="6"/>
  <c r="X288" i="6" s="1"/>
  <c r="W287" i="6"/>
  <c r="U288" i="6"/>
  <c r="V288" i="6"/>
  <c r="W288" i="6"/>
  <c r="U289" i="6"/>
  <c r="V289" i="6"/>
  <c r="W289" i="6"/>
  <c r="U290" i="6"/>
  <c r="V290" i="6"/>
  <c r="W290" i="6"/>
  <c r="U291" i="6"/>
  <c r="V291" i="6"/>
  <c r="X292" i="6" s="1"/>
  <c r="W291" i="6"/>
  <c r="U292" i="6"/>
  <c r="V292" i="6"/>
  <c r="W292" i="6"/>
  <c r="U293" i="6"/>
  <c r="V293" i="6"/>
  <c r="W293" i="6"/>
  <c r="U294" i="6"/>
  <c r="V294" i="6"/>
  <c r="W294" i="6"/>
  <c r="U295" i="6"/>
  <c r="V295" i="6"/>
  <c r="X296" i="6" s="1"/>
  <c r="W295" i="6"/>
  <c r="U296" i="6"/>
  <c r="V296" i="6"/>
  <c r="W296" i="6"/>
  <c r="U297" i="6"/>
  <c r="V297" i="6"/>
  <c r="W297" i="6"/>
  <c r="U298" i="6"/>
  <c r="V298" i="6"/>
  <c r="W298" i="6"/>
  <c r="U299" i="6"/>
  <c r="V299" i="6"/>
  <c r="X300" i="6" s="1"/>
  <c r="W299" i="6"/>
  <c r="U300" i="6"/>
  <c r="V300" i="6"/>
  <c r="W300" i="6"/>
  <c r="U301" i="6"/>
  <c r="V301" i="6"/>
  <c r="W301" i="6"/>
  <c r="U302" i="6"/>
  <c r="V302" i="6"/>
  <c r="W302" i="6"/>
  <c r="U303" i="6"/>
  <c r="V303" i="6"/>
  <c r="X304" i="6" s="1"/>
  <c r="W303" i="6"/>
  <c r="U304" i="6"/>
  <c r="V304" i="6"/>
  <c r="W304" i="6"/>
  <c r="U305" i="6"/>
  <c r="V305" i="6"/>
  <c r="W305" i="6"/>
  <c r="U306" i="6"/>
  <c r="V306" i="6"/>
  <c r="W306" i="6"/>
  <c r="U307" i="6"/>
  <c r="V307" i="6"/>
  <c r="X308" i="6" s="1"/>
  <c r="W307" i="6"/>
  <c r="U308" i="6"/>
  <c r="V308" i="6"/>
  <c r="W308" i="6"/>
  <c r="U309" i="6"/>
  <c r="V309" i="6"/>
  <c r="W309" i="6"/>
  <c r="U310" i="6"/>
  <c r="V310" i="6"/>
  <c r="W310" i="6"/>
  <c r="U311" i="6"/>
  <c r="V311" i="6"/>
  <c r="X312" i="6" s="1"/>
  <c r="W311" i="6"/>
  <c r="U312" i="6"/>
  <c r="V312" i="6"/>
  <c r="W312" i="6"/>
  <c r="U313" i="6"/>
  <c r="V313" i="6"/>
  <c r="W313" i="6"/>
  <c r="U314" i="6"/>
  <c r="V314" i="6"/>
  <c r="W314" i="6"/>
  <c r="U315" i="6"/>
  <c r="V315" i="6"/>
  <c r="X316" i="6" s="1"/>
  <c r="W315" i="6"/>
  <c r="U316" i="6"/>
  <c r="V316" i="6"/>
  <c r="W316" i="6"/>
  <c r="U317" i="6"/>
  <c r="V317" i="6"/>
  <c r="W317" i="6"/>
  <c r="U318" i="6"/>
  <c r="V318" i="6"/>
  <c r="W318" i="6"/>
  <c r="U319" i="6"/>
  <c r="V319" i="6"/>
  <c r="X320" i="6" s="1"/>
  <c r="W319" i="6"/>
  <c r="U320" i="6"/>
  <c r="V320" i="6"/>
  <c r="W320" i="6"/>
  <c r="U321" i="6"/>
  <c r="V321" i="6"/>
  <c r="W321" i="6"/>
  <c r="X321" i="6"/>
  <c r="U322" i="6"/>
  <c r="V322" i="6"/>
  <c r="W322" i="6"/>
  <c r="X322" i="6"/>
  <c r="U323" i="6"/>
  <c r="V323" i="6"/>
  <c r="W323" i="6"/>
  <c r="X323" i="6"/>
  <c r="U324" i="6"/>
  <c r="V324" i="6"/>
  <c r="W324" i="6"/>
  <c r="X324" i="6"/>
  <c r="U325" i="6"/>
  <c r="V325" i="6"/>
  <c r="W325" i="6"/>
  <c r="X325" i="6"/>
  <c r="U326" i="6"/>
  <c r="V326" i="6"/>
  <c r="W326" i="6"/>
  <c r="X326" i="6"/>
  <c r="U327" i="6"/>
  <c r="V327" i="6"/>
  <c r="W327" i="6"/>
  <c r="X327" i="6"/>
  <c r="U328" i="6"/>
  <c r="V328" i="6"/>
  <c r="W328" i="6"/>
  <c r="X328" i="6"/>
  <c r="U329" i="6"/>
  <c r="V329" i="6"/>
  <c r="W329" i="6"/>
  <c r="X329" i="6"/>
  <c r="U330" i="6"/>
  <c r="V330" i="6"/>
  <c r="W330" i="6"/>
  <c r="X330" i="6"/>
  <c r="U331" i="6"/>
  <c r="V331" i="6"/>
  <c r="W331" i="6"/>
  <c r="X331" i="6"/>
  <c r="U332" i="6"/>
  <c r="V332" i="6"/>
  <c r="W332" i="6"/>
  <c r="X332" i="6"/>
  <c r="U333" i="6"/>
  <c r="V333" i="6"/>
  <c r="W333" i="6"/>
  <c r="X333" i="6"/>
  <c r="U334" i="6"/>
  <c r="V334" i="6"/>
  <c r="X334" i="6" s="1"/>
  <c r="W334" i="6"/>
  <c r="U335" i="6"/>
  <c r="V335" i="6"/>
  <c r="W335" i="6"/>
  <c r="U336" i="6"/>
  <c r="V336" i="6"/>
  <c r="X337" i="6" s="1"/>
  <c r="W336" i="6"/>
  <c r="U337" i="6"/>
  <c r="V337" i="6"/>
  <c r="W337" i="6"/>
  <c r="U338" i="6"/>
  <c r="V338" i="6"/>
  <c r="W338" i="6"/>
  <c r="U339" i="6"/>
  <c r="V339" i="6"/>
  <c r="W339" i="6"/>
  <c r="U340" i="6"/>
  <c r="V340" i="6"/>
  <c r="X341" i="6" s="1"/>
  <c r="W340" i="6"/>
  <c r="U341" i="6"/>
  <c r="V341" i="6"/>
  <c r="W341" i="6"/>
  <c r="U342" i="6"/>
  <c r="V342" i="6"/>
  <c r="W342" i="6"/>
  <c r="U343" i="6"/>
  <c r="V343" i="6"/>
  <c r="W343" i="6"/>
  <c r="U344" i="6"/>
  <c r="V344" i="6"/>
  <c r="X345" i="6" s="1"/>
  <c r="W344" i="6"/>
  <c r="U345" i="6"/>
  <c r="V345" i="6"/>
  <c r="W345" i="6"/>
  <c r="U346" i="6"/>
  <c r="V346" i="6"/>
  <c r="W346" i="6"/>
  <c r="U347" i="6"/>
  <c r="V347" i="6"/>
  <c r="W347" i="6"/>
  <c r="U348" i="6"/>
  <c r="V348" i="6"/>
  <c r="X349" i="6" s="1"/>
  <c r="W348" i="6"/>
  <c r="U349" i="6"/>
  <c r="V349" i="6"/>
  <c r="W349" i="6"/>
  <c r="U350" i="6"/>
  <c r="V350" i="6"/>
  <c r="W350" i="6"/>
  <c r="U351" i="6"/>
  <c r="V351" i="6"/>
  <c r="W351" i="6"/>
  <c r="U352" i="6"/>
  <c r="V352" i="6"/>
  <c r="X353" i="6" s="1"/>
  <c r="W352" i="6"/>
  <c r="U353" i="6"/>
  <c r="V353" i="6"/>
  <c r="W353" i="6"/>
  <c r="U354" i="6"/>
  <c r="V354" i="6"/>
  <c r="W354" i="6"/>
  <c r="U355" i="6"/>
  <c r="V355" i="6"/>
  <c r="W355" i="6"/>
  <c r="U356" i="6"/>
  <c r="V356" i="6"/>
  <c r="X357" i="6" s="1"/>
  <c r="W356" i="6"/>
  <c r="U357" i="6"/>
  <c r="V357" i="6"/>
  <c r="W357" i="6"/>
  <c r="U358" i="6"/>
  <c r="V358" i="6"/>
  <c r="W358" i="6"/>
  <c r="U359" i="6"/>
  <c r="V359" i="6"/>
  <c r="W359" i="6"/>
  <c r="U360" i="6"/>
  <c r="V360" i="6"/>
  <c r="X361" i="6" s="1"/>
  <c r="W360" i="6"/>
  <c r="U361" i="6"/>
  <c r="V361" i="6"/>
  <c r="W361" i="6"/>
  <c r="U362" i="6"/>
  <c r="V362" i="6"/>
  <c r="W362" i="6"/>
  <c r="U363" i="6"/>
  <c r="V363" i="6"/>
  <c r="W363" i="6"/>
  <c r="U364" i="6"/>
  <c r="V364" i="6"/>
  <c r="X365" i="6" s="1"/>
  <c r="W364" i="6"/>
  <c r="U365" i="6"/>
  <c r="V365" i="6"/>
  <c r="W365" i="6"/>
  <c r="U366" i="6"/>
  <c r="V366" i="6"/>
  <c r="W366" i="6"/>
  <c r="U367" i="6"/>
  <c r="V367" i="6"/>
  <c r="W367" i="6"/>
  <c r="U368" i="6"/>
  <c r="V368" i="6"/>
  <c r="X369" i="6" s="1"/>
  <c r="W368" i="6"/>
  <c r="U369" i="6"/>
  <c r="V369" i="6"/>
  <c r="W369" i="6"/>
  <c r="U370" i="6"/>
  <c r="V370" i="6"/>
  <c r="W370" i="6"/>
  <c r="U371" i="6"/>
  <c r="V371" i="6"/>
  <c r="W371" i="6"/>
  <c r="U372" i="6"/>
  <c r="V372" i="6"/>
  <c r="X373" i="6" s="1"/>
  <c r="W372" i="6"/>
  <c r="U373" i="6"/>
  <c r="V373" i="6"/>
  <c r="W373" i="6"/>
  <c r="U374" i="6"/>
  <c r="V374" i="6"/>
  <c r="W374" i="6"/>
  <c r="U375" i="6"/>
  <c r="V375" i="6"/>
  <c r="W375" i="6"/>
  <c r="U376" i="6"/>
  <c r="V376" i="6"/>
  <c r="X377" i="6" s="1"/>
  <c r="W376" i="6"/>
  <c r="U377" i="6"/>
  <c r="V377" i="6"/>
  <c r="W377" i="6"/>
  <c r="U378" i="6"/>
  <c r="V378" i="6"/>
  <c r="W378" i="6"/>
  <c r="U379" i="6"/>
  <c r="V379" i="6"/>
  <c r="W379" i="6"/>
  <c r="U380" i="6"/>
  <c r="V380" i="6"/>
  <c r="X381" i="6" s="1"/>
  <c r="W380" i="6"/>
  <c r="U381" i="6"/>
  <c r="V381" i="6"/>
  <c r="W381" i="6"/>
  <c r="U382" i="6"/>
  <c r="V382" i="6"/>
  <c r="W382" i="6"/>
  <c r="U383" i="6"/>
  <c r="V383" i="6"/>
  <c r="W383" i="6"/>
  <c r="U384" i="6"/>
  <c r="V384" i="6"/>
  <c r="X385" i="6" s="1"/>
  <c r="W384" i="6"/>
  <c r="U385" i="6"/>
  <c r="V385" i="6"/>
  <c r="W385" i="6"/>
  <c r="U386" i="6"/>
  <c r="V386" i="6"/>
  <c r="W386" i="6"/>
  <c r="U387" i="6"/>
  <c r="V387" i="6"/>
  <c r="W387" i="6"/>
  <c r="U388" i="6"/>
  <c r="V388" i="6"/>
  <c r="X389" i="6" s="1"/>
  <c r="W388" i="6"/>
  <c r="U389" i="6"/>
  <c r="V389" i="6"/>
  <c r="W389" i="6"/>
  <c r="U390" i="6"/>
  <c r="V390" i="6"/>
  <c r="W390" i="6"/>
  <c r="U391" i="6"/>
  <c r="V391" i="6"/>
  <c r="W391" i="6"/>
  <c r="U392" i="6"/>
  <c r="V392" i="6"/>
  <c r="X393" i="6" s="1"/>
  <c r="W392" i="6"/>
  <c r="U393" i="6"/>
  <c r="V393" i="6"/>
  <c r="W393" i="6"/>
  <c r="U394" i="6"/>
  <c r="V394" i="6"/>
  <c r="W394" i="6"/>
  <c r="U395" i="6"/>
  <c r="V395" i="6"/>
  <c r="W395" i="6"/>
  <c r="U396" i="6"/>
  <c r="V396" i="6"/>
  <c r="X397" i="6" s="1"/>
  <c r="W396" i="6"/>
  <c r="U397" i="6"/>
  <c r="V397" i="6"/>
  <c r="W397" i="6"/>
  <c r="U398" i="6"/>
  <c r="V398" i="6"/>
  <c r="W398" i="6"/>
  <c r="U399" i="6"/>
  <c r="V399" i="6"/>
  <c r="W399" i="6"/>
  <c r="U400" i="6"/>
  <c r="V400" i="6"/>
  <c r="X401" i="6" s="1"/>
  <c r="W400" i="6"/>
  <c r="U401" i="6"/>
  <c r="V401" i="6"/>
  <c r="W401" i="6"/>
  <c r="U402" i="6"/>
  <c r="V402" i="6"/>
  <c r="W402" i="6"/>
  <c r="U403" i="6"/>
  <c r="V403" i="6"/>
  <c r="W403" i="6"/>
  <c r="U404" i="6"/>
  <c r="V404" i="6"/>
  <c r="X405" i="6" s="1"/>
  <c r="W404" i="6"/>
  <c r="U405" i="6"/>
  <c r="V405" i="6"/>
  <c r="W405" i="6"/>
  <c r="U406" i="6"/>
  <c r="V406" i="6"/>
  <c r="W406" i="6"/>
  <c r="U407" i="6"/>
  <c r="V407" i="6"/>
  <c r="W407" i="6"/>
  <c r="U408" i="6"/>
  <c r="V408" i="6"/>
  <c r="X409" i="6" s="1"/>
  <c r="W408" i="6"/>
  <c r="U409" i="6"/>
  <c r="V409" i="6"/>
  <c r="W409" i="6"/>
  <c r="U410" i="6"/>
  <c r="V410" i="6"/>
  <c r="W410" i="6"/>
  <c r="U411" i="6"/>
  <c r="V411" i="6"/>
  <c r="W411" i="6"/>
  <c r="U412" i="6"/>
  <c r="V412" i="6"/>
  <c r="X413" i="6" s="1"/>
  <c r="W412" i="6"/>
  <c r="U413" i="6"/>
  <c r="V413" i="6"/>
  <c r="W413" i="6"/>
  <c r="U414" i="6"/>
  <c r="V414" i="6"/>
  <c r="W414" i="6"/>
  <c r="U415" i="6"/>
  <c r="V415" i="6"/>
  <c r="W415" i="6"/>
  <c r="U416" i="6"/>
  <c r="V416" i="6"/>
  <c r="X417" i="6" s="1"/>
  <c r="W416" i="6"/>
  <c r="U417" i="6"/>
  <c r="V417" i="6"/>
  <c r="W417" i="6"/>
  <c r="U418" i="6"/>
  <c r="V418" i="6"/>
  <c r="W418" i="6"/>
  <c r="U419" i="6"/>
  <c r="V419" i="6"/>
  <c r="W419" i="6"/>
  <c r="U420" i="6"/>
  <c r="V420" i="6"/>
  <c r="X421" i="6" s="1"/>
  <c r="W420" i="6"/>
  <c r="U421" i="6"/>
  <c r="V421" i="6"/>
  <c r="W421" i="6"/>
  <c r="U422" i="6"/>
  <c r="V422" i="6"/>
  <c r="W422" i="6"/>
  <c r="U423" i="6"/>
  <c r="V423" i="6"/>
  <c r="W423" i="6"/>
  <c r="U424" i="6"/>
  <c r="V424" i="6"/>
  <c r="X425" i="6" s="1"/>
  <c r="W424" i="6"/>
  <c r="U425" i="6"/>
  <c r="V425" i="6"/>
  <c r="W425" i="6"/>
  <c r="U426" i="6"/>
  <c r="V426" i="6"/>
  <c r="W426" i="6"/>
  <c r="U427" i="6"/>
  <c r="V427" i="6"/>
  <c r="W427" i="6"/>
  <c r="U428" i="6"/>
  <c r="V428" i="6"/>
  <c r="X429" i="6" s="1"/>
  <c r="W428" i="6"/>
  <c r="U429" i="6"/>
  <c r="V429" i="6"/>
  <c r="W429" i="6"/>
  <c r="U430" i="6"/>
  <c r="V430" i="6"/>
  <c r="W430" i="6"/>
  <c r="U431" i="6"/>
  <c r="V431" i="6"/>
  <c r="W431" i="6"/>
  <c r="U432" i="6"/>
  <c r="V432" i="6"/>
  <c r="X433" i="6" s="1"/>
  <c r="W432" i="6"/>
  <c r="U433" i="6"/>
  <c r="V433" i="6"/>
  <c r="W433" i="6"/>
  <c r="U434" i="6"/>
  <c r="V434" i="6"/>
  <c r="W434" i="6"/>
  <c r="U435" i="6"/>
  <c r="V435" i="6"/>
  <c r="W435" i="6"/>
  <c r="U436" i="6"/>
  <c r="V436" i="6"/>
  <c r="X437" i="6" s="1"/>
  <c r="W436" i="6"/>
  <c r="U437" i="6"/>
  <c r="V437" i="6"/>
  <c r="W437" i="6"/>
  <c r="U438" i="6"/>
  <c r="V438" i="6"/>
  <c r="W438" i="6"/>
  <c r="U439" i="6"/>
  <c r="V439" i="6"/>
  <c r="W439" i="6"/>
  <c r="U440" i="6"/>
  <c r="V440" i="6"/>
  <c r="X441" i="6" s="1"/>
  <c r="W440" i="6"/>
  <c r="U441" i="6"/>
  <c r="V441" i="6"/>
  <c r="W441" i="6"/>
  <c r="U442" i="6"/>
  <c r="V442" i="6"/>
  <c r="W442" i="6"/>
  <c r="U443" i="6"/>
  <c r="V443" i="6"/>
  <c r="W443" i="6"/>
  <c r="U444" i="6"/>
  <c r="V444" i="6"/>
  <c r="X445" i="6" s="1"/>
  <c r="W444" i="6"/>
  <c r="U445" i="6"/>
  <c r="V445" i="6"/>
  <c r="W445" i="6"/>
  <c r="U446" i="6"/>
  <c r="V446" i="6"/>
  <c r="W446" i="6"/>
  <c r="U447" i="6"/>
  <c r="V447" i="6"/>
  <c r="W447" i="6"/>
  <c r="U448" i="6"/>
  <c r="V448" i="6"/>
  <c r="X449" i="6" s="1"/>
  <c r="W448" i="6"/>
  <c r="U449" i="6"/>
  <c r="V449" i="6"/>
  <c r="W449" i="6"/>
  <c r="U450" i="6"/>
  <c r="V450" i="6"/>
  <c r="W450" i="6"/>
  <c r="U451" i="6"/>
  <c r="V451" i="6"/>
  <c r="W451" i="6"/>
  <c r="U452" i="6"/>
  <c r="V452" i="6"/>
  <c r="W452" i="6"/>
  <c r="U3" i="7"/>
  <c r="V3" i="7"/>
  <c r="W3" i="7"/>
  <c r="U4" i="7"/>
  <c r="V4" i="7"/>
  <c r="W4" i="7"/>
  <c r="U5" i="7"/>
  <c r="V5" i="7"/>
  <c r="W5" i="7"/>
  <c r="U6" i="7"/>
  <c r="V6" i="7"/>
  <c r="W6" i="7"/>
  <c r="U7" i="7"/>
  <c r="V7" i="7"/>
  <c r="W7" i="7"/>
  <c r="U8" i="7"/>
  <c r="V8" i="7"/>
  <c r="W8" i="7"/>
  <c r="U9" i="7"/>
  <c r="V9" i="7"/>
  <c r="W9" i="7"/>
  <c r="U10" i="7"/>
  <c r="V10" i="7"/>
  <c r="W10" i="7"/>
  <c r="U11" i="7"/>
  <c r="V11" i="7"/>
  <c r="W11" i="7"/>
  <c r="U12" i="7"/>
  <c r="V12" i="7"/>
  <c r="W12" i="7"/>
  <c r="U13" i="7"/>
  <c r="V13" i="7"/>
  <c r="W13" i="7"/>
  <c r="U14" i="7"/>
  <c r="V14" i="7"/>
  <c r="W14" i="7"/>
  <c r="U15" i="7"/>
  <c r="V15" i="7"/>
  <c r="W15" i="7"/>
  <c r="U16" i="7"/>
  <c r="V16" i="7"/>
  <c r="W16" i="7"/>
  <c r="U17" i="7"/>
  <c r="V17" i="7"/>
  <c r="W17" i="7"/>
  <c r="U18" i="7"/>
  <c r="V18" i="7"/>
  <c r="W18" i="7"/>
  <c r="U19" i="7"/>
  <c r="V19" i="7"/>
  <c r="W19" i="7"/>
  <c r="U20" i="7"/>
  <c r="V20" i="7"/>
  <c r="W20" i="7"/>
  <c r="U21" i="7"/>
  <c r="V21" i="7"/>
  <c r="W21" i="7"/>
  <c r="U22" i="7"/>
  <c r="V22" i="7"/>
  <c r="W22" i="7"/>
  <c r="U23" i="7"/>
  <c r="V23" i="7"/>
  <c r="W23" i="7"/>
  <c r="U24" i="7"/>
  <c r="V24" i="7"/>
  <c r="W24" i="7"/>
  <c r="U25" i="7"/>
  <c r="V25" i="7"/>
  <c r="W25" i="7"/>
  <c r="U26" i="7"/>
  <c r="V26" i="7"/>
  <c r="W26" i="7"/>
  <c r="U27" i="7"/>
  <c r="V27" i="7"/>
  <c r="W27" i="7"/>
  <c r="U28" i="7"/>
  <c r="V28" i="7"/>
  <c r="W28" i="7"/>
  <c r="U29" i="7"/>
  <c r="V29" i="7"/>
  <c r="W29" i="7"/>
  <c r="U30" i="7"/>
  <c r="V30" i="7"/>
  <c r="W30" i="7"/>
  <c r="U31" i="7"/>
  <c r="V31" i="7"/>
  <c r="W31" i="7"/>
  <c r="U32" i="7"/>
  <c r="V32" i="7"/>
  <c r="W32" i="7"/>
  <c r="U33" i="7"/>
  <c r="V33" i="7"/>
  <c r="W33" i="7"/>
  <c r="U34" i="7"/>
  <c r="V34" i="7"/>
  <c r="W34" i="7"/>
  <c r="U35" i="7"/>
  <c r="V35" i="7"/>
  <c r="W35" i="7"/>
  <c r="U36" i="7"/>
  <c r="V36" i="7"/>
  <c r="W36" i="7"/>
  <c r="U37" i="7"/>
  <c r="V37" i="7"/>
  <c r="W37" i="7"/>
  <c r="U38" i="7"/>
  <c r="V38" i="7"/>
  <c r="W38" i="7"/>
  <c r="U39" i="7"/>
  <c r="V39" i="7"/>
  <c r="X40" i="7" s="1"/>
  <c r="W39" i="7"/>
  <c r="U40" i="7"/>
  <c r="V40" i="7"/>
  <c r="W40" i="7"/>
  <c r="U41" i="7"/>
  <c r="V41" i="7"/>
  <c r="W41" i="7"/>
  <c r="U42" i="7"/>
  <c r="V42" i="7"/>
  <c r="W42" i="7"/>
  <c r="U43" i="7"/>
  <c r="V43" i="7"/>
  <c r="X44" i="7" s="1"/>
  <c r="W43" i="7"/>
  <c r="U44" i="7"/>
  <c r="V44" i="7"/>
  <c r="W44" i="7"/>
  <c r="U45" i="7"/>
  <c r="V45" i="7"/>
  <c r="W45" i="7"/>
  <c r="U46" i="7"/>
  <c r="V46" i="7"/>
  <c r="W46" i="7"/>
  <c r="U47" i="7"/>
  <c r="V47" i="7"/>
  <c r="X48" i="7" s="1"/>
  <c r="W47" i="7"/>
  <c r="U48" i="7"/>
  <c r="V48" i="7"/>
  <c r="W48" i="7"/>
  <c r="U49" i="7"/>
  <c r="V49" i="7"/>
  <c r="W49" i="7"/>
  <c r="U50" i="7"/>
  <c r="V50" i="7"/>
  <c r="W50" i="7"/>
  <c r="U51" i="7"/>
  <c r="V51" i="7"/>
  <c r="X52" i="7" s="1"/>
  <c r="W51" i="7"/>
  <c r="U52" i="7"/>
  <c r="V52" i="7"/>
  <c r="W52" i="7"/>
  <c r="U53" i="7"/>
  <c r="V53" i="7"/>
  <c r="W53" i="7"/>
  <c r="U54" i="7"/>
  <c r="V54" i="7"/>
  <c r="W54" i="7"/>
  <c r="U55" i="7"/>
  <c r="V55" i="7"/>
  <c r="X56" i="7" s="1"/>
  <c r="W55" i="7"/>
  <c r="U56" i="7"/>
  <c r="V56" i="7"/>
  <c r="W56" i="7"/>
  <c r="U57" i="7"/>
  <c r="V57" i="7"/>
  <c r="W57" i="7"/>
  <c r="U58" i="7"/>
  <c r="V58" i="7"/>
  <c r="W58" i="7"/>
  <c r="U59" i="7"/>
  <c r="V59" i="7"/>
  <c r="X60" i="7" s="1"/>
  <c r="W59" i="7"/>
  <c r="U60" i="7"/>
  <c r="V60" i="7"/>
  <c r="W60" i="7"/>
  <c r="U61" i="7"/>
  <c r="V61" i="7"/>
  <c r="W61" i="7"/>
  <c r="U62" i="7"/>
  <c r="V62" i="7"/>
  <c r="W62" i="7"/>
  <c r="U63" i="7"/>
  <c r="V63" i="7"/>
  <c r="X64" i="7" s="1"/>
  <c r="W63" i="7"/>
  <c r="U64" i="7"/>
  <c r="V64" i="7"/>
  <c r="W64" i="7"/>
  <c r="U65" i="7"/>
  <c r="V65" i="7"/>
  <c r="W65" i="7"/>
  <c r="U66" i="7"/>
  <c r="V66" i="7"/>
  <c r="W66" i="7"/>
  <c r="U67" i="7"/>
  <c r="V67" i="7"/>
  <c r="X68" i="7" s="1"/>
  <c r="W67" i="7"/>
  <c r="U68" i="7"/>
  <c r="V68" i="7"/>
  <c r="W68" i="7"/>
  <c r="U69" i="7"/>
  <c r="V69" i="7"/>
  <c r="W69" i="7"/>
  <c r="U70" i="7"/>
  <c r="V70" i="7"/>
  <c r="W70" i="7"/>
  <c r="U71" i="7"/>
  <c r="V71" i="7"/>
  <c r="X72" i="7" s="1"/>
  <c r="W71" i="7"/>
  <c r="U72" i="7"/>
  <c r="V72" i="7"/>
  <c r="W72" i="7"/>
  <c r="U73" i="7"/>
  <c r="V73" i="7"/>
  <c r="W73" i="7"/>
  <c r="U74" i="7"/>
  <c r="V74" i="7"/>
  <c r="W74" i="7"/>
  <c r="U75" i="7"/>
  <c r="V75" i="7"/>
  <c r="X76" i="7" s="1"/>
  <c r="W75" i="7"/>
  <c r="U76" i="7"/>
  <c r="V76" i="7"/>
  <c r="W76" i="7"/>
  <c r="U77" i="7"/>
  <c r="V77" i="7"/>
  <c r="W77" i="7"/>
  <c r="U78" i="7"/>
  <c r="V78" i="7"/>
  <c r="W78" i="7"/>
  <c r="U79" i="7"/>
  <c r="V79" i="7"/>
  <c r="X80" i="7" s="1"/>
  <c r="W79" i="7"/>
  <c r="U80" i="7"/>
  <c r="V80" i="7"/>
  <c r="W80" i="7"/>
  <c r="U81" i="7"/>
  <c r="V81" i="7"/>
  <c r="W81" i="7"/>
  <c r="U82" i="7"/>
  <c r="V82" i="7"/>
  <c r="W82" i="7"/>
  <c r="U83" i="7"/>
  <c r="V83" i="7"/>
  <c r="X84" i="7" s="1"/>
  <c r="W83" i="7"/>
  <c r="U84" i="7"/>
  <c r="V84" i="7"/>
  <c r="W84" i="7"/>
  <c r="U85" i="7"/>
  <c r="V85" i="7"/>
  <c r="W85" i="7"/>
  <c r="U86" i="7"/>
  <c r="V86" i="7"/>
  <c r="W86" i="7"/>
  <c r="U87" i="7"/>
  <c r="V87" i="7"/>
  <c r="X88" i="7" s="1"/>
  <c r="W87" i="7"/>
  <c r="U88" i="7"/>
  <c r="V88" i="7"/>
  <c r="W88" i="7"/>
  <c r="U89" i="7"/>
  <c r="V89" i="7"/>
  <c r="W89" i="7"/>
  <c r="U90" i="7"/>
  <c r="V90" i="7"/>
  <c r="W90" i="7"/>
  <c r="U91" i="7"/>
  <c r="V91" i="7"/>
  <c r="X92" i="7" s="1"/>
  <c r="W91" i="7"/>
  <c r="U92" i="7"/>
  <c r="V92" i="7"/>
  <c r="W92" i="7"/>
  <c r="U93" i="7"/>
  <c r="V93" i="7"/>
  <c r="W93" i="7"/>
  <c r="U94" i="7"/>
  <c r="V94" i="7"/>
  <c r="W94" i="7"/>
  <c r="U95" i="7"/>
  <c r="V95" i="7"/>
  <c r="X96" i="7" s="1"/>
  <c r="W95" i="7"/>
  <c r="U96" i="7"/>
  <c r="V96" i="7"/>
  <c r="W96" i="7"/>
  <c r="U97" i="7"/>
  <c r="V97" i="7"/>
  <c r="W97" i="7"/>
  <c r="U98" i="7"/>
  <c r="V98" i="7"/>
  <c r="W98" i="7"/>
  <c r="U99" i="7"/>
  <c r="V99" i="7"/>
  <c r="X100" i="7" s="1"/>
  <c r="W99" i="7"/>
  <c r="U100" i="7"/>
  <c r="V100" i="7"/>
  <c r="W100" i="7"/>
  <c r="U101" i="7"/>
  <c r="V101" i="7"/>
  <c r="W101" i="7"/>
  <c r="U102" i="7"/>
  <c r="V102" i="7"/>
  <c r="W102" i="7"/>
  <c r="U103" i="7"/>
  <c r="V103" i="7"/>
  <c r="X104" i="7" s="1"/>
  <c r="W103" i="7"/>
  <c r="U104" i="7"/>
  <c r="V104" i="7"/>
  <c r="W104" i="7"/>
  <c r="U105" i="7"/>
  <c r="V105" i="7"/>
  <c r="W105" i="7"/>
  <c r="U106" i="7"/>
  <c r="V106" i="7"/>
  <c r="W106" i="7"/>
  <c r="U107" i="7"/>
  <c r="V107" i="7"/>
  <c r="X108" i="7" s="1"/>
  <c r="W107" i="7"/>
  <c r="U108" i="7"/>
  <c r="V108" i="7"/>
  <c r="W108" i="7"/>
  <c r="U109" i="7"/>
  <c r="V109" i="7"/>
  <c r="W109" i="7"/>
  <c r="U110" i="7"/>
  <c r="V110" i="7"/>
  <c r="W110" i="7"/>
  <c r="U111" i="7"/>
  <c r="V111" i="7"/>
  <c r="X112" i="7" s="1"/>
  <c r="W111" i="7"/>
  <c r="U112" i="7"/>
  <c r="V112" i="7"/>
  <c r="W112" i="7"/>
  <c r="U113" i="7"/>
  <c r="V113" i="7"/>
  <c r="W113" i="7"/>
  <c r="U114" i="7"/>
  <c r="V114" i="7"/>
  <c r="W114" i="7"/>
  <c r="U115" i="7"/>
  <c r="V115" i="7"/>
  <c r="X116" i="7" s="1"/>
  <c r="W115" i="7"/>
  <c r="U116" i="7"/>
  <c r="V116" i="7"/>
  <c r="W116" i="7"/>
  <c r="U117" i="7"/>
  <c r="V117" i="7"/>
  <c r="W117" i="7"/>
  <c r="U118" i="7"/>
  <c r="V118" i="7"/>
  <c r="W118" i="7"/>
  <c r="U119" i="7"/>
  <c r="V119" i="7"/>
  <c r="X120" i="7" s="1"/>
  <c r="W119" i="7"/>
  <c r="U120" i="7"/>
  <c r="V120" i="7"/>
  <c r="W120" i="7"/>
  <c r="U121" i="7"/>
  <c r="V121" i="7"/>
  <c r="W121" i="7"/>
  <c r="U122" i="7"/>
  <c r="V122" i="7"/>
  <c r="W122" i="7"/>
  <c r="U123" i="7"/>
  <c r="V123" i="7"/>
  <c r="X124" i="7" s="1"/>
  <c r="W123" i="7"/>
  <c r="U124" i="7"/>
  <c r="V124" i="7"/>
  <c r="W124" i="7"/>
  <c r="U125" i="7"/>
  <c r="V125" i="7"/>
  <c r="W125" i="7"/>
  <c r="U126" i="7"/>
  <c r="V126" i="7"/>
  <c r="W126" i="7"/>
  <c r="U127" i="7"/>
  <c r="V127" i="7"/>
  <c r="X128" i="7" s="1"/>
  <c r="W127" i="7"/>
  <c r="U128" i="7"/>
  <c r="V128" i="7"/>
  <c r="W128" i="7"/>
  <c r="U129" i="7"/>
  <c r="V129" i="7"/>
  <c r="W129" i="7"/>
  <c r="U130" i="7"/>
  <c r="V130" i="7"/>
  <c r="W130" i="7"/>
  <c r="U131" i="7"/>
  <c r="V131" i="7"/>
  <c r="X132" i="7" s="1"/>
  <c r="W131" i="7"/>
  <c r="U132" i="7"/>
  <c r="V132" i="7"/>
  <c r="W132" i="7"/>
  <c r="U133" i="7"/>
  <c r="V133" i="7"/>
  <c r="W133" i="7"/>
  <c r="U134" i="7"/>
  <c r="V134" i="7"/>
  <c r="W134" i="7"/>
  <c r="U135" i="7"/>
  <c r="V135" i="7"/>
  <c r="X136" i="7" s="1"/>
  <c r="W135" i="7"/>
  <c r="U136" i="7"/>
  <c r="V136" i="7"/>
  <c r="W136" i="7"/>
  <c r="U137" i="7"/>
  <c r="V137" i="7"/>
  <c r="W137" i="7"/>
  <c r="U138" i="7"/>
  <c r="V138" i="7"/>
  <c r="W138" i="7"/>
  <c r="U139" i="7"/>
  <c r="V139" i="7"/>
  <c r="X140" i="7" s="1"/>
  <c r="W139" i="7"/>
  <c r="U140" i="7"/>
  <c r="V140" i="7"/>
  <c r="W140" i="7"/>
  <c r="U141" i="7"/>
  <c r="V141" i="7"/>
  <c r="W141" i="7"/>
  <c r="U142" i="7"/>
  <c r="V142" i="7"/>
  <c r="W142" i="7"/>
  <c r="U143" i="7"/>
  <c r="V143" i="7"/>
  <c r="X144" i="7" s="1"/>
  <c r="W143" i="7"/>
  <c r="U144" i="7"/>
  <c r="V144" i="7"/>
  <c r="W144" i="7"/>
  <c r="U145" i="7"/>
  <c r="V145" i="7"/>
  <c r="W145" i="7"/>
  <c r="U146" i="7"/>
  <c r="V146" i="7"/>
  <c r="W146" i="7"/>
  <c r="U147" i="7"/>
  <c r="V147" i="7"/>
  <c r="X148" i="7" s="1"/>
  <c r="W147" i="7"/>
  <c r="U148" i="7"/>
  <c r="V148" i="7"/>
  <c r="W148" i="7"/>
  <c r="U149" i="7"/>
  <c r="V149" i="7"/>
  <c r="W149" i="7"/>
  <c r="U150" i="7"/>
  <c r="V150" i="7"/>
  <c r="W150" i="7"/>
  <c r="U151" i="7"/>
  <c r="V151" i="7"/>
  <c r="X152" i="7" s="1"/>
  <c r="W151" i="7"/>
  <c r="U152" i="7"/>
  <c r="V152" i="7"/>
  <c r="W152" i="7"/>
  <c r="U153" i="7"/>
  <c r="V153" i="7"/>
  <c r="W153" i="7"/>
  <c r="U154" i="7"/>
  <c r="V154" i="7"/>
  <c r="W154" i="7"/>
  <c r="U155" i="7"/>
  <c r="V155" i="7"/>
  <c r="X156" i="7" s="1"/>
  <c r="W155" i="7"/>
  <c r="U156" i="7"/>
  <c r="V156" i="7"/>
  <c r="W156" i="7"/>
  <c r="U157" i="7"/>
  <c r="V157" i="7"/>
  <c r="W157" i="7"/>
  <c r="U158" i="7"/>
  <c r="V158" i="7"/>
  <c r="W158" i="7"/>
  <c r="U159" i="7"/>
  <c r="V159" i="7"/>
  <c r="X160" i="7" s="1"/>
  <c r="W159" i="7"/>
  <c r="U160" i="7"/>
  <c r="V160" i="7"/>
  <c r="W160" i="7"/>
  <c r="U161" i="7"/>
  <c r="V161" i="7"/>
  <c r="W161" i="7"/>
  <c r="U162" i="7"/>
  <c r="V162" i="7"/>
  <c r="W162" i="7"/>
  <c r="U163" i="7"/>
  <c r="V163" i="7"/>
  <c r="X164" i="7" s="1"/>
  <c r="W163" i="7"/>
  <c r="U164" i="7"/>
  <c r="V164" i="7"/>
  <c r="W164" i="7"/>
  <c r="U165" i="7"/>
  <c r="V165" i="7"/>
  <c r="W165" i="7"/>
  <c r="U166" i="7"/>
  <c r="V166" i="7"/>
  <c r="W166" i="7"/>
  <c r="U167" i="7"/>
  <c r="V167" i="7"/>
  <c r="X168" i="7" s="1"/>
  <c r="W167" i="7"/>
  <c r="U168" i="7"/>
  <c r="V168" i="7"/>
  <c r="W168" i="7"/>
  <c r="U169" i="7"/>
  <c r="V169" i="7"/>
  <c r="W169" i="7"/>
  <c r="U170" i="7"/>
  <c r="V170" i="7"/>
  <c r="W170" i="7"/>
  <c r="U171" i="7"/>
  <c r="V171" i="7"/>
  <c r="X172" i="7" s="1"/>
  <c r="W171" i="7"/>
  <c r="U172" i="7"/>
  <c r="V172" i="7"/>
  <c r="W172" i="7"/>
  <c r="U173" i="7"/>
  <c r="V173" i="7"/>
  <c r="W173" i="7"/>
  <c r="U174" i="7"/>
  <c r="V174" i="7"/>
  <c r="W174" i="7"/>
  <c r="U175" i="7"/>
  <c r="V175" i="7"/>
  <c r="X176" i="7" s="1"/>
  <c r="W175" i="7"/>
  <c r="U176" i="7"/>
  <c r="V176" i="7"/>
  <c r="W176" i="7"/>
  <c r="U177" i="7"/>
  <c r="V177" i="7"/>
  <c r="W177" i="7"/>
  <c r="U178" i="7"/>
  <c r="V178" i="7"/>
  <c r="W178" i="7"/>
  <c r="U179" i="7"/>
  <c r="V179" i="7"/>
  <c r="X180" i="7" s="1"/>
  <c r="W179" i="7"/>
  <c r="U180" i="7"/>
  <c r="V180" i="7"/>
  <c r="W180" i="7"/>
  <c r="U181" i="7"/>
  <c r="V181" i="7"/>
  <c r="W181" i="7"/>
  <c r="U182" i="7"/>
  <c r="V182" i="7"/>
  <c r="W182" i="7"/>
  <c r="U183" i="7"/>
  <c r="V183" i="7"/>
  <c r="X184" i="7" s="1"/>
  <c r="W183" i="7"/>
  <c r="U184" i="7"/>
  <c r="V184" i="7"/>
  <c r="W184" i="7"/>
  <c r="U185" i="7"/>
  <c r="V185" i="7"/>
  <c r="W185" i="7"/>
  <c r="U186" i="7"/>
  <c r="V186" i="7"/>
  <c r="W186" i="7"/>
  <c r="U187" i="7"/>
  <c r="V187" i="7"/>
  <c r="X188" i="7" s="1"/>
  <c r="W187" i="7"/>
  <c r="U188" i="7"/>
  <c r="V188" i="7"/>
  <c r="W188" i="7"/>
  <c r="U189" i="7"/>
  <c r="V189" i="7"/>
  <c r="W189" i="7"/>
  <c r="U190" i="7"/>
  <c r="V190" i="7"/>
  <c r="W190" i="7"/>
  <c r="U191" i="7"/>
  <c r="V191" i="7"/>
  <c r="X192" i="7" s="1"/>
  <c r="W191" i="7"/>
  <c r="U192" i="7"/>
  <c r="V192" i="7"/>
  <c r="W192" i="7"/>
  <c r="U193" i="7"/>
  <c r="V193" i="7"/>
  <c r="W193" i="7"/>
  <c r="U194" i="7"/>
  <c r="V194" i="7"/>
  <c r="W194" i="7"/>
  <c r="U195" i="7"/>
  <c r="V195" i="7"/>
  <c r="X196" i="7" s="1"/>
  <c r="W195" i="7"/>
  <c r="U196" i="7"/>
  <c r="V196" i="7"/>
  <c r="W196" i="7"/>
  <c r="U197" i="7"/>
  <c r="V197" i="7"/>
  <c r="W197" i="7"/>
  <c r="U198" i="7"/>
  <c r="V198" i="7"/>
  <c r="W198" i="7"/>
  <c r="U199" i="7"/>
  <c r="V199" i="7"/>
  <c r="X200" i="7" s="1"/>
  <c r="W199" i="7"/>
  <c r="U200" i="7"/>
  <c r="V200" i="7"/>
  <c r="W200" i="7"/>
  <c r="U201" i="7"/>
  <c r="V201" i="7"/>
  <c r="W201" i="7"/>
  <c r="U202" i="7"/>
  <c r="V202" i="7"/>
  <c r="W202" i="7"/>
  <c r="U203" i="7"/>
  <c r="V203" i="7"/>
  <c r="X204" i="7" s="1"/>
  <c r="W203" i="7"/>
  <c r="U204" i="7"/>
  <c r="V204" i="7"/>
  <c r="W204" i="7"/>
  <c r="U205" i="7"/>
  <c r="V205" i="7"/>
  <c r="W205" i="7"/>
  <c r="U206" i="7"/>
  <c r="V206" i="7"/>
  <c r="W206" i="7"/>
  <c r="U207" i="7"/>
  <c r="V207" i="7"/>
  <c r="X208" i="7" s="1"/>
  <c r="W207" i="7"/>
  <c r="U208" i="7"/>
  <c r="V208" i="7"/>
  <c r="W208" i="7"/>
  <c r="U209" i="7"/>
  <c r="V209" i="7"/>
  <c r="W209" i="7"/>
  <c r="U210" i="7"/>
  <c r="V210" i="7"/>
  <c r="W210" i="7"/>
  <c r="U211" i="7"/>
  <c r="V211" i="7"/>
  <c r="X212" i="7" s="1"/>
  <c r="W211" i="7"/>
  <c r="U212" i="7"/>
  <c r="V212" i="7"/>
  <c r="W212" i="7"/>
  <c r="U213" i="7"/>
  <c r="V213" i="7"/>
  <c r="W213" i="7"/>
  <c r="U214" i="7"/>
  <c r="V214" i="7"/>
  <c r="W214" i="7"/>
  <c r="U215" i="7"/>
  <c r="V215" i="7"/>
  <c r="X216" i="7" s="1"/>
  <c r="W215" i="7"/>
  <c r="U216" i="7"/>
  <c r="V216" i="7"/>
  <c r="W216" i="7"/>
  <c r="U217" i="7"/>
  <c r="V217" i="7"/>
  <c r="W217" i="7"/>
  <c r="U218" i="7"/>
  <c r="V218" i="7"/>
  <c r="W218" i="7"/>
  <c r="U219" i="7"/>
  <c r="V219" i="7"/>
  <c r="X220" i="7" s="1"/>
  <c r="W219" i="7"/>
  <c r="U220" i="7"/>
  <c r="V220" i="7"/>
  <c r="W220" i="7"/>
  <c r="U221" i="7"/>
  <c r="V221" i="7"/>
  <c r="W221" i="7"/>
  <c r="U222" i="7"/>
  <c r="V222" i="7"/>
  <c r="W222" i="7"/>
  <c r="U223" i="7"/>
  <c r="V223" i="7"/>
  <c r="X224" i="7" s="1"/>
  <c r="W223" i="7"/>
  <c r="U224" i="7"/>
  <c r="V224" i="7"/>
  <c r="W224" i="7"/>
  <c r="U225" i="7"/>
  <c r="V225" i="7"/>
  <c r="W225" i="7"/>
  <c r="U226" i="7"/>
  <c r="V226" i="7"/>
  <c r="W226" i="7"/>
  <c r="U227" i="7"/>
  <c r="V227" i="7"/>
  <c r="X228" i="7" s="1"/>
  <c r="W227" i="7"/>
  <c r="U228" i="7"/>
  <c r="V228" i="7"/>
  <c r="W228" i="7"/>
  <c r="U229" i="7"/>
  <c r="V229" i="7"/>
  <c r="W229" i="7"/>
  <c r="U230" i="7"/>
  <c r="V230" i="7"/>
  <c r="W230" i="7"/>
  <c r="U231" i="7"/>
  <c r="V231" i="7"/>
  <c r="X232" i="7" s="1"/>
  <c r="W231" i="7"/>
  <c r="U232" i="7"/>
  <c r="V232" i="7"/>
  <c r="W232" i="7"/>
  <c r="U233" i="7"/>
  <c r="V233" i="7"/>
  <c r="W233" i="7"/>
  <c r="U234" i="7"/>
  <c r="V234" i="7"/>
  <c r="W234" i="7"/>
  <c r="U235" i="7"/>
  <c r="V235" i="7"/>
  <c r="X236" i="7" s="1"/>
  <c r="W235" i="7"/>
  <c r="U236" i="7"/>
  <c r="V236" i="7"/>
  <c r="W236" i="7"/>
  <c r="U237" i="7"/>
  <c r="V237" i="7"/>
  <c r="W237" i="7"/>
  <c r="U238" i="7"/>
  <c r="V238" i="7"/>
  <c r="W238" i="7"/>
  <c r="U239" i="7"/>
  <c r="V239" i="7"/>
  <c r="X240" i="7" s="1"/>
  <c r="W239" i="7"/>
  <c r="U240" i="7"/>
  <c r="V240" i="7"/>
  <c r="W240" i="7"/>
  <c r="U241" i="7"/>
  <c r="V241" i="7"/>
  <c r="W241" i="7"/>
  <c r="U242" i="7"/>
  <c r="V242" i="7"/>
  <c r="W242" i="7"/>
  <c r="U243" i="7"/>
  <c r="V243" i="7"/>
  <c r="X244" i="7" s="1"/>
  <c r="W243" i="7"/>
  <c r="U244" i="7"/>
  <c r="V244" i="7"/>
  <c r="W244" i="7"/>
  <c r="U245" i="7"/>
  <c r="V245" i="7"/>
  <c r="W245" i="7"/>
  <c r="U246" i="7"/>
  <c r="V246" i="7"/>
  <c r="W246" i="7"/>
  <c r="U247" i="7"/>
  <c r="V247" i="7"/>
  <c r="X248" i="7" s="1"/>
  <c r="W247" i="7"/>
  <c r="U248" i="7"/>
  <c r="V248" i="7"/>
  <c r="W248" i="7"/>
  <c r="U249" i="7"/>
  <c r="V249" i="7"/>
  <c r="W249" i="7"/>
  <c r="U250" i="7"/>
  <c r="V250" i="7"/>
  <c r="W250" i="7"/>
  <c r="U251" i="7"/>
  <c r="V251" i="7"/>
  <c r="X252" i="7" s="1"/>
  <c r="W251" i="7"/>
  <c r="U252" i="7"/>
  <c r="V252" i="7"/>
  <c r="W252" i="7"/>
  <c r="U253" i="7"/>
  <c r="V253" i="7"/>
  <c r="W253" i="7"/>
  <c r="U254" i="7"/>
  <c r="V254" i="7"/>
  <c r="W254" i="7"/>
  <c r="U255" i="7"/>
  <c r="V255" i="7"/>
  <c r="X256" i="7" s="1"/>
  <c r="W255" i="7"/>
  <c r="U256" i="7"/>
  <c r="V256" i="7"/>
  <c r="W256" i="7"/>
  <c r="U257" i="7"/>
  <c r="V257" i="7"/>
  <c r="W257" i="7"/>
  <c r="U258" i="7"/>
  <c r="V258" i="7"/>
  <c r="W258" i="7"/>
  <c r="U259" i="7"/>
  <c r="V259" i="7"/>
  <c r="X260" i="7" s="1"/>
  <c r="W259" i="7"/>
  <c r="U260" i="7"/>
  <c r="V260" i="7"/>
  <c r="W260" i="7"/>
  <c r="U261" i="7"/>
  <c r="V261" i="7"/>
  <c r="W261" i="7"/>
  <c r="U262" i="7"/>
  <c r="V262" i="7"/>
  <c r="W262" i="7"/>
  <c r="U263" i="7"/>
  <c r="V263" i="7"/>
  <c r="X264" i="7" s="1"/>
  <c r="W263" i="7"/>
  <c r="U264" i="7"/>
  <c r="V264" i="7"/>
  <c r="W264" i="7"/>
  <c r="U265" i="7"/>
  <c r="V265" i="7"/>
  <c r="W265" i="7"/>
  <c r="U266" i="7"/>
  <c r="V266" i="7"/>
  <c r="W266" i="7"/>
  <c r="U267" i="7"/>
  <c r="V267" i="7"/>
  <c r="X268" i="7" s="1"/>
  <c r="W267" i="7"/>
  <c r="U268" i="7"/>
  <c r="V268" i="7"/>
  <c r="W268" i="7"/>
  <c r="U269" i="7"/>
  <c r="V269" i="7"/>
  <c r="W269" i="7"/>
  <c r="U270" i="7"/>
  <c r="V270" i="7"/>
  <c r="W270" i="7"/>
  <c r="U271" i="7"/>
  <c r="V271" i="7"/>
  <c r="X272" i="7" s="1"/>
  <c r="W271" i="7"/>
  <c r="U272" i="7"/>
  <c r="V272" i="7"/>
  <c r="W272" i="7"/>
  <c r="U273" i="7"/>
  <c r="V273" i="7"/>
  <c r="W273" i="7"/>
  <c r="U274" i="7"/>
  <c r="V274" i="7"/>
  <c r="W274" i="7"/>
  <c r="U275" i="7"/>
  <c r="V275" i="7"/>
  <c r="X276" i="7" s="1"/>
  <c r="W275" i="7"/>
  <c r="U276" i="7"/>
  <c r="V276" i="7"/>
  <c r="W276" i="7"/>
  <c r="U277" i="7"/>
  <c r="V277" i="7"/>
  <c r="W277" i="7"/>
  <c r="U278" i="7"/>
  <c r="V278" i="7"/>
  <c r="W278" i="7"/>
  <c r="U279" i="7"/>
  <c r="V279" i="7"/>
  <c r="X280" i="7" s="1"/>
  <c r="W279" i="7"/>
  <c r="U280" i="7"/>
  <c r="V280" i="7"/>
  <c r="W280" i="7"/>
  <c r="U281" i="7"/>
  <c r="V281" i="7"/>
  <c r="W281" i="7"/>
  <c r="U282" i="7"/>
  <c r="V282" i="7"/>
  <c r="W282" i="7"/>
  <c r="U283" i="7"/>
  <c r="V283" i="7"/>
  <c r="X284" i="7" s="1"/>
  <c r="W283" i="7"/>
  <c r="U284" i="7"/>
  <c r="V284" i="7"/>
  <c r="W284" i="7"/>
  <c r="U285" i="7"/>
  <c r="V285" i="7"/>
  <c r="W285" i="7"/>
  <c r="U286" i="7"/>
  <c r="V286" i="7"/>
  <c r="W286" i="7"/>
  <c r="U287" i="7"/>
  <c r="V287" i="7"/>
  <c r="X288" i="7" s="1"/>
  <c r="W287" i="7"/>
  <c r="U288" i="7"/>
  <c r="V288" i="7"/>
  <c r="W288" i="7"/>
  <c r="U289" i="7"/>
  <c r="V289" i="7"/>
  <c r="W289" i="7"/>
  <c r="U290" i="7"/>
  <c r="V290" i="7"/>
  <c r="W290" i="7"/>
  <c r="U291" i="7"/>
  <c r="V291" i="7"/>
  <c r="X292" i="7" s="1"/>
  <c r="W291" i="7"/>
  <c r="U292" i="7"/>
  <c r="V292" i="7"/>
  <c r="W292" i="7"/>
  <c r="U293" i="7"/>
  <c r="V293" i="7"/>
  <c r="W293" i="7"/>
  <c r="U294" i="7"/>
  <c r="V294" i="7"/>
  <c r="W294" i="7"/>
  <c r="U295" i="7"/>
  <c r="V295" i="7"/>
  <c r="X296" i="7" s="1"/>
  <c r="W295" i="7"/>
  <c r="U296" i="7"/>
  <c r="V296" i="7"/>
  <c r="W296" i="7"/>
  <c r="U297" i="7"/>
  <c r="V297" i="7"/>
  <c r="W297" i="7"/>
  <c r="U298" i="7"/>
  <c r="V298" i="7"/>
  <c r="W298" i="7"/>
  <c r="U299" i="7"/>
  <c r="V299" i="7"/>
  <c r="X300" i="7" s="1"/>
  <c r="W299" i="7"/>
  <c r="U300" i="7"/>
  <c r="V300" i="7"/>
  <c r="W300" i="7"/>
  <c r="U301" i="7"/>
  <c r="V301" i="7"/>
  <c r="W301" i="7"/>
  <c r="U302" i="7"/>
  <c r="V302" i="7"/>
  <c r="W302" i="7"/>
  <c r="U303" i="7"/>
  <c r="V303" i="7"/>
  <c r="X304" i="7" s="1"/>
  <c r="W303" i="7"/>
  <c r="U304" i="7"/>
  <c r="V304" i="7"/>
  <c r="W304" i="7"/>
  <c r="U305" i="7"/>
  <c r="V305" i="7"/>
  <c r="W305" i="7"/>
  <c r="U306" i="7"/>
  <c r="V306" i="7"/>
  <c r="W306" i="7"/>
  <c r="U307" i="7"/>
  <c r="V307" i="7"/>
  <c r="X308" i="7" s="1"/>
  <c r="W307" i="7"/>
  <c r="U308" i="7"/>
  <c r="V308" i="7"/>
  <c r="W308" i="7"/>
  <c r="U309" i="7"/>
  <c r="V309" i="7"/>
  <c r="W309" i="7"/>
  <c r="U310" i="7"/>
  <c r="V310" i="7"/>
  <c r="W310" i="7"/>
  <c r="U311" i="7"/>
  <c r="V311" i="7"/>
  <c r="X312" i="7" s="1"/>
  <c r="W311" i="7"/>
  <c r="U312" i="7"/>
  <c r="V312" i="7"/>
  <c r="W312" i="7"/>
  <c r="U313" i="7"/>
  <c r="V313" i="7"/>
  <c r="W313" i="7"/>
  <c r="U314" i="7"/>
  <c r="V314" i="7"/>
  <c r="W314" i="7"/>
  <c r="U315" i="7"/>
  <c r="V315" i="7"/>
  <c r="X316" i="7" s="1"/>
  <c r="W315" i="7"/>
  <c r="U316" i="7"/>
  <c r="V316" i="7"/>
  <c r="W316" i="7"/>
  <c r="U317" i="7"/>
  <c r="V317" i="7"/>
  <c r="W317" i="7"/>
  <c r="U318" i="7"/>
  <c r="V318" i="7"/>
  <c r="W318" i="7"/>
  <c r="U319" i="7"/>
  <c r="V319" i="7"/>
  <c r="X320" i="7" s="1"/>
  <c r="W319" i="7"/>
  <c r="U320" i="7"/>
  <c r="V320" i="7"/>
  <c r="W320" i="7"/>
  <c r="U321" i="7"/>
  <c r="V321" i="7"/>
  <c r="W321" i="7"/>
  <c r="U322" i="7"/>
  <c r="V322" i="7"/>
  <c r="W322" i="7"/>
  <c r="U323" i="7"/>
  <c r="V323" i="7"/>
  <c r="X324" i="7" s="1"/>
  <c r="W323" i="7"/>
  <c r="U324" i="7"/>
  <c r="V324" i="7"/>
  <c r="W324" i="7"/>
  <c r="U325" i="7"/>
  <c r="V325" i="7"/>
  <c r="W325" i="7"/>
  <c r="U326" i="7"/>
  <c r="V326" i="7"/>
  <c r="W326" i="7"/>
  <c r="U327" i="7"/>
  <c r="V327" i="7"/>
  <c r="X328" i="7" s="1"/>
  <c r="W327" i="7"/>
  <c r="U328" i="7"/>
  <c r="V328" i="7"/>
  <c r="W328" i="7"/>
  <c r="U329" i="7"/>
  <c r="V329" i="7"/>
  <c r="W329" i="7"/>
  <c r="U330" i="7"/>
  <c r="V330" i="7"/>
  <c r="W330" i="7"/>
  <c r="U331" i="7"/>
  <c r="V331" i="7"/>
  <c r="X332" i="7" s="1"/>
  <c r="W331" i="7"/>
  <c r="U332" i="7"/>
  <c r="V332" i="7"/>
  <c r="W332" i="7"/>
  <c r="U333" i="7"/>
  <c r="V333" i="7"/>
  <c r="W333" i="7"/>
  <c r="U334" i="7"/>
  <c r="V334" i="7"/>
  <c r="W334" i="7"/>
  <c r="U335" i="7"/>
  <c r="V335" i="7"/>
  <c r="X336" i="7" s="1"/>
  <c r="W335" i="7"/>
  <c r="U336" i="7"/>
  <c r="V336" i="7"/>
  <c r="W336" i="7"/>
  <c r="U337" i="7"/>
  <c r="V337" i="7"/>
  <c r="W337" i="7"/>
  <c r="U338" i="7"/>
  <c r="V338" i="7"/>
  <c r="W338" i="7"/>
  <c r="U339" i="7"/>
  <c r="V339" i="7"/>
  <c r="X340" i="7" s="1"/>
  <c r="W339" i="7"/>
  <c r="U340" i="7"/>
  <c r="V340" i="7"/>
  <c r="W340" i="7"/>
  <c r="U341" i="7"/>
  <c r="V341" i="7"/>
  <c r="W341" i="7"/>
  <c r="U342" i="7"/>
  <c r="V342" i="7"/>
  <c r="W342" i="7"/>
  <c r="U343" i="7"/>
  <c r="V343" i="7"/>
  <c r="X344" i="7" s="1"/>
  <c r="W343" i="7"/>
  <c r="U344" i="7"/>
  <c r="V344" i="7"/>
  <c r="W344" i="7"/>
  <c r="U345" i="7"/>
  <c r="V345" i="7"/>
  <c r="W345" i="7"/>
  <c r="U346" i="7"/>
  <c r="V346" i="7"/>
  <c r="W346" i="7"/>
  <c r="U347" i="7"/>
  <c r="V347" i="7"/>
  <c r="X348" i="7" s="1"/>
  <c r="W347" i="7"/>
  <c r="U348" i="7"/>
  <c r="V348" i="7"/>
  <c r="W348" i="7"/>
  <c r="U349" i="7"/>
  <c r="V349" i="7"/>
  <c r="W349" i="7"/>
  <c r="U350" i="7"/>
  <c r="V350" i="7"/>
  <c r="W350" i="7"/>
  <c r="U351" i="7"/>
  <c r="V351" i="7"/>
  <c r="X352" i="7" s="1"/>
  <c r="W351" i="7"/>
  <c r="U352" i="7"/>
  <c r="V352" i="7"/>
  <c r="W352" i="7"/>
  <c r="U353" i="7"/>
  <c r="V353" i="7"/>
  <c r="W353" i="7"/>
  <c r="U354" i="7"/>
  <c r="V354" i="7"/>
  <c r="W354" i="7"/>
  <c r="U355" i="7"/>
  <c r="V355" i="7"/>
  <c r="X356" i="7" s="1"/>
  <c r="W355" i="7"/>
  <c r="U356" i="7"/>
  <c r="V356" i="7"/>
  <c r="W356" i="7"/>
  <c r="U357" i="7"/>
  <c r="V357" i="7"/>
  <c r="W357" i="7"/>
  <c r="U358" i="7"/>
  <c r="V358" i="7"/>
  <c r="W358" i="7"/>
  <c r="U359" i="7"/>
  <c r="V359" i="7"/>
  <c r="X360" i="7" s="1"/>
  <c r="W359" i="7"/>
  <c r="U360" i="7"/>
  <c r="V360" i="7"/>
  <c r="W360" i="7"/>
  <c r="U361" i="7"/>
  <c r="V361" i="7"/>
  <c r="W361" i="7"/>
  <c r="U362" i="7"/>
  <c r="V362" i="7"/>
  <c r="W362" i="7"/>
  <c r="U363" i="7"/>
  <c r="V363" i="7"/>
  <c r="X364" i="7" s="1"/>
  <c r="W363" i="7"/>
  <c r="U364" i="7"/>
  <c r="V364" i="7"/>
  <c r="W364" i="7"/>
  <c r="U365" i="7"/>
  <c r="V365" i="7"/>
  <c r="W365" i="7"/>
  <c r="U366" i="7"/>
  <c r="V366" i="7"/>
  <c r="W366" i="7"/>
  <c r="U367" i="7"/>
  <c r="V367" i="7"/>
  <c r="X368" i="7" s="1"/>
  <c r="W367" i="7"/>
  <c r="U368" i="7"/>
  <c r="V368" i="7"/>
  <c r="W368" i="7"/>
  <c r="U369" i="7"/>
  <c r="V369" i="7"/>
  <c r="W369" i="7"/>
  <c r="U370" i="7"/>
  <c r="V370" i="7"/>
  <c r="W370" i="7"/>
  <c r="U371" i="7"/>
  <c r="V371" i="7"/>
  <c r="X372" i="7" s="1"/>
  <c r="W371" i="7"/>
  <c r="U372" i="7"/>
  <c r="V372" i="7"/>
  <c r="W372" i="7"/>
  <c r="U373" i="7"/>
  <c r="V373" i="7"/>
  <c r="W373" i="7"/>
  <c r="U374" i="7"/>
  <c r="V374" i="7"/>
  <c r="W374" i="7"/>
  <c r="U375" i="7"/>
  <c r="V375" i="7"/>
  <c r="X376" i="7" s="1"/>
  <c r="W375" i="7"/>
  <c r="U376" i="7"/>
  <c r="V376" i="7"/>
  <c r="W376" i="7"/>
  <c r="U377" i="7"/>
  <c r="V377" i="7"/>
  <c r="W377" i="7"/>
  <c r="U378" i="7"/>
  <c r="V378" i="7"/>
  <c r="W378" i="7"/>
  <c r="U379" i="7"/>
  <c r="V379" i="7"/>
  <c r="X380" i="7" s="1"/>
  <c r="W379" i="7"/>
  <c r="U380" i="7"/>
  <c r="V380" i="7"/>
  <c r="W380" i="7"/>
  <c r="U381" i="7"/>
  <c r="V381" i="7"/>
  <c r="W381" i="7"/>
  <c r="U382" i="7"/>
  <c r="V382" i="7"/>
  <c r="W382" i="7"/>
  <c r="U383" i="7"/>
  <c r="V383" i="7"/>
  <c r="X384" i="7" s="1"/>
  <c r="W383" i="7"/>
  <c r="U384" i="7"/>
  <c r="V384" i="7"/>
  <c r="W384" i="7"/>
  <c r="U385" i="7"/>
  <c r="V385" i="7"/>
  <c r="W385" i="7"/>
  <c r="U386" i="7"/>
  <c r="V386" i="7"/>
  <c r="W386" i="7"/>
  <c r="U387" i="7"/>
  <c r="V387" i="7"/>
  <c r="X388" i="7" s="1"/>
  <c r="W387" i="7"/>
  <c r="U388" i="7"/>
  <c r="V388" i="7"/>
  <c r="W388" i="7"/>
  <c r="U389" i="7"/>
  <c r="V389" i="7"/>
  <c r="W389" i="7"/>
  <c r="U390" i="7"/>
  <c r="V390" i="7"/>
  <c r="W390" i="7"/>
  <c r="U391" i="7"/>
  <c r="V391" i="7"/>
  <c r="X392" i="7" s="1"/>
  <c r="W391" i="7"/>
  <c r="U392" i="7"/>
  <c r="V392" i="7"/>
  <c r="W392" i="7"/>
  <c r="U393" i="7"/>
  <c r="V393" i="7"/>
  <c r="W393" i="7"/>
  <c r="U394" i="7"/>
  <c r="V394" i="7"/>
  <c r="W394" i="7"/>
  <c r="U395" i="7"/>
  <c r="V395" i="7"/>
  <c r="X396" i="7" s="1"/>
  <c r="W395" i="7"/>
  <c r="U396" i="7"/>
  <c r="V396" i="7"/>
  <c r="W396" i="7"/>
  <c r="U397" i="7"/>
  <c r="V397" i="7"/>
  <c r="W397" i="7"/>
  <c r="U398" i="7"/>
  <c r="V398" i="7"/>
  <c r="W398" i="7"/>
  <c r="U399" i="7"/>
  <c r="V399" i="7"/>
  <c r="X400" i="7" s="1"/>
  <c r="W399" i="7"/>
  <c r="U400" i="7"/>
  <c r="V400" i="7"/>
  <c r="W400" i="7"/>
  <c r="U401" i="7"/>
  <c r="V401" i="7"/>
  <c r="W401" i="7"/>
  <c r="U402" i="7"/>
  <c r="V402" i="7"/>
  <c r="W402" i="7"/>
  <c r="U403" i="7"/>
  <c r="V403" i="7"/>
  <c r="X404" i="7" s="1"/>
  <c r="W403" i="7"/>
  <c r="U404" i="7"/>
  <c r="V404" i="7"/>
  <c r="W404" i="7"/>
  <c r="U405" i="7"/>
  <c r="V405" i="7"/>
  <c r="W405" i="7"/>
  <c r="U406" i="7"/>
  <c r="V406" i="7"/>
  <c r="W406" i="7"/>
  <c r="U407" i="7"/>
  <c r="V407" i="7"/>
  <c r="X408" i="7" s="1"/>
  <c r="W407" i="7"/>
  <c r="U408" i="7"/>
  <c r="V408" i="7"/>
  <c r="W408" i="7"/>
  <c r="U409" i="7"/>
  <c r="V409" i="7"/>
  <c r="W409" i="7"/>
  <c r="U410" i="7"/>
  <c r="V410" i="7"/>
  <c r="W410" i="7"/>
  <c r="U411" i="7"/>
  <c r="V411" i="7"/>
  <c r="X412" i="7" s="1"/>
  <c r="W411" i="7"/>
  <c r="U412" i="7"/>
  <c r="V412" i="7"/>
  <c r="W412" i="7"/>
  <c r="U413" i="7"/>
  <c r="V413" i="7"/>
  <c r="W413" i="7"/>
  <c r="U414" i="7"/>
  <c r="V414" i="7"/>
  <c r="W414" i="7"/>
  <c r="U415" i="7"/>
  <c r="V415" i="7"/>
  <c r="X416" i="7" s="1"/>
  <c r="W415" i="7"/>
  <c r="U416" i="7"/>
  <c r="V416" i="7"/>
  <c r="W416" i="7"/>
  <c r="U417" i="7"/>
  <c r="V417" i="7"/>
  <c r="W417" i="7"/>
  <c r="U418" i="7"/>
  <c r="V418" i="7"/>
  <c r="W418" i="7"/>
  <c r="U419" i="7"/>
  <c r="V419" i="7"/>
  <c r="X420" i="7" s="1"/>
  <c r="W419" i="7"/>
  <c r="U420" i="7"/>
  <c r="V420" i="7"/>
  <c r="W420" i="7"/>
  <c r="U421" i="7"/>
  <c r="V421" i="7"/>
  <c r="W421" i="7"/>
  <c r="U422" i="7"/>
  <c r="V422" i="7"/>
  <c r="W422" i="7"/>
  <c r="U423" i="7"/>
  <c r="V423" i="7"/>
  <c r="X424" i="7" s="1"/>
  <c r="W423" i="7"/>
  <c r="U424" i="7"/>
  <c r="V424" i="7"/>
  <c r="W424" i="7"/>
  <c r="U425" i="7"/>
  <c r="V425" i="7"/>
  <c r="W425" i="7"/>
  <c r="U426" i="7"/>
  <c r="V426" i="7"/>
  <c r="W426" i="7"/>
  <c r="U427" i="7"/>
  <c r="V427" i="7"/>
  <c r="X428" i="7" s="1"/>
  <c r="W427" i="7"/>
  <c r="U428" i="7"/>
  <c r="V428" i="7"/>
  <c r="W428" i="7"/>
  <c r="U429" i="7"/>
  <c r="V429" i="7"/>
  <c r="W429" i="7"/>
  <c r="U430" i="7"/>
  <c r="V430" i="7"/>
  <c r="W430" i="7"/>
  <c r="U431" i="7"/>
  <c r="V431" i="7"/>
  <c r="X432" i="7" s="1"/>
  <c r="W431" i="7"/>
  <c r="U432" i="7"/>
  <c r="V432" i="7"/>
  <c r="W432" i="7"/>
  <c r="U433" i="7"/>
  <c r="V433" i="7"/>
  <c r="W433" i="7"/>
  <c r="U434" i="7"/>
  <c r="V434" i="7"/>
  <c r="W434" i="7"/>
  <c r="U435" i="7"/>
  <c r="V435" i="7"/>
  <c r="X436" i="7" s="1"/>
  <c r="W435" i="7"/>
  <c r="U436" i="7"/>
  <c r="V436" i="7"/>
  <c r="W436" i="7"/>
  <c r="U437" i="7"/>
  <c r="V437" i="7"/>
  <c r="W437" i="7"/>
  <c r="U438" i="7"/>
  <c r="V438" i="7"/>
  <c r="W438" i="7"/>
  <c r="U439" i="7"/>
  <c r="V439" i="7"/>
  <c r="X440" i="7" s="1"/>
  <c r="W439" i="7"/>
  <c r="U440" i="7"/>
  <c r="V440" i="7"/>
  <c r="W440" i="7"/>
  <c r="U441" i="7"/>
  <c r="V441" i="7"/>
  <c r="W441" i="7"/>
  <c r="U442" i="7"/>
  <c r="V442" i="7"/>
  <c r="W442" i="7"/>
  <c r="U443" i="7"/>
  <c r="V443" i="7"/>
  <c r="X444" i="7" s="1"/>
  <c r="W443" i="7"/>
  <c r="U444" i="7"/>
  <c r="V444" i="7"/>
  <c r="W444" i="7"/>
  <c r="U445" i="7"/>
  <c r="V445" i="7"/>
  <c r="W445" i="7"/>
  <c r="U446" i="7"/>
  <c r="V446" i="7"/>
  <c r="W446" i="7"/>
  <c r="U447" i="7"/>
  <c r="V447" i="7"/>
  <c r="X448" i="7" s="1"/>
  <c r="W447" i="7"/>
  <c r="U448" i="7"/>
  <c r="V448" i="7"/>
  <c r="W448" i="7"/>
  <c r="U449" i="7"/>
  <c r="V449" i="7"/>
  <c r="W449" i="7"/>
  <c r="U450" i="7"/>
  <c r="V450" i="7"/>
  <c r="W450" i="7"/>
  <c r="U451" i="7"/>
  <c r="V451" i="7"/>
  <c r="X452" i="7" s="1"/>
  <c r="W451" i="7"/>
  <c r="U452" i="7"/>
  <c r="V452" i="7"/>
  <c r="W452" i="7"/>
  <c r="W2" i="7"/>
  <c r="W2" i="6"/>
  <c r="V2" i="7"/>
  <c r="X3" i="7" s="1"/>
  <c r="Y3" i="7" s="1"/>
  <c r="V2" i="6"/>
  <c r="X3" i="6" s="1"/>
  <c r="Y3" i="6" s="1"/>
  <c r="U2" i="7"/>
  <c r="U2" i="6"/>
  <c r="U3" i="5"/>
  <c r="V3" i="5"/>
  <c r="X4" i="5" s="1"/>
  <c r="W3" i="5"/>
  <c r="U4" i="5"/>
  <c r="V4" i="5"/>
  <c r="W4" i="5"/>
  <c r="U5" i="5"/>
  <c r="V5" i="5"/>
  <c r="W5" i="5"/>
  <c r="U6" i="5"/>
  <c r="V6" i="5"/>
  <c r="W6" i="5"/>
  <c r="U7" i="5"/>
  <c r="V7" i="5"/>
  <c r="W7" i="5"/>
  <c r="U8" i="5"/>
  <c r="V8" i="5"/>
  <c r="W8" i="5"/>
  <c r="U9" i="5"/>
  <c r="V9" i="5"/>
  <c r="W9" i="5"/>
  <c r="U10" i="5"/>
  <c r="V10" i="5"/>
  <c r="W10" i="5"/>
  <c r="U11" i="5"/>
  <c r="V11" i="5"/>
  <c r="X12" i="5" s="1"/>
  <c r="W11" i="5"/>
  <c r="U12" i="5"/>
  <c r="V12" i="5"/>
  <c r="W12" i="5"/>
  <c r="U13" i="5"/>
  <c r="V13" i="5"/>
  <c r="W13" i="5"/>
  <c r="U14" i="5"/>
  <c r="V14" i="5"/>
  <c r="W14" i="5"/>
  <c r="U15" i="5"/>
  <c r="V15" i="5"/>
  <c r="X16" i="5" s="1"/>
  <c r="W15" i="5"/>
  <c r="U16" i="5"/>
  <c r="V16" i="5"/>
  <c r="W16" i="5"/>
  <c r="U17" i="5"/>
  <c r="V17" i="5"/>
  <c r="W17" i="5"/>
  <c r="U18" i="5"/>
  <c r="V18" i="5"/>
  <c r="W18" i="5"/>
  <c r="U19" i="5"/>
  <c r="V19" i="5"/>
  <c r="X20" i="5" s="1"/>
  <c r="W19" i="5"/>
  <c r="U20" i="5"/>
  <c r="V20" i="5"/>
  <c r="W20" i="5"/>
  <c r="U21" i="5"/>
  <c r="V21" i="5"/>
  <c r="W21" i="5"/>
  <c r="U22" i="5"/>
  <c r="V22" i="5"/>
  <c r="W22" i="5"/>
  <c r="U23" i="5"/>
  <c r="V23" i="5"/>
  <c r="X24" i="5" s="1"/>
  <c r="W23" i="5"/>
  <c r="U24" i="5"/>
  <c r="V24" i="5"/>
  <c r="W24" i="5"/>
  <c r="U25" i="5"/>
  <c r="V25" i="5"/>
  <c r="W25" i="5"/>
  <c r="U26" i="5"/>
  <c r="V26" i="5"/>
  <c r="W26" i="5"/>
  <c r="U27" i="5"/>
  <c r="V27" i="5"/>
  <c r="X28" i="5" s="1"/>
  <c r="W27" i="5"/>
  <c r="U28" i="5"/>
  <c r="V28" i="5"/>
  <c r="W28" i="5"/>
  <c r="U29" i="5"/>
  <c r="V29" i="5"/>
  <c r="W29" i="5"/>
  <c r="U30" i="5"/>
  <c r="V30" i="5"/>
  <c r="W30" i="5"/>
  <c r="U31" i="5"/>
  <c r="V31" i="5"/>
  <c r="X32" i="5" s="1"/>
  <c r="W31" i="5"/>
  <c r="U32" i="5"/>
  <c r="V32" i="5"/>
  <c r="W32" i="5"/>
  <c r="U33" i="5"/>
  <c r="V33" i="5"/>
  <c r="W33" i="5"/>
  <c r="U34" i="5"/>
  <c r="V34" i="5"/>
  <c r="W34" i="5"/>
  <c r="U35" i="5"/>
  <c r="V35" i="5"/>
  <c r="X36" i="5" s="1"/>
  <c r="W35" i="5"/>
  <c r="U36" i="5"/>
  <c r="V36" i="5"/>
  <c r="W36" i="5"/>
  <c r="U37" i="5"/>
  <c r="V37" i="5"/>
  <c r="W37" i="5"/>
  <c r="U38" i="5"/>
  <c r="V38" i="5"/>
  <c r="W38" i="5"/>
  <c r="U39" i="5"/>
  <c r="V39" i="5"/>
  <c r="X40" i="5" s="1"/>
  <c r="W39" i="5"/>
  <c r="U40" i="5"/>
  <c r="V40" i="5"/>
  <c r="W40" i="5"/>
  <c r="U41" i="5"/>
  <c r="V41" i="5"/>
  <c r="W41" i="5"/>
  <c r="U42" i="5"/>
  <c r="V42" i="5"/>
  <c r="W42" i="5"/>
  <c r="U43" i="5"/>
  <c r="V43" i="5"/>
  <c r="X44" i="5" s="1"/>
  <c r="W43" i="5"/>
  <c r="U44" i="5"/>
  <c r="V44" i="5"/>
  <c r="W44" i="5"/>
  <c r="U45" i="5"/>
  <c r="V45" i="5"/>
  <c r="W45" i="5"/>
  <c r="U46" i="5"/>
  <c r="V46" i="5"/>
  <c r="W46" i="5"/>
  <c r="U47" i="5"/>
  <c r="V47" i="5"/>
  <c r="X48" i="5" s="1"/>
  <c r="W47" i="5"/>
  <c r="U48" i="5"/>
  <c r="V48" i="5"/>
  <c r="W48" i="5"/>
  <c r="U49" i="5"/>
  <c r="V49" i="5"/>
  <c r="W49" i="5"/>
  <c r="U50" i="5"/>
  <c r="V50" i="5"/>
  <c r="W50" i="5"/>
  <c r="U51" i="5"/>
  <c r="V51" i="5"/>
  <c r="X52" i="5" s="1"/>
  <c r="W51" i="5"/>
  <c r="U52" i="5"/>
  <c r="V52" i="5"/>
  <c r="W52" i="5"/>
  <c r="U53" i="5"/>
  <c r="V53" i="5"/>
  <c r="W53" i="5"/>
  <c r="U54" i="5"/>
  <c r="V54" i="5"/>
  <c r="W54" i="5"/>
  <c r="U55" i="5"/>
  <c r="V55" i="5"/>
  <c r="X56" i="5" s="1"/>
  <c r="W55" i="5"/>
  <c r="U56" i="5"/>
  <c r="V56" i="5"/>
  <c r="W56" i="5"/>
  <c r="U57" i="5"/>
  <c r="V57" i="5"/>
  <c r="W57" i="5"/>
  <c r="U58" i="5"/>
  <c r="V58" i="5"/>
  <c r="W58" i="5"/>
  <c r="U59" i="5"/>
  <c r="V59" i="5"/>
  <c r="X60" i="5" s="1"/>
  <c r="W59" i="5"/>
  <c r="U60" i="5"/>
  <c r="V60" i="5"/>
  <c r="W60" i="5"/>
  <c r="U61" i="5"/>
  <c r="V61" i="5"/>
  <c r="W61" i="5"/>
  <c r="U62" i="5"/>
  <c r="V62" i="5"/>
  <c r="W62" i="5"/>
  <c r="U63" i="5"/>
  <c r="V63" i="5"/>
  <c r="X64" i="5" s="1"/>
  <c r="W63" i="5"/>
  <c r="U64" i="5"/>
  <c r="V64" i="5"/>
  <c r="W64" i="5"/>
  <c r="U65" i="5"/>
  <c r="V65" i="5"/>
  <c r="W65" i="5"/>
  <c r="U66" i="5"/>
  <c r="V66" i="5"/>
  <c r="W66" i="5"/>
  <c r="U67" i="5"/>
  <c r="V67" i="5"/>
  <c r="X68" i="5" s="1"/>
  <c r="W67" i="5"/>
  <c r="U68" i="5"/>
  <c r="V68" i="5"/>
  <c r="W68" i="5"/>
  <c r="U69" i="5"/>
  <c r="V69" i="5"/>
  <c r="W69" i="5"/>
  <c r="U70" i="5"/>
  <c r="V70" i="5"/>
  <c r="W70" i="5"/>
  <c r="U71" i="5"/>
  <c r="V71" i="5"/>
  <c r="X72" i="5" s="1"/>
  <c r="W71" i="5"/>
  <c r="U72" i="5"/>
  <c r="V72" i="5"/>
  <c r="W72" i="5"/>
  <c r="U73" i="5"/>
  <c r="V73" i="5"/>
  <c r="W73" i="5"/>
  <c r="U74" i="5"/>
  <c r="V74" i="5"/>
  <c r="W74" i="5"/>
  <c r="U75" i="5"/>
  <c r="V75" i="5"/>
  <c r="X76" i="5" s="1"/>
  <c r="W75" i="5"/>
  <c r="U76" i="5"/>
  <c r="V76" i="5"/>
  <c r="W76" i="5"/>
  <c r="U77" i="5"/>
  <c r="V77" i="5"/>
  <c r="W77" i="5"/>
  <c r="U78" i="5"/>
  <c r="V78" i="5"/>
  <c r="W78" i="5"/>
  <c r="U79" i="5"/>
  <c r="V79" i="5"/>
  <c r="X80" i="5" s="1"/>
  <c r="W79" i="5"/>
  <c r="U80" i="5"/>
  <c r="V80" i="5"/>
  <c r="W80" i="5"/>
  <c r="U81" i="5"/>
  <c r="V81" i="5"/>
  <c r="W81" i="5"/>
  <c r="U82" i="5"/>
  <c r="V82" i="5"/>
  <c r="W82" i="5"/>
  <c r="U83" i="5"/>
  <c r="V83" i="5"/>
  <c r="X84" i="5" s="1"/>
  <c r="W83" i="5"/>
  <c r="U84" i="5"/>
  <c r="V84" i="5"/>
  <c r="W84" i="5"/>
  <c r="U85" i="5"/>
  <c r="V85" i="5"/>
  <c r="W85" i="5"/>
  <c r="U86" i="5"/>
  <c r="V86" i="5"/>
  <c r="W86" i="5"/>
  <c r="U87" i="5"/>
  <c r="V87" i="5"/>
  <c r="X88" i="5" s="1"/>
  <c r="W87" i="5"/>
  <c r="U88" i="5"/>
  <c r="V88" i="5"/>
  <c r="W88" i="5"/>
  <c r="U89" i="5"/>
  <c r="V89" i="5"/>
  <c r="W89" i="5"/>
  <c r="U90" i="5"/>
  <c r="V90" i="5"/>
  <c r="W90" i="5"/>
  <c r="U91" i="5"/>
  <c r="V91" i="5"/>
  <c r="X92" i="5" s="1"/>
  <c r="W91" i="5"/>
  <c r="U92" i="5"/>
  <c r="V92" i="5"/>
  <c r="W92" i="5"/>
  <c r="U93" i="5"/>
  <c r="V93" i="5"/>
  <c r="W93" i="5"/>
  <c r="U94" i="5"/>
  <c r="V94" i="5"/>
  <c r="W94" i="5"/>
  <c r="U95" i="5"/>
  <c r="V95" i="5"/>
  <c r="X96" i="5" s="1"/>
  <c r="W95" i="5"/>
  <c r="U96" i="5"/>
  <c r="V96" i="5"/>
  <c r="W96" i="5"/>
  <c r="U97" i="5"/>
  <c r="V97" i="5"/>
  <c r="W97" i="5"/>
  <c r="U98" i="5"/>
  <c r="V98" i="5"/>
  <c r="W98" i="5"/>
  <c r="U99" i="5"/>
  <c r="V99" i="5"/>
  <c r="X100" i="5" s="1"/>
  <c r="W99" i="5"/>
  <c r="U100" i="5"/>
  <c r="V100" i="5"/>
  <c r="W100" i="5"/>
  <c r="U101" i="5"/>
  <c r="V101" i="5"/>
  <c r="W101" i="5"/>
  <c r="U102" i="5"/>
  <c r="V102" i="5"/>
  <c r="W102" i="5"/>
  <c r="U103" i="5"/>
  <c r="V103" i="5"/>
  <c r="X104" i="5" s="1"/>
  <c r="W103" i="5"/>
  <c r="U104" i="5"/>
  <c r="V104" i="5"/>
  <c r="W104" i="5"/>
  <c r="U105" i="5"/>
  <c r="V105" i="5"/>
  <c r="W105" i="5"/>
  <c r="U106" i="5"/>
  <c r="V106" i="5"/>
  <c r="W106" i="5"/>
  <c r="U107" i="5"/>
  <c r="V107" i="5"/>
  <c r="X108" i="5" s="1"/>
  <c r="W107" i="5"/>
  <c r="U108" i="5"/>
  <c r="V108" i="5"/>
  <c r="W108" i="5"/>
  <c r="U109" i="5"/>
  <c r="V109" i="5"/>
  <c r="W109" i="5"/>
  <c r="U110" i="5"/>
  <c r="V110" i="5"/>
  <c r="W110" i="5"/>
  <c r="U111" i="5"/>
  <c r="V111" i="5"/>
  <c r="X112" i="5" s="1"/>
  <c r="W111" i="5"/>
  <c r="U112" i="5"/>
  <c r="V112" i="5"/>
  <c r="W112" i="5"/>
  <c r="U113" i="5"/>
  <c r="V113" i="5"/>
  <c r="W113" i="5"/>
  <c r="U114" i="5"/>
  <c r="V114" i="5"/>
  <c r="W114" i="5"/>
  <c r="U115" i="5"/>
  <c r="V115" i="5"/>
  <c r="X116" i="5" s="1"/>
  <c r="W115" i="5"/>
  <c r="U116" i="5"/>
  <c r="V116" i="5"/>
  <c r="W116" i="5"/>
  <c r="U117" i="5"/>
  <c r="V117" i="5"/>
  <c r="W117" i="5"/>
  <c r="U118" i="5"/>
  <c r="V118" i="5"/>
  <c r="W118" i="5"/>
  <c r="U119" i="5"/>
  <c r="V119" i="5"/>
  <c r="X120" i="5" s="1"/>
  <c r="W119" i="5"/>
  <c r="U120" i="5"/>
  <c r="V120" i="5"/>
  <c r="W120" i="5"/>
  <c r="U121" i="5"/>
  <c r="V121" i="5"/>
  <c r="W121" i="5"/>
  <c r="U122" i="5"/>
  <c r="V122" i="5"/>
  <c r="W122" i="5"/>
  <c r="U123" i="5"/>
  <c r="V123" i="5"/>
  <c r="X124" i="5" s="1"/>
  <c r="W123" i="5"/>
  <c r="U124" i="5"/>
  <c r="V124" i="5"/>
  <c r="W124" i="5"/>
  <c r="U125" i="5"/>
  <c r="V125" i="5"/>
  <c r="W125" i="5"/>
  <c r="U126" i="5"/>
  <c r="V126" i="5"/>
  <c r="W126" i="5"/>
  <c r="U127" i="5"/>
  <c r="V127" i="5"/>
  <c r="X128" i="5" s="1"/>
  <c r="W127" i="5"/>
  <c r="U128" i="5"/>
  <c r="V128" i="5"/>
  <c r="W128" i="5"/>
  <c r="U129" i="5"/>
  <c r="V129" i="5"/>
  <c r="W129" i="5"/>
  <c r="U130" i="5"/>
  <c r="V130" i="5"/>
  <c r="W130" i="5"/>
  <c r="U131" i="5"/>
  <c r="V131" i="5"/>
  <c r="X132" i="5" s="1"/>
  <c r="W131" i="5"/>
  <c r="U132" i="5"/>
  <c r="V132" i="5"/>
  <c r="W132" i="5"/>
  <c r="U133" i="5"/>
  <c r="V133" i="5"/>
  <c r="W133" i="5"/>
  <c r="U134" i="5"/>
  <c r="V134" i="5"/>
  <c r="W134" i="5"/>
  <c r="U135" i="5"/>
  <c r="V135" i="5"/>
  <c r="X136" i="5" s="1"/>
  <c r="W135" i="5"/>
  <c r="U136" i="5"/>
  <c r="V136" i="5"/>
  <c r="W136" i="5"/>
  <c r="U137" i="5"/>
  <c r="V137" i="5"/>
  <c r="W137" i="5"/>
  <c r="U138" i="5"/>
  <c r="V138" i="5"/>
  <c r="W138" i="5"/>
  <c r="U139" i="5"/>
  <c r="V139" i="5"/>
  <c r="X140" i="5" s="1"/>
  <c r="W139" i="5"/>
  <c r="U140" i="5"/>
  <c r="V140" i="5"/>
  <c r="W140" i="5"/>
  <c r="U141" i="5"/>
  <c r="V141" i="5"/>
  <c r="W141" i="5"/>
  <c r="U142" i="5"/>
  <c r="V142" i="5"/>
  <c r="W142" i="5"/>
  <c r="U143" i="5"/>
  <c r="V143" i="5"/>
  <c r="X144" i="5" s="1"/>
  <c r="W143" i="5"/>
  <c r="U144" i="5"/>
  <c r="V144" i="5"/>
  <c r="W144" i="5"/>
  <c r="U145" i="5"/>
  <c r="V145" i="5"/>
  <c r="W145" i="5"/>
  <c r="U146" i="5"/>
  <c r="V146" i="5"/>
  <c r="W146" i="5"/>
  <c r="U147" i="5"/>
  <c r="V147" i="5"/>
  <c r="X148" i="5" s="1"/>
  <c r="W147" i="5"/>
  <c r="U148" i="5"/>
  <c r="V148" i="5"/>
  <c r="W148" i="5"/>
  <c r="U149" i="5"/>
  <c r="V149" i="5"/>
  <c r="W149" i="5"/>
  <c r="U150" i="5"/>
  <c r="V150" i="5"/>
  <c r="W150" i="5"/>
  <c r="U151" i="5"/>
  <c r="V151" i="5"/>
  <c r="X152" i="5" s="1"/>
  <c r="W151" i="5"/>
  <c r="U152" i="5"/>
  <c r="V152" i="5"/>
  <c r="W152" i="5"/>
  <c r="U153" i="5"/>
  <c r="V153" i="5"/>
  <c r="W153" i="5"/>
  <c r="U154" i="5"/>
  <c r="V154" i="5"/>
  <c r="W154" i="5"/>
  <c r="U155" i="5"/>
  <c r="V155" i="5"/>
  <c r="X156" i="5" s="1"/>
  <c r="W155" i="5"/>
  <c r="U156" i="5"/>
  <c r="V156" i="5"/>
  <c r="W156" i="5"/>
  <c r="U157" i="5"/>
  <c r="V157" i="5"/>
  <c r="W157" i="5"/>
  <c r="U158" i="5"/>
  <c r="V158" i="5"/>
  <c r="W158" i="5"/>
  <c r="U159" i="5"/>
  <c r="V159" i="5"/>
  <c r="X160" i="5" s="1"/>
  <c r="W159" i="5"/>
  <c r="U160" i="5"/>
  <c r="V160" i="5"/>
  <c r="W160" i="5"/>
  <c r="U161" i="5"/>
  <c r="V161" i="5"/>
  <c r="W161" i="5"/>
  <c r="U162" i="5"/>
  <c r="V162" i="5"/>
  <c r="W162" i="5"/>
  <c r="U163" i="5"/>
  <c r="V163" i="5"/>
  <c r="X164" i="5" s="1"/>
  <c r="W163" i="5"/>
  <c r="U164" i="5"/>
  <c r="V164" i="5"/>
  <c r="W164" i="5"/>
  <c r="U165" i="5"/>
  <c r="V165" i="5"/>
  <c r="W165" i="5"/>
  <c r="U166" i="5"/>
  <c r="V166" i="5"/>
  <c r="W166" i="5"/>
  <c r="U167" i="5"/>
  <c r="V167" i="5"/>
  <c r="X168" i="5" s="1"/>
  <c r="W167" i="5"/>
  <c r="U168" i="5"/>
  <c r="V168" i="5"/>
  <c r="W168" i="5"/>
  <c r="U169" i="5"/>
  <c r="V169" i="5"/>
  <c r="W169" i="5"/>
  <c r="U170" i="5"/>
  <c r="V170" i="5"/>
  <c r="W170" i="5"/>
  <c r="U171" i="5"/>
  <c r="V171" i="5"/>
  <c r="X172" i="5" s="1"/>
  <c r="W171" i="5"/>
  <c r="U172" i="5"/>
  <c r="V172" i="5"/>
  <c r="W172" i="5"/>
  <c r="U173" i="5"/>
  <c r="V173" i="5"/>
  <c r="W173" i="5"/>
  <c r="U174" i="5"/>
  <c r="V174" i="5"/>
  <c r="W174" i="5"/>
  <c r="U175" i="5"/>
  <c r="V175" i="5"/>
  <c r="X176" i="5" s="1"/>
  <c r="W175" i="5"/>
  <c r="U176" i="5"/>
  <c r="V176" i="5"/>
  <c r="W176" i="5"/>
  <c r="U177" i="5"/>
  <c r="V177" i="5"/>
  <c r="W177" i="5"/>
  <c r="U178" i="5"/>
  <c r="V178" i="5"/>
  <c r="W178" i="5"/>
  <c r="U179" i="5"/>
  <c r="V179" i="5"/>
  <c r="X180" i="5" s="1"/>
  <c r="W179" i="5"/>
  <c r="U180" i="5"/>
  <c r="V180" i="5"/>
  <c r="W180" i="5"/>
  <c r="U181" i="5"/>
  <c r="V181" i="5"/>
  <c r="W181" i="5"/>
  <c r="U182" i="5"/>
  <c r="V182" i="5"/>
  <c r="W182" i="5"/>
  <c r="U183" i="5"/>
  <c r="V183" i="5"/>
  <c r="X184" i="5" s="1"/>
  <c r="W183" i="5"/>
  <c r="U184" i="5"/>
  <c r="V184" i="5"/>
  <c r="W184" i="5"/>
  <c r="U185" i="5"/>
  <c r="V185" i="5"/>
  <c r="W185" i="5"/>
  <c r="U186" i="5"/>
  <c r="V186" i="5"/>
  <c r="W186" i="5"/>
  <c r="U187" i="5"/>
  <c r="V187" i="5"/>
  <c r="X188" i="5" s="1"/>
  <c r="W187" i="5"/>
  <c r="U188" i="5"/>
  <c r="V188" i="5"/>
  <c r="W188" i="5"/>
  <c r="U189" i="5"/>
  <c r="V189" i="5"/>
  <c r="W189" i="5"/>
  <c r="U190" i="5"/>
  <c r="V190" i="5"/>
  <c r="W190" i="5"/>
  <c r="U191" i="5"/>
  <c r="V191" i="5"/>
  <c r="X192" i="5" s="1"/>
  <c r="W191" i="5"/>
  <c r="U192" i="5"/>
  <c r="V192" i="5"/>
  <c r="W192" i="5"/>
  <c r="U193" i="5"/>
  <c r="V193" i="5"/>
  <c r="W193" i="5"/>
  <c r="U194" i="5"/>
  <c r="V194" i="5"/>
  <c r="W194" i="5"/>
  <c r="U195" i="5"/>
  <c r="V195" i="5"/>
  <c r="X196" i="5" s="1"/>
  <c r="W195" i="5"/>
  <c r="U196" i="5"/>
  <c r="V196" i="5"/>
  <c r="W196" i="5"/>
  <c r="U197" i="5"/>
  <c r="V197" i="5"/>
  <c r="W197" i="5"/>
  <c r="U198" i="5"/>
  <c r="V198" i="5"/>
  <c r="W198" i="5"/>
  <c r="U199" i="5"/>
  <c r="V199" i="5"/>
  <c r="X200" i="5" s="1"/>
  <c r="W199" i="5"/>
  <c r="U200" i="5"/>
  <c r="V200" i="5"/>
  <c r="W200" i="5"/>
  <c r="U201" i="5"/>
  <c r="V201" i="5"/>
  <c r="W201" i="5"/>
  <c r="U202" i="5"/>
  <c r="V202" i="5"/>
  <c r="W202" i="5"/>
  <c r="U203" i="5"/>
  <c r="V203" i="5"/>
  <c r="X204" i="5" s="1"/>
  <c r="W203" i="5"/>
  <c r="U204" i="5"/>
  <c r="V204" i="5"/>
  <c r="W204" i="5"/>
  <c r="U205" i="5"/>
  <c r="V205" i="5"/>
  <c r="W205" i="5"/>
  <c r="U206" i="5"/>
  <c r="V206" i="5"/>
  <c r="W206" i="5"/>
  <c r="U207" i="5"/>
  <c r="V207" i="5"/>
  <c r="X208" i="5" s="1"/>
  <c r="W207" i="5"/>
  <c r="U208" i="5"/>
  <c r="V208" i="5"/>
  <c r="W208" i="5"/>
  <c r="U209" i="5"/>
  <c r="V209" i="5"/>
  <c r="W209" i="5"/>
  <c r="U210" i="5"/>
  <c r="V210" i="5"/>
  <c r="W210" i="5"/>
  <c r="U211" i="5"/>
  <c r="V211" i="5"/>
  <c r="X212" i="5" s="1"/>
  <c r="W211" i="5"/>
  <c r="U212" i="5"/>
  <c r="V212" i="5"/>
  <c r="W212" i="5"/>
  <c r="U213" i="5"/>
  <c r="V213" i="5"/>
  <c r="W213" i="5"/>
  <c r="U214" i="5"/>
  <c r="V214" i="5"/>
  <c r="W214" i="5"/>
  <c r="U215" i="5"/>
  <c r="V215" i="5"/>
  <c r="X216" i="5" s="1"/>
  <c r="W215" i="5"/>
  <c r="U216" i="5"/>
  <c r="V216" i="5"/>
  <c r="W216" i="5"/>
  <c r="U217" i="5"/>
  <c r="V217" i="5"/>
  <c r="W217" i="5"/>
  <c r="U218" i="5"/>
  <c r="V218" i="5"/>
  <c r="W218" i="5"/>
  <c r="U219" i="5"/>
  <c r="V219" i="5"/>
  <c r="X220" i="5" s="1"/>
  <c r="W219" i="5"/>
  <c r="U220" i="5"/>
  <c r="V220" i="5"/>
  <c r="W220" i="5"/>
  <c r="U221" i="5"/>
  <c r="V221" i="5"/>
  <c r="W221" i="5"/>
  <c r="U222" i="5"/>
  <c r="V222" i="5"/>
  <c r="W222" i="5"/>
  <c r="U223" i="5"/>
  <c r="V223" i="5"/>
  <c r="X224" i="5" s="1"/>
  <c r="W223" i="5"/>
  <c r="U224" i="5"/>
  <c r="V224" i="5"/>
  <c r="W224" i="5"/>
  <c r="U225" i="5"/>
  <c r="V225" i="5"/>
  <c r="W225" i="5"/>
  <c r="U226" i="5"/>
  <c r="V226" i="5"/>
  <c r="W226" i="5"/>
  <c r="U227" i="5"/>
  <c r="V227" i="5"/>
  <c r="X228" i="5" s="1"/>
  <c r="W227" i="5"/>
  <c r="U228" i="5"/>
  <c r="V228" i="5"/>
  <c r="W228" i="5"/>
  <c r="U229" i="5"/>
  <c r="V229" i="5"/>
  <c r="W229" i="5"/>
  <c r="U230" i="5"/>
  <c r="V230" i="5"/>
  <c r="W230" i="5"/>
  <c r="U231" i="5"/>
  <c r="V231" i="5"/>
  <c r="X232" i="5" s="1"/>
  <c r="W231" i="5"/>
  <c r="U232" i="5"/>
  <c r="V232" i="5"/>
  <c r="W232" i="5"/>
  <c r="U233" i="5"/>
  <c r="V233" i="5"/>
  <c r="W233" i="5"/>
  <c r="U234" i="5"/>
  <c r="V234" i="5"/>
  <c r="W234" i="5"/>
  <c r="U235" i="5"/>
  <c r="V235" i="5"/>
  <c r="X236" i="5" s="1"/>
  <c r="W235" i="5"/>
  <c r="U236" i="5"/>
  <c r="V236" i="5"/>
  <c r="W236" i="5"/>
  <c r="U237" i="5"/>
  <c r="V237" i="5"/>
  <c r="W237" i="5"/>
  <c r="U238" i="5"/>
  <c r="V238" i="5"/>
  <c r="W238" i="5"/>
  <c r="U239" i="5"/>
  <c r="V239" i="5"/>
  <c r="X240" i="5" s="1"/>
  <c r="W239" i="5"/>
  <c r="U240" i="5"/>
  <c r="V240" i="5"/>
  <c r="W240" i="5"/>
  <c r="U241" i="5"/>
  <c r="V241" i="5"/>
  <c r="W241" i="5"/>
  <c r="U242" i="5"/>
  <c r="V242" i="5"/>
  <c r="W242" i="5"/>
  <c r="U243" i="5"/>
  <c r="V243" i="5"/>
  <c r="X244" i="5" s="1"/>
  <c r="W243" i="5"/>
  <c r="U244" i="5"/>
  <c r="V244" i="5"/>
  <c r="W244" i="5"/>
  <c r="U245" i="5"/>
  <c r="V245" i="5"/>
  <c r="W245" i="5"/>
  <c r="U246" i="5"/>
  <c r="V246" i="5"/>
  <c r="W246" i="5"/>
  <c r="U247" i="5"/>
  <c r="V247" i="5"/>
  <c r="X248" i="5" s="1"/>
  <c r="W247" i="5"/>
  <c r="U248" i="5"/>
  <c r="V248" i="5"/>
  <c r="W248" i="5"/>
  <c r="U249" i="5"/>
  <c r="V249" i="5"/>
  <c r="W249" i="5"/>
  <c r="U250" i="5"/>
  <c r="V250" i="5"/>
  <c r="W250" i="5"/>
  <c r="U251" i="5"/>
  <c r="V251" i="5"/>
  <c r="X252" i="5" s="1"/>
  <c r="W251" i="5"/>
  <c r="U252" i="5"/>
  <c r="V252" i="5"/>
  <c r="W252" i="5"/>
  <c r="U253" i="5"/>
  <c r="V253" i="5"/>
  <c r="W253" i="5"/>
  <c r="U254" i="5"/>
  <c r="V254" i="5"/>
  <c r="W254" i="5"/>
  <c r="U255" i="5"/>
  <c r="V255" i="5"/>
  <c r="X256" i="5" s="1"/>
  <c r="W255" i="5"/>
  <c r="U256" i="5"/>
  <c r="V256" i="5"/>
  <c r="W256" i="5"/>
  <c r="U257" i="5"/>
  <c r="V257" i="5"/>
  <c r="W257" i="5"/>
  <c r="U258" i="5"/>
  <c r="V258" i="5"/>
  <c r="W258" i="5"/>
  <c r="U259" i="5"/>
  <c r="V259" i="5"/>
  <c r="X260" i="5" s="1"/>
  <c r="W259" i="5"/>
  <c r="U260" i="5"/>
  <c r="V260" i="5"/>
  <c r="W260" i="5"/>
  <c r="U261" i="5"/>
  <c r="V261" i="5"/>
  <c r="W261" i="5"/>
  <c r="U262" i="5"/>
  <c r="V262" i="5"/>
  <c r="W262" i="5"/>
  <c r="U263" i="5"/>
  <c r="V263" i="5"/>
  <c r="X264" i="5" s="1"/>
  <c r="W263" i="5"/>
  <c r="U264" i="5"/>
  <c r="V264" i="5"/>
  <c r="W264" i="5"/>
  <c r="U265" i="5"/>
  <c r="V265" i="5"/>
  <c r="W265" i="5"/>
  <c r="U266" i="5"/>
  <c r="V266" i="5"/>
  <c r="W266" i="5"/>
  <c r="U267" i="5"/>
  <c r="V267" i="5"/>
  <c r="X268" i="5" s="1"/>
  <c r="W267" i="5"/>
  <c r="U268" i="5"/>
  <c r="V268" i="5"/>
  <c r="W268" i="5"/>
  <c r="U269" i="5"/>
  <c r="V269" i="5"/>
  <c r="W269" i="5"/>
  <c r="U270" i="5"/>
  <c r="V270" i="5"/>
  <c r="W270" i="5"/>
  <c r="U271" i="5"/>
  <c r="V271" i="5"/>
  <c r="X272" i="5" s="1"/>
  <c r="W271" i="5"/>
  <c r="U272" i="5"/>
  <c r="V272" i="5"/>
  <c r="W272" i="5"/>
  <c r="U273" i="5"/>
  <c r="V273" i="5"/>
  <c r="W273" i="5"/>
  <c r="U274" i="5"/>
  <c r="V274" i="5"/>
  <c r="W274" i="5"/>
  <c r="U275" i="5"/>
  <c r="V275" i="5"/>
  <c r="X276" i="5" s="1"/>
  <c r="W275" i="5"/>
  <c r="U276" i="5"/>
  <c r="V276" i="5"/>
  <c r="W276" i="5"/>
  <c r="U277" i="5"/>
  <c r="V277" i="5"/>
  <c r="W277" i="5"/>
  <c r="U278" i="5"/>
  <c r="V278" i="5"/>
  <c r="W278" i="5"/>
  <c r="U279" i="5"/>
  <c r="V279" i="5"/>
  <c r="X280" i="5" s="1"/>
  <c r="W279" i="5"/>
  <c r="U280" i="5"/>
  <c r="V280" i="5"/>
  <c r="W280" i="5"/>
  <c r="U281" i="5"/>
  <c r="V281" i="5"/>
  <c r="W281" i="5"/>
  <c r="U282" i="5"/>
  <c r="V282" i="5"/>
  <c r="W282" i="5"/>
  <c r="U283" i="5"/>
  <c r="V283" i="5"/>
  <c r="X284" i="5" s="1"/>
  <c r="W283" i="5"/>
  <c r="U284" i="5"/>
  <c r="V284" i="5"/>
  <c r="W284" i="5"/>
  <c r="U285" i="5"/>
  <c r="V285" i="5"/>
  <c r="W285" i="5"/>
  <c r="U286" i="5"/>
  <c r="V286" i="5"/>
  <c r="W286" i="5"/>
  <c r="U287" i="5"/>
  <c r="V287" i="5"/>
  <c r="X288" i="5" s="1"/>
  <c r="W287" i="5"/>
  <c r="U288" i="5"/>
  <c r="V288" i="5"/>
  <c r="W288" i="5"/>
  <c r="U289" i="5"/>
  <c r="V289" i="5"/>
  <c r="W289" i="5"/>
  <c r="U290" i="5"/>
  <c r="V290" i="5"/>
  <c r="W290" i="5"/>
  <c r="U291" i="5"/>
  <c r="V291" i="5"/>
  <c r="X292" i="5" s="1"/>
  <c r="W291" i="5"/>
  <c r="U292" i="5"/>
  <c r="V292" i="5"/>
  <c r="W292" i="5"/>
  <c r="U293" i="5"/>
  <c r="V293" i="5"/>
  <c r="W293" i="5"/>
  <c r="U294" i="5"/>
  <c r="V294" i="5"/>
  <c r="W294" i="5"/>
  <c r="U295" i="5"/>
  <c r="V295" i="5"/>
  <c r="X296" i="5" s="1"/>
  <c r="W295" i="5"/>
  <c r="U296" i="5"/>
  <c r="V296" i="5"/>
  <c r="W296" i="5"/>
  <c r="U297" i="5"/>
  <c r="V297" i="5"/>
  <c r="W297" i="5"/>
  <c r="U298" i="5"/>
  <c r="V298" i="5"/>
  <c r="W298" i="5"/>
  <c r="U299" i="5"/>
  <c r="V299" i="5"/>
  <c r="X300" i="5" s="1"/>
  <c r="W299" i="5"/>
  <c r="U300" i="5"/>
  <c r="V300" i="5"/>
  <c r="W300" i="5"/>
  <c r="U301" i="5"/>
  <c r="V301" i="5"/>
  <c r="W301" i="5"/>
  <c r="U302" i="5"/>
  <c r="V302" i="5"/>
  <c r="W302" i="5"/>
  <c r="U303" i="5"/>
  <c r="V303" i="5"/>
  <c r="X304" i="5" s="1"/>
  <c r="W303" i="5"/>
  <c r="U304" i="5"/>
  <c r="V304" i="5"/>
  <c r="W304" i="5"/>
  <c r="U305" i="5"/>
  <c r="V305" i="5"/>
  <c r="W305" i="5"/>
  <c r="U306" i="5"/>
  <c r="V306" i="5"/>
  <c r="W306" i="5"/>
  <c r="U307" i="5"/>
  <c r="V307" i="5"/>
  <c r="X308" i="5" s="1"/>
  <c r="W307" i="5"/>
  <c r="U308" i="5"/>
  <c r="V308" i="5"/>
  <c r="W308" i="5"/>
  <c r="U309" i="5"/>
  <c r="V309" i="5"/>
  <c r="W309" i="5"/>
  <c r="U310" i="5"/>
  <c r="V310" i="5"/>
  <c r="W310" i="5"/>
  <c r="U311" i="5"/>
  <c r="V311" i="5"/>
  <c r="X312" i="5" s="1"/>
  <c r="W311" i="5"/>
  <c r="U312" i="5"/>
  <c r="V312" i="5"/>
  <c r="W312" i="5"/>
  <c r="U313" i="5"/>
  <c r="V313" i="5"/>
  <c r="W313" i="5"/>
  <c r="U314" i="5"/>
  <c r="V314" i="5"/>
  <c r="W314" i="5"/>
  <c r="U315" i="5"/>
  <c r="V315" i="5"/>
  <c r="X316" i="5" s="1"/>
  <c r="W315" i="5"/>
  <c r="U316" i="5"/>
  <c r="V316" i="5"/>
  <c r="W316" i="5"/>
  <c r="U317" i="5"/>
  <c r="V317" i="5"/>
  <c r="W317" i="5"/>
  <c r="U318" i="5"/>
  <c r="V318" i="5"/>
  <c r="W318" i="5"/>
  <c r="U319" i="5"/>
  <c r="V319" i="5"/>
  <c r="X320" i="5" s="1"/>
  <c r="W319" i="5"/>
  <c r="U320" i="5"/>
  <c r="V320" i="5"/>
  <c r="W320" i="5"/>
  <c r="U321" i="5"/>
  <c r="V321" i="5"/>
  <c r="W321" i="5"/>
  <c r="U322" i="5"/>
  <c r="V322" i="5"/>
  <c r="W322" i="5"/>
  <c r="U323" i="5"/>
  <c r="V323" i="5"/>
  <c r="X324" i="5" s="1"/>
  <c r="W323" i="5"/>
  <c r="U324" i="5"/>
  <c r="V324" i="5"/>
  <c r="W324" i="5"/>
  <c r="U325" i="5"/>
  <c r="V325" i="5"/>
  <c r="W325" i="5"/>
  <c r="U326" i="5"/>
  <c r="V326" i="5"/>
  <c r="W326" i="5"/>
  <c r="U327" i="5"/>
  <c r="V327" i="5"/>
  <c r="X328" i="5" s="1"/>
  <c r="W327" i="5"/>
  <c r="U328" i="5"/>
  <c r="V328" i="5"/>
  <c r="W328" i="5"/>
  <c r="U329" i="5"/>
  <c r="V329" i="5"/>
  <c r="W329" i="5"/>
  <c r="U330" i="5"/>
  <c r="V330" i="5"/>
  <c r="W330" i="5"/>
  <c r="U331" i="5"/>
  <c r="V331" i="5"/>
  <c r="X332" i="5" s="1"/>
  <c r="W331" i="5"/>
  <c r="U332" i="5"/>
  <c r="V332" i="5"/>
  <c r="W332" i="5"/>
  <c r="U333" i="5"/>
  <c r="V333" i="5"/>
  <c r="W333" i="5"/>
  <c r="U334" i="5"/>
  <c r="V334" i="5"/>
  <c r="W334" i="5"/>
  <c r="U335" i="5"/>
  <c r="V335" i="5"/>
  <c r="X336" i="5" s="1"/>
  <c r="W335" i="5"/>
  <c r="U336" i="5"/>
  <c r="V336" i="5"/>
  <c r="W336" i="5"/>
  <c r="U337" i="5"/>
  <c r="V337" i="5"/>
  <c r="W337" i="5"/>
  <c r="U338" i="5"/>
  <c r="V338" i="5"/>
  <c r="W338" i="5"/>
  <c r="U339" i="5"/>
  <c r="V339" i="5"/>
  <c r="X340" i="5" s="1"/>
  <c r="W339" i="5"/>
  <c r="U340" i="5"/>
  <c r="V340" i="5"/>
  <c r="W340" i="5"/>
  <c r="U341" i="5"/>
  <c r="V341" i="5"/>
  <c r="W341" i="5"/>
  <c r="U342" i="5"/>
  <c r="V342" i="5"/>
  <c r="W342" i="5"/>
  <c r="U343" i="5"/>
  <c r="V343" i="5"/>
  <c r="X344" i="5" s="1"/>
  <c r="W343" i="5"/>
  <c r="U344" i="5"/>
  <c r="V344" i="5"/>
  <c r="W344" i="5"/>
  <c r="U345" i="5"/>
  <c r="V345" i="5"/>
  <c r="W345" i="5"/>
  <c r="U346" i="5"/>
  <c r="V346" i="5"/>
  <c r="W346" i="5"/>
  <c r="U347" i="5"/>
  <c r="V347" i="5"/>
  <c r="X348" i="5" s="1"/>
  <c r="W347" i="5"/>
  <c r="U348" i="5"/>
  <c r="V348" i="5"/>
  <c r="W348" i="5"/>
  <c r="U349" i="5"/>
  <c r="V349" i="5"/>
  <c r="W349" i="5"/>
  <c r="U350" i="5"/>
  <c r="V350" i="5"/>
  <c r="W350" i="5"/>
  <c r="U351" i="5"/>
  <c r="V351" i="5"/>
  <c r="W351" i="5"/>
  <c r="U352" i="5"/>
  <c r="V352" i="5"/>
  <c r="W352" i="5"/>
  <c r="U353" i="5"/>
  <c r="V353" i="5"/>
  <c r="W353" i="5"/>
  <c r="U354" i="5"/>
  <c r="V354" i="5"/>
  <c r="W354" i="5"/>
  <c r="U355" i="5"/>
  <c r="V355" i="5"/>
  <c r="W355" i="5"/>
  <c r="U356" i="5"/>
  <c r="V356" i="5"/>
  <c r="W356" i="5"/>
  <c r="U357" i="5"/>
  <c r="V357" i="5"/>
  <c r="W357" i="5"/>
  <c r="U358" i="5"/>
  <c r="V358" i="5"/>
  <c r="W358" i="5"/>
  <c r="U359" i="5"/>
  <c r="V359" i="5"/>
  <c r="W359" i="5"/>
  <c r="U360" i="5"/>
  <c r="V360" i="5"/>
  <c r="W360" i="5"/>
  <c r="U361" i="5"/>
  <c r="V361" i="5"/>
  <c r="W361" i="5"/>
  <c r="U362" i="5"/>
  <c r="V362" i="5"/>
  <c r="W362" i="5"/>
  <c r="U363" i="5"/>
  <c r="V363" i="5"/>
  <c r="W363" i="5"/>
  <c r="U364" i="5"/>
  <c r="V364" i="5"/>
  <c r="W364" i="5"/>
  <c r="U365" i="5"/>
  <c r="V365" i="5"/>
  <c r="W365" i="5"/>
  <c r="U366" i="5"/>
  <c r="V366" i="5"/>
  <c r="W366" i="5"/>
  <c r="U367" i="5"/>
  <c r="V367" i="5"/>
  <c r="W367" i="5"/>
  <c r="U368" i="5"/>
  <c r="V368" i="5"/>
  <c r="W368" i="5"/>
  <c r="U369" i="5"/>
  <c r="V369" i="5"/>
  <c r="W369" i="5"/>
  <c r="U370" i="5"/>
  <c r="V370" i="5"/>
  <c r="W370" i="5"/>
  <c r="U371" i="5"/>
  <c r="V371" i="5"/>
  <c r="W371" i="5"/>
  <c r="U372" i="5"/>
  <c r="V372" i="5"/>
  <c r="W372" i="5"/>
  <c r="U373" i="5"/>
  <c r="V373" i="5"/>
  <c r="W373" i="5"/>
  <c r="U374" i="5"/>
  <c r="V374" i="5"/>
  <c r="W374" i="5"/>
  <c r="U375" i="5"/>
  <c r="V375" i="5"/>
  <c r="W375" i="5"/>
  <c r="U376" i="5"/>
  <c r="V376" i="5"/>
  <c r="W376" i="5"/>
  <c r="U377" i="5"/>
  <c r="V377" i="5"/>
  <c r="W377" i="5"/>
  <c r="U378" i="5"/>
  <c r="V378" i="5"/>
  <c r="W378" i="5"/>
  <c r="U379" i="5"/>
  <c r="V379" i="5"/>
  <c r="W379" i="5"/>
  <c r="U380" i="5"/>
  <c r="V380" i="5"/>
  <c r="W380" i="5"/>
  <c r="U381" i="5"/>
  <c r="V381" i="5"/>
  <c r="W381" i="5"/>
  <c r="U382" i="5"/>
  <c r="V382" i="5"/>
  <c r="W382" i="5"/>
  <c r="U383" i="5"/>
  <c r="V383" i="5"/>
  <c r="W383" i="5"/>
  <c r="U384" i="5"/>
  <c r="V384" i="5"/>
  <c r="W384" i="5"/>
  <c r="U385" i="5"/>
  <c r="V385" i="5"/>
  <c r="W385" i="5"/>
  <c r="U386" i="5"/>
  <c r="V386" i="5"/>
  <c r="W386" i="5"/>
  <c r="U387" i="5"/>
  <c r="V387" i="5"/>
  <c r="W387" i="5"/>
  <c r="U388" i="5"/>
  <c r="V388" i="5"/>
  <c r="W388" i="5"/>
  <c r="U389" i="5"/>
  <c r="V389" i="5"/>
  <c r="W389" i="5"/>
  <c r="U390" i="5"/>
  <c r="V390" i="5"/>
  <c r="W390" i="5"/>
  <c r="U391" i="5"/>
  <c r="V391" i="5"/>
  <c r="W391" i="5"/>
  <c r="U392" i="5"/>
  <c r="V392" i="5"/>
  <c r="W392" i="5"/>
  <c r="U393" i="5"/>
  <c r="V393" i="5"/>
  <c r="W393" i="5"/>
  <c r="U394" i="5"/>
  <c r="V394" i="5"/>
  <c r="W394" i="5"/>
  <c r="U395" i="5"/>
  <c r="V395" i="5"/>
  <c r="W395" i="5"/>
  <c r="U396" i="5"/>
  <c r="V396" i="5"/>
  <c r="W396" i="5"/>
  <c r="U397" i="5"/>
  <c r="V397" i="5"/>
  <c r="W397" i="5"/>
  <c r="U398" i="5"/>
  <c r="V398" i="5"/>
  <c r="W398" i="5"/>
  <c r="U399" i="5"/>
  <c r="V399" i="5"/>
  <c r="W399" i="5"/>
  <c r="U400" i="5"/>
  <c r="V400" i="5"/>
  <c r="W400" i="5"/>
  <c r="U401" i="5"/>
  <c r="V401" i="5"/>
  <c r="W401" i="5"/>
  <c r="U402" i="5"/>
  <c r="V402" i="5"/>
  <c r="W402" i="5"/>
  <c r="U403" i="5"/>
  <c r="V403" i="5"/>
  <c r="W403" i="5"/>
  <c r="U404" i="5"/>
  <c r="V404" i="5"/>
  <c r="W404" i="5"/>
  <c r="U405" i="5"/>
  <c r="V405" i="5"/>
  <c r="W405" i="5"/>
  <c r="U406" i="5"/>
  <c r="V406" i="5"/>
  <c r="W406" i="5"/>
  <c r="U407" i="5"/>
  <c r="V407" i="5"/>
  <c r="W407" i="5"/>
  <c r="U408" i="5"/>
  <c r="V408" i="5"/>
  <c r="W408" i="5"/>
  <c r="U409" i="5"/>
  <c r="V409" i="5"/>
  <c r="W409" i="5"/>
  <c r="U410" i="5"/>
  <c r="V410" i="5"/>
  <c r="W410" i="5"/>
  <c r="U411" i="5"/>
  <c r="V411" i="5"/>
  <c r="W411" i="5"/>
  <c r="U412" i="5"/>
  <c r="V412" i="5"/>
  <c r="W412" i="5"/>
  <c r="U413" i="5"/>
  <c r="V413" i="5"/>
  <c r="W413" i="5"/>
  <c r="U414" i="5"/>
  <c r="V414" i="5"/>
  <c r="W414" i="5"/>
  <c r="U415" i="5"/>
  <c r="V415" i="5"/>
  <c r="W415" i="5"/>
  <c r="U416" i="5"/>
  <c r="V416" i="5"/>
  <c r="W416" i="5"/>
  <c r="U417" i="5"/>
  <c r="V417" i="5"/>
  <c r="W417" i="5"/>
  <c r="U418" i="5"/>
  <c r="V418" i="5"/>
  <c r="W418" i="5"/>
  <c r="U419" i="5"/>
  <c r="V419" i="5"/>
  <c r="W419" i="5"/>
  <c r="U420" i="5"/>
  <c r="V420" i="5"/>
  <c r="W420" i="5"/>
  <c r="U421" i="5"/>
  <c r="V421" i="5"/>
  <c r="W421" i="5"/>
  <c r="U422" i="5"/>
  <c r="V422" i="5"/>
  <c r="W422" i="5"/>
  <c r="U423" i="5"/>
  <c r="V423" i="5"/>
  <c r="W423" i="5"/>
  <c r="U424" i="5"/>
  <c r="V424" i="5"/>
  <c r="W424" i="5"/>
  <c r="U425" i="5"/>
  <c r="V425" i="5"/>
  <c r="W425" i="5"/>
  <c r="U426" i="5"/>
  <c r="V426" i="5"/>
  <c r="W426" i="5"/>
  <c r="U427" i="5"/>
  <c r="V427" i="5"/>
  <c r="W427" i="5"/>
  <c r="U428" i="5"/>
  <c r="V428" i="5"/>
  <c r="W428" i="5"/>
  <c r="U429" i="5"/>
  <c r="V429" i="5"/>
  <c r="W429" i="5"/>
  <c r="U430" i="5"/>
  <c r="V430" i="5"/>
  <c r="W430" i="5"/>
  <c r="U431" i="5"/>
  <c r="V431" i="5"/>
  <c r="W431" i="5"/>
  <c r="U432" i="5"/>
  <c r="V432" i="5"/>
  <c r="W432" i="5"/>
  <c r="U433" i="5"/>
  <c r="V433" i="5"/>
  <c r="W433" i="5"/>
  <c r="U434" i="5"/>
  <c r="V434" i="5"/>
  <c r="W434" i="5"/>
  <c r="U435" i="5"/>
  <c r="V435" i="5"/>
  <c r="W435" i="5"/>
  <c r="U436" i="5"/>
  <c r="V436" i="5"/>
  <c r="W436" i="5"/>
  <c r="U437" i="5"/>
  <c r="V437" i="5"/>
  <c r="W437" i="5"/>
  <c r="U438" i="5"/>
  <c r="V438" i="5"/>
  <c r="W438" i="5"/>
  <c r="U439" i="5"/>
  <c r="V439" i="5"/>
  <c r="W439" i="5"/>
  <c r="U440" i="5"/>
  <c r="V440" i="5"/>
  <c r="W440" i="5"/>
  <c r="U441" i="5"/>
  <c r="V441" i="5"/>
  <c r="W441" i="5"/>
  <c r="U442" i="5"/>
  <c r="V442" i="5"/>
  <c r="W442" i="5"/>
  <c r="U443" i="5"/>
  <c r="V443" i="5"/>
  <c r="W443" i="5"/>
  <c r="U444" i="5"/>
  <c r="V444" i="5"/>
  <c r="W444" i="5"/>
  <c r="U445" i="5"/>
  <c r="V445" i="5"/>
  <c r="W445" i="5"/>
  <c r="U446" i="5"/>
  <c r="V446" i="5"/>
  <c r="W446" i="5"/>
  <c r="U447" i="5"/>
  <c r="V447" i="5"/>
  <c r="W447" i="5"/>
  <c r="U448" i="5"/>
  <c r="V448" i="5"/>
  <c r="W448" i="5"/>
  <c r="U449" i="5"/>
  <c r="V449" i="5"/>
  <c r="W449" i="5"/>
  <c r="U450" i="5"/>
  <c r="V450" i="5"/>
  <c r="W450" i="5"/>
  <c r="U451" i="5"/>
  <c r="V451" i="5"/>
  <c r="W451" i="5"/>
  <c r="U452" i="5"/>
  <c r="V452" i="5"/>
  <c r="W452" i="5"/>
  <c r="X2" i="5"/>
  <c r="W2" i="5"/>
  <c r="V2" i="5"/>
  <c r="U2" i="5"/>
  <c r="C2" i="9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V3" i="4"/>
  <c r="X4" i="4" s="1"/>
  <c r="V4" i="4"/>
  <c r="V5" i="4"/>
  <c r="V6" i="4"/>
  <c r="V7" i="4"/>
  <c r="X8" i="4" s="1"/>
  <c r="V8" i="4"/>
  <c r="V9" i="4"/>
  <c r="V10" i="4"/>
  <c r="X11" i="4" s="1"/>
  <c r="V11" i="4"/>
  <c r="X12" i="4" s="1"/>
  <c r="V12" i="4"/>
  <c r="V13" i="4"/>
  <c r="V14" i="4"/>
  <c r="V15" i="4"/>
  <c r="X16" i="4" s="1"/>
  <c r="V16" i="4"/>
  <c r="V17" i="4"/>
  <c r="V18" i="4"/>
  <c r="V19" i="4"/>
  <c r="X20" i="4" s="1"/>
  <c r="V20" i="4"/>
  <c r="V21" i="4"/>
  <c r="V22" i="4"/>
  <c r="V23" i="4"/>
  <c r="X24" i="4" s="1"/>
  <c r="V24" i="4"/>
  <c r="V25" i="4"/>
  <c r="V26" i="4"/>
  <c r="X27" i="4" s="1"/>
  <c r="V27" i="4"/>
  <c r="X28" i="4" s="1"/>
  <c r="V28" i="4"/>
  <c r="V29" i="4"/>
  <c r="V30" i="4"/>
  <c r="V31" i="4"/>
  <c r="X32" i="4" s="1"/>
  <c r="V32" i="4"/>
  <c r="V33" i="4"/>
  <c r="V34" i="4"/>
  <c r="V35" i="4"/>
  <c r="X36" i="4" s="1"/>
  <c r="V36" i="4"/>
  <c r="V37" i="4"/>
  <c r="V38" i="4"/>
  <c r="V39" i="4"/>
  <c r="X40" i="4" s="1"/>
  <c r="V40" i="4"/>
  <c r="V41" i="4"/>
  <c r="V42" i="4"/>
  <c r="X43" i="4" s="1"/>
  <c r="V43" i="4"/>
  <c r="X44" i="4" s="1"/>
  <c r="V44" i="4"/>
  <c r="V45" i="4"/>
  <c r="V46" i="4"/>
  <c r="V47" i="4"/>
  <c r="X48" i="4" s="1"/>
  <c r="V48" i="4"/>
  <c r="V49" i="4"/>
  <c r="V50" i="4"/>
  <c r="V51" i="4"/>
  <c r="X52" i="4" s="1"/>
  <c r="V52" i="4"/>
  <c r="V53" i="4"/>
  <c r="V54" i="4"/>
  <c r="V55" i="4"/>
  <c r="X56" i="4" s="1"/>
  <c r="V56" i="4"/>
  <c r="V57" i="4"/>
  <c r="V58" i="4"/>
  <c r="X59" i="4" s="1"/>
  <c r="V59" i="4"/>
  <c r="X60" i="4" s="1"/>
  <c r="V60" i="4"/>
  <c r="V61" i="4"/>
  <c r="V62" i="4"/>
  <c r="V63" i="4"/>
  <c r="X64" i="4" s="1"/>
  <c r="V64" i="4"/>
  <c r="V65" i="4"/>
  <c r="V66" i="4"/>
  <c r="X67" i="4" s="1"/>
  <c r="V67" i="4"/>
  <c r="X68" i="4" s="1"/>
  <c r="V68" i="4"/>
  <c r="V69" i="4"/>
  <c r="V70" i="4"/>
  <c r="V71" i="4"/>
  <c r="X72" i="4" s="1"/>
  <c r="V72" i="4"/>
  <c r="X73" i="4" s="1"/>
  <c r="V73" i="4"/>
  <c r="V74" i="4"/>
  <c r="X75" i="4" s="1"/>
  <c r="V75" i="4"/>
  <c r="X76" i="4" s="1"/>
  <c r="V76" i="4"/>
  <c r="V77" i="4"/>
  <c r="V78" i="4"/>
  <c r="V79" i="4"/>
  <c r="X80" i="4" s="1"/>
  <c r="V80" i="4"/>
  <c r="V81" i="4"/>
  <c r="V82" i="4"/>
  <c r="X83" i="4" s="1"/>
  <c r="V83" i="4"/>
  <c r="X84" i="4" s="1"/>
  <c r="V84" i="4"/>
  <c r="V85" i="4"/>
  <c r="V86" i="4"/>
  <c r="V87" i="4"/>
  <c r="X88" i="4" s="1"/>
  <c r="V88" i="4"/>
  <c r="V89" i="4"/>
  <c r="V90" i="4"/>
  <c r="X91" i="4" s="1"/>
  <c r="V91" i="4"/>
  <c r="X92" i="4" s="1"/>
  <c r="V92" i="4"/>
  <c r="V93" i="4"/>
  <c r="V94" i="4"/>
  <c r="V95" i="4"/>
  <c r="X96" i="4" s="1"/>
  <c r="V96" i="4"/>
  <c r="V97" i="4"/>
  <c r="V98" i="4"/>
  <c r="X99" i="4" s="1"/>
  <c r="V99" i="4"/>
  <c r="X100" i="4" s="1"/>
  <c r="V100" i="4"/>
  <c r="V101" i="4"/>
  <c r="V102" i="4"/>
  <c r="V103" i="4"/>
  <c r="X104" i="4" s="1"/>
  <c r="V104" i="4"/>
  <c r="X105" i="4" s="1"/>
  <c r="V105" i="4"/>
  <c r="V106" i="4"/>
  <c r="X107" i="4" s="1"/>
  <c r="V107" i="4"/>
  <c r="X108" i="4" s="1"/>
  <c r="V108" i="4"/>
  <c r="V109" i="4"/>
  <c r="V110" i="4"/>
  <c r="V111" i="4"/>
  <c r="X112" i="4" s="1"/>
  <c r="V112" i="4"/>
  <c r="V113" i="4"/>
  <c r="V114" i="4"/>
  <c r="X115" i="4" s="1"/>
  <c r="V115" i="4"/>
  <c r="X116" i="4" s="1"/>
  <c r="V116" i="4"/>
  <c r="V117" i="4"/>
  <c r="V118" i="4"/>
  <c r="V119" i="4"/>
  <c r="X120" i="4" s="1"/>
  <c r="V120" i="4"/>
  <c r="V121" i="4"/>
  <c r="V122" i="4"/>
  <c r="X123" i="4" s="1"/>
  <c r="V123" i="4"/>
  <c r="X124" i="4" s="1"/>
  <c r="V124" i="4"/>
  <c r="V125" i="4"/>
  <c r="V126" i="4"/>
  <c r="V127" i="4"/>
  <c r="X128" i="4" s="1"/>
  <c r="V128" i="4"/>
  <c r="V129" i="4"/>
  <c r="V130" i="4"/>
  <c r="X131" i="4" s="1"/>
  <c r="V131" i="4"/>
  <c r="X132" i="4" s="1"/>
  <c r="V132" i="4"/>
  <c r="V133" i="4"/>
  <c r="V134" i="4"/>
  <c r="V135" i="4"/>
  <c r="X136" i="4" s="1"/>
  <c r="V136" i="4"/>
  <c r="X137" i="4" s="1"/>
  <c r="V137" i="4"/>
  <c r="V138" i="4"/>
  <c r="X139" i="4" s="1"/>
  <c r="V139" i="4"/>
  <c r="X140" i="4" s="1"/>
  <c r="V140" i="4"/>
  <c r="V141" i="4"/>
  <c r="V142" i="4"/>
  <c r="V143" i="4"/>
  <c r="X144" i="4" s="1"/>
  <c r="V144" i="4"/>
  <c r="V145" i="4"/>
  <c r="V146" i="4"/>
  <c r="X147" i="4" s="1"/>
  <c r="V147" i="4"/>
  <c r="X148" i="4" s="1"/>
  <c r="V148" i="4"/>
  <c r="V149" i="4"/>
  <c r="V150" i="4"/>
  <c r="V151" i="4"/>
  <c r="X152" i="4" s="1"/>
  <c r="V152" i="4"/>
  <c r="V153" i="4"/>
  <c r="V154" i="4"/>
  <c r="X155" i="4" s="1"/>
  <c r="V155" i="4"/>
  <c r="X156" i="4" s="1"/>
  <c r="V156" i="4"/>
  <c r="V157" i="4"/>
  <c r="V158" i="4"/>
  <c r="X158" i="4" s="1"/>
  <c r="V159" i="4"/>
  <c r="X160" i="4" s="1"/>
  <c r="V160" i="4"/>
  <c r="V161" i="4"/>
  <c r="V162" i="4"/>
  <c r="X163" i="4" s="1"/>
  <c r="V163" i="4"/>
  <c r="X164" i="4" s="1"/>
  <c r="V164" i="4"/>
  <c r="V165" i="4"/>
  <c r="V166" i="4"/>
  <c r="V167" i="4"/>
  <c r="X168" i="4" s="1"/>
  <c r="V168" i="4"/>
  <c r="X169" i="4" s="1"/>
  <c r="V169" i="4"/>
  <c r="V170" i="4"/>
  <c r="X171" i="4" s="1"/>
  <c r="V171" i="4"/>
  <c r="X172" i="4" s="1"/>
  <c r="V172" i="4"/>
  <c r="V173" i="4"/>
  <c r="V174" i="4"/>
  <c r="V175" i="4"/>
  <c r="X176" i="4" s="1"/>
  <c r="V176" i="4"/>
  <c r="V177" i="4"/>
  <c r="V178" i="4"/>
  <c r="X179" i="4" s="1"/>
  <c r="V179" i="4"/>
  <c r="X180" i="4" s="1"/>
  <c r="V180" i="4"/>
  <c r="V181" i="4"/>
  <c r="V182" i="4"/>
  <c r="V183" i="4"/>
  <c r="X184" i="4" s="1"/>
  <c r="V184" i="4"/>
  <c r="V185" i="4"/>
  <c r="V186" i="4"/>
  <c r="X187" i="4" s="1"/>
  <c r="V187" i="4"/>
  <c r="X188" i="4" s="1"/>
  <c r="V188" i="4"/>
  <c r="V189" i="4"/>
  <c r="V190" i="4"/>
  <c r="V191" i="4"/>
  <c r="X192" i="4" s="1"/>
  <c r="V192" i="4"/>
  <c r="V193" i="4"/>
  <c r="V194" i="4"/>
  <c r="X195" i="4" s="1"/>
  <c r="V195" i="4"/>
  <c r="X196" i="4" s="1"/>
  <c r="V196" i="4"/>
  <c r="V197" i="4"/>
  <c r="V198" i="4"/>
  <c r="X199" i="4" s="1"/>
  <c r="V199" i="4"/>
  <c r="X200" i="4" s="1"/>
  <c r="V200" i="4"/>
  <c r="V201" i="4"/>
  <c r="V202" i="4"/>
  <c r="X203" i="4" s="1"/>
  <c r="V203" i="4"/>
  <c r="X204" i="4" s="1"/>
  <c r="V204" i="4"/>
  <c r="X205" i="4" s="1"/>
  <c r="V205" i="4"/>
  <c r="V206" i="4"/>
  <c r="V207" i="4"/>
  <c r="X208" i="4" s="1"/>
  <c r="V208" i="4"/>
  <c r="V209" i="4"/>
  <c r="V210" i="4"/>
  <c r="X211" i="4" s="1"/>
  <c r="V211" i="4"/>
  <c r="X212" i="4" s="1"/>
  <c r="V212" i="4"/>
  <c r="V213" i="4"/>
  <c r="V214" i="4"/>
  <c r="X215" i="4" s="1"/>
  <c r="V215" i="4"/>
  <c r="X216" i="4" s="1"/>
  <c r="V216" i="4"/>
  <c r="V217" i="4"/>
  <c r="V218" i="4"/>
  <c r="X219" i="4" s="1"/>
  <c r="V219" i="4"/>
  <c r="X220" i="4" s="1"/>
  <c r="V220" i="4"/>
  <c r="V221" i="4"/>
  <c r="V222" i="4"/>
  <c r="V223" i="4"/>
  <c r="X224" i="4" s="1"/>
  <c r="V224" i="4"/>
  <c r="V225" i="4"/>
  <c r="V226" i="4"/>
  <c r="X227" i="4" s="1"/>
  <c r="V227" i="4"/>
  <c r="X228" i="4" s="1"/>
  <c r="V228" i="4"/>
  <c r="V229" i="4"/>
  <c r="V230" i="4"/>
  <c r="X231" i="4" s="1"/>
  <c r="V231" i="4"/>
  <c r="X232" i="4" s="1"/>
  <c r="V232" i="4"/>
  <c r="X233" i="4" s="1"/>
  <c r="V233" i="4"/>
  <c r="V234" i="4"/>
  <c r="X235" i="4" s="1"/>
  <c r="V235" i="4"/>
  <c r="X236" i="4" s="1"/>
  <c r="V236" i="4"/>
  <c r="V237" i="4"/>
  <c r="V238" i="4"/>
  <c r="V239" i="4"/>
  <c r="X240" i="4" s="1"/>
  <c r="V240" i="4"/>
  <c r="X241" i="4" s="1"/>
  <c r="V241" i="4"/>
  <c r="V242" i="4"/>
  <c r="X243" i="4" s="1"/>
  <c r="V243" i="4"/>
  <c r="X244" i="4" s="1"/>
  <c r="V244" i="4"/>
  <c r="V245" i="4"/>
  <c r="V246" i="4"/>
  <c r="X247" i="4" s="1"/>
  <c r="V247" i="4"/>
  <c r="X248" i="4" s="1"/>
  <c r="V248" i="4"/>
  <c r="V249" i="4"/>
  <c r="V250" i="4"/>
  <c r="X251" i="4" s="1"/>
  <c r="V251" i="4"/>
  <c r="X252" i="4" s="1"/>
  <c r="V252" i="4"/>
  <c r="V253" i="4"/>
  <c r="V254" i="4"/>
  <c r="V255" i="4"/>
  <c r="X256" i="4" s="1"/>
  <c r="V256" i="4"/>
  <c r="V257" i="4"/>
  <c r="V258" i="4"/>
  <c r="X259" i="4" s="1"/>
  <c r="V259" i="4"/>
  <c r="X260" i="4" s="1"/>
  <c r="V260" i="4"/>
  <c r="V261" i="4"/>
  <c r="V262" i="4"/>
  <c r="X263" i="4" s="1"/>
  <c r="V263" i="4"/>
  <c r="X264" i="4" s="1"/>
  <c r="V264" i="4"/>
  <c r="V265" i="4"/>
  <c r="V266" i="4"/>
  <c r="X267" i="4" s="1"/>
  <c r="V267" i="4"/>
  <c r="X268" i="4" s="1"/>
  <c r="V268" i="4"/>
  <c r="X269" i="4" s="1"/>
  <c r="V269" i="4"/>
  <c r="V270" i="4"/>
  <c r="V271" i="4"/>
  <c r="X272" i="4" s="1"/>
  <c r="V272" i="4"/>
  <c r="V273" i="4"/>
  <c r="V274" i="4"/>
  <c r="X275" i="4" s="1"/>
  <c r="V275" i="4"/>
  <c r="X276" i="4" s="1"/>
  <c r="V276" i="4"/>
  <c r="V277" i="4"/>
  <c r="V278" i="4"/>
  <c r="X279" i="4" s="1"/>
  <c r="V279" i="4"/>
  <c r="X280" i="4" s="1"/>
  <c r="V280" i="4"/>
  <c r="V281" i="4"/>
  <c r="V282" i="4"/>
  <c r="X283" i="4" s="1"/>
  <c r="V283" i="4"/>
  <c r="X284" i="4" s="1"/>
  <c r="V284" i="4"/>
  <c r="V285" i="4"/>
  <c r="V286" i="4"/>
  <c r="V287" i="4"/>
  <c r="X288" i="4" s="1"/>
  <c r="V288" i="4"/>
  <c r="V289" i="4"/>
  <c r="V290" i="4"/>
  <c r="X291" i="4" s="1"/>
  <c r="V291" i="4"/>
  <c r="X292" i="4" s="1"/>
  <c r="V292" i="4"/>
  <c r="V293" i="4"/>
  <c r="V294" i="4"/>
  <c r="X295" i="4" s="1"/>
  <c r="V295" i="4"/>
  <c r="X296" i="4" s="1"/>
  <c r="V296" i="4"/>
  <c r="X297" i="4" s="1"/>
  <c r="V297" i="4"/>
  <c r="V298" i="4"/>
  <c r="X299" i="4" s="1"/>
  <c r="V299" i="4"/>
  <c r="X300" i="4" s="1"/>
  <c r="V300" i="4"/>
  <c r="V301" i="4"/>
  <c r="V302" i="4"/>
  <c r="V303" i="4"/>
  <c r="X304" i="4" s="1"/>
  <c r="V304" i="4"/>
  <c r="X305" i="4" s="1"/>
  <c r="V305" i="4"/>
  <c r="V306" i="4"/>
  <c r="X307" i="4" s="1"/>
  <c r="V307" i="4"/>
  <c r="X308" i="4" s="1"/>
  <c r="V308" i="4"/>
  <c r="V309" i="4"/>
  <c r="V310" i="4"/>
  <c r="X311" i="4" s="1"/>
  <c r="V311" i="4"/>
  <c r="X312" i="4" s="1"/>
  <c r="V312" i="4"/>
  <c r="V313" i="4"/>
  <c r="V314" i="4"/>
  <c r="X315" i="4" s="1"/>
  <c r="V315" i="4"/>
  <c r="X316" i="4" s="1"/>
  <c r="V316" i="4"/>
  <c r="V317" i="4"/>
  <c r="V318" i="4"/>
  <c r="X319" i="4" s="1"/>
  <c r="V319" i="4"/>
  <c r="X320" i="4" s="1"/>
  <c r="V320" i="4"/>
  <c r="V321" i="4"/>
  <c r="V322" i="4"/>
  <c r="X323" i="4" s="1"/>
  <c r="V323" i="4"/>
  <c r="X324" i="4" s="1"/>
  <c r="V324" i="4"/>
  <c r="V325" i="4"/>
  <c r="V326" i="4"/>
  <c r="X327" i="4" s="1"/>
  <c r="V327" i="4"/>
  <c r="X328" i="4" s="1"/>
  <c r="V328" i="4"/>
  <c r="X329" i="4" s="1"/>
  <c r="V329" i="4"/>
  <c r="V330" i="4"/>
  <c r="X331" i="4" s="1"/>
  <c r="V331" i="4"/>
  <c r="X332" i="4" s="1"/>
  <c r="V332" i="4"/>
  <c r="V333" i="4"/>
  <c r="V334" i="4"/>
  <c r="X335" i="4" s="1"/>
  <c r="V335" i="4"/>
  <c r="X336" i="4" s="1"/>
  <c r="V336" i="4"/>
  <c r="V337" i="4"/>
  <c r="V338" i="4"/>
  <c r="X339" i="4" s="1"/>
  <c r="V339" i="4"/>
  <c r="X340" i="4" s="1"/>
  <c r="V340" i="4"/>
  <c r="V341" i="4"/>
  <c r="V342" i="4"/>
  <c r="X343" i="4" s="1"/>
  <c r="V343" i="4"/>
  <c r="X344" i="4" s="1"/>
  <c r="V344" i="4"/>
  <c r="X345" i="4" s="1"/>
  <c r="V345" i="4"/>
  <c r="V346" i="4"/>
  <c r="X347" i="4" s="1"/>
  <c r="V347" i="4"/>
  <c r="X348" i="4" s="1"/>
  <c r="V348" i="4"/>
  <c r="V349" i="4"/>
  <c r="V350" i="4"/>
  <c r="X351" i="4" s="1"/>
  <c r="V351" i="4"/>
  <c r="X352" i="4" s="1"/>
  <c r="V352" i="4"/>
  <c r="V353" i="4"/>
  <c r="V354" i="4"/>
  <c r="X355" i="4" s="1"/>
  <c r="V355" i="4"/>
  <c r="X356" i="4" s="1"/>
  <c r="V356" i="4"/>
  <c r="V357" i="4"/>
  <c r="V358" i="4"/>
  <c r="X359" i="4" s="1"/>
  <c r="V359" i="4"/>
  <c r="X360" i="4" s="1"/>
  <c r="V360" i="4"/>
  <c r="X361" i="4" s="1"/>
  <c r="V361" i="4"/>
  <c r="V362" i="4"/>
  <c r="V363" i="4"/>
  <c r="X364" i="4" s="1"/>
  <c r="V364" i="4"/>
  <c r="V365" i="4"/>
  <c r="V366" i="4"/>
  <c r="V367" i="4"/>
  <c r="X368" i="4" s="1"/>
  <c r="V368" i="4"/>
  <c r="V369" i="4"/>
  <c r="V370" i="4"/>
  <c r="V371" i="4"/>
  <c r="X372" i="4" s="1"/>
  <c r="V372" i="4"/>
  <c r="V373" i="4"/>
  <c r="V374" i="4"/>
  <c r="V375" i="4"/>
  <c r="X376" i="4" s="1"/>
  <c r="V376" i="4"/>
  <c r="V377" i="4"/>
  <c r="V378" i="4"/>
  <c r="V379" i="4"/>
  <c r="X380" i="4" s="1"/>
  <c r="V380" i="4"/>
  <c r="V381" i="4"/>
  <c r="V382" i="4"/>
  <c r="V383" i="4"/>
  <c r="X384" i="4" s="1"/>
  <c r="V384" i="4"/>
  <c r="V385" i="4"/>
  <c r="V386" i="4"/>
  <c r="V387" i="4"/>
  <c r="X388" i="4" s="1"/>
  <c r="V388" i="4"/>
  <c r="V389" i="4"/>
  <c r="V390" i="4"/>
  <c r="V391" i="4"/>
  <c r="X392" i="4" s="1"/>
  <c r="V392" i="4"/>
  <c r="X393" i="4" s="1"/>
  <c r="V393" i="4"/>
  <c r="V394" i="4"/>
  <c r="V395" i="4"/>
  <c r="X396" i="4" s="1"/>
  <c r="V396" i="4"/>
  <c r="V397" i="4"/>
  <c r="V398" i="4"/>
  <c r="V399" i="4"/>
  <c r="X400" i="4" s="1"/>
  <c r="V400" i="4"/>
  <c r="V401" i="4"/>
  <c r="V402" i="4"/>
  <c r="V403" i="4"/>
  <c r="X404" i="4" s="1"/>
  <c r="V404" i="4"/>
  <c r="V405" i="4"/>
  <c r="V406" i="4"/>
  <c r="V407" i="4"/>
  <c r="X408" i="4" s="1"/>
  <c r="V408" i="4"/>
  <c r="X409" i="4" s="1"/>
  <c r="V409" i="4"/>
  <c r="V410" i="4"/>
  <c r="V411" i="4"/>
  <c r="X412" i="4" s="1"/>
  <c r="V412" i="4"/>
  <c r="V413" i="4"/>
  <c r="V414" i="4"/>
  <c r="V415" i="4"/>
  <c r="X416" i="4" s="1"/>
  <c r="V416" i="4"/>
  <c r="V417" i="4"/>
  <c r="V418" i="4"/>
  <c r="V419" i="4"/>
  <c r="X420" i="4" s="1"/>
  <c r="V420" i="4"/>
  <c r="V421" i="4"/>
  <c r="V422" i="4"/>
  <c r="V423" i="4"/>
  <c r="X424" i="4" s="1"/>
  <c r="V424" i="4"/>
  <c r="X425" i="4" s="1"/>
  <c r="V425" i="4"/>
  <c r="V426" i="4"/>
  <c r="V427" i="4"/>
  <c r="X428" i="4" s="1"/>
  <c r="V428" i="4"/>
  <c r="V429" i="4"/>
  <c r="V430" i="4"/>
  <c r="V431" i="4"/>
  <c r="X432" i="4" s="1"/>
  <c r="V432" i="4"/>
  <c r="V433" i="4"/>
  <c r="V434" i="4"/>
  <c r="V435" i="4"/>
  <c r="X436" i="4" s="1"/>
  <c r="V436" i="4"/>
  <c r="V437" i="4"/>
  <c r="V438" i="4"/>
  <c r="V439" i="4"/>
  <c r="X440" i="4" s="1"/>
  <c r="V440" i="4"/>
  <c r="X441" i="4" s="1"/>
  <c r="V441" i="4"/>
  <c r="V442" i="4"/>
  <c r="V443" i="4"/>
  <c r="X444" i="4" s="1"/>
  <c r="V444" i="4"/>
  <c r="V445" i="4"/>
  <c r="V446" i="4"/>
  <c r="V447" i="4"/>
  <c r="X448" i="4" s="1"/>
  <c r="V448" i="4"/>
  <c r="V449" i="4"/>
  <c r="V450" i="4"/>
  <c r="V451" i="4"/>
  <c r="X452" i="4" s="1"/>
  <c r="V452" i="4"/>
  <c r="U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U106" i="4"/>
  <c r="U107" i="4"/>
  <c r="U108" i="4"/>
  <c r="U109" i="4"/>
  <c r="U110" i="4"/>
  <c r="U111" i="4"/>
  <c r="U112" i="4"/>
  <c r="U113" i="4"/>
  <c r="U114" i="4"/>
  <c r="U115" i="4"/>
  <c r="U116" i="4"/>
  <c r="U117" i="4"/>
  <c r="U118" i="4"/>
  <c r="U119" i="4"/>
  <c r="U120" i="4"/>
  <c r="U121" i="4"/>
  <c r="U122" i="4"/>
  <c r="U123" i="4"/>
  <c r="U124" i="4"/>
  <c r="U125" i="4"/>
  <c r="U126" i="4"/>
  <c r="U127" i="4"/>
  <c r="U128" i="4"/>
  <c r="U129" i="4"/>
  <c r="U130" i="4"/>
  <c r="U131" i="4"/>
  <c r="U132" i="4"/>
  <c r="U133" i="4"/>
  <c r="U134" i="4"/>
  <c r="U135" i="4"/>
  <c r="U136" i="4"/>
  <c r="U137" i="4"/>
  <c r="U138" i="4"/>
  <c r="U139" i="4"/>
  <c r="U140" i="4"/>
  <c r="U141" i="4"/>
  <c r="U142" i="4"/>
  <c r="U143" i="4"/>
  <c r="U144" i="4"/>
  <c r="U145" i="4"/>
  <c r="U146" i="4"/>
  <c r="U147" i="4"/>
  <c r="U148" i="4"/>
  <c r="U149" i="4"/>
  <c r="U150" i="4"/>
  <c r="U151" i="4"/>
  <c r="U152" i="4"/>
  <c r="U153" i="4"/>
  <c r="U154" i="4"/>
  <c r="U155" i="4"/>
  <c r="U156" i="4"/>
  <c r="U157" i="4"/>
  <c r="U158" i="4"/>
  <c r="U159" i="4"/>
  <c r="U160" i="4"/>
  <c r="U161" i="4"/>
  <c r="U162" i="4"/>
  <c r="U163" i="4"/>
  <c r="U164" i="4"/>
  <c r="U165" i="4"/>
  <c r="U166" i="4"/>
  <c r="U167" i="4"/>
  <c r="U168" i="4"/>
  <c r="U169" i="4"/>
  <c r="U170" i="4"/>
  <c r="U171" i="4"/>
  <c r="U172" i="4"/>
  <c r="U173" i="4"/>
  <c r="U174" i="4"/>
  <c r="U175" i="4"/>
  <c r="U176" i="4"/>
  <c r="U177" i="4"/>
  <c r="U178" i="4"/>
  <c r="U179" i="4"/>
  <c r="U180" i="4"/>
  <c r="U181" i="4"/>
  <c r="U182" i="4"/>
  <c r="U183" i="4"/>
  <c r="U184" i="4"/>
  <c r="U185" i="4"/>
  <c r="U186" i="4"/>
  <c r="U187" i="4"/>
  <c r="U188" i="4"/>
  <c r="U189" i="4"/>
  <c r="U190" i="4"/>
  <c r="U191" i="4"/>
  <c r="U192" i="4"/>
  <c r="U193" i="4"/>
  <c r="U194" i="4"/>
  <c r="U195" i="4"/>
  <c r="U196" i="4"/>
  <c r="U197" i="4"/>
  <c r="U198" i="4"/>
  <c r="U199" i="4"/>
  <c r="U200" i="4"/>
  <c r="U201" i="4"/>
  <c r="U202" i="4"/>
  <c r="U203" i="4"/>
  <c r="U204" i="4"/>
  <c r="U205" i="4"/>
  <c r="U206" i="4"/>
  <c r="U207" i="4"/>
  <c r="U208" i="4"/>
  <c r="U209" i="4"/>
  <c r="U210" i="4"/>
  <c r="U211" i="4"/>
  <c r="U212" i="4"/>
  <c r="U213" i="4"/>
  <c r="U214" i="4"/>
  <c r="U215" i="4"/>
  <c r="U216" i="4"/>
  <c r="U217" i="4"/>
  <c r="U218" i="4"/>
  <c r="U219" i="4"/>
  <c r="U220" i="4"/>
  <c r="U221" i="4"/>
  <c r="U222" i="4"/>
  <c r="U223" i="4"/>
  <c r="U224" i="4"/>
  <c r="U225" i="4"/>
  <c r="U226" i="4"/>
  <c r="U227" i="4"/>
  <c r="U228" i="4"/>
  <c r="U229" i="4"/>
  <c r="U230" i="4"/>
  <c r="U231" i="4"/>
  <c r="U232" i="4"/>
  <c r="U233" i="4"/>
  <c r="U234" i="4"/>
  <c r="U235" i="4"/>
  <c r="U236" i="4"/>
  <c r="U237" i="4"/>
  <c r="U238" i="4"/>
  <c r="U239" i="4"/>
  <c r="U240" i="4"/>
  <c r="U241" i="4"/>
  <c r="U242" i="4"/>
  <c r="U243" i="4"/>
  <c r="U244" i="4"/>
  <c r="U245" i="4"/>
  <c r="U246" i="4"/>
  <c r="U247" i="4"/>
  <c r="U248" i="4"/>
  <c r="U249" i="4"/>
  <c r="U250" i="4"/>
  <c r="U251" i="4"/>
  <c r="U252" i="4"/>
  <c r="U253" i="4"/>
  <c r="U254" i="4"/>
  <c r="U255" i="4"/>
  <c r="U256" i="4"/>
  <c r="U257" i="4"/>
  <c r="U258" i="4"/>
  <c r="U259" i="4"/>
  <c r="U260" i="4"/>
  <c r="U261" i="4"/>
  <c r="U262" i="4"/>
  <c r="U263" i="4"/>
  <c r="U264" i="4"/>
  <c r="U265" i="4"/>
  <c r="U266" i="4"/>
  <c r="U267" i="4"/>
  <c r="U268" i="4"/>
  <c r="U269" i="4"/>
  <c r="U270" i="4"/>
  <c r="U271" i="4"/>
  <c r="U272" i="4"/>
  <c r="U273" i="4"/>
  <c r="U274" i="4"/>
  <c r="U275" i="4"/>
  <c r="U276" i="4"/>
  <c r="U277" i="4"/>
  <c r="U278" i="4"/>
  <c r="U279" i="4"/>
  <c r="U280" i="4"/>
  <c r="U281" i="4"/>
  <c r="U282" i="4"/>
  <c r="U283" i="4"/>
  <c r="U284" i="4"/>
  <c r="U285" i="4"/>
  <c r="U286" i="4"/>
  <c r="U287" i="4"/>
  <c r="U288" i="4"/>
  <c r="U289" i="4"/>
  <c r="U290" i="4"/>
  <c r="U291" i="4"/>
  <c r="U292" i="4"/>
  <c r="U293" i="4"/>
  <c r="U294" i="4"/>
  <c r="U295" i="4"/>
  <c r="U296" i="4"/>
  <c r="U297" i="4"/>
  <c r="U298" i="4"/>
  <c r="U299" i="4"/>
  <c r="U300" i="4"/>
  <c r="U301" i="4"/>
  <c r="U302" i="4"/>
  <c r="U303" i="4"/>
  <c r="U304" i="4"/>
  <c r="U305" i="4"/>
  <c r="U306" i="4"/>
  <c r="U307" i="4"/>
  <c r="U308" i="4"/>
  <c r="U309" i="4"/>
  <c r="U310" i="4"/>
  <c r="U311" i="4"/>
  <c r="U312" i="4"/>
  <c r="U313" i="4"/>
  <c r="U314" i="4"/>
  <c r="U315" i="4"/>
  <c r="U316" i="4"/>
  <c r="U317" i="4"/>
  <c r="U318" i="4"/>
  <c r="U319" i="4"/>
  <c r="U320" i="4"/>
  <c r="U321" i="4"/>
  <c r="U322" i="4"/>
  <c r="U323" i="4"/>
  <c r="U324" i="4"/>
  <c r="U325" i="4"/>
  <c r="U326" i="4"/>
  <c r="U327" i="4"/>
  <c r="U328" i="4"/>
  <c r="U329" i="4"/>
  <c r="U330" i="4"/>
  <c r="U331" i="4"/>
  <c r="U332" i="4"/>
  <c r="U333" i="4"/>
  <c r="U334" i="4"/>
  <c r="U335" i="4"/>
  <c r="U336" i="4"/>
  <c r="U337" i="4"/>
  <c r="U338" i="4"/>
  <c r="U339" i="4"/>
  <c r="U340" i="4"/>
  <c r="U341" i="4"/>
  <c r="U342" i="4"/>
  <c r="U343" i="4"/>
  <c r="U344" i="4"/>
  <c r="U345" i="4"/>
  <c r="U346" i="4"/>
  <c r="U347" i="4"/>
  <c r="U348" i="4"/>
  <c r="U349" i="4"/>
  <c r="U350" i="4"/>
  <c r="U351" i="4"/>
  <c r="U352" i="4"/>
  <c r="U353" i="4"/>
  <c r="U354" i="4"/>
  <c r="U355" i="4"/>
  <c r="U356" i="4"/>
  <c r="U357" i="4"/>
  <c r="U358" i="4"/>
  <c r="U359" i="4"/>
  <c r="U360" i="4"/>
  <c r="U361" i="4"/>
  <c r="U362" i="4"/>
  <c r="U363" i="4"/>
  <c r="U364" i="4"/>
  <c r="U365" i="4"/>
  <c r="U366" i="4"/>
  <c r="U367" i="4"/>
  <c r="U368" i="4"/>
  <c r="U369" i="4"/>
  <c r="U370" i="4"/>
  <c r="U371" i="4"/>
  <c r="U372" i="4"/>
  <c r="U373" i="4"/>
  <c r="U374" i="4"/>
  <c r="U375" i="4"/>
  <c r="U376" i="4"/>
  <c r="U377" i="4"/>
  <c r="U378" i="4"/>
  <c r="U379" i="4"/>
  <c r="U380" i="4"/>
  <c r="U381" i="4"/>
  <c r="U382" i="4"/>
  <c r="U383" i="4"/>
  <c r="U384" i="4"/>
  <c r="U385" i="4"/>
  <c r="U386" i="4"/>
  <c r="U387" i="4"/>
  <c r="U388" i="4"/>
  <c r="U389" i="4"/>
  <c r="U390" i="4"/>
  <c r="U391" i="4"/>
  <c r="U392" i="4"/>
  <c r="U393" i="4"/>
  <c r="U394" i="4"/>
  <c r="U395" i="4"/>
  <c r="U396" i="4"/>
  <c r="U397" i="4"/>
  <c r="U398" i="4"/>
  <c r="U399" i="4"/>
  <c r="U400" i="4"/>
  <c r="U401" i="4"/>
  <c r="U402" i="4"/>
  <c r="U403" i="4"/>
  <c r="U404" i="4"/>
  <c r="U405" i="4"/>
  <c r="U406" i="4"/>
  <c r="U407" i="4"/>
  <c r="U408" i="4"/>
  <c r="U409" i="4"/>
  <c r="U410" i="4"/>
  <c r="U411" i="4"/>
  <c r="U412" i="4"/>
  <c r="U413" i="4"/>
  <c r="U414" i="4"/>
  <c r="U415" i="4"/>
  <c r="U416" i="4"/>
  <c r="U417" i="4"/>
  <c r="U418" i="4"/>
  <c r="U419" i="4"/>
  <c r="U420" i="4"/>
  <c r="U421" i="4"/>
  <c r="U422" i="4"/>
  <c r="U423" i="4"/>
  <c r="U424" i="4"/>
  <c r="U425" i="4"/>
  <c r="U426" i="4"/>
  <c r="U427" i="4"/>
  <c r="U428" i="4"/>
  <c r="U429" i="4"/>
  <c r="U430" i="4"/>
  <c r="U431" i="4"/>
  <c r="U432" i="4"/>
  <c r="U433" i="4"/>
  <c r="U434" i="4"/>
  <c r="U435" i="4"/>
  <c r="U436" i="4"/>
  <c r="U437" i="4"/>
  <c r="U438" i="4"/>
  <c r="U439" i="4"/>
  <c r="U440" i="4"/>
  <c r="U441" i="4"/>
  <c r="U442" i="4"/>
  <c r="U443" i="4"/>
  <c r="U444" i="4"/>
  <c r="U445" i="4"/>
  <c r="U446" i="4"/>
  <c r="U447" i="4"/>
  <c r="U448" i="4"/>
  <c r="U449" i="4"/>
  <c r="U450" i="4"/>
  <c r="U451" i="4"/>
  <c r="U452" i="4"/>
  <c r="W2" i="4"/>
  <c r="V2" i="4"/>
  <c r="U2" i="4"/>
  <c r="B2" i="9"/>
  <c r="A2" i="9"/>
  <c r="W2" i="3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V2" i="3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X335" i="3" s="1"/>
  <c r="V335" i="3"/>
  <c r="V336" i="3"/>
  <c r="V337" i="3"/>
  <c r="V338" i="3"/>
  <c r="X339" i="3" s="1"/>
  <c r="V339" i="3"/>
  <c r="V340" i="3"/>
  <c r="V341" i="3"/>
  <c r="V342" i="3"/>
  <c r="X343" i="3" s="1"/>
  <c r="V343" i="3"/>
  <c r="V344" i="3"/>
  <c r="V345" i="3"/>
  <c r="V346" i="3"/>
  <c r="X347" i="3" s="1"/>
  <c r="V347" i="3"/>
  <c r="V348" i="3"/>
  <c r="V349" i="3"/>
  <c r="V350" i="3"/>
  <c r="X351" i="3" s="1"/>
  <c r="V351" i="3"/>
  <c r="V352" i="3"/>
  <c r="V353" i="3"/>
  <c r="V354" i="3"/>
  <c r="X355" i="3" s="1"/>
  <c r="V355" i="3"/>
  <c r="V356" i="3"/>
  <c r="V357" i="3"/>
  <c r="V358" i="3"/>
  <c r="X359" i="3" s="1"/>
  <c r="V359" i="3"/>
  <c r="V360" i="3"/>
  <c r="V361" i="3"/>
  <c r="V362" i="3"/>
  <c r="X363" i="3" s="1"/>
  <c r="V363" i="3"/>
  <c r="V364" i="3"/>
  <c r="V365" i="3"/>
  <c r="V366" i="3"/>
  <c r="X367" i="3" s="1"/>
  <c r="V367" i="3"/>
  <c r="V368" i="3"/>
  <c r="V369" i="3"/>
  <c r="V370" i="3"/>
  <c r="X371" i="3" s="1"/>
  <c r="V371" i="3"/>
  <c r="V372" i="3"/>
  <c r="V373" i="3"/>
  <c r="V374" i="3"/>
  <c r="X375" i="3" s="1"/>
  <c r="V375" i="3"/>
  <c r="V376" i="3"/>
  <c r="V377" i="3"/>
  <c r="V378" i="3"/>
  <c r="X379" i="3" s="1"/>
  <c r="V379" i="3"/>
  <c r="V380" i="3"/>
  <c r="V381" i="3"/>
  <c r="V382" i="3"/>
  <c r="X383" i="3" s="1"/>
  <c r="V383" i="3"/>
  <c r="V384" i="3"/>
  <c r="V385" i="3"/>
  <c r="V386" i="3"/>
  <c r="X387" i="3" s="1"/>
  <c r="V387" i="3"/>
  <c r="V388" i="3"/>
  <c r="V389" i="3"/>
  <c r="V390" i="3"/>
  <c r="X391" i="3" s="1"/>
  <c r="V391" i="3"/>
  <c r="V392" i="3"/>
  <c r="V393" i="3"/>
  <c r="V394" i="3"/>
  <c r="X395" i="3" s="1"/>
  <c r="V395" i="3"/>
  <c r="V396" i="3"/>
  <c r="V397" i="3"/>
  <c r="V398" i="3"/>
  <c r="X399" i="3" s="1"/>
  <c r="V399" i="3"/>
  <c r="V400" i="3"/>
  <c r="V401" i="3"/>
  <c r="V402" i="3"/>
  <c r="X403" i="3" s="1"/>
  <c r="V403" i="3"/>
  <c r="V404" i="3"/>
  <c r="V405" i="3"/>
  <c r="V406" i="3"/>
  <c r="X407" i="3" s="1"/>
  <c r="V407" i="3"/>
  <c r="V408" i="3"/>
  <c r="V409" i="3"/>
  <c r="V410" i="3"/>
  <c r="X411" i="3" s="1"/>
  <c r="V411" i="3"/>
  <c r="V412" i="3"/>
  <c r="V413" i="3"/>
  <c r="V414" i="3"/>
  <c r="X415" i="3" s="1"/>
  <c r="V415" i="3"/>
  <c r="V416" i="3"/>
  <c r="V417" i="3"/>
  <c r="V418" i="3"/>
  <c r="X419" i="3" s="1"/>
  <c r="V419" i="3"/>
  <c r="V420" i="3"/>
  <c r="V421" i="3"/>
  <c r="V422" i="3"/>
  <c r="X423" i="3" s="1"/>
  <c r="V423" i="3"/>
  <c r="V424" i="3"/>
  <c r="V425" i="3"/>
  <c r="V426" i="3"/>
  <c r="X427" i="3" s="1"/>
  <c r="V427" i="3"/>
  <c r="V428" i="3"/>
  <c r="V429" i="3"/>
  <c r="V430" i="3"/>
  <c r="X431" i="3" s="1"/>
  <c r="V431" i="3"/>
  <c r="V432" i="3"/>
  <c r="V433" i="3"/>
  <c r="V434" i="3"/>
  <c r="X435" i="3" s="1"/>
  <c r="V435" i="3"/>
  <c r="V436" i="3"/>
  <c r="V437" i="3"/>
  <c r="V438" i="3"/>
  <c r="X439" i="3" s="1"/>
  <c r="V439" i="3"/>
  <c r="V440" i="3"/>
  <c r="V441" i="3"/>
  <c r="V442" i="3"/>
  <c r="X443" i="3" s="1"/>
  <c r="V443" i="3"/>
  <c r="V444" i="3"/>
  <c r="V445" i="3"/>
  <c r="V446" i="3"/>
  <c r="X447" i="3" s="1"/>
  <c r="V447" i="3"/>
  <c r="V448" i="3"/>
  <c r="V449" i="3"/>
  <c r="V450" i="3"/>
  <c r="X451" i="3" s="1"/>
  <c r="V451" i="3"/>
  <c r="V452" i="3"/>
  <c r="U2" i="3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V2" i="1"/>
  <c r="X2" i="1" s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X451" i="5" l="1"/>
  <c r="X447" i="5"/>
  <c r="X443" i="5"/>
  <c r="X439" i="5"/>
  <c r="X435" i="5"/>
  <c r="X431" i="5"/>
  <c r="X427" i="5"/>
  <c r="X423" i="5"/>
  <c r="X419" i="5"/>
  <c r="X415" i="5"/>
  <c r="X411" i="5"/>
  <c r="X407" i="5"/>
  <c r="X403" i="5"/>
  <c r="X399" i="5"/>
  <c r="X395" i="5"/>
  <c r="X391" i="5"/>
  <c r="X387" i="5"/>
  <c r="X383" i="5"/>
  <c r="X379" i="5"/>
  <c r="X375" i="5"/>
  <c r="X371" i="5"/>
  <c r="X367" i="5"/>
  <c r="X363" i="5"/>
  <c r="X359" i="5"/>
  <c r="X355" i="5"/>
  <c r="X351" i="5"/>
  <c r="X347" i="5"/>
  <c r="X343" i="5"/>
  <c r="X339" i="5"/>
  <c r="X335" i="5"/>
  <c r="X331" i="5"/>
  <c r="X327" i="5"/>
  <c r="X323" i="5"/>
  <c r="X319" i="5"/>
  <c r="X315" i="5"/>
  <c r="X311" i="5"/>
  <c r="X307" i="5"/>
  <c r="X303" i="5"/>
  <c r="X299" i="5"/>
  <c r="X295" i="5"/>
  <c r="X291" i="5"/>
  <c r="X287" i="5"/>
  <c r="X283" i="5"/>
  <c r="X279" i="5"/>
  <c r="X275" i="5"/>
  <c r="X271" i="5"/>
  <c r="X267" i="5"/>
  <c r="X263" i="5"/>
  <c r="X259" i="5"/>
  <c r="X255" i="5"/>
  <c r="X251" i="5"/>
  <c r="X247" i="5"/>
  <c r="X243" i="5"/>
  <c r="X239" i="5"/>
  <c r="X235" i="5"/>
  <c r="X231" i="5"/>
  <c r="X227" i="5"/>
  <c r="X223" i="5"/>
  <c r="X219" i="5"/>
  <c r="X215" i="5"/>
  <c r="X211" i="5"/>
  <c r="X207" i="5"/>
  <c r="X203" i="5"/>
  <c r="X199" i="5"/>
  <c r="X195" i="5"/>
  <c r="X191" i="5"/>
  <c r="X187" i="5"/>
  <c r="X183" i="5"/>
  <c r="X179" i="5"/>
  <c r="X175" i="5"/>
  <c r="X171" i="5"/>
  <c r="X167" i="5"/>
  <c r="X163" i="5"/>
  <c r="X159" i="5"/>
  <c r="X155" i="5"/>
  <c r="X151" i="5"/>
  <c r="X147" i="5"/>
  <c r="X143" i="5"/>
  <c r="X139" i="5"/>
  <c r="X135" i="5"/>
  <c r="X131" i="5"/>
  <c r="X127" i="5"/>
  <c r="X123" i="5"/>
  <c r="X119" i="5"/>
  <c r="X115" i="5"/>
  <c r="X111" i="5"/>
  <c r="X107" i="5"/>
  <c r="X103" i="5"/>
  <c r="X99" i="5"/>
  <c r="X95" i="5"/>
  <c r="X91" i="5"/>
  <c r="X87" i="5"/>
  <c r="X83" i="5"/>
  <c r="X79" i="5"/>
  <c r="X75" i="5"/>
  <c r="X71" i="5"/>
  <c r="X67" i="5"/>
  <c r="X63" i="5"/>
  <c r="X59" i="5"/>
  <c r="X55" i="5"/>
  <c r="X51" i="5"/>
  <c r="X47" i="5"/>
  <c r="X43" i="5"/>
  <c r="X39" i="5"/>
  <c r="X35" i="5"/>
  <c r="X31" i="5"/>
  <c r="X27" i="5"/>
  <c r="X23" i="5"/>
  <c r="X19" i="5"/>
  <c r="X15" i="5"/>
  <c r="X11" i="5"/>
  <c r="X44" i="6"/>
  <c r="X40" i="6"/>
  <c r="X36" i="6"/>
  <c r="X32" i="6"/>
  <c r="X36" i="7"/>
  <c r="X32" i="7"/>
  <c r="X28" i="7"/>
  <c r="X24" i="7"/>
  <c r="X20" i="7"/>
  <c r="X16" i="7"/>
  <c r="X12" i="7"/>
  <c r="X8" i="7"/>
  <c r="X4" i="7"/>
  <c r="X450" i="6"/>
  <c r="X446" i="6"/>
  <c r="X442" i="6"/>
  <c r="X438" i="6"/>
  <c r="X434" i="6"/>
  <c r="X430" i="6"/>
  <c r="X426" i="6"/>
  <c r="X422" i="6"/>
  <c r="X418" i="6"/>
  <c r="X414" i="6"/>
  <c r="X410" i="6"/>
  <c r="X406" i="6"/>
  <c r="X402" i="6"/>
  <c r="X398" i="6"/>
  <c r="X394" i="6"/>
  <c r="X390" i="6"/>
  <c r="X386" i="6"/>
  <c r="X382" i="6"/>
  <c r="X378" i="6"/>
  <c r="X374" i="6"/>
  <c r="X370" i="6"/>
  <c r="X366" i="6"/>
  <c r="X362" i="6"/>
  <c r="X358" i="6"/>
  <c r="X354" i="6"/>
  <c r="X350" i="6"/>
  <c r="X346" i="6"/>
  <c r="X342" i="6"/>
  <c r="X338" i="6"/>
  <c r="X449" i="3"/>
  <c r="X445" i="3"/>
  <c r="X441" i="3"/>
  <c r="X437" i="3"/>
  <c r="X433" i="3"/>
  <c r="X429" i="3"/>
  <c r="X425" i="3"/>
  <c r="X421" i="3"/>
  <c r="X417" i="3"/>
  <c r="X413" i="3"/>
  <c r="X409" i="3"/>
  <c r="X405" i="3"/>
  <c r="X401" i="3"/>
  <c r="X397" i="3"/>
  <c r="X329" i="3"/>
  <c r="X325" i="3"/>
  <c r="X313" i="3"/>
  <c r="X309" i="3"/>
  <c r="X297" i="3"/>
  <c r="X293" i="3"/>
  <c r="X281" i="3"/>
  <c r="X277" i="3"/>
  <c r="X265" i="3"/>
  <c r="X261" i="3"/>
  <c r="X249" i="3"/>
  <c r="X245" i="3"/>
  <c r="X233" i="3"/>
  <c r="X229" i="3"/>
  <c r="X217" i="3"/>
  <c r="X213" i="3"/>
  <c r="X201" i="3"/>
  <c r="X197" i="3"/>
  <c r="X185" i="3"/>
  <c r="X181" i="3"/>
  <c r="X169" i="3"/>
  <c r="X165" i="3"/>
  <c r="X153" i="3"/>
  <c r="X149" i="3"/>
  <c r="X137" i="3"/>
  <c r="X133" i="3"/>
  <c r="X121" i="3"/>
  <c r="X117" i="3"/>
  <c r="X105" i="3"/>
  <c r="X101" i="3"/>
  <c r="X89" i="3"/>
  <c r="X85" i="3"/>
  <c r="X73" i="3"/>
  <c r="X69" i="3"/>
  <c r="X57" i="3"/>
  <c r="X53" i="3"/>
  <c r="X41" i="3"/>
  <c r="X37" i="3"/>
  <c r="X25" i="3"/>
  <c r="X21" i="3"/>
  <c r="X9" i="3"/>
  <c r="X5" i="3"/>
  <c r="X449" i="4"/>
  <c r="X445" i="4"/>
  <c r="X437" i="4"/>
  <c r="X433" i="4"/>
  <c r="X429" i="4"/>
  <c r="X421" i="4"/>
  <c r="X417" i="4"/>
  <c r="X413" i="4"/>
  <c r="X405" i="4"/>
  <c r="X401" i="4"/>
  <c r="X397" i="4"/>
  <c r="X389" i="4"/>
  <c r="X385" i="4"/>
  <c r="X381" i="4"/>
  <c r="X377" i="4"/>
  <c r="X373" i="4"/>
  <c r="X369" i="4"/>
  <c r="X365" i="4"/>
  <c r="X357" i="4"/>
  <c r="X353" i="4"/>
  <c r="X349" i="4"/>
  <c r="X341" i="4"/>
  <c r="X337" i="4"/>
  <c r="X333" i="4"/>
  <c r="X325" i="4"/>
  <c r="X321" i="4"/>
  <c r="X317" i="4"/>
  <c r="X309" i="4"/>
  <c r="X301" i="4"/>
  <c r="X293" i="4"/>
  <c r="X289" i="4"/>
  <c r="X285" i="4"/>
  <c r="X281" i="4"/>
  <c r="X277" i="4"/>
  <c r="X273" i="4"/>
  <c r="X265" i="4"/>
  <c r="X261" i="4"/>
  <c r="X257" i="4"/>
  <c r="X253" i="4"/>
  <c r="X245" i="4"/>
  <c r="X237" i="4"/>
  <c r="X229" i="4"/>
  <c r="X225" i="4"/>
  <c r="X221" i="4"/>
  <c r="X217" i="4"/>
  <c r="X213" i="4"/>
  <c r="X209" i="4"/>
  <c r="X201" i="4"/>
  <c r="X197" i="4"/>
  <c r="X193" i="4"/>
  <c r="X189" i="4"/>
  <c r="X185" i="4"/>
  <c r="X181" i="4"/>
  <c r="X177" i="4"/>
  <c r="X173" i="4"/>
  <c r="X165" i="4"/>
  <c r="X157" i="4"/>
  <c r="X153" i="4"/>
  <c r="X149" i="4"/>
  <c r="X145" i="4"/>
  <c r="X141" i="4"/>
  <c r="X133" i="4"/>
  <c r="X125" i="4"/>
  <c r="X121" i="4"/>
  <c r="X117" i="4"/>
  <c r="X113" i="4"/>
  <c r="X109" i="4"/>
  <c r="X101" i="4"/>
  <c r="X93" i="4"/>
  <c r="X89" i="4"/>
  <c r="X85" i="4"/>
  <c r="X81" i="4"/>
  <c r="X77" i="4"/>
  <c r="X69" i="4"/>
  <c r="X61" i="4"/>
  <c r="X53" i="4"/>
  <c r="X37" i="4"/>
  <c r="X33" i="4"/>
  <c r="X21" i="4"/>
  <c r="X17" i="4"/>
  <c r="X5" i="4"/>
  <c r="X3" i="5"/>
  <c r="X335" i="6"/>
  <c r="Q2" i="9"/>
  <c r="P2" i="9"/>
  <c r="O2" i="9"/>
  <c r="R2" i="9"/>
  <c r="N2" i="9"/>
  <c r="X450" i="3"/>
  <c r="X446" i="3"/>
  <c r="X442" i="3"/>
  <c r="X438" i="3"/>
  <c r="X434" i="3"/>
  <c r="X430" i="3"/>
  <c r="X426" i="3"/>
  <c r="X422" i="3"/>
  <c r="X418" i="3"/>
  <c r="X414" i="3"/>
  <c r="X410" i="3"/>
  <c r="X406" i="3"/>
  <c r="X402" i="3"/>
  <c r="X398" i="3"/>
  <c r="X394" i="3"/>
  <c r="X390" i="3"/>
  <c r="X386" i="3"/>
  <c r="X382" i="3"/>
  <c r="X378" i="3"/>
  <c r="X374" i="3"/>
  <c r="X370" i="3"/>
  <c r="X366" i="3"/>
  <c r="X362" i="3"/>
  <c r="X358" i="3"/>
  <c r="X354" i="3"/>
  <c r="X350" i="3"/>
  <c r="X346" i="3"/>
  <c r="X342" i="3"/>
  <c r="X338" i="3"/>
  <c r="X334" i="3"/>
  <c r="X330" i="3"/>
  <c r="X326" i="3"/>
  <c r="X322" i="3"/>
  <c r="X318" i="3"/>
  <c r="X314" i="3"/>
  <c r="X310" i="3"/>
  <c r="X306" i="3"/>
  <c r="X302" i="3"/>
  <c r="X298" i="3"/>
  <c r="X294" i="3"/>
  <c r="X290" i="3"/>
  <c r="X286" i="3"/>
  <c r="X282" i="3"/>
  <c r="X278" i="3"/>
  <c r="X274" i="3"/>
  <c r="X270" i="3"/>
  <c r="X266" i="3"/>
  <c r="X262" i="3"/>
  <c r="X258" i="3"/>
  <c r="X254" i="3"/>
  <c r="X250" i="3"/>
  <c r="X246" i="3"/>
  <c r="X242" i="3"/>
  <c r="X238" i="3"/>
  <c r="X234" i="3"/>
  <c r="X230" i="3"/>
  <c r="X226" i="3"/>
  <c r="X222" i="3"/>
  <c r="X218" i="3"/>
  <c r="X214" i="3"/>
  <c r="X210" i="3"/>
  <c r="X206" i="3"/>
  <c r="X202" i="3"/>
  <c r="X198" i="3"/>
  <c r="X194" i="3"/>
  <c r="X190" i="3"/>
  <c r="X186" i="3"/>
  <c r="X182" i="3"/>
  <c r="X178" i="3"/>
  <c r="X174" i="3"/>
  <c r="X170" i="3"/>
  <c r="X166" i="3"/>
  <c r="X162" i="3"/>
  <c r="X158" i="3"/>
  <c r="X154" i="3"/>
  <c r="X150" i="3"/>
  <c r="X146" i="3"/>
  <c r="X142" i="3"/>
  <c r="X138" i="3"/>
  <c r="X134" i="3"/>
  <c r="X130" i="3"/>
  <c r="X126" i="3"/>
  <c r="X122" i="3"/>
  <c r="X118" i="3"/>
  <c r="X114" i="3"/>
  <c r="X110" i="3"/>
  <c r="X106" i="3"/>
  <c r="X102" i="3"/>
  <c r="X98" i="3"/>
  <c r="X94" i="3"/>
  <c r="X90" i="3"/>
  <c r="X86" i="3"/>
  <c r="X82" i="3"/>
  <c r="X78" i="3"/>
  <c r="X451" i="4"/>
  <c r="X435" i="4"/>
  <c r="X419" i="4"/>
  <c r="X403" i="4"/>
  <c r="X387" i="4"/>
  <c r="X371" i="4"/>
  <c r="X450" i="1"/>
  <c r="X446" i="1"/>
  <c r="X442" i="1"/>
  <c r="X438" i="1"/>
  <c r="X434" i="1"/>
  <c r="X430" i="1"/>
  <c r="X426" i="1"/>
  <c r="X422" i="1"/>
  <c r="X418" i="1"/>
  <c r="X414" i="1"/>
  <c r="X410" i="1"/>
  <c r="X406" i="1"/>
  <c r="X402" i="1"/>
  <c r="X398" i="1"/>
  <c r="X394" i="1"/>
  <c r="X390" i="1"/>
  <c r="X386" i="1"/>
  <c r="X382" i="1"/>
  <c r="X378" i="1"/>
  <c r="X374" i="1"/>
  <c r="X370" i="1"/>
  <c r="X366" i="1"/>
  <c r="X362" i="1"/>
  <c r="X358" i="1"/>
  <c r="X354" i="1"/>
  <c r="X350" i="1"/>
  <c r="X346" i="1"/>
  <c r="X342" i="1"/>
  <c r="X338" i="1"/>
  <c r="X334" i="1"/>
  <c r="X330" i="1"/>
  <c r="X326" i="1"/>
  <c r="X322" i="1"/>
  <c r="X318" i="1"/>
  <c r="X314" i="1"/>
  <c r="X310" i="1"/>
  <c r="X306" i="1"/>
  <c r="X302" i="1"/>
  <c r="X298" i="1"/>
  <c r="X294" i="1"/>
  <c r="X290" i="1"/>
  <c r="X286" i="1"/>
  <c r="X282" i="1"/>
  <c r="X278" i="1"/>
  <c r="X274" i="1"/>
  <c r="X270" i="1"/>
  <c r="X266" i="1"/>
  <c r="X262" i="1"/>
  <c r="X258" i="1"/>
  <c r="X254" i="1"/>
  <c r="X250" i="1"/>
  <c r="X246" i="1"/>
  <c r="X242" i="1"/>
  <c r="X238" i="1"/>
  <c r="X234" i="1"/>
  <c r="X230" i="1"/>
  <c r="X226" i="1"/>
  <c r="X222" i="1"/>
  <c r="X218" i="1"/>
  <c r="X214" i="1"/>
  <c r="X210" i="1"/>
  <c r="X206" i="1"/>
  <c r="X202" i="1"/>
  <c r="X198" i="1"/>
  <c r="X194" i="1"/>
  <c r="X190" i="1"/>
  <c r="X186" i="1"/>
  <c r="X182" i="1"/>
  <c r="X178" i="1"/>
  <c r="X174" i="1"/>
  <c r="X170" i="1"/>
  <c r="X166" i="1"/>
  <c r="X162" i="1"/>
  <c r="X158" i="1"/>
  <c r="X154" i="1"/>
  <c r="X150" i="1"/>
  <c r="X146" i="1"/>
  <c r="X142" i="1"/>
  <c r="X138" i="1"/>
  <c r="X134" i="1"/>
  <c r="X130" i="1"/>
  <c r="X126" i="1"/>
  <c r="X122" i="1"/>
  <c r="X118" i="1"/>
  <c r="X114" i="1"/>
  <c r="X110" i="1"/>
  <c r="X106" i="1"/>
  <c r="X102" i="1"/>
  <c r="X98" i="1"/>
  <c r="X94" i="1"/>
  <c r="X90" i="1"/>
  <c r="X86" i="1"/>
  <c r="X82" i="1"/>
  <c r="X78" i="1"/>
  <c r="X74" i="1"/>
  <c r="X70" i="1"/>
  <c r="X66" i="1"/>
  <c r="X62" i="1"/>
  <c r="X58" i="1"/>
  <c r="X54" i="1"/>
  <c r="X50" i="1"/>
  <c r="X46" i="1"/>
  <c r="X42" i="1"/>
  <c r="X38" i="1"/>
  <c r="X34" i="1"/>
  <c r="X30" i="1"/>
  <c r="X26" i="1"/>
  <c r="X22" i="1"/>
  <c r="X18" i="1"/>
  <c r="X14" i="1"/>
  <c r="X10" i="1"/>
  <c r="X6" i="1"/>
  <c r="X452" i="3"/>
  <c r="X448" i="3"/>
  <c r="X444" i="3"/>
  <c r="X440" i="3"/>
  <c r="X436" i="3"/>
  <c r="X432" i="3"/>
  <c r="X428" i="3"/>
  <c r="X424" i="3"/>
  <c r="X420" i="3"/>
  <c r="X416" i="3"/>
  <c r="X412" i="3"/>
  <c r="X408" i="3"/>
  <c r="X404" i="3"/>
  <c r="X400" i="3"/>
  <c r="X396" i="3"/>
  <c r="X392" i="3"/>
  <c r="X388" i="3"/>
  <c r="X384" i="3"/>
  <c r="X380" i="3"/>
  <c r="X376" i="3"/>
  <c r="X74" i="3"/>
  <c r="X70" i="3"/>
  <c r="X66" i="3"/>
  <c r="X62" i="3"/>
  <c r="X58" i="3"/>
  <c r="X54" i="3"/>
  <c r="X50" i="3"/>
  <c r="X46" i="3"/>
  <c r="X42" i="3"/>
  <c r="X38" i="3"/>
  <c r="X34" i="3"/>
  <c r="X30" i="3"/>
  <c r="X26" i="3"/>
  <c r="X22" i="3"/>
  <c r="X18" i="3"/>
  <c r="X14" i="3"/>
  <c r="X10" i="3"/>
  <c r="X6" i="3"/>
  <c r="I2" i="9"/>
  <c r="X447" i="4"/>
  <c r="X443" i="4"/>
  <c r="X439" i="4"/>
  <c r="X431" i="4"/>
  <c r="X427" i="4"/>
  <c r="X423" i="4"/>
  <c r="X415" i="4"/>
  <c r="X411" i="4"/>
  <c r="X407" i="4"/>
  <c r="X399" i="4"/>
  <c r="X395" i="4"/>
  <c r="X391" i="4"/>
  <c r="X383" i="4"/>
  <c r="X379" i="4"/>
  <c r="X375" i="4"/>
  <c r="X367" i="4"/>
  <c r="X363" i="4"/>
  <c r="X398" i="4"/>
  <c r="X334" i="4"/>
  <c r="X254" i="4"/>
  <c r="X226" i="4"/>
  <c r="X198" i="4"/>
  <c r="J2" i="9"/>
  <c r="M2" i="9"/>
  <c r="X442" i="4"/>
  <c r="X426" i="4"/>
  <c r="X410" i="4"/>
  <c r="X394" i="4"/>
  <c r="X378" i="4"/>
  <c r="X362" i="4"/>
  <c r="X346" i="4"/>
  <c r="X330" i="4"/>
  <c r="X306" i="4"/>
  <c r="X270" i="4"/>
  <c r="X242" i="4"/>
  <c r="X206" i="4"/>
  <c r="X414" i="4"/>
  <c r="X350" i="4"/>
  <c r="X190" i="4"/>
  <c r="X62" i="4"/>
  <c r="X7" i="5"/>
  <c r="X372" i="3"/>
  <c r="X368" i="3"/>
  <c r="X364" i="3"/>
  <c r="X360" i="3"/>
  <c r="X356" i="3"/>
  <c r="X352" i="3"/>
  <c r="X348" i="3"/>
  <c r="X344" i="3"/>
  <c r="X340" i="3"/>
  <c r="X336" i="3"/>
  <c r="X332" i="3"/>
  <c r="X328" i="3"/>
  <c r="X324" i="3"/>
  <c r="X320" i="3"/>
  <c r="X316" i="3"/>
  <c r="X312" i="3"/>
  <c r="X308" i="3"/>
  <c r="X304" i="3"/>
  <c r="X300" i="3"/>
  <c r="X296" i="3"/>
  <c r="X292" i="3"/>
  <c r="X288" i="3"/>
  <c r="X284" i="3"/>
  <c r="X280" i="3"/>
  <c r="X276" i="3"/>
  <c r="X272" i="3"/>
  <c r="X268" i="3"/>
  <c r="X264" i="3"/>
  <c r="X260" i="3"/>
  <c r="X256" i="3"/>
  <c r="X252" i="3"/>
  <c r="X248" i="3"/>
  <c r="X244" i="3"/>
  <c r="X240" i="3"/>
  <c r="X236" i="3"/>
  <c r="X232" i="3"/>
  <c r="X228" i="3"/>
  <c r="X224" i="3"/>
  <c r="X220" i="3"/>
  <c r="X216" i="3"/>
  <c r="X212" i="3"/>
  <c r="X208" i="3"/>
  <c r="X204" i="3"/>
  <c r="X200" i="3"/>
  <c r="X196" i="3"/>
  <c r="X192" i="3"/>
  <c r="X188" i="3"/>
  <c r="X184" i="3"/>
  <c r="X180" i="3"/>
  <c r="X176" i="3"/>
  <c r="X172" i="3"/>
  <c r="X168" i="3"/>
  <c r="X164" i="3"/>
  <c r="X160" i="3"/>
  <c r="X156" i="3"/>
  <c r="X152" i="3"/>
  <c r="X148" i="3"/>
  <c r="X144" i="3"/>
  <c r="X140" i="3"/>
  <c r="X136" i="3"/>
  <c r="X132" i="3"/>
  <c r="X128" i="3"/>
  <c r="X124" i="3"/>
  <c r="X120" i="3"/>
  <c r="X116" i="3"/>
  <c r="X112" i="3"/>
  <c r="X108" i="3"/>
  <c r="X104" i="3"/>
  <c r="X100" i="3"/>
  <c r="X96" i="3"/>
  <c r="X92" i="3"/>
  <c r="X88" i="3"/>
  <c r="X84" i="3"/>
  <c r="X80" i="3"/>
  <c r="X76" i="3"/>
  <c r="X72" i="3"/>
  <c r="X68" i="3"/>
  <c r="X64" i="3"/>
  <c r="X60" i="3"/>
  <c r="X56" i="3"/>
  <c r="X52" i="3"/>
  <c r="X48" i="3"/>
  <c r="X44" i="3"/>
  <c r="X40" i="3"/>
  <c r="X36" i="3"/>
  <c r="X32" i="3"/>
  <c r="X28" i="3"/>
  <c r="X24" i="3"/>
  <c r="X20" i="3"/>
  <c r="X16" i="3"/>
  <c r="X12" i="3"/>
  <c r="X8" i="3"/>
  <c r="X4" i="3"/>
  <c r="X430" i="4"/>
  <c r="X366" i="4"/>
  <c r="X94" i="4"/>
  <c r="X449" i="5"/>
  <c r="X445" i="5"/>
  <c r="X441" i="5"/>
  <c r="X437" i="5"/>
  <c r="X433" i="5"/>
  <c r="X429" i="5"/>
  <c r="X425" i="5"/>
  <c r="X421" i="5"/>
  <c r="X417" i="5"/>
  <c r="X413" i="5"/>
  <c r="X409" i="5"/>
  <c r="X405" i="5"/>
  <c r="X401" i="5"/>
  <c r="X397" i="5"/>
  <c r="X393" i="5"/>
  <c r="X389" i="5"/>
  <c r="X385" i="5"/>
  <c r="X381" i="5"/>
  <c r="X377" i="5"/>
  <c r="X373" i="5"/>
  <c r="X369" i="5"/>
  <c r="X365" i="5"/>
  <c r="X361" i="5"/>
  <c r="X357" i="5"/>
  <c r="X353" i="5"/>
  <c r="X349" i="5"/>
  <c r="X345" i="5"/>
  <c r="X341" i="5"/>
  <c r="X337" i="5"/>
  <c r="X333" i="5"/>
  <c r="X329" i="5"/>
  <c r="X325" i="5"/>
  <c r="X321" i="5"/>
  <c r="X317" i="5"/>
  <c r="X313" i="5"/>
  <c r="X309" i="5"/>
  <c r="X305" i="5"/>
  <c r="X301" i="5"/>
  <c r="X297" i="5"/>
  <c r="X293" i="5"/>
  <c r="X289" i="5"/>
  <c r="X285" i="5"/>
  <c r="X281" i="5"/>
  <c r="X277" i="5"/>
  <c r="X273" i="5"/>
  <c r="X269" i="5"/>
  <c r="X265" i="5"/>
  <c r="X261" i="5"/>
  <c r="X257" i="5"/>
  <c r="X253" i="5"/>
  <c r="X249" i="5"/>
  <c r="X245" i="5"/>
  <c r="X241" i="5"/>
  <c r="X237" i="5"/>
  <c r="X233" i="5"/>
  <c r="X229" i="5"/>
  <c r="X225" i="5"/>
  <c r="X221" i="5"/>
  <c r="X217" i="5"/>
  <c r="X213" i="5"/>
  <c r="X209" i="5"/>
  <c r="X205" i="5"/>
  <c r="X201" i="5"/>
  <c r="X197" i="5"/>
  <c r="X193" i="5"/>
  <c r="X189" i="5"/>
  <c r="X185" i="5"/>
  <c r="X181" i="5"/>
  <c r="X177" i="5"/>
  <c r="X173" i="5"/>
  <c r="X169" i="5"/>
  <c r="X165" i="5"/>
  <c r="X161" i="5"/>
  <c r="X157" i="5"/>
  <c r="X153" i="5"/>
  <c r="X149" i="5"/>
  <c r="X145" i="5"/>
  <c r="X141" i="5"/>
  <c r="X137" i="5"/>
  <c r="X133" i="5"/>
  <c r="X129" i="5"/>
  <c r="X125" i="5"/>
  <c r="X121" i="5"/>
  <c r="X117" i="5"/>
  <c r="X113" i="5"/>
  <c r="X109" i="5"/>
  <c r="X105" i="5"/>
  <c r="X101" i="5"/>
  <c r="X97" i="5"/>
  <c r="X93" i="5"/>
  <c r="X89" i="5"/>
  <c r="X85" i="5"/>
  <c r="X81" i="5"/>
  <c r="X77" i="5"/>
  <c r="X73" i="5"/>
  <c r="X69" i="5"/>
  <c r="X65" i="5"/>
  <c r="X61" i="5"/>
  <c r="X57" i="5"/>
  <c r="X53" i="5"/>
  <c r="X49" i="5"/>
  <c r="X45" i="5"/>
  <c r="X41" i="5"/>
  <c r="X37" i="5"/>
  <c r="X33" i="5"/>
  <c r="X29" i="5"/>
  <c r="X25" i="5"/>
  <c r="X21" i="5"/>
  <c r="X17" i="5"/>
  <c r="X13" i="5"/>
  <c r="X9" i="5"/>
  <c r="X365" i="7"/>
  <c r="X361" i="7"/>
  <c r="X357" i="7"/>
  <c r="X353" i="7"/>
  <c r="X349" i="7"/>
  <c r="X345" i="7"/>
  <c r="X341" i="7"/>
  <c r="X337" i="7"/>
  <c r="X333" i="7"/>
  <c r="X329" i="7"/>
  <c r="X325" i="7"/>
  <c r="X321" i="7"/>
  <c r="X317" i="7"/>
  <c r="X313" i="7"/>
  <c r="X451" i="6"/>
  <c r="X447" i="6"/>
  <c r="X443" i="6"/>
  <c r="X439" i="6"/>
  <c r="X435" i="6"/>
  <c r="X431" i="6"/>
  <c r="X427" i="6"/>
  <c r="X423" i="6"/>
  <c r="X419" i="6"/>
  <c r="X415" i="6"/>
  <c r="X411" i="6"/>
  <c r="X407" i="6"/>
  <c r="X403" i="6"/>
  <c r="X399" i="6"/>
  <c r="X395" i="6"/>
  <c r="X391" i="6"/>
  <c r="X387" i="6"/>
  <c r="X383" i="6"/>
  <c r="X379" i="6"/>
  <c r="X375" i="6"/>
  <c r="X371" i="6"/>
  <c r="X367" i="6"/>
  <c r="X363" i="6"/>
  <c r="X359" i="6"/>
  <c r="X355" i="6"/>
  <c r="X351" i="6"/>
  <c r="X347" i="6"/>
  <c r="X343" i="6"/>
  <c r="X339" i="6"/>
  <c r="X318" i="6"/>
  <c r="X314" i="6"/>
  <c r="X310" i="6"/>
  <c r="X306" i="6"/>
  <c r="X302" i="6"/>
  <c r="X298" i="6"/>
  <c r="X294" i="6"/>
  <c r="X290" i="6"/>
  <c r="X286" i="6"/>
  <c r="X282" i="6"/>
  <c r="X278" i="6"/>
  <c r="X274" i="6"/>
  <c r="X270" i="6"/>
  <c r="X266" i="6"/>
  <c r="X262" i="6"/>
  <c r="X258" i="6"/>
  <c r="X254" i="6"/>
  <c r="X250" i="6"/>
  <c r="X246" i="6"/>
  <c r="X242" i="6"/>
  <c r="X238" i="6"/>
  <c r="X234" i="6"/>
  <c r="X230" i="6"/>
  <c r="X226" i="6"/>
  <c r="X222" i="6"/>
  <c r="X218" i="6"/>
  <c r="X214" i="6"/>
  <c r="X210" i="6"/>
  <c r="X206" i="6"/>
  <c r="X202" i="6"/>
  <c r="X198" i="6"/>
  <c r="X194" i="6"/>
  <c r="X190" i="6"/>
  <c r="X186" i="6"/>
  <c r="X182" i="6"/>
  <c r="X178" i="6"/>
  <c r="X174" i="6"/>
  <c r="X170" i="6"/>
  <c r="X166" i="6"/>
  <c r="X162" i="6"/>
  <c r="X158" i="6"/>
  <c r="X154" i="6"/>
  <c r="X150" i="6"/>
  <c r="X146" i="6"/>
  <c r="X142" i="6"/>
  <c r="X138" i="6"/>
  <c r="X134" i="6"/>
  <c r="X130" i="6"/>
  <c r="X126" i="6"/>
  <c r="X122" i="6"/>
  <c r="X118" i="6"/>
  <c r="X114" i="6"/>
  <c r="X110" i="6"/>
  <c r="X106" i="6"/>
  <c r="X102" i="6"/>
  <c r="X98" i="6"/>
  <c r="X94" i="6"/>
  <c r="X90" i="6"/>
  <c r="X86" i="6"/>
  <c r="X82" i="6"/>
  <c r="X78" i="6"/>
  <c r="X74" i="6"/>
  <c r="X70" i="6"/>
  <c r="X66" i="6"/>
  <c r="X62" i="6"/>
  <c r="X58" i="6"/>
  <c r="X54" i="6"/>
  <c r="X50" i="6"/>
  <c r="X46" i="6"/>
  <c r="X42" i="6"/>
  <c r="X38" i="6"/>
  <c r="X34" i="6"/>
  <c r="X26" i="6"/>
  <c r="X22" i="6"/>
  <c r="X18" i="6"/>
  <c r="X14" i="6"/>
  <c r="X10" i="6"/>
  <c r="X6" i="6"/>
  <c r="K2" i="9"/>
  <c r="X446" i="4"/>
  <c r="X382" i="4"/>
  <c r="X318" i="4"/>
  <c r="X290" i="4"/>
  <c r="X262" i="4"/>
  <c r="X126" i="4"/>
  <c r="X22" i="4"/>
  <c r="X350" i="5"/>
  <c r="X346" i="5"/>
  <c r="X342" i="5"/>
  <c r="X338" i="5"/>
  <c r="X334" i="5"/>
  <c r="X330" i="5"/>
  <c r="X326" i="5"/>
  <c r="X322" i="5"/>
  <c r="X318" i="5"/>
  <c r="X314" i="5"/>
  <c r="X310" i="5"/>
  <c r="X306" i="5"/>
  <c r="X302" i="5"/>
  <c r="X298" i="5"/>
  <c r="X294" i="5"/>
  <c r="X290" i="5"/>
  <c r="X286" i="5"/>
  <c r="X282" i="5"/>
  <c r="X278" i="5"/>
  <c r="X274" i="5"/>
  <c r="X270" i="5"/>
  <c r="X266" i="5"/>
  <c r="X262" i="5"/>
  <c r="X258" i="5"/>
  <c r="X254" i="5"/>
  <c r="X250" i="5"/>
  <c r="X246" i="5"/>
  <c r="X242" i="5"/>
  <c r="X238" i="5"/>
  <c r="X234" i="5"/>
  <c r="X230" i="5"/>
  <c r="X226" i="5"/>
  <c r="X222" i="5"/>
  <c r="X218" i="5"/>
  <c r="X214" i="5"/>
  <c r="X210" i="5"/>
  <c r="X206" i="5"/>
  <c r="X202" i="5"/>
  <c r="X198" i="5"/>
  <c r="X194" i="5"/>
  <c r="X190" i="5"/>
  <c r="X186" i="5"/>
  <c r="X182" i="5"/>
  <c r="X178" i="5"/>
  <c r="X174" i="5"/>
  <c r="X170" i="5"/>
  <c r="X166" i="5"/>
  <c r="X162" i="5"/>
  <c r="X158" i="5"/>
  <c r="X154" i="5"/>
  <c r="X150" i="5"/>
  <c r="X146" i="5"/>
  <c r="X142" i="5"/>
  <c r="X138" i="5"/>
  <c r="X134" i="5"/>
  <c r="X130" i="5"/>
  <c r="X126" i="5"/>
  <c r="X122" i="5"/>
  <c r="X118" i="5"/>
  <c r="X114" i="5"/>
  <c r="X110" i="5"/>
  <c r="X106" i="5"/>
  <c r="X102" i="5"/>
  <c r="X98" i="5"/>
  <c r="X94" i="5"/>
  <c r="X90" i="5"/>
  <c r="X86" i="5"/>
  <c r="X82" i="5"/>
  <c r="X78" i="5"/>
  <c r="X74" i="5"/>
  <c r="X70" i="5"/>
  <c r="X66" i="5"/>
  <c r="X62" i="5"/>
  <c r="X58" i="5"/>
  <c r="X54" i="5"/>
  <c r="X50" i="5"/>
  <c r="X46" i="5"/>
  <c r="X42" i="5"/>
  <c r="X38" i="5"/>
  <c r="X34" i="5"/>
  <c r="X30" i="5"/>
  <c r="X26" i="5"/>
  <c r="X22" i="5"/>
  <c r="X18" i="5"/>
  <c r="X14" i="5"/>
  <c r="X10" i="5"/>
  <c r="X6" i="5"/>
  <c r="X450" i="7"/>
  <c r="X446" i="7"/>
  <c r="X442" i="7"/>
  <c r="X438" i="7"/>
  <c r="X434" i="7"/>
  <c r="X430" i="7"/>
  <c r="X426" i="7"/>
  <c r="X422" i="7"/>
  <c r="X418" i="7"/>
  <c r="X414" i="7"/>
  <c r="X410" i="7"/>
  <c r="X406" i="7"/>
  <c r="X402" i="7"/>
  <c r="X398" i="7"/>
  <c r="X394" i="7"/>
  <c r="X390" i="7"/>
  <c r="X386" i="7"/>
  <c r="X382" i="7"/>
  <c r="X378" i="7"/>
  <c r="X374" i="7"/>
  <c r="X370" i="7"/>
  <c r="X452" i="6"/>
  <c r="X448" i="6"/>
  <c r="X444" i="6"/>
  <c r="X440" i="6"/>
  <c r="X436" i="6"/>
  <c r="X432" i="6"/>
  <c r="X428" i="6"/>
  <c r="X424" i="6"/>
  <c r="X420" i="6"/>
  <c r="X416" i="6"/>
  <c r="X412" i="6"/>
  <c r="X408" i="6"/>
  <c r="X404" i="6"/>
  <c r="X400" i="6"/>
  <c r="X396" i="6"/>
  <c r="X392" i="6"/>
  <c r="X388" i="6"/>
  <c r="X384" i="6"/>
  <c r="X380" i="6"/>
  <c r="X376" i="6"/>
  <c r="X372" i="6"/>
  <c r="X368" i="6"/>
  <c r="X364" i="6"/>
  <c r="X360" i="6"/>
  <c r="X356" i="6"/>
  <c r="X352" i="6"/>
  <c r="X348" i="6"/>
  <c r="X344" i="6"/>
  <c r="X340" i="6"/>
  <c r="L2" i="9"/>
  <c r="X331" i="3"/>
  <c r="X327" i="3"/>
  <c r="X323" i="3"/>
  <c r="X319" i="3"/>
  <c r="X315" i="3"/>
  <c r="X311" i="3"/>
  <c r="X307" i="3"/>
  <c r="X303" i="3"/>
  <c r="X299" i="3"/>
  <c r="X295" i="3"/>
  <c r="X291" i="3"/>
  <c r="X287" i="3"/>
  <c r="X283" i="3"/>
  <c r="X279" i="3"/>
  <c r="X275" i="3"/>
  <c r="X271" i="3"/>
  <c r="X267" i="3"/>
  <c r="X263" i="3"/>
  <c r="X259" i="3"/>
  <c r="X255" i="3"/>
  <c r="X251" i="3"/>
  <c r="X247" i="3"/>
  <c r="X243" i="3"/>
  <c r="X239" i="3"/>
  <c r="X235" i="3"/>
  <c r="X231" i="3"/>
  <c r="X227" i="3"/>
  <c r="X223" i="3"/>
  <c r="X219" i="3"/>
  <c r="X215" i="3"/>
  <c r="X211" i="3"/>
  <c r="X207" i="3"/>
  <c r="X203" i="3"/>
  <c r="X199" i="3"/>
  <c r="X195" i="3"/>
  <c r="X191" i="3"/>
  <c r="X187" i="3"/>
  <c r="X183" i="3"/>
  <c r="X179" i="3"/>
  <c r="X175" i="3"/>
  <c r="X171" i="3"/>
  <c r="X167" i="3"/>
  <c r="X163" i="3"/>
  <c r="X159" i="3"/>
  <c r="X155" i="3"/>
  <c r="X151" i="3"/>
  <c r="X147" i="3"/>
  <c r="X143" i="3"/>
  <c r="X139" i="3"/>
  <c r="X135" i="3"/>
  <c r="X131" i="3"/>
  <c r="X127" i="3"/>
  <c r="X123" i="3"/>
  <c r="X119" i="3"/>
  <c r="X115" i="3"/>
  <c r="X111" i="3"/>
  <c r="X107" i="3"/>
  <c r="X103" i="3"/>
  <c r="X99" i="3"/>
  <c r="X95" i="3"/>
  <c r="X91" i="3"/>
  <c r="X87" i="3"/>
  <c r="X83" i="3"/>
  <c r="X79" i="3"/>
  <c r="X75" i="3"/>
  <c r="X71" i="3"/>
  <c r="X67" i="3"/>
  <c r="X63" i="3"/>
  <c r="X59" i="3"/>
  <c r="X55" i="3"/>
  <c r="X51" i="3"/>
  <c r="X47" i="3"/>
  <c r="X43" i="3"/>
  <c r="X39" i="3"/>
  <c r="X35" i="3"/>
  <c r="X31" i="3"/>
  <c r="X27" i="3"/>
  <c r="X23" i="3"/>
  <c r="X19" i="3"/>
  <c r="X15" i="3"/>
  <c r="X11" i="3"/>
  <c r="X7" i="3"/>
  <c r="X3" i="3"/>
  <c r="Y3" i="3" s="1"/>
  <c r="X2" i="3"/>
  <c r="X393" i="3"/>
  <c r="X389" i="3"/>
  <c r="X385" i="3"/>
  <c r="X381" i="3"/>
  <c r="X377" i="3"/>
  <c r="X373" i="3"/>
  <c r="X369" i="3"/>
  <c r="X365" i="3"/>
  <c r="X361" i="3"/>
  <c r="X357" i="3"/>
  <c r="X353" i="3"/>
  <c r="X349" i="3"/>
  <c r="X345" i="3"/>
  <c r="X341" i="3"/>
  <c r="X337" i="3"/>
  <c r="X333" i="3"/>
  <c r="X321" i="3"/>
  <c r="X317" i="3"/>
  <c r="X305" i="3"/>
  <c r="X301" i="3"/>
  <c r="X289" i="3"/>
  <c r="X285" i="3"/>
  <c r="X273" i="3"/>
  <c r="X269" i="3"/>
  <c r="X257" i="3"/>
  <c r="X253" i="3"/>
  <c r="X241" i="3"/>
  <c r="X237" i="3"/>
  <c r="X225" i="3"/>
  <c r="X221" i="3"/>
  <c r="X209" i="3"/>
  <c r="X205" i="3"/>
  <c r="X193" i="3"/>
  <c r="X189" i="3"/>
  <c r="X177" i="3"/>
  <c r="X173" i="3"/>
  <c r="X161" i="3"/>
  <c r="X157" i="3"/>
  <c r="X145" i="3"/>
  <c r="X141" i="3"/>
  <c r="X129" i="3"/>
  <c r="X125" i="3"/>
  <c r="X113" i="3"/>
  <c r="X109" i="3"/>
  <c r="X97" i="3"/>
  <c r="X93" i="3"/>
  <c r="X81" i="3"/>
  <c r="X77" i="3"/>
  <c r="X65" i="3"/>
  <c r="X61" i="3"/>
  <c r="X49" i="3"/>
  <c r="X45" i="3"/>
  <c r="X33" i="3"/>
  <c r="X29" i="3"/>
  <c r="X17" i="3"/>
  <c r="X13" i="3"/>
  <c r="X450" i="4"/>
  <c r="X434" i="4"/>
  <c r="X418" i="4"/>
  <c r="X402" i="4"/>
  <c r="X386" i="4"/>
  <c r="X370" i="4"/>
  <c r="X354" i="4"/>
  <c r="X338" i="4"/>
  <c r="X322" i="4"/>
  <c r="X310" i="4"/>
  <c r="X302" i="4"/>
  <c r="X274" i="4"/>
  <c r="X246" i="4"/>
  <c r="X238" i="4"/>
  <c r="X210" i="4"/>
  <c r="X166" i="4"/>
  <c r="X134" i="4"/>
  <c r="X102" i="4"/>
  <c r="X70" i="4"/>
  <c r="X38" i="4"/>
  <c r="X303" i="4"/>
  <c r="X287" i="4"/>
  <c r="X271" i="4"/>
  <c r="X255" i="4"/>
  <c r="X239" i="4"/>
  <c r="X223" i="4"/>
  <c r="X207" i="4"/>
  <c r="X191" i="4"/>
  <c r="X183" i="4"/>
  <c r="X175" i="4"/>
  <c r="X167" i="4"/>
  <c r="X159" i="4"/>
  <c r="X151" i="4"/>
  <c r="X143" i="4"/>
  <c r="X135" i="4"/>
  <c r="X127" i="4"/>
  <c r="X119" i="4"/>
  <c r="X111" i="4"/>
  <c r="X103" i="4"/>
  <c r="X95" i="4"/>
  <c r="X87" i="4"/>
  <c r="X79" i="4"/>
  <c r="X71" i="4"/>
  <c r="X63" i="4"/>
  <c r="X55" i="4"/>
  <c r="X51" i="4"/>
  <c r="X47" i="4"/>
  <c r="X39" i="4"/>
  <c r="X35" i="4"/>
  <c r="X31" i="4"/>
  <c r="X23" i="4"/>
  <c r="X19" i="4"/>
  <c r="X15" i="4"/>
  <c r="X7" i="4"/>
  <c r="X438" i="4"/>
  <c r="X422" i="4"/>
  <c r="X406" i="4"/>
  <c r="X390" i="4"/>
  <c r="X374" i="4"/>
  <c r="X358" i="4"/>
  <c r="X342" i="4"/>
  <c r="X326" i="4"/>
  <c r="X294" i="4"/>
  <c r="X286" i="4"/>
  <c r="X258" i="4"/>
  <c r="X230" i="4"/>
  <c r="X222" i="4"/>
  <c r="X194" i="4"/>
  <c r="X174" i="4"/>
  <c r="X142" i="4"/>
  <c r="X110" i="4"/>
  <c r="X78" i="4"/>
  <c r="X54" i="4"/>
  <c r="X2" i="4"/>
  <c r="X3" i="4"/>
  <c r="Y3" i="4" s="1"/>
  <c r="X314" i="4"/>
  <c r="X298" i="4"/>
  <c r="X282" i="4"/>
  <c r="X266" i="4"/>
  <c r="X250" i="4"/>
  <c r="X234" i="4"/>
  <c r="X218" i="4"/>
  <c r="X202" i="4"/>
  <c r="X186" i="4"/>
  <c r="X178" i="4"/>
  <c r="X170" i="4"/>
  <c r="X162" i="4"/>
  <c r="X154" i="4"/>
  <c r="X146" i="4"/>
  <c r="X138" i="4"/>
  <c r="X130" i="4"/>
  <c r="X122" i="4"/>
  <c r="X114" i="4"/>
  <c r="X106" i="4"/>
  <c r="X98" i="4"/>
  <c r="X90" i="4"/>
  <c r="X82" i="4"/>
  <c r="X74" i="4"/>
  <c r="X66" i="4"/>
  <c r="X57" i="4"/>
  <c r="X58" i="4"/>
  <c r="X50" i="4"/>
  <c r="X45" i="4"/>
  <c r="X46" i="4"/>
  <c r="X41" i="4"/>
  <c r="X42" i="4"/>
  <c r="X34" i="4"/>
  <c r="X29" i="4"/>
  <c r="X30" i="4"/>
  <c r="X25" i="4"/>
  <c r="X26" i="4"/>
  <c r="X18" i="4"/>
  <c r="X13" i="4"/>
  <c r="X14" i="4"/>
  <c r="X9" i="4"/>
  <c r="X10" i="4"/>
  <c r="X313" i="4"/>
  <c r="X278" i="4"/>
  <c r="X249" i="4"/>
  <c r="X214" i="4"/>
  <c r="X182" i="4"/>
  <c r="X161" i="4"/>
  <c r="X150" i="4"/>
  <c r="X129" i="4"/>
  <c r="X118" i="4"/>
  <c r="X97" i="4"/>
  <c r="X86" i="4"/>
  <c r="X65" i="4"/>
  <c r="X49" i="4"/>
  <c r="X6" i="4"/>
  <c r="X452" i="5"/>
  <c r="X448" i="5"/>
  <c r="X444" i="5"/>
  <c r="X440" i="5"/>
  <c r="X436" i="5"/>
  <c r="X432" i="5"/>
  <c r="X428" i="5"/>
  <c r="X424" i="5"/>
  <c r="X420" i="5"/>
  <c r="X416" i="5"/>
  <c r="X412" i="5"/>
  <c r="X408" i="5"/>
  <c r="X404" i="5"/>
  <c r="X400" i="5"/>
  <c r="X396" i="5"/>
  <c r="X392" i="5"/>
  <c r="X388" i="5"/>
  <c r="X384" i="5"/>
  <c r="X380" i="5"/>
  <c r="X376" i="5"/>
  <c r="X372" i="5"/>
  <c r="X368" i="5"/>
  <c r="X364" i="5"/>
  <c r="X360" i="5"/>
  <c r="X356" i="5"/>
  <c r="X352" i="5"/>
  <c r="Y3" i="5"/>
  <c r="D3" i="9" s="1"/>
  <c r="X450" i="5"/>
  <c r="X446" i="5"/>
  <c r="X442" i="5"/>
  <c r="X438" i="5"/>
  <c r="X434" i="5"/>
  <c r="X430" i="5"/>
  <c r="X426" i="5"/>
  <c r="X422" i="5"/>
  <c r="X418" i="5"/>
  <c r="X414" i="5"/>
  <c r="X410" i="5"/>
  <c r="X406" i="5"/>
  <c r="X402" i="5"/>
  <c r="X398" i="5"/>
  <c r="X394" i="5"/>
  <c r="X390" i="5"/>
  <c r="X386" i="5"/>
  <c r="X382" i="5"/>
  <c r="X378" i="5"/>
  <c r="X374" i="5"/>
  <c r="X370" i="5"/>
  <c r="X366" i="5"/>
  <c r="X362" i="5"/>
  <c r="X358" i="5"/>
  <c r="X354" i="5"/>
  <c r="X8" i="5"/>
  <c r="X5" i="5"/>
  <c r="F3" i="9"/>
  <c r="Y4" i="7"/>
  <c r="X2" i="7"/>
  <c r="X451" i="7"/>
  <c r="X447" i="7"/>
  <c r="X443" i="7"/>
  <c r="X439" i="7"/>
  <c r="X435" i="7"/>
  <c r="X431" i="7"/>
  <c r="X427" i="7"/>
  <c r="X423" i="7"/>
  <c r="X419" i="7"/>
  <c r="X415" i="7"/>
  <c r="X411" i="7"/>
  <c r="X407" i="7"/>
  <c r="X403" i="7"/>
  <c r="X399" i="7"/>
  <c r="X395" i="7"/>
  <c r="X391" i="7"/>
  <c r="X387" i="7"/>
  <c r="X383" i="7"/>
  <c r="X379" i="7"/>
  <c r="X375" i="7"/>
  <c r="X371" i="7"/>
  <c r="X367" i="7"/>
  <c r="X363" i="7"/>
  <c r="X359" i="7"/>
  <c r="X355" i="7"/>
  <c r="X351" i="7"/>
  <c r="X347" i="7"/>
  <c r="X343" i="7"/>
  <c r="X339" i="7"/>
  <c r="X335" i="7"/>
  <c r="X331" i="7"/>
  <c r="X327" i="7"/>
  <c r="X323" i="7"/>
  <c r="X319" i="7"/>
  <c r="X315" i="7"/>
  <c r="X311" i="7"/>
  <c r="X449" i="7"/>
  <c r="X445" i="7"/>
  <c r="X441" i="7"/>
  <c r="X437" i="7"/>
  <c r="X433" i="7"/>
  <c r="X429" i="7"/>
  <c r="X425" i="7"/>
  <c r="X421" i="7"/>
  <c r="X417" i="7"/>
  <c r="X413" i="7"/>
  <c r="X409" i="7"/>
  <c r="X405" i="7"/>
  <c r="X401" i="7"/>
  <c r="X397" i="7"/>
  <c r="X393" i="7"/>
  <c r="X389" i="7"/>
  <c r="X385" i="7"/>
  <c r="X381" i="7"/>
  <c r="X377" i="7"/>
  <c r="X373" i="7"/>
  <c r="X369" i="7"/>
  <c r="E3" i="9"/>
  <c r="X2" i="6"/>
  <c r="X366" i="7"/>
  <c r="X362" i="7"/>
  <c r="X358" i="7"/>
  <c r="X354" i="7"/>
  <c r="X350" i="7"/>
  <c r="X346" i="7"/>
  <c r="X342" i="7"/>
  <c r="X338" i="7"/>
  <c r="X334" i="7"/>
  <c r="X330" i="7"/>
  <c r="X326" i="7"/>
  <c r="X322" i="7"/>
  <c r="X318" i="7"/>
  <c r="X314" i="7"/>
  <c r="X310" i="7"/>
  <c r="X306" i="7"/>
  <c r="X302" i="7"/>
  <c r="X298" i="7"/>
  <c r="X294" i="7"/>
  <c r="X290" i="7"/>
  <c r="X286" i="7"/>
  <c r="X282" i="7"/>
  <c r="X278" i="7"/>
  <c r="X274" i="7"/>
  <c r="X270" i="7"/>
  <c r="X266" i="7"/>
  <c r="X262" i="7"/>
  <c r="X258" i="7"/>
  <c r="X254" i="7"/>
  <c r="X250" i="7"/>
  <c r="X246" i="7"/>
  <c r="X242" i="7"/>
  <c r="X238" i="7"/>
  <c r="X234" i="7"/>
  <c r="X230" i="7"/>
  <c r="X226" i="7"/>
  <c r="X222" i="7"/>
  <c r="X218" i="7"/>
  <c r="X214" i="7"/>
  <c r="X210" i="7"/>
  <c r="X206" i="7"/>
  <c r="X202" i="7"/>
  <c r="X198" i="7"/>
  <c r="X194" i="7"/>
  <c r="X190" i="7"/>
  <c r="X186" i="7"/>
  <c r="X182" i="7"/>
  <c r="X178" i="7"/>
  <c r="X174" i="7"/>
  <c r="X170" i="7"/>
  <c r="X166" i="7"/>
  <c r="X162" i="7"/>
  <c r="X158" i="7"/>
  <c r="X154" i="7"/>
  <c r="X150" i="7"/>
  <c r="X146" i="7"/>
  <c r="X142" i="7"/>
  <c r="X138" i="7"/>
  <c r="X134" i="7"/>
  <c r="X130" i="7"/>
  <c r="X126" i="7"/>
  <c r="X122" i="7"/>
  <c r="X118" i="7"/>
  <c r="X114" i="7"/>
  <c r="X110" i="7"/>
  <c r="X106" i="7"/>
  <c r="X102" i="7"/>
  <c r="X98" i="7"/>
  <c r="X94" i="7"/>
  <c r="X90" i="7"/>
  <c r="X86" i="7"/>
  <c r="X82" i="7"/>
  <c r="X78" i="7"/>
  <c r="X74" i="7"/>
  <c r="X70" i="7"/>
  <c r="X66" i="7"/>
  <c r="X62" i="7"/>
  <c r="X58" i="7"/>
  <c r="X54" i="7"/>
  <c r="X50" i="7"/>
  <c r="X46" i="7"/>
  <c r="X42" i="7"/>
  <c r="X38" i="7"/>
  <c r="X34" i="7"/>
  <c r="X30" i="7"/>
  <c r="X26" i="7"/>
  <c r="X22" i="7"/>
  <c r="X18" i="7"/>
  <c r="X14" i="7"/>
  <c r="X10" i="7"/>
  <c r="X6" i="7"/>
  <c r="X336" i="6"/>
  <c r="X307" i="7"/>
  <c r="X303" i="7"/>
  <c r="X299" i="7"/>
  <c r="X295" i="7"/>
  <c r="X291" i="7"/>
  <c r="X287" i="7"/>
  <c r="X283" i="7"/>
  <c r="X279" i="7"/>
  <c r="X275" i="7"/>
  <c r="X271" i="7"/>
  <c r="X267" i="7"/>
  <c r="X263" i="7"/>
  <c r="X259" i="7"/>
  <c r="X255" i="7"/>
  <c r="X251" i="7"/>
  <c r="X247" i="7"/>
  <c r="X243" i="7"/>
  <c r="X239" i="7"/>
  <c r="X235" i="7"/>
  <c r="X231" i="7"/>
  <c r="X227" i="7"/>
  <c r="X223" i="7"/>
  <c r="X219" i="7"/>
  <c r="X215" i="7"/>
  <c r="X211" i="7"/>
  <c r="X207" i="7"/>
  <c r="X203" i="7"/>
  <c r="X199" i="7"/>
  <c r="X195" i="7"/>
  <c r="X191" i="7"/>
  <c r="X187" i="7"/>
  <c r="X183" i="7"/>
  <c r="X179" i="7"/>
  <c r="X175" i="7"/>
  <c r="X171" i="7"/>
  <c r="X167" i="7"/>
  <c r="X163" i="7"/>
  <c r="X159" i="7"/>
  <c r="X155" i="7"/>
  <c r="X151" i="7"/>
  <c r="X147" i="7"/>
  <c r="X143" i="7"/>
  <c r="X139" i="7"/>
  <c r="X135" i="7"/>
  <c r="X131" i="7"/>
  <c r="X127" i="7"/>
  <c r="X123" i="7"/>
  <c r="X119" i="7"/>
  <c r="X115" i="7"/>
  <c r="X111" i="7"/>
  <c r="X107" i="7"/>
  <c r="X103" i="7"/>
  <c r="X99" i="7"/>
  <c r="X95" i="7"/>
  <c r="X91" i="7"/>
  <c r="X87" i="7"/>
  <c r="X83" i="7"/>
  <c r="X79" i="7"/>
  <c r="X75" i="7"/>
  <c r="X71" i="7"/>
  <c r="X67" i="7"/>
  <c r="X63" i="7"/>
  <c r="X59" i="7"/>
  <c r="X55" i="7"/>
  <c r="X51" i="7"/>
  <c r="X47" i="7"/>
  <c r="X43" i="7"/>
  <c r="X39" i="7"/>
  <c r="X35" i="7"/>
  <c r="X31" i="7"/>
  <c r="X27" i="7"/>
  <c r="X23" i="7"/>
  <c r="X19" i="7"/>
  <c r="X15" i="7"/>
  <c r="X11" i="7"/>
  <c r="X7" i="7"/>
  <c r="X309" i="7"/>
  <c r="X305" i="7"/>
  <c r="X301" i="7"/>
  <c r="X297" i="7"/>
  <c r="X293" i="7"/>
  <c r="X289" i="7"/>
  <c r="X285" i="7"/>
  <c r="X281" i="7"/>
  <c r="X277" i="7"/>
  <c r="X273" i="7"/>
  <c r="X269" i="7"/>
  <c r="X265" i="7"/>
  <c r="X261" i="7"/>
  <c r="X257" i="7"/>
  <c r="X253" i="7"/>
  <c r="X249" i="7"/>
  <c r="X245" i="7"/>
  <c r="X241" i="7"/>
  <c r="X237" i="7"/>
  <c r="X233" i="7"/>
  <c r="X229" i="7"/>
  <c r="X225" i="7"/>
  <c r="X221" i="7"/>
  <c r="X217" i="7"/>
  <c r="X213" i="7"/>
  <c r="X209" i="7"/>
  <c r="X205" i="7"/>
  <c r="X201" i="7"/>
  <c r="X197" i="7"/>
  <c r="X193" i="7"/>
  <c r="X189" i="7"/>
  <c r="X185" i="7"/>
  <c r="X181" i="7"/>
  <c r="X177" i="7"/>
  <c r="X173" i="7"/>
  <c r="X169" i="7"/>
  <c r="X165" i="7"/>
  <c r="X161" i="7"/>
  <c r="X157" i="7"/>
  <c r="X153" i="7"/>
  <c r="X149" i="7"/>
  <c r="X145" i="7"/>
  <c r="X141" i="7"/>
  <c r="X137" i="7"/>
  <c r="X133" i="7"/>
  <c r="X129" i="7"/>
  <c r="X125" i="7"/>
  <c r="X121" i="7"/>
  <c r="X117" i="7"/>
  <c r="X113" i="7"/>
  <c r="X109" i="7"/>
  <c r="X105" i="7"/>
  <c r="X101" i="7"/>
  <c r="X97" i="7"/>
  <c r="X93" i="7"/>
  <c r="X89" i="7"/>
  <c r="X85" i="7"/>
  <c r="X81" i="7"/>
  <c r="X77" i="7"/>
  <c r="X73" i="7"/>
  <c r="X69" i="7"/>
  <c r="X65" i="7"/>
  <c r="X61" i="7"/>
  <c r="X57" i="7"/>
  <c r="X53" i="7"/>
  <c r="X49" i="7"/>
  <c r="X45" i="7"/>
  <c r="X41" i="7"/>
  <c r="X37" i="7"/>
  <c r="X33" i="7"/>
  <c r="X29" i="7"/>
  <c r="X25" i="7"/>
  <c r="X21" i="7"/>
  <c r="X17" i="7"/>
  <c r="X13" i="7"/>
  <c r="X9" i="7"/>
  <c r="X5" i="7"/>
  <c r="X317" i="6"/>
  <c r="X313" i="6"/>
  <c r="X309" i="6"/>
  <c r="X305" i="6"/>
  <c r="X301" i="6"/>
  <c r="X297" i="6"/>
  <c r="X293" i="6"/>
  <c r="X289" i="6"/>
  <c r="X285" i="6"/>
  <c r="X281" i="6"/>
  <c r="X277" i="6"/>
  <c r="X273" i="6"/>
  <c r="X269" i="6"/>
  <c r="X265" i="6"/>
  <c r="X261" i="6"/>
  <c r="X257" i="6"/>
  <c r="X253" i="6"/>
  <c r="X249" i="6"/>
  <c r="X245" i="6"/>
  <c r="X241" i="6"/>
  <c r="X237" i="6"/>
  <c r="X233" i="6"/>
  <c r="X229" i="6"/>
  <c r="X225" i="6"/>
  <c r="X221" i="6"/>
  <c r="X217" i="6"/>
  <c r="X213" i="6"/>
  <c r="X209" i="6"/>
  <c r="X205" i="6"/>
  <c r="X201" i="6"/>
  <c r="X197" i="6"/>
  <c r="X193" i="6"/>
  <c r="X319" i="6"/>
  <c r="X315" i="6"/>
  <c r="X311" i="6"/>
  <c r="X307" i="6"/>
  <c r="X303" i="6"/>
  <c r="X299" i="6"/>
  <c r="X295" i="6"/>
  <c r="X291" i="6"/>
  <c r="X287" i="6"/>
  <c r="X283" i="6"/>
  <c r="X279" i="6"/>
  <c r="X275" i="6"/>
  <c r="X271" i="6"/>
  <c r="X267" i="6"/>
  <c r="X263" i="6"/>
  <c r="X259" i="6"/>
  <c r="X255" i="6"/>
  <c r="X251" i="6"/>
  <c r="X247" i="6"/>
  <c r="X243" i="6"/>
  <c r="X239" i="6"/>
  <c r="X235" i="6"/>
  <c r="X231" i="6"/>
  <c r="X227" i="6"/>
  <c r="X223" i="6"/>
  <c r="X219" i="6"/>
  <c r="X215" i="6"/>
  <c r="X211" i="6"/>
  <c r="X207" i="6"/>
  <c r="X203" i="6"/>
  <c r="X199" i="6"/>
  <c r="X195" i="6"/>
  <c r="X189" i="6"/>
  <c r="X185" i="6"/>
  <c r="X181" i="6"/>
  <c r="X177" i="6"/>
  <c r="X173" i="6"/>
  <c r="X169" i="6"/>
  <c r="X165" i="6"/>
  <c r="X161" i="6"/>
  <c r="X157" i="6"/>
  <c r="X153" i="6"/>
  <c r="X149" i="6"/>
  <c r="X145" i="6"/>
  <c r="X141" i="6"/>
  <c r="X137" i="6"/>
  <c r="X133" i="6"/>
  <c r="X129" i="6"/>
  <c r="X125" i="6"/>
  <c r="X121" i="6"/>
  <c r="X117" i="6"/>
  <c r="X113" i="6"/>
  <c r="X109" i="6"/>
  <c r="X105" i="6"/>
  <c r="X101" i="6"/>
  <c r="X97" i="6"/>
  <c r="X93" i="6"/>
  <c r="X89" i="6"/>
  <c r="X85" i="6"/>
  <c r="X81" i="6"/>
  <c r="X77" i="6"/>
  <c r="X73" i="6"/>
  <c r="X69" i="6"/>
  <c r="X65" i="6"/>
  <c r="X61" i="6"/>
  <c r="X57" i="6"/>
  <c r="X53" i="6"/>
  <c r="X49" i="6"/>
  <c r="X45" i="6"/>
  <c r="X41" i="6"/>
  <c r="X37" i="6"/>
  <c r="X33" i="6"/>
  <c r="X29" i="6"/>
  <c r="X30" i="6"/>
  <c r="X191" i="6"/>
  <c r="X187" i="6"/>
  <c r="X183" i="6"/>
  <c r="X179" i="6"/>
  <c r="X175" i="6"/>
  <c r="X171" i="6"/>
  <c r="X167" i="6"/>
  <c r="X163" i="6"/>
  <c r="X159" i="6"/>
  <c r="X155" i="6"/>
  <c r="X151" i="6"/>
  <c r="X147" i="6"/>
  <c r="X143" i="6"/>
  <c r="X139" i="6"/>
  <c r="X135" i="6"/>
  <c r="X131" i="6"/>
  <c r="X127" i="6"/>
  <c r="X123" i="6"/>
  <c r="X119" i="6"/>
  <c r="X115" i="6"/>
  <c r="X111" i="6"/>
  <c r="X107" i="6"/>
  <c r="X103" i="6"/>
  <c r="X99" i="6"/>
  <c r="X95" i="6"/>
  <c r="X91" i="6"/>
  <c r="X87" i="6"/>
  <c r="X83" i="6"/>
  <c r="X79" i="6"/>
  <c r="X75" i="6"/>
  <c r="X71" i="6"/>
  <c r="X67" i="6"/>
  <c r="X63" i="6"/>
  <c r="X59" i="6"/>
  <c r="X55" i="6"/>
  <c r="X51" i="6"/>
  <c r="X47" i="6"/>
  <c r="X43" i="6"/>
  <c r="X39" i="6"/>
  <c r="X35" i="6"/>
  <c r="X31" i="6"/>
  <c r="X28" i="6"/>
  <c r="X24" i="6"/>
  <c r="X20" i="6"/>
  <c r="X16" i="6"/>
  <c r="X12" i="6"/>
  <c r="X8" i="6"/>
  <c r="X4" i="6"/>
  <c r="Y4" i="6" s="1"/>
  <c r="X25" i="6"/>
  <c r="X21" i="6"/>
  <c r="X17" i="6"/>
  <c r="X13" i="6"/>
  <c r="X9" i="6"/>
  <c r="X5" i="6"/>
  <c r="X27" i="6"/>
  <c r="X23" i="6"/>
  <c r="X19" i="6"/>
  <c r="X15" i="6"/>
  <c r="X11" i="6"/>
  <c r="X7" i="6"/>
  <c r="X452" i="1"/>
  <c r="X448" i="1"/>
  <c r="X444" i="1"/>
  <c r="X440" i="1"/>
  <c r="X436" i="1"/>
  <c r="X432" i="1"/>
  <c r="X428" i="1"/>
  <c r="X424" i="1"/>
  <c r="X420" i="1"/>
  <c r="X416" i="1"/>
  <c r="X412" i="1"/>
  <c r="X408" i="1"/>
  <c r="X404" i="1"/>
  <c r="X400" i="1"/>
  <c r="X396" i="1"/>
  <c r="X392" i="1"/>
  <c r="X388" i="1"/>
  <c r="X384" i="1"/>
  <c r="X380" i="1"/>
  <c r="X376" i="1"/>
  <c r="X372" i="1"/>
  <c r="X368" i="1"/>
  <c r="X364" i="1"/>
  <c r="X360" i="1"/>
  <c r="X356" i="1"/>
  <c r="X352" i="1"/>
  <c r="X348" i="1"/>
  <c r="X344" i="1"/>
  <c r="X340" i="1"/>
  <c r="X336" i="1"/>
  <c r="X332" i="1"/>
  <c r="X328" i="1"/>
  <c r="X324" i="1"/>
  <c r="X320" i="1"/>
  <c r="X316" i="1"/>
  <c r="X312" i="1"/>
  <c r="X308" i="1"/>
  <c r="X304" i="1"/>
  <c r="X300" i="1"/>
  <c r="X296" i="1"/>
  <c r="X292" i="1"/>
  <c r="X288" i="1"/>
  <c r="X284" i="1"/>
  <c r="X280" i="1"/>
  <c r="X276" i="1"/>
  <c r="X272" i="1"/>
  <c r="X268" i="1"/>
  <c r="X264" i="1"/>
  <c r="X260" i="1"/>
  <c r="X256" i="1"/>
  <c r="X252" i="1"/>
  <c r="X248" i="1"/>
  <c r="X244" i="1"/>
  <c r="X240" i="1"/>
  <c r="X236" i="1"/>
  <c r="X232" i="1"/>
  <c r="X228" i="1"/>
  <c r="X224" i="1"/>
  <c r="X220" i="1"/>
  <c r="X216" i="1"/>
  <c r="X212" i="1"/>
  <c r="X208" i="1"/>
  <c r="X204" i="1"/>
  <c r="X200" i="1"/>
  <c r="X196" i="1"/>
  <c r="X192" i="1"/>
  <c r="X188" i="1"/>
  <c r="X184" i="1"/>
  <c r="X180" i="1"/>
  <c r="X176" i="1"/>
  <c r="X172" i="1"/>
  <c r="X168" i="1"/>
  <c r="X164" i="1"/>
  <c r="X160" i="1"/>
  <c r="X156" i="1"/>
  <c r="X152" i="1"/>
  <c r="X148" i="1"/>
  <c r="X144" i="1"/>
  <c r="X140" i="1"/>
  <c r="X136" i="1"/>
  <c r="X132" i="1"/>
  <c r="X128" i="1"/>
  <c r="X124" i="1"/>
  <c r="X120" i="1"/>
  <c r="X116" i="1"/>
  <c r="X112" i="1"/>
  <c r="X108" i="1"/>
  <c r="X104" i="1"/>
  <c r="X100" i="1"/>
  <c r="X96" i="1"/>
  <c r="X92" i="1"/>
  <c r="X88" i="1"/>
  <c r="X84" i="1"/>
  <c r="X80" i="1"/>
  <c r="X76" i="1"/>
  <c r="X72" i="1"/>
  <c r="X68" i="1"/>
  <c r="X64" i="1"/>
  <c r="X60" i="1"/>
  <c r="X56" i="1"/>
  <c r="X52" i="1"/>
  <c r="X48" i="1"/>
  <c r="X44" i="1"/>
  <c r="X40" i="1"/>
  <c r="X36" i="1"/>
  <c r="X32" i="1"/>
  <c r="X28" i="1"/>
  <c r="X24" i="1"/>
  <c r="X20" i="1"/>
  <c r="X16" i="1"/>
  <c r="X12" i="1"/>
  <c r="X8" i="1"/>
  <c r="X4" i="1"/>
  <c r="Y4" i="3"/>
  <c r="B3" i="9"/>
  <c r="X3" i="1"/>
  <c r="Y3" i="1" s="1"/>
  <c r="A3" i="9" s="1"/>
  <c r="X449" i="1"/>
  <c r="X445" i="1"/>
  <c r="X441" i="1"/>
  <c r="X437" i="1"/>
  <c r="X433" i="1"/>
  <c r="X429" i="1"/>
  <c r="X425" i="1"/>
  <c r="X421" i="1"/>
  <c r="X417" i="1"/>
  <c r="X413" i="1"/>
  <c r="X409" i="1"/>
  <c r="X405" i="1"/>
  <c r="X401" i="1"/>
  <c r="X397" i="1"/>
  <c r="X393" i="1"/>
  <c r="X389" i="1"/>
  <c r="X385" i="1"/>
  <c r="X381" i="1"/>
  <c r="X377" i="1"/>
  <c r="X373" i="1"/>
  <c r="X369" i="1"/>
  <c r="X365" i="1"/>
  <c r="X361" i="1"/>
  <c r="X357" i="1"/>
  <c r="X353" i="1"/>
  <c r="X349" i="1"/>
  <c r="X345" i="1"/>
  <c r="X341" i="1"/>
  <c r="X337" i="1"/>
  <c r="X333" i="1"/>
  <c r="X329" i="1"/>
  <c r="X325" i="1"/>
  <c r="X321" i="1"/>
  <c r="X317" i="1"/>
  <c r="X313" i="1"/>
  <c r="X309" i="1"/>
  <c r="X305" i="1"/>
  <c r="X301" i="1"/>
  <c r="X297" i="1"/>
  <c r="X293" i="1"/>
  <c r="X289" i="1"/>
  <c r="X285" i="1"/>
  <c r="X281" i="1"/>
  <c r="X277" i="1"/>
  <c r="X273" i="1"/>
  <c r="X269" i="1"/>
  <c r="X265" i="1"/>
  <c r="X261" i="1"/>
  <c r="X257" i="1"/>
  <c r="X253" i="1"/>
  <c r="X249" i="1"/>
  <c r="X245" i="1"/>
  <c r="X241" i="1"/>
  <c r="X237" i="1"/>
  <c r="X233" i="1"/>
  <c r="X229" i="1"/>
  <c r="X225" i="1"/>
  <c r="X221" i="1"/>
  <c r="X217" i="1"/>
  <c r="X213" i="1"/>
  <c r="X209" i="1"/>
  <c r="X205" i="1"/>
  <c r="X201" i="1"/>
  <c r="X197" i="1"/>
  <c r="X193" i="1"/>
  <c r="X189" i="1"/>
  <c r="X185" i="1"/>
  <c r="X181" i="1"/>
  <c r="X177" i="1"/>
  <c r="X173" i="1"/>
  <c r="X169" i="1"/>
  <c r="X165" i="1"/>
  <c r="X161" i="1"/>
  <c r="X157" i="1"/>
  <c r="X153" i="1"/>
  <c r="X149" i="1"/>
  <c r="X451" i="1"/>
  <c r="X447" i="1"/>
  <c r="X443" i="1"/>
  <c r="X439" i="1"/>
  <c r="X435" i="1"/>
  <c r="X431" i="1"/>
  <c r="X427" i="1"/>
  <c r="X423" i="1"/>
  <c r="X419" i="1"/>
  <c r="X415" i="1"/>
  <c r="X411" i="1"/>
  <c r="X407" i="1"/>
  <c r="X403" i="1"/>
  <c r="X399" i="1"/>
  <c r="X395" i="1"/>
  <c r="X391" i="1"/>
  <c r="X387" i="1"/>
  <c r="X383" i="1"/>
  <c r="X379" i="1"/>
  <c r="X375" i="1"/>
  <c r="X371" i="1"/>
  <c r="X367" i="1"/>
  <c r="X363" i="1"/>
  <c r="X359" i="1"/>
  <c r="X355" i="1"/>
  <c r="X351" i="1"/>
  <c r="X347" i="1"/>
  <c r="X343" i="1"/>
  <c r="X339" i="1"/>
  <c r="X335" i="1"/>
  <c r="X331" i="1"/>
  <c r="X327" i="1"/>
  <c r="X323" i="1"/>
  <c r="X319" i="1"/>
  <c r="X315" i="1"/>
  <c r="X311" i="1"/>
  <c r="X307" i="1"/>
  <c r="X303" i="1"/>
  <c r="X299" i="1"/>
  <c r="X295" i="1"/>
  <c r="X291" i="1"/>
  <c r="X287" i="1"/>
  <c r="X283" i="1"/>
  <c r="X279" i="1"/>
  <c r="X275" i="1"/>
  <c r="X271" i="1"/>
  <c r="X267" i="1"/>
  <c r="X263" i="1"/>
  <c r="X259" i="1"/>
  <c r="X255" i="1"/>
  <c r="X251" i="1"/>
  <c r="X247" i="1"/>
  <c r="X243" i="1"/>
  <c r="X239" i="1"/>
  <c r="X235" i="1"/>
  <c r="X231" i="1"/>
  <c r="X227" i="1"/>
  <c r="X223" i="1"/>
  <c r="X219" i="1"/>
  <c r="X215" i="1"/>
  <c r="X211" i="1"/>
  <c r="X207" i="1"/>
  <c r="X203" i="1"/>
  <c r="X199" i="1"/>
  <c r="X195" i="1"/>
  <c r="X191" i="1"/>
  <c r="X187" i="1"/>
  <c r="X183" i="1"/>
  <c r="X179" i="1"/>
  <c r="X175" i="1"/>
  <c r="X171" i="1"/>
  <c r="X167" i="1"/>
  <c r="X163" i="1"/>
  <c r="X159" i="1"/>
  <c r="X155" i="1"/>
  <c r="X151" i="1"/>
  <c r="X147" i="1"/>
  <c r="X143" i="1"/>
  <c r="X139" i="1"/>
  <c r="X135" i="1"/>
  <c r="X131" i="1"/>
  <c r="X127" i="1"/>
  <c r="X123" i="1"/>
  <c r="X119" i="1"/>
  <c r="X115" i="1"/>
  <c r="X111" i="1"/>
  <c r="X107" i="1"/>
  <c r="X103" i="1"/>
  <c r="X99" i="1"/>
  <c r="X95" i="1"/>
  <c r="X91" i="1"/>
  <c r="X87" i="1"/>
  <c r="X83" i="1"/>
  <c r="X79" i="1"/>
  <c r="X75" i="1"/>
  <c r="X71" i="1"/>
  <c r="X67" i="1"/>
  <c r="X63" i="1"/>
  <c r="X59" i="1"/>
  <c r="X55" i="1"/>
  <c r="X51" i="1"/>
  <c r="X47" i="1"/>
  <c r="X43" i="1"/>
  <c r="X39" i="1"/>
  <c r="X35" i="1"/>
  <c r="X31" i="1"/>
  <c r="X27" i="1"/>
  <c r="X23" i="1"/>
  <c r="X19" i="1"/>
  <c r="X15" i="1"/>
  <c r="X11" i="1"/>
  <c r="X7" i="1"/>
  <c r="X145" i="1"/>
  <c r="X141" i="1"/>
  <c r="X137" i="1"/>
  <c r="X133" i="1"/>
  <c r="X129" i="1"/>
  <c r="X125" i="1"/>
  <c r="X121" i="1"/>
  <c r="X117" i="1"/>
  <c r="X113" i="1"/>
  <c r="X109" i="1"/>
  <c r="X105" i="1"/>
  <c r="X101" i="1"/>
  <c r="X97" i="1"/>
  <c r="X93" i="1"/>
  <c r="X89" i="1"/>
  <c r="X85" i="1"/>
  <c r="X81" i="1"/>
  <c r="X77" i="1"/>
  <c r="X73" i="1"/>
  <c r="X69" i="1"/>
  <c r="X65" i="1"/>
  <c r="X61" i="1"/>
  <c r="X57" i="1"/>
  <c r="X53" i="1"/>
  <c r="X49" i="1"/>
  <c r="X45" i="1"/>
  <c r="X41" i="1"/>
  <c r="X37" i="1"/>
  <c r="X33" i="1"/>
  <c r="X29" i="1"/>
  <c r="X25" i="1"/>
  <c r="X21" i="1"/>
  <c r="X17" i="1"/>
  <c r="X13" i="1"/>
  <c r="X9" i="1"/>
  <c r="X5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T2" i="7"/>
  <c r="G2" i="8" s="1"/>
  <c r="T3" i="7"/>
  <c r="T4" i="7"/>
  <c r="T5" i="7"/>
  <c r="G5" i="8" s="1"/>
  <c r="G6" i="10" s="1"/>
  <c r="T6" i="7"/>
  <c r="G6" i="8" s="1"/>
  <c r="T7" i="7"/>
  <c r="T8" i="7"/>
  <c r="T9" i="7"/>
  <c r="G9" i="8" s="1"/>
  <c r="G10" i="10" s="1"/>
  <c r="T10" i="7"/>
  <c r="G10" i="8" s="1"/>
  <c r="T11" i="7"/>
  <c r="T12" i="7"/>
  <c r="T13" i="7"/>
  <c r="G13" i="8" s="1"/>
  <c r="G14" i="10" s="1"/>
  <c r="T14" i="7"/>
  <c r="G14" i="8" s="1"/>
  <c r="T15" i="7"/>
  <c r="T16" i="7"/>
  <c r="T17" i="7"/>
  <c r="G17" i="8" s="1"/>
  <c r="G18" i="10" s="1"/>
  <c r="T18" i="7"/>
  <c r="G18" i="8" s="1"/>
  <c r="T19" i="7"/>
  <c r="T20" i="7"/>
  <c r="T21" i="7"/>
  <c r="G21" i="8" s="1"/>
  <c r="G22" i="10" s="1"/>
  <c r="T22" i="7"/>
  <c r="G22" i="8" s="1"/>
  <c r="T23" i="7"/>
  <c r="T24" i="7"/>
  <c r="T25" i="7"/>
  <c r="G25" i="8" s="1"/>
  <c r="G26" i="10" s="1"/>
  <c r="T26" i="7"/>
  <c r="G26" i="8" s="1"/>
  <c r="T27" i="7"/>
  <c r="T28" i="7"/>
  <c r="T29" i="7"/>
  <c r="G29" i="8" s="1"/>
  <c r="G30" i="10" s="1"/>
  <c r="T30" i="7"/>
  <c r="G30" i="8" s="1"/>
  <c r="T31" i="7"/>
  <c r="T32" i="7"/>
  <c r="T33" i="7"/>
  <c r="G33" i="8" s="1"/>
  <c r="G34" i="10" s="1"/>
  <c r="T34" i="7"/>
  <c r="G34" i="8" s="1"/>
  <c r="T35" i="7"/>
  <c r="T36" i="7"/>
  <c r="T37" i="7"/>
  <c r="G37" i="8" s="1"/>
  <c r="G38" i="10" s="1"/>
  <c r="T38" i="7"/>
  <c r="G38" i="8" s="1"/>
  <c r="T39" i="7"/>
  <c r="T40" i="7"/>
  <c r="T41" i="7"/>
  <c r="G41" i="8" s="1"/>
  <c r="G42" i="10" s="1"/>
  <c r="T42" i="7"/>
  <c r="G42" i="8" s="1"/>
  <c r="T43" i="7"/>
  <c r="T44" i="7"/>
  <c r="T45" i="7"/>
  <c r="G45" i="8" s="1"/>
  <c r="G46" i="10" s="1"/>
  <c r="T46" i="7"/>
  <c r="G46" i="8" s="1"/>
  <c r="T47" i="7"/>
  <c r="T48" i="7"/>
  <c r="T49" i="7"/>
  <c r="G49" i="8" s="1"/>
  <c r="G50" i="10" s="1"/>
  <c r="T50" i="7"/>
  <c r="G50" i="8" s="1"/>
  <c r="T51" i="7"/>
  <c r="T52" i="7"/>
  <c r="T53" i="7"/>
  <c r="G53" i="8" s="1"/>
  <c r="G54" i="10" s="1"/>
  <c r="T54" i="7"/>
  <c r="G54" i="8" s="1"/>
  <c r="T55" i="7"/>
  <c r="T56" i="7"/>
  <c r="T57" i="7"/>
  <c r="G57" i="8" s="1"/>
  <c r="G58" i="10" s="1"/>
  <c r="T58" i="7"/>
  <c r="G58" i="8" s="1"/>
  <c r="T59" i="7"/>
  <c r="T60" i="7"/>
  <c r="T61" i="7"/>
  <c r="G61" i="8" s="1"/>
  <c r="G62" i="10" s="1"/>
  <c r="T62" i="7"/>
  <c r="G62" i="8" s="1"/>
  <c r="T63" i="7"/>
  <c r="T64" i="7"/>
  <c r="T65" i="7"/>
  <c r="G65" i="8" s="1"/>
  <c r="G66" i="10" s="1"/>
  <c r="T66" i="7"/>
  <c r="G66" i="8" s="1"/>
  <c r="T67" i="7"/>
  <c r="T68" i="7"/>
  <c r="T69" i="7"/>
  <c r="G69" i="8" s="1"/>
  <c r="G70" i="10" s="1"/>
  <c r="T70" i="7"/>
  <c r="G70" i="8" s="1"/>
  <c r="T71" i="7"/>
  <c r="T72" i="7"/>
  <c r="T73" i="7"/>
  <c r="G73" i="8" s="1"/>
  <c r="G74" i="10" s="1"/>
  <c r="T74" i="7"/>
  <c r="G74" i="8" s="1"/>
  <c r="T75" i="7"/>
  <c r="T76" i="7"/>
  <c r="T77" i="7"/>
  <c r="G77" i="8" s="1"/>
  <c r="G78" i="10" s="1"/>
  <c r="T78" i="7"/>
  <c r="G78" i="8" s="1"/>
  <c r="T79" i="7"/>
  <c r="T80" i="7"/>
  <c r="T81" i="7"/>
  <c r="G81" i="8" s="1"/>
  <c r="G82" i="10" s="1"/>
  <c r="T82" i="7"/>
  <c r="G82" i="8" s="1"/>
  <c r="T83" i="7"/>
  <c r="T84" i="7"/>
  <c r="T85" i="7"/>
  <c r="G85" i="8" s="1"/>
  <c r="G86" i="10" s="1"/>
  <c r="T86" i="7"/>
  <c r="G86" i="8" s="1"/>
  <c r="T87" i="7"/>
  <c r="T88" i="7"/>
  <c r="T89" i="7"/>
  <c r="G89" i="8" s="1"/>
  <c r="G90" i="10" s="1"/>
  <c r="T90" i="7"/>
  <c r="G90" i="8" s="1"/>
  <c r="T91" i="7"/>
  <c r="T92" i="7"/>
  <c r="T93" i="7"/>
  <c r="G93" i="8" s="1"/>
  <c r="G94" i="10" s="1"/>
  <c r="T94" i="7"/>
  <c r="G94" i="8" s="1"/>
  <c r="T95" i="7"/>
  <c r="T96" i="7"/>
  <c r="T97" i="7"/>
  <c r="G97" i="8" s="1"/>
  <c r="G98" i="10" s="1"/>
  <c r="T98" i="7"/>
  <c r="G98" i="8" s="1"/>
  <c r="T99" i="7"/>
  <c r="T100" i="7"/>
  <c r="T101" i="7"/>
  <c r="G101" i="8" s="1"/>
  <c r="G102" i="10" s="1"/>
  <c r="T102" i="7"/>
  <c r="G102" i="8" s="1"/>
  <c r="T103" i="7"/>
  <c r="T104" i="7"/>
  <c r="T105" i="7"/>
  <c r="G105" i="8" s="1"/>
  <c r="G106" i="10" s="1"/>
  <c r="T106" i="7"/>
  <c r="G106" i="8" s="1"/>
  <c r="T107" i="7"/>
  <c r="T108" i="7"/>
  <c r="T109" i="7"/>
  <c r="G109" i="8" s="1"/>
  <c r="G110" i="10" s="1"/>
  <c r="T110" i="7"/>
  <c r="G110" i="8" s="1"/>
  <c r="T111" i="7"/>
  <c r="T112" i="7"/>
  <c r="T113" i="7"/>
  <c r="G113" i="8" s="1"/>
  <c r="G114" i="10" s="1"/>
  <c r="T114" i="7"/>
  <c r="G114" i="8" s="1"/>
  <c r="T115" i="7"/>
  <c r="T116" i="7"/>
  <c r="T117" i="7"/>
  <c r="G117" i="8" s="1"/>
  <c r="G118" i="10" s="1"/>
  <c r="T118" i="7"/>
  <c r="G118" i="8" s="1"/>
  <c r="T119" i="7"/>
  <c r="T120" i="7"/>
  <c r="T121" i="7"/>
  <c r="G121" i="8" s="1"/>
  <c r="G122" i="10" s="1"/>
  <c r="T122" i="7"/>
  <c r="G122" i="8" s="1"/>
  <c r="T123" i="7"/>
  <c r="T124" i="7"/>
  <c r="T125" i="7"/>
  <c r="G125" i="8" s="1"/>
  <c r="G126" i="10" s="1"/>
  <c r="T126" i="7"/>
  <c r="G126" i="8" s="1"/>
  <c r="T127" i="7"/>
  <c r="T128" i="7"/>
  <c r="T129" i="7"/>
  <c r="G129" i="8" s="1"/>
  <c r="G130" i="10" s="1"/>
  <c r="T130" i="7"/>
  <c r="G130" i="8" s="1"/>
  <c r="T131" i="7"/>
  <c r="T132" i="7"/>
  <c r="T133" i="7"/>
  <c r="G133" i="8" s="1"/>
  <c r="G134" i="10" s="1"/>
  <c r="T134" i="7"/>
  <c r="G134" i="8" s="1"/>
  <c r="T135" i="7"/>
  <c r="T136" i="7"/>
  <c r="T137" i="7"/>
  <c r="G137" i="8" s="1"/>
  <c r="G138" i="10" s="1"/>
  <c r="T138" i="7"/>
  <c r="G138" i="8" s="1"/>
  <c r="T139" i="7"/>
  <c r="T140" i="7"/>
  <c r="T141" i="7"/>
  <c r="G141" i="8" s="1"/>
  <c r="G142" i="10" s="1"/>
  <c r="T142" i="7"/>
  <c r="G142" i="8" s="1"/>
  <c r="T143" i="7"/>
  <c r="T144" i="7"/>
  <c r="T145" i="7"/>
  <c r="G145" i="8" s="1"/>
  <c r="G146" i="10" s="1"/>
  <c r="T146" i="7"/>
  <c r="G146" i="8" s="1"/>
  <c r="T147" i="7"/>
  <c r="T148" i="7"/>
  <c r="T149" i="7"/>
  <c r="G149" i="8" s="1"/>
  <c r="G150" i="10" s="1"/>
  <c r="T150" i="7"/>
  <c r="G150" i="8" s="1"/>
  <c r="G151" i="10" s="1"/>
  <c r="T151" i="7"/>
  <c r="G151" i="8" s="1"/>
  <c r="T152" i="7"/>
  <c r="G152" i="8" s="1"/>
  <c r="T153" i="7"/>
  <c r="G153" i="8" s="1"/>
  <c r="T154" i="7"/>
  <c r="G154" i="8" s="1"/>
  <c r="T155" i="7"/>
  <c r="G155" i="8" s="1"/>
  <c r="T156" i="7"/>
  <c r="G156" i="8" s="1"/>
  <c r="T157" i="7"/>
  <c r="G157" i="8" s="1"/>
  <c r="T158" i="7"/>
  <c r="G158" i="8" s="1"/>
  <c r="T159" i="7"/>
  <c r="G159" i="8" s="1"/>
  <c r="G160" i="10" s="1"/>
  <c r="T160" i="7"/>
  <c r="G160" i="8" s="1"/>
  <c r="T161" i="7"/>
  <c r="G161" i="8" s="1"/>
  <c r="T162" i="7"/>
  <c r="G162" i="8" s="1"/>
  <c r="T163" i="7"/>
  <c r="G163" i="8" s="1"/>
  <c r="G164" i="10" s="1"/>
  <c r="T164" i="7"/>
  <c r="G164" i="8" s="1"/>
  <c r="T165" i="7"/>
  <c r="G165" i="8" s="1"/>
  <c r="T166" i="7"/>
  <c r="G166" i="8" s="1"/>
  <c r="T167" i="7"/>
  <c r="G167" i="8" s="1"/>
  <c r="T168" i="7"/>
  <c r="G168" i="8" s="1"/>
  <c r="T169" i="7"/>
  <c r="G169" i="8" s="1"/>
  <c r="T170" i="7"/>
  <c r="G170" i="8" s="1"/>
  <c r="T171" i="7"/>
  <c r="G171" i="8" s="1"/>
  <c r="G172" i="10" s="1"/>
  <c r="T172" i="7"/>
  <c r="G172" i="8" s="1"/>
  <c r="T173" i="7"/>
  <c r="G173" i="8" s="1"/>
  <c r="AK173" i="8" s="1"/>
  <c r="T174" i="7"/>
  <c r="G174" i="8" s="1"/>
  <c r="T175" i="7"/>
  <c r="G175" i="8" s="1"/>
  <c r="AK175" i="8" s="1"/>
  <c r="T176" i="7"/>
  <c r="G176" i="8" s="1"/>
  <c r="T177" i="7"/>
  <c r="G177" i="8" s="1"/>
  <c r="T178" i="7"/>
  <c r="G178" i="8" s="1"/>
  <c r="T179" i="7"/>
  <c r="G179" i="8" s="1"/>
  <c r="AK179" i="8" s="1"/>
  <c r="T180" i="7"/>
  <c r="G180" i="8" s="1"/>
  <c r="T181" i="7"/>
  <c r="G181" i="8" s="1"/>
  <c r="T182" i="7"/>
  <c r="G182" i="8" s="1"/>
  <c r="T183" i="7"/>
  <c r="G183" i="8" s="1"/>
  <c r="T184" i="7"/>
  <c r="G184" i="8" s="1"/>
  <c r="T185" i="7"/>
  <c r="G185" i="8" s="1"/>
  <c r="T186" i="7"/>
  <c r="G186" i="8" s="1"/>
  <c r="T187" i="7"/>
  <c r="G187" i="8" s="1"/>
  <c r="AK187" i="8" s="1"/>
  <c r="T188" i="7"/>
  <c r="G188" i="8" s="1"/>
  <c r="T189" i="7"/>
  <c r="G189" i="8" s="1"/>
  <c r="T190" i="7"/>
  <c r="G190" i="8" s="1"/>
  <c r="T191" i="7"/>
  <c r="G191" i="8" s="1"/>
  <c r="AK191" i="8" s="1"/>
  <c r="T192" i="7"/>
  <c r="G192" i="8" s="1"/>
  <c r="T193" i="7"/>
  <c r="G193" i="8" s="1"/>
  <c r="AK193" i="8" s="1"/>
  <c r="T194" i="7"/>
  <c r="G194" i="8" s="1"/>
  <c r="AK194" i="8" s="1"/>
  <c r="T195" i="7"/>
  <c r="G195" i="8" s="1"/>
  <c r="AK195" i="8" s="1"/>
  <c r="T196" i="7"/>
  <c r="G196" i="8" s="1"/>
  <c r="AK196" i="8" s="1"/>
  <c r="T197" i="7"/>
  <c r="G197" i="8" s="1"/>
  <c r="AK197" i="8" s="1"/>
  <c r="T198" i="7"/>
  <c r="G198" i="8" s="1"/>
  <c r="AK198" i="8" s="1"/>
  <c r="T199" i="7"/>
  <c r="G199" i="8" s="1"/>
  <c r="AK199" i="8" s="1"/>
  <c r="T200" i="7"/>
  <c r="G200" i="8" s="1"/>
  <c r="AK200" i="8" s="1"/>
  <c r="T201" i="7"/>
  <c r="G201" i="8" s="1"/>
  <c r="AK201" i="8" s="1"/>
  <c r="T202" i="7"/>
  <c r="G202" i="8" s="1"/>
  <c r="AK202" i="8" s="1"/>
  <c r="T203" i="7"/>
  <c r="G203" i="8" s="1"/>
  <c r="AK203" i="8" s="1"/>
  <c r="T204" i="7"/>
  <c r="G204" i="8" s="1"/>
  <c r="AK204" i="8" s="1"/>
  <c r="T205" i="7"/>
  <c r="G205" i="8" s="1"/>
  <c r="AK205" i="8" s="1"/>
  <c r="T206" i="7"/>
  <c r="G206" i="8" s="1"/>
  <c r="AK206" i="8" s="1"/>
  <c r="T207" i="7"/>
  <c r="G207" i="8" s="1"/>
  <c r="AK207" i="8" s="1"/>
  <c r="T208" i="7"/>
  <c r="G208" i="8" s="1"/>
  <c r="AK208" i="8" s="1"/>
  <c r="T209" i="7"/>
  <c r="G209" i="8" s="1"/>
  <c r="AK209" i="8" s="1"/>
  <c r="T210" i="7"/>
  <c r="G210" i="8" s="1"/>
  <c r="AK210" i="8" s="1"/>
  <c r="T211" i="7"/>
  <c r="G211" i="8" s="1"/>
  <c r="AK211" i="8" s="1"/>
  <c r="T212" i="7"/>
  <c r="G212" i="8" s="1"/>
  <c r="AK212" i="8" s="1"/>
  <c r="T213" i="7"/>
  <c r="G213" i="8" s="1"/>
  <c r="AK213" i="8" s="1"/>
  <c r="T214" i="7"/>
  <c r="G214" i="8" s="1"/>
  <c r="AT10" i="8" s="1"/>
  <c r="T215" i="7"/>
  <c r="G215" i="8" s="1"/>
  <c r="AK215" i="8" s="1"/>
  <c r="T216" i="7"/>
  <c r="G216" i="8" s="1"/>
  <c r="AK216" i="8" s="1"/>
  <c r="T217" i="7"/>
  <c r="G217" i="8" s="1"/>
  <c r="AK217" i="8" s="1"/>
  <c r="T218" i="7"/>
  <c r="G218" i="8" s="1"/>
  <c r="AK218" i="8" s="1"/>
  <c r="T219" i="7"/>
  <c r="G219" i="8" s="1"/>
  <c r="AK219" i="8" s="1"/>
  <c r="T220" i="7"/>
  <c r="G220" i="8" s="1"/>
  <c r="AK220" i="8" s="1"/>
  <c r="T221" i="7"/>
  <c r="G221" i="8" s="1"/>
  <c r="AK221" i="8" s="1"/>
  <c r="T222" i="7"/>
  <c r="G222" i="8" s="1"/>
  <c r="AK222" i="8" s="1"/>
  <c r="T223" i="7"/>
  <c r="G223" i="8" s="1"/>
  <c r="AK223" i="8" s="1"/>
  <c r="T224" i="7"/>
  <c r="G224" i="8" s="1"/>
  <c r="AK224" i="8" s="1"/>
  <c r="T225" i="7"/>
  <c r="G225" i="8" s="1"/>
  <c r="AK225" i="8" s="1"/>
  <c r="T226" i="7"/>
  <c r="G226" i="8" s="1"/>
  <c r="AK226" i="8" s="1"/>
  <c r="T227" i="7"/>
  <c r="G227" i="8" s="1"/>
  <c r="AK227" i="8" s="1"/>
  <c r="T228" i="7"/>
  <c r="G228" i="8" s="1"/>
  <c r="AK228" i="8" s="1"/>
  <c r="T229" i="7"/>
  <c r="G229" i="8" s="1"/>
  <c r="AK229" i="8" s="1"/>
  <c r="T230" i="7"/>
  <c r="G230" i="8" s="1"/>
  <c r="AK230" i="8" s="1"/>
  <c r="T231" i="7"/>
  <c r="G231" i="8" s="1"/>
  <c r="AK231" i="8" s="1"/>
  <c r="T232" i="7"/>
  <c r="G232" i="8" s="1"/>
  <c r="AK232" i="8" s="1"/>
  <c r="T233" i="7"/>
  <c r="G233" i="8" s="1"/>
  <c r="AK233" i="8" s="1"/>
  <c r="T234" i="7"/>
  <c r="G234" i="8" s="1"/>
  <c r="AK234" i="8" s="1"/>
  <c r="T235" i="7"/>
  <c r="G235" i="8" s="1"/>
  <c r="AK235" i="8" s="1"/>
  <c r="T236" i="7"/>
  <c r="G236" i="8" s="1"/>
  <c r="AK236" i="8" s="1"/>
  <c r="T237" i="7"/>
  <c r="G237" i="8" s="1"/>
  <c r="AK237" i="8" s="1"/>
  <c r="T238" i="7"/>
  <c r="G238" i="8" s="1"/>
  <c r="AK238" i="8" s="1"/>
  <c r="T239" i="7"/>
  <c r="G239" i="8" s="1"/>
  <c r="AK239" i="8" s="1"/>
  <c r="T240" i="7"/>
  <c r="G240" i="8" s="1"/>
  <c r="AK240" i="8" s="1"/>
  <c r="T241" i="7"/>
  <c r="G241" i="8" s="1"/>
  <c r="AK241" i="8" s="1"/>
  <c r="T242" i="7"/>
  <c r="G242" i="8" s="1"/>
  <c r="AK242" i="8" s="1"/>
  <c r="T243" i="7"/>
  <c r="G243" i="8" s="1"/>
  <c r="AK243" i="8" s="1"/>
  <c r="T244" i="7"/>
  <c r="G244" i="8" s="1"/>
  <c r="AK244" i="8" s="1"/>
  <c r="T245" i="7"/>
  <c r="G245" i="8" s="1"/>
  <c r="AK245" i="8" s="1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339" i="7"/>
  <c r="T340" i="7"/>
  <c r="T341" i="7"/>
  <c r="T342" i="7"/>
  <c r="T343" i="7"/>
  <c r="T344" i="7"/>
  <c r="T345" i="7"/>
  <c r="T346" i="7"/>
  <c r="T347" i="7"/>
  <c r="T348" i="7"/>
  <c r="T349" i="7"/>
  <c r="T350" i="7"/>
  <c r="T351" i="7"/>
  <c r="T352" i="7"/>
  <c r="T353" i="7"/>
  <c r="T354" i="7"/>
  <c r="T355" i="7"/>
  <c r="T356" i="7"/>
  <c r="T357" i="7"/>
  <c r="T358" i="7"/>
  <c r="T359" i="7"/>
  <c r="T360" i="7"/>
  <c r="T361" i="7"/>
  <c r="T362" i="7"/>
  <c r="T363" i="7"/>
  <c r="T364" i="7"/>
  <c r="T365" i="7"/>
  <c r="T366" i="7"/>
  <c r="T367" i="7"/>
  <c r="T368" i="7"/>
  <c r="T369" i="7"/>
  <c r="T370" i="7"/>
  <c r="T371" i="7"/>
  <c r="T372" i="7"/>
  <c r="T373" i="7"/>
  <c r="T374" i="7"/>
  <c r="T375" i="7"/>
  <c r="T376" i="7"/>
  <c r="T377" i="7"/>
  <c r="T378" i="7"/>
  <c r="T379" i="7"/>
  <c r="T380" i="7"/>
  <c r="T381" i="7"/>
  <c r="T382" i="7"/>
  <c r="T383" i="7"/>
  <c r="T384" i="7"/>
  <c r="T385" i="7"/>
  <c r="T386" i="7"/>
  <c r="T387" i="7"/>
  <c r="T388" i="7"/>
  <c r="T389" i="7"/>
  <c r="T390" i="7"/>
  <c r="T391" i="7"/>
  <c r="T392" i="7"/>
  <c r="T393" i="7"/>
  <c r="T394" i="7"/>
  <c r="T395" i="7"/>
  <c r="T396" i="7"/>
  <c r="T397" i="7"/>
  <c r="T398" i="7"/>
  <c r="T399" i="7"/>
  <c r="T400" i="7"/>
  <c r="T401" i="7"/>
  <c r="T402" i="7"/>
  <c r="T403" i="7"/>
  <c r="T404" i="7"/>
  <c r="T405" i="7"/>
  <c r="T406" i="7"/>
  <c r="T407" i="7"/>
  <c r="T408" i="7"/>
  <c r="T409" i="7"/>
  <c r="T410" i="7"/>
  <c r="T411" i="7"/>
  <c r="T412" i="7"/>
  <c r="T413" i="7"/>
  <c r="T414" i="7"/>
  <c r="T415" i="7"/>
  <c r="T416" i="7"/>
  <c r="T417" i="7"/>
  <c r="T418" i="7"/>
  <c r="T419" i="7"/>
  <c r="T420" i="7"/>
  <c r="T421" i="7"/>
  <c r="T422" i="7"/>
  <c r="T423" i="7"/>
  <c r="T424" i="7"/>
  <c r="T425" i="7"/>
  <c r="T426" i="7"/>
  <c r="T427" i="7"/>
  <c r="T428" i="7"/>
  <c r="T429" i="7"/>
  <c r="T430" i="7"/>
  <c r="T431" i="7"/>
  <c r="T432" i="7"/>
  <c r="T433" i="7"/>
  <c r="T434" i="7"/>
  <c r="T435" i="7"/>
  <c r="T436" i="7"/>
  <c r="T437" i="7"/>
  <c r="T438" i="7"/>
  <c r="T439" i="7"/>
  <c r="T440" i="7"/>
  <c r="T441" i="7"/>
  <c r="T442" i="7"/>
  <c r="T443" i="7"/>
  <c r="T444" i="7"/>
  <c r="T445" i="7"/>
  <c r="T446" i="7"/>
  <c r="T447" i="7"/>
  <c r="T448" i="7"/>
  <c r="T449" i="7"/>
  <c r="T450" i="7"/>
  <c r="T451" i="7"/>
  <c r="T452" i="7"/>
  <c r="T2" i="6"/>
  <c r="F2" i="8" s="1"/>
  <c r="T3" i="6"/>
  <c r="F3" i="8" s="1"/>
  <c r="F4" i="10" s="1"/>
  <c r="T4" i="6"/>
  <c r="F4" i="8" s="1"/>
  <c r="F5" i="10" s="1"/>
  <c r="T5" i="6"/>
  <c r="F5" i="8" s="1"/>
  <c r="T6" i="6"/>
  <c r="F6" i="8" s="1"/>
  <c r="F7" i="10" s="1"/>
  <c r="T7" i="6"/>
  <c r="F7" i="8" s="1"/>
  <c r="F8" i="10" s="1"/>
  <c r="T8" i="6"/>
  <c r="F8" i="8" s="1"/>
  <c r="F9" i="10" s="1"/>
  <c r="T9" i="6"/>
  <c r="F9" i="8" s="1"/>
  <c r="T10" i="6"/>
  <c r="F10" i="8" s="1"/>
  <c r="F11" i="10" s="1"/>
  <c r="T11" i="6"/>
  <c r="F11" i="8" s="1"/>
  <c r="F12" i="10" s="1"/>
  <c r="T12" i="6"/>
  <c r="F12" i="8" s="1"/>
  <c r="F13" i="10" s="1"/>
  <c r="T13" i="6"/>
  <c r="F13" i="8" s="1"/>
  <c r="T14" i="6"/>
  <c r="F14" i="8" s="1"/>
  <c r="F15" i="10" s="1"/>
  <c r="T15" i="6"/>
  <c r="F15" i="8" s="1"/>
  <c r="F16" i="10" s="1"/>
  <c r="T16" i="6"/>
  <c r="F16" i="8" s="1"/>
  <c r="F17" i="10" s="1"/>
  <c r="T17" i="6"/>
  <c r="F17" i="8" s="1"/>
  <c r="T18" i="6"/>
  <c r="F18" i="8" s="1"/>
  <c r="F19" i="10" s="1"/>
  <c r="T19" i="6"/>
  <c r="F19" i="8" s="1"/>
  <c r="F20" i="10" s="1"/>
  <c r="T20" i="6"/>
  <c r="F20" i="8" s="1"/>
  <c r="F21" i="10" s="1"/>
  <c r="T21" i="6"/>
  <c r="F21" i="8" s="1"/>
  <c r="T22" i="6"/>
  <c r="F22" i="8" s="1"/>
  <c r="F23" i="10" s="1"/>
  <c r="T23" i="6"/>
  <c r="F23" i="8" s="1"/>
  <c r="F24" i="10" s="1"/>
  <c r="T24" i="6"/>
  <c r="F24" i="8" s="1"/>
  <c r="F25" i="10" s="1"/>
  <c r="T25" i="6"/>
  <c r="F25" i="8" s="1"/>
  <c r="T26" i="6"/>
  <c r="F26" i="8" s="1"/>
  <c r="F27" i="10" s="1"/>
  <c r="T27" i="6"/>
  <c r="F27" i="8" s="1"/>
  <c r="F28" i="10" s="1"/>
  <c r="T28" i="6"/>
  <c r="F28" i="8" s="1"/>
  <c r="F29" i="10" s="1"/>
  <c r="T29" i="6"/>
  <c r="F29" i="8" s="1"/>
  <c r="T30" i="6"/>
  <c r="F30" i="8" s="1"/>
  <c r="F31" i="10" s="1"/>
  <c r="T31" i="6"/>
  <c r="F31" i="8" s="1"/>
  <c r="F32" i="10" s="1"/>
  <c r="T32" i="6"/>
  <c r="F32" i="8" s="1"/>
  <c r="F33" i="10" s="1"/>
  <c r="T33" i="6"/>
  <c r="F33" i="8" s="1"/>
  <c r="T34" i="6"/>
  <c r="F34" i="8" s="1"/>
  <c r="F35" i="10" s="1"/>
  <c r="T35" i="6"/>
  <c r="F35" i="8" s="1"/>
  <c r="F36" i="10" s="1"/>
  <c r="T36" i="6"/>
  <c r="F36" i="8" s="1"/>
  <c r="F37" i="10" s="1"/>
  <c r="T37" i="6"/>
  <c r="F37" i="8" s="1"/>
  <c r="T38" i="6"/>
  <c r="F38" i="8" s="1"/>
  <c r="F39" i="10" s="1"/>
  <c r="T39" i="6"/>
  <c r="F39" i="8" s="1"/>
  <c r="F40" i="10" s="1"/>
  <c r="T40" i="6"/>
  <c r="F40" i="8" s="1"/>
  <c r="F41" i="10" s="1"/>
  <c r="T41" i="6"/>
  <c r="F41" i="8" s="1"/>
  <c r="T42" i="6"/>
  <c r="F42" i="8" s="1"/>
  <c r="F43" i="10" s="1"/>
  <c r="T43" i="6"/>
  <c r="F43" i="8" s="1"/>
  <c r="F44" i="10" s="1"/>
  <c r="T44" i="6"/>
  <c r="F44" i="8" s="1"/>
  <c r="F45" i="10" s="1"/>
  <c r="T45" i="6"/>
  <c r="F45" i="8" s="1"/>
  <c r="T46" i="6"/>
  <c r="F46" i="8" s="1"/>
  <c r="F47" i="10" s="1"/>
  <c r="T47" i="6"/>
  <c r="F47" i="8" s="1"/>
  <c r="F48" i="10" s="1"/>
  <c r="T48" i="6"/>
  <c r="F48" i="8" s="1"/>
  <c r="T49" i="6"/>
  <c r="F49" i="8" s="1"/>
  <c r="T50" i="6"/>
  <c r="F50" i="8" s="1"/>
  <c r="F51" i="10" s="1"/>
  <c r="T51" i="6"/>
  <c r="F51" i="8" s="1"/>
  <c r="F52" i="10" s="1"/>
  <c r="T52" i="6"/>
  <c r="F52" i="8" s="1"/>
  <c r="F53" i="10" s="1"/>
  <c r="T53" i="6"/>
  <c r="F53" i="8" s="1"/>
  <c r="T54" i="6"/>
  <c r="F54" i="8" s="1"/>
  <c r="F55" i="10" s="1"/>
  <c r="T55" i="6"/>
  <c r="F55" i="8" s="1"/>
  <c r="F56" i="10" s="1"/>
  <c r="T56" i="6"/>
  <c r="F56" i="8" s="1"/>
  <c r="F57" i="10" s="1"/>
  <c r="T57" i="6"/>
  <c r="F57" i="8" s="1"/>
  <c r="T58" i="6"/>
  <c r="F58" i="8" s="1"/>
  <c r="F59" i="10" s="1"/>
  <c r="T59" i="6"/>
  <c r="F59" i="8" s="1"/>
  <c r="F60" i="10" s="1"/>
  <c r="T60" i="6"/>
  <c r="F60" i="8" s="1"/>
  <c r="F61" i="10" s="1"/>
  <c r="T61" i="6"/>
  <c r="F61" i="8" s="1"/>
  <c r="T62" i="6"/>
  <c r="F62" i="8" s="1"/>
  <c r="F63" i="10" s="1"/>
  <c r="T63" i="6"/>
  <c r="F63" i="8" s="1"/>
  <c r="F64" i="10" s="1"/>
  <c r="T64" i="6"/>
  <c r="F64" i="8" s="1"/>
  <c r="F65" i="10" s="1"/>
  <c r="T65" i="6"/>
  <c r="F65" i="8" s="1"/>
  <c r="T66" i="6"/>
  <c r="F66" i="8" s="1"/>
  <c r="F67" i="10" s="1"/>
  <c r="T67" i="6"/>
  <c r="F67" i="8" s="1"/>
  <c r="F68" i="10" s="1"/>
  <c r="T68" i="6"/>
  <c r="F68" i="8" s="1"/>
  <c r="F69" i="10" s="1"/>
  <c r="T69" i="6"/>
  <c r="F69" i="8" s="1"/>
  <c r="T70" i="6"/>
  <c r="F70" i="8" s="1"/>
  <c r="F71" i="10" s="1"/>
  <c r="T71" i="6"/>
  <c r="F71" i="8" s="1"/>
  <c r="F72" i="10" s="1"/>
  <c r="T72" i="6"/>
  <c r="F72" i="8" s="1"/>
  <c r="F73" i="10" s="1"/>
  <c r="T73" i="6"/>
  <c r="F73" i="8" s="1"/>
  <c r="T74" i="6"/>
  <c r="F74" i="8" s="1"/>
  <c r="F75" i="10" s="1"/>
  <c r="T75" i="6"/>
  <c r="F75" i="8" s="1"/>
  <c r="F76" i="10" s="1"/>
  <c r="T76" i="6"/>
  <c r="F76" i="8" s="1"/>
  <c r="F77" i="10" s="1"/>
  <c r="T77" i="6"/>
  <c r="F77" i="8" s="1"/>
  <c r="T78" i="6"/>
  <c r="F78" i="8" s="1"/>
  <c r="F79" i="10" s="1"/>
  <c r="T79" i="6"/>
  <c r="F79" i="8" s="1"/>
  <c r="F80" i="10" s="1"/>
  <c r="T80" i="6"/>
  <c r="F80" i="8" s="1"/>
  <c r="F81" i="10" s="1"/>
  <c r="T81" i="6"/>
  <c r="F81" i="8" s="1"/>
  <c r="T82" i="6"/>
  <c r="F82" i="8" s="1"/>
  <c r="F83" i="10" s="1"/>
  <c r="T83" i="6"/>
  <c r="F83" i="8" s="1"/>
  <c r="F84" i="10" s="1"/>
  <c r="T84" i="6"/>
  <c r="F84" i="8" s="1"/>
  <c r="F85" i="10" s="1"/>
  <c r="T85" i="6"/>
  <c r="F85" i="8" s="1"/>
  <c r="T86" i="6"/>
  <c r="F86" i="8" s="1"/>
  <c r="F87" i="10" s="1"/>
  <c r="T87" i="6"/>
  <c r="F87" i="8" s="1"/>
  <c r="F88" i="10" s="1"/>
  <c r="T88" i="6"/>
  <c r="F88" i="8" s="1"/>
  <c r="F89" i="10" s="1"/>
  <c r="T89" i="6"/>
  <c r="F89" i="8" s="1"/>
  <c r="T90" i="6"/>
  <c r="F90" i="8" s="1"/>
  <c r="F91" i="10" s="1"/>
  <c r="T91" i="6"/>
  <c r="F91" i="8" s="1"/>
  <c r="F92" i="10" s="1"/>
  <c r="T92" i="6"/>
  <c r="F92" i="8" s="1"/>
  <c r="F93" i="10" s="1"/>
  <c r="T93" i="6"/>
  <c r="F93" i="8" s="1"/>
  <c r="T94" i="6"/>
  <c r="F94" i="8" s="1"/>
  <c r="F95" i="10" s="1"/>
  <c r="T95" i="6"/>
  <c r="F95" i="8" s="1"/>
  <c r="F96" i="10" s="1"/>
  <c r="T96" i="6"/>
  <c r="F96" i="8" s="1"/>
  <c r="F97" i="10" s="1"/>
  <c r="T97" i="6"/>
  <c r="F97" i="8" s="1"/>
  <c r="T98" i="6"/>
  <c r="F98" i="8" s="1"/>
  <c r="F99" i="10" s="1"/>
  <c r="T99" i="6"/>
  <c r="F99" i="8" s="1"/>
  <c r="F100" i="10" s="1"/>
  <c r="T100" i="6"/>
  <c r="F100" i="8" s="1"/>
  <c r="F101" i="10" s="1"/>
  <c r="T101" i="6"/>
  <c r="F101" i="8" s="1"/>
  <c r="T102" i="6"/>
  <c r="F102" i="8" s="1"/>
  <c r="F103" i="10" s="1"/>
  <c r="T103" i="6"/>
  <c r="F103" i="8" s="1"/>
  <c r="F104" i="10" s="1"/>
  <c r="T104" i="6"/>
  <c r="F104" i="8" s="1"/>
  <c r="F105" i="10" s="1"/>
  <c r="T105" i="6"/>
  <c r="F105" i="8" s="1"/>
  <c r="T106" i="6"/>
  <c r="F106" i="8" s="1"/>
  <c r="F107" i="10" s="1"/>
  <c r="T107" i="6"/>
  <c r="F107" i="8" s="1"/>
  <c r="F108" i="10" s="1"/>
  <c r="T108" i="6"/>
  <c r="F108" i="8" s="1"/>
  <c r="F109" i="10" s="1"/>
  <c r="T109" i="6"/>
  <c r="F109" i="8" s="1"/>
  <c r="T110" i="6"/>
  <c r="F110" i="8" s="1"/>
  <c r="F111" i="10" s="1"/>
  <c r="T111" i="6"/>
  <c r="F111" i="8" s="1"/>
  <c r="F112" i="10" s="1"/>
  <c r="T112" i="6"/>
  <c r="F112" i="8" s="1"/>
  <c r="F113" i="10" s="1"/>
  <c r="T113" i="6"/>
  <c r="F113" i="8" s="1"/>
  <c r="T114" i="6"/>
  <c r="F114" i="8" s="1"/>
  <c r="F115" i="10" s="1"/>
  <c r="T115" i="6"/>
  <c r="F115" i="8" s="1"/>
  <c r="F116" i="10" s="1"/>
  <c r="T116" i="6"/>
  <c r="F116" i="8" s="1"/>
  <c r="F117" i="10" s="1"/>
  <c r="T117" i="6"/>
  <c r="F117" i="8" s="1"/>
  <c r="T118" i="6"/>
  <c r="F118" i="8" s="1"/>
  <c r="F119" i="10" s="1"/>
  <c r="T119" i="6"/>
  <c r="F119" i="8" s="1"/>
  <c r="F120" i="10" s="1"/>
  <c r="T120" i="6"/>
  <c r="F120" i="8" s="1"/>
  <c r="F121" i="10" s="1"/>
  <c r="T121" i="6"/>
  <c r="F121" i="8" s="1"/>
  <c r="T122" i="6"/>
  <c r="F122" i="8" s="1"/>
  <c r="F123" i="10" s="1"/>
  <c r="T123" i="6"/>
  <c r="F123" i="8" s="1"/>
  <c r="F124" i="10" s="1"/>
  <c r="T124" i="6"/>
  <c r="F124" i="8" s="1"/>
  <c r="F125" i="10" s="1"/>
  <c r="T125" i="6"/>
  <c r="F125" i="8" s="1"/>
  <c r="T126" i="6"/>
  <c r="F126" i="8" s="1"/>
  <c r="F127" i="10" s="1"/>
  <c r="T127" i="6"/>
  <c r="F127" i="8" s="1"/>
  <c r="F128" i="10" s="1"/>
  <c r="T128" i="6"/>
  <c r="F128" i="8" s="1"/>
  <c r="F129" i="10" s="1"/>
  <c r="T129" i="6"/>
  <c r="F129" i="8" s="1"/>
  <c r="T130" i="6"/>
  <c r="F130" i="8" s="1"/>
  <c r="F131" i="10" s="1"/>
  <c r="T131" i="6"/>
  <c r="F131" i="8" s="1"/>
  <c r="F132" i="10" s="1"/>
  <c r="T132" i="6"/>
  <c r="F132" i="8" s="1"/>
  <c r="F133" i="10" s="1"/>
  <c r="T133" i="6"/>
  <c r="F133" i="8" s="1"/>
  <c r="T134" i="6"/>
  <c r="F134" i="8" s="1"/>
  <c r="F135" i="10" s="1"/>
  <c r="T135" i="6"/>
  <c r="F135" i="8" s="1"/>
  <c r="F136" i="10" s="1"/>
  <c r="T136" i="6"/>
  <c r="F136" i="8" s="1"/>
  <c r="F137" i="10" s="1"/>
  <c r="T137" i="6"/>
  <c r="F137" i="8" s="1"/>
  <c r="T138" i="6"/>
  <c r="F138" i="8" s="1"/>
  <c r="F139" i="10" s="1"/>
  <c r="T139" i="6"/>
  <c r="F139" i="8" s="1"/>
  <c r="F140" i="10" s="1"/>
  <c r="T140" i="6"/>
  <c r="F140" i="8" s="1"/>
  <c r="F141" i="10" s="1"/>
  <c r="T141" i="6"/>
  <c r="F141" i="8" s="1"/>
  <c r="T142" i="6"/>
  <c r="F142" i="8" s="1"/>
  <c r="F143" i="10" s="1"/>
  <c r="T143" i="6"/>
  <c r="F143" i="8" s="1"/>
  <c r="F144" i="10" s="1"/>
  <c r="T144" i="6"/>
  <c r="F144" i="8" s="1"/>
  <c r="F145" i="10" s="1"/>
  <c r="T145" i="6"/>
  <c r="F145" i="8" s="1"/>
  <c r="T146" i="6"/>
  <c r="F146" i="8" s="1"/>
  <c r="T147" i="6"/>
  <c r="F147" i="8" s="1"/>
  <c r="F148" i="10" s="1"/>
  <c r="T148" i="6"/>
  <c r="F148" i="8" s="1"/>
  <c r="F149" i="10" s="1"/>
  <c r="T149" i="6"/>
  <c r="F149" i="8" s="1"/>
  <c r="T150" i="6"/>
  <c r="F150" i="8" s="1"/>
  <c r="F151" i="10" s="1"/>
  <c r="T151" i="6"/>
  <c r="F151" i="8" s="1"/>
  <c r="F152" i="10" s="1"/>
  <c r="T152" i="6"/>
  <c r="F152" i="8" s="1"/>
  <c r="F153" i="10" s="1"/>
  <c r="T153" i="6"/>
  <c r="F153" i="8" s="1"/>
  <c r="T154" i="6"/>
  <c r="F154" i="8" s="1"/>
  <c r="F155" i="10" s="1"/>
  <c r="T155" i="6"/>
  <c r="F155" i="8" s="1"/>
  <c r="F156" i="10" s="1"/>
  <c r="T156" i="6"/>
  <c r="F156" i="8" s="1"/>
  <c r="F157" i="10" s="1"/>
  <c r="T157" i="6"/>
  <c r="F157" i="8" s="1"/>
  <c r="T158" i="6"/>
  <c r="F158" i="8" s="1"/>
  <c r="F159" i="10" s="1"/>
  <c r="T159" i="6"/>
  <c r="F159" i="8" s="1"/>
  <c r="F160" i="10" s="1"/>
  <c r="T160" i="6"/>
  <c r="F160" i="8" s="1"/>
  <c r="F161" i="10" s="1"/>
  <c r="T161" i="6"/>
  <c r="F161" i="8" s="1"/>
  <c r="T162" i="6"/>
  <c r="F162" i="8" s="1"/>
  <c r="F163" i="10" s="1"/>
  <c r="T163" i="6"/>
  <c r="F163" i="8" s="1"/>
  <c r="F164" i="10" s="1"/>
  <c r="T164" i="6"/>
  <c r="F164" i="8" s="1"/>
  <c r="F165" i="10" s="1"/>
  <c r="T165" i="6"/>
  <c r="F165" i="8" s="1"/>
  <c r="T166" i="6"/>
  <c r="F166" i="8" s="1"/>
  <c r="F167" i="10" s="1"/>
  <c r="T167" i="6"/>
  <c r="F167" i="8" s="1"/>
  <c r="F168" i="10" s="1"/>
  <c r="T168" i="6"/>
  <c r="F168" i="8" s="1"/>
  <c r="F169" i="10" s="1"/>
  <c r="T169" i="6"/>
  <c r="F169" i="8" s="1"/>
  <c r="T170" i="6"/>
  <c r="F170" i="8" s="1"/>
  <c r="F171" i="10" s="1"/>
  <c r="T171" i="6"/>
  <c r="F171" i="8" s="1"/>
  <c r="F172" i="10" s="1"/>
  <c r="T172" i="6"/>
  <c r="F172" i="8" s="1"/>
  <c r="T173" i="6"/>
  <c r="F173" i="8" s="1"/>
  <c r="T174" i="6"/>
  <c r="F174" i="8" s="1"/>
  <c r="T175" i="6"/>
  <c r="F175" i="8" s="1"/>
  <c r="T176" i="6"/>
  <c r="F176" i="8" s="1"/>
  <c r="T177" i="6"/>
  <c r="F177" i="8" s="1"/>
  <c r="T178" i="6"/>
  <c r="F178" i="8" s="1"/>
  <c r="T179" i="6"/>
  <c r="F179" i="8" s="1"/>
  <c r="T180" i="6"/>
  <c r="F180" i="8" s="1"/>
  <c r="T181" i="6"/>
  <c r="F181" i="8" s="1"/>
  <c r="T182" i="6"/>
  <c r="F182" i="8" s="1"/>
  <c r="T183" i="6"/>
  <c r="F183" i="8" s="1"/>
  <c r="T184" i="6"/>
  <c r="F184" i="8" s="1"/>
  <c r="T185" i="6"/>
  <c r="F185" i="8" s="1"/>
  <c r="T186" i="6"/>
  <c r="F186" i="8" s="1"/>
  <c r="T187" i="6"/>
  <c r="F187" i="8" s="1"/>
  <c r="T188" i="6"/>
  <c r="F188" i="8" s="1"/>
  <c r="T189" i="6"/>
  <c r="F189" i="8" s="1"/>
  <c r="T190" i="6"/>
  <c r="F190" i="8" s="1"/>
  <c r="T191" i="6"/>
  <c r="F191" i="8" s="1"/>
  <c r="T192" i="6"/>
  <c r="F192" i="8" s="1"/>
  <c r="AJ192" i="8" s="1"/>
  <c r="T193" i="6"/>
  <c r="F193" i="8" s="1"/>
  <c r="AJ193" i="8" s="1"/>
  <c r="T194" i="6"/>
  <c r="F194" i="8" s="1"/>
  <c r="AJ194" i="8" s="1"/>
  <c r="T195" i="6"/>
  <c r="F195" i="8" s="1"/>
  <c r="AJ195" i="8" s="1"/>
  <c r="T196" i="6"/>
  <c r="F196" i="8" s="1"/>
  <c r="AJ196" i="8" s="1"/>
  <c r="T197" i="6"/>
  <c r="F197" i="8" s="1"/>
  <c r="AJ197" i="8" s="1"/>
  <c r="T198" i="6"/>
  <c r="F198" i="8" s="1"/>
  <c r="AJ198" i="8" s="1"/>
  <c r="T199" i="6"/>
  <c r="F199" i="8" s="1"/>
  <c r="AJ199" i="8" s="1"/>
  <c r="T200" i="6"/>
  <c r="F200" i="8" s="1"/>
  <c r="AJ200" i="8" s="1"/>
  <c r="T201" i="6"/>
  <c r="F201" i="8" s="1"/>
  <c r="AJ201" i="8" s="1"/>
  <c r="T202" i="6"/>
  <c r="F202" i="8" s="1"/>
  <c r="AJ202" i="8" s="1"/>
  <c r="T203" i="6"/>
  <c r="F203" i="8" s="1"/>
  <c r="AJ203" i="8" s="1"/>
  <c r="T204" i="6"/>
  <c r="F204" i="8" s="1"/>
  <c r="AJ204" i="8" s="1"/>
  <c r="T205" i="6"/>
  <c r="F205" i="8" s="1"/>
  <c r="AJ205" i="8" s="1"/>
  <c r="T206" i="6"/>
  <c r="F206" i="8" s="1"/>
  <c r="AJ206" i="8" s="1"/>
  <c r="T207" i="6"/>
  <c r="F207" i="8" s="1"/>
  <c r="AJ207" i="8" s="1"/>
  <c r="T208" i="6"/>
  <c r="F208" i="8" s="1"/>
  <c r="AJ208" i="8" s="1"/>
  <c r="T209" i="6"/>
  <c r="F209" i="8" s="1"/>
  <c r="AJ209" i="8" s="1"/>
  <c r="T210" i="6"/>
  <c r="F210" i="8" s="1"/>
  <c r="AJ210" i="8" s="1"/>
  <c r="T211" i="6"/>
  <c r="F211" i="8" s="1"/>
  <c r="AJ211" i="8" s="1"/>
  <c r="T212" i="6"/>
  <c r="F212" i="8" s="1"/>
  <c r="AJ212" i="8" s="1"/>
  <c r="T213" i="6"/>
  <c r="F213" i="8" s="1"/>
  <c r="AJ213" i="8" s="1"/>
  <c r="T214" i="6"/>
  <c r="F214" i="8" s="1"/>
  <c r="AS10" i="8" s="1"/>
  <c r="T215" i="6"/>
  <c r="F215" i="8" s="1"/>
  <c r="AJ215" i="8" s="1"/>
  <c r="T216" i="6"/>
  <c r="F216" i="8" s="1"/>
  <c r="AJ216" i="8" s="1"/>
  <c r="T217" i="6"/>
  <c r="F217" i="8" s="1"/>
  <c r="AJ217" i="8" s="1"/>
  <c r="T218" i="6"/>
  <c r="F218" i="8" s="1"/>
  <c r="AJ218" i="8" s="1"/>
  <c r="T219" i="6"/>
  <c r="F219" i="8" s="1"/>
  <c r="AJ219" i="8" s="1"/>
  <c r="T220" i="6"/>
  <c r="F220" i="8" s="1"/>
  <c r="AJ220" i="8" s="1"/>
  <c r="T221" i="6"/>
  <c r="F221" i="8" s="1"/>
  <c r="AJ221" i="8" s="1"/>
  <c r="T222" i="6"/>
  <c r="F222" i="8" s="1"/>
  <c r="AJ222" i="8" s="1"/>
  <c r="T223" i="6"/>
  <c r="F223" i="8" s="1"/>
  <c r="AJ223" i="8" s="1"/>
  <c r="T224" i="6"/>
  <c r="F224" i="8" s="1"/>
  <c r="AJ224" i="8" s="1"/>
  <c r="T225" i="6"/>
  <c r="F225" i="8" s="1"/>
  <c r="AJ225" i="8" s="1"/>
  <c r="T226" i="6"/>
  <c r="F226" i="8" s="1"/>
  <c r="AJ226" i="8" s="1"/>
  <c r="T227" i="6"/>
  <c r="F227" i="8" s="1"/>
  <c r="AJ227" i="8" s="1"/>
  <c r="T228" i="6"/>
  <c r="F228" i="8" s="1"/>
  <c r="AJ228" i="8" s="1"/>
  <c r="T229" i="6"/>
  <c r="F229" i="8" s="1"/>
  <c r="AJ229" i="8" s="1"/>
  <c r="T230" i="6"/>
  <c r="F230" i="8" s="1"/>
  <c r="AJ230" i="8" s="1"/>
  <c r="T231" i="6"/>
  <c r="F231" i="8" s="1"/>
  <c r="AJ231" i="8" s="1"/>
  <c r="T232" i="6"/>
  <c r="F232" i="8" s="1"/>
  <c r="AJ232" i="8" s="1"/>
  <c r="T233" i="6"/>
  <c r="F233" i="8" s="1"/>
  <c r="AJ233" i="8" s="1"/>
  <c r="T234" i="6"/>
  <c r="F234" i="8" s="1"/>
  <c r="AJ234" i="8" s="1"/>
  <c r="T235" i="6"/>
  <c r="F235" i="8" s="1"/>
  <c r="AJ235" i="8" s="1"/>
  <c r="T236" i="6"/>
  <c r="F236" i="8" s="1"/>
  <c r="AJ236" i="8" s="1"/>
  <c r="T237" i="6"/>
  <c r="F237" i="8" s="1"/>
  <c r="AJ237" i="8" s="1"/>
  <c r="T238" i="6"/>
  <c r="F238" i="8" s="1"/>
  <c r="AJ238" i="8" s="1"/>
  <c r="T239" i="6"/>
  <c r="F239" i="8" s="1"/>
  <c r="AJ239" i="8" s="1"/>
  <c r="T240" i="6"/>
  <c r="F240" i="8" s="1"/>
  <c r="AJ240" i="8" s="1"/>
  <c r="T241" i="6"/>
  <c r="F241" i="8" s="1"/>
  <c r="AJ241" i="8" s="1"/>
  <c r="T242" i="6"/>
  <c r="F242" i="8" s="1"/>
  <c r="AJ242" i="8" s="1"/>
  <c r="T243" i="6"/>
  <c r="F243" i="8" s="1"/>
  <c r="AJ243" i="8" s="1"/>
  <c r="T244" i="6"/>
  <c r="F244" i="8" s="1"/>
  <c r="AJ244" i="8" s="1"/>
  <c r="T245" i="6"/>
  <c r="F245" i="8" s="1"/>
  <c r="AJ245" i="8" s="1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2" i="5"/>
  <c r="E2" i="8" s="1"/>
  <c r="T3" i="5"/>
  <c r="E3" i="8" s="1"/>
  <c r="E4" i="10" s="1"/>
  <c r="T4" i="5"/>
  <c r="E4" i="8" s="1"/>
  <c r="E5" i="10" s="1"/>
  <c r="T5" i="5"/>
  <c r="E5" i="8" s="1"/>
  <c r="T6" i="5"/>
  <c r="E6" i="8" s="1"/>
  <c r="T7" i="5"/>
  <c r="E7" i="8" s="1"/>
  <c r="E8" i="10" s="1"/>
  <c r="T8" i="5"/>
  <c r="E8" i="8" s="1"/>
  <c r="E9" i="10" s="1"/>
  <c r="T9" i="5"/>
  <c r="E9" i="8" s="1"/>
  <c r="T10" i="5"/>
  <c r="E10" i="8" s="1"/>
  <c r="T11" i="5"/>
  <c r="E11" i="8" s="1"/>
  <c r="E12" i="10" s="1"/>
  <c r="T12" i="5"/>
  <c r="E12" i="8" s="1"/>
  <c r="E13" i="10" s="1"/>
  <c r="T13" i="5"/>
  <c r="E13" i="8" s="1"/>
  <c r="T14" i="5"/>
  <c r="E14" i="8" s="1"/>
  <c r="T15" i="5"/>
  <c r="E15" i="8" s="1"/>
  <c r="E16" i="10" s="1"/>
  <c r="T16" i="5"/>
  <c r="E16" i="8" s="1"/>
  <c r="E17" i="10" s="1"/>
  <c r="T17" i="5"/>
  <c r="E17" i="8" s="1"/>
  <c r="E18" i="10" s="1"/>
  <c r="T18" i="5"/>
  <c r="E18" i="8" s="1"/>
  <c r="T19" i="5"/>
  <c r="E19" i="8" s="1"/>
  <c r="E20" i="10" s="1"/>
  <c r="T20" i="5"/>
  <c r="E20" i="8" s="1"/>
  <c r="E21" i="10" s="1"/>
  <c r="T21" i="5"/>
  <c r="E21" i="8" s="1"/>
  <c r="E22" i="10" s="1"/>
  <c r="T22" i="5"/>
  <c r="E22" i="8" s="1"/>
  <c r="T23" i="5"/>
  <c r="E23" i="8" s="1"/>
  <c r="E24" i="10" s="1"/>
  <c r="T24" i="5"/>
  <c r="E24" i="8" s="1"/>
  <c r="E25" i="10" s="1"/>
  <c r="T25" i="5"/>
  <c r="E25" i="8" s="1"/>
  <c r="E26" i="10" s="1"/>
  <c r="T26" i="5"/>
  <c r="E26" i="8" s="1"/>
  <c r="T27" i="5"/>
  <c r="E27" i="8" s="1"/>
  <c r="E28" i="10" s="1"/>
  <c r="T28" i="5"/>
  <c r="E28" i="8" s="1"/>
  <c r="E29" i="10" s="1"/>
  <c r="T29" i="5"/>
  <c r="E29" i="8" s="1"/>
  <c r="E30" i="10" s="1"/>
  <c r="T30" i="5"/>
  <c r="E30" i="8" s="1"/>
  <c r="T31" i="5"/>
  <c r="E31" i="8" s="1"/>
  <c r="E32" i="10" s="1"/>
  <c r="T32" i="5"/>
  <c r="E32" i="8" s="1"/>
  <c r="E33" i="10" s="1"/>
  <c r="T33" i="5"/>
  <c r="E33" i="8" s="1"/>
  <c r="E34" i="10" s="1"/>
  <c r="T34" i="5"/>
  <c r="E34" i="8" s="1"/>
  <c r="T35" i="5"/>
  <c r="E35" i="8" s="1"/>
  <c r="E36" i="10" s="1"/>
  <c r="T36" i="5"/>
  <c r="E36" i="8" s="1"/>
  <c r="E37" i="10" s="1"/>
  <c r="T37" i="5"/>
  <c r="E37" i="8" s="1"/>
  <c r="E38" i="10" s="1"/>
  <c r="T38" i="5"/>
  <c r="E38" i="8" s="1"/>
  <c r="T39" i="5"/>
  <c r="E39" i="8" s="1"/>
  <c r="E40" i="10" s="1"/>
  <c r="T40" i="5"/>
  <c r="E40" i="8" s="1"/>
  <c r="E41" i="10" s="1"/>
  <c r="T41" i="5"/>
  <c r="E41" i="8" s="1"/>
  <c r="E42" i="10" s="1"/>
  <c r="T42" i="5"/>
  <c r="E42" i="8" s="1"/>
  <c r="T43" i="5"/>
  <c r="E43" i="8" s="1"/>
  <c r="E44" i="10" s="1"/>
  <c r="T44" i="5"/>
  <c r="E44" i="8" s="1"/>
  <c r="E45" i="10" s="1"/>
  <c r="T45" i="5"/>
  <c r="E45" i="8" s="1"/>
  <c r="E46" i="10" s="1"/>
  <c r="T46" i="5"/>
  <c r="E46" i="8" s="1"/>
  <c r="T47" i="5"/>
  <c r="E47" i="8" s="1"/>
  <c r="E48" i="10" s="1"/>
  <c r="T48" i="5"/>
  <c r="E48" i="8" s="1"/>
  <c r="E49" i="10" s="1"/>
  <c r="T49" i="5"/>
  <c r="E49" i="8" s="1"/>
  <c r="E50" i="10" s="1"/>
  <c r="T50" i="5"/>
  <c r="E50" i="8" s="1"/>
  <c r="T51" i="5"/>
  <c r="E51" i="8" s="1"/>
  <c r="E52" i="10" s="1"/>
  <c r="T52" i="5"/>
  <c r="E52" i="8" s="1"/>
  <c r="E53" i="10" s="1"/>
  <c r="T53" i="5"/>
  <c r="E53" i="8" s="1"/>
  <c r="E54" i="10" s="1"/>
  <c r="T54" i="5"/>
  <c r="E54" i="8" s="1"/>
  <c r="T55" i="5"/>
  <c r="E55" i="8" s="1"/>
  <c r="E56" i="10" s="1"/>
  <c r="T56" i="5"/>
  <c r="E56" i="8" s="1"/>
  <c r="E57" i="10" s="1"/>
  <c r="T57" i="5"/>
  <c r="E57" i="8" s="1"/>
  <c r="E58" i="10" s="1"/>
  <c r="T58" i="5"/>
  <c r="E58" i="8" s="1"/>
  <c r="T59" i="5"/>
  <c r="E59" i="8" s="1"/>
  <c r="E60" i="10" s="1"/>
  <c r="T60" i="5"/>
  <c r="E60" i="8" s="1"/>
  <c r="E61" i="10" s="1"/>
  <c r="T61" i="5"/>
  <c r="E61" i="8" s="1"/>
  <c r="E62" i="10" s="1"/>
  <c r="T62" i="5"/>
  <c r="E62" i="8" s="1"/>
  <c r="T63" i="5"/>
  <c r="E63" i="8" s="1"/>
  <c r="E64" i="10" s="1"/>
  <c r="T64" i="5"/>
  <c r="E64" i="8" s="1"/>
  <c r="E65" i="10" s="1"/>
  <c r="T65" i="5"/>
  <c r="E65" i="8" s="1"/>
  <c r="E66" i="10" s="1"/>
  <c r="T66" i="5"/>
  <c r="E66" i="8" s="1"/>
  <c r="T67" i="5"/>
  <c r="E67" i="8" s="1"/>
  <c r="E68" i="10" s="1"/>
  <c r="T68" i="5"/>
  <c r="E68" i="8" s="1"/>
  <c r="E69" i="10" s="1"/>
  <c r="T69" i="5"/>
  <c r="E69" i="8" s="1"/>
  <c r="E70" i="10" s="1"/>
  <c r="T70" i="5"/>
  <c r="E70" i="8" s="1"/>
  <c r="T71" i="5"/>
  <c r="E71" i="8" s="1"/>
  <c r="E72" i="10" s="1"/>
  <c r="T72" i="5"/>
  <c r="E72" i="8" s="1"/>
  <c r="E73" i="10" s="1"/>
  <c r="T73" i="5"/>
  <c r="E73" i="8" s="1"/>
  <c r="T74" i="5"/>
  <c r="E74" i="8" s="1"/>
  <c r="T75" i="5"/>
  <c r="E75" i="8" s="1"/>
  <c r="E76" i="10" s="1"/>
  <c r="T76" i="5"/>
  <c r="E76" i="8" s="1"/>
  <c r="E77" i="10" s="1"/>
  <c r="T77" i="5"/>
  <c r="E77" i="8" s="1"/>
  <c r="E78" i="10" s="1"/>
  <c r="T78" i="5"/>
  <c r="E78" i="8" s="1"/>
  <c r="T79" i="5"/>
  <c r="E79" i="8" s="1"/>
  <c r="E80" i="10" s="1"/>
  <c r="T80" i="5"/>
  <c r="E80" i="8" s="1"/>
  <c r="E81" i="10" s="1"/>
  <c r="T81" i="5"/>
  <c r="E81" i="8" s="1"/>
  <c r="E82" i="10" s="1"/>
  <c r="T82" i="5"/>
  <c r="E82" i="8" s="1"/>
  <c r="T83" i="5"/>
  <c r="E83" i="8" s="1"/>
  <c r="E84" i="10" s="1"/>
  <c r="T84" i="5"/>
  <c r="E84" i="8" s="1"/>
  <c r="E85" i="10" s="1"/>
  <c r="T85" i="5"/>
  <c r="E85" i="8" s="1"/>
  <c r="T86" i="5"/>
  <c r="E86" i="8" s="1"/>
  <c r="T87" i="5"/>
  <c r="E87" i="8" s="1"/>
  <c r="E88" i="10" s="1"/>
  <c r="T88" i="5"/>
  <c r="E88" i="8" s="1"/>
  <c r="E89" i="10" s="1"/>
  <c r="T89" i="5"/>
  <c r="E89" i="8" s="1"/>
  <c r="T90" i="5"/>
  <c r="E90" i="8" s="1"/>
  <c r="T91" i="5"/>
  <c r="E91" i="8" s="1"/>
  <c r="E92" i="10" s="1"/>
  <c r="T92" i="5"/>
  <c r="E92" i="8" s="1"/>
  <c r="E93" i="10" s="1"/>
  <c r="T93" i="5"/>
  <c r="E93" i="8" s="1"/>
  <c r="E94" i="10" s="1"/>
  <c r="T94" i="5"/>
  <c r="E94" i="8" s="1"/>
  <c r="T95" i="5"/>
  <c r="E95" i="8" s="1"/>
  <c r="E96" i="10" s="1"/>
  <c r="T96" i="5"/>
  <c r="E96" i="8" s="1"/>
  <c r="E97" i="10" s="1"/>
  <c r="T97" i="5"/>
  <c r="E97" i="8" s="1"/>
  <c r="E98" i="10" s="1"/>
  <c r="T98" i="5"/>
  <c r="E98" i="8" s="1"/>
  <c r="T99" i="5"/>
  <c r="E99" i="8" s="1"/>
  <c r="E100" i="10" s="1"/>
  <c r="T100" i="5"/>
  <c r="E100" i="8" s="1"/>
  <c r="E101" i="10" s="1"/>
  <c r="T101" i="5"/>
  <c r="E101" i="8" s="1"/>
  <c r="E102" i="10" s="1"/>
  <c r="T102" i="5"/>
  <c r="E102" i="8" s="1"/>
  <c r="T103" i="5"/>
  <c r="E103" i="8" s="1"/>
  <c r="E104" i="10" s="1"/>
  <c r="T104" i="5"/>
  <c r="E104" i="8" s="1"/>
  <c r="E105" i="10" s="1"/>
  <c r="T105" i="5"/>
  <c r="E105" i="8" s="1"/>
  <c r="E106" i="10" s="1"/>
  <c r="T106" i="5"/>
  <c r="E106" i="8" s="1"/>
  <c r="T107" i="5"/>
  <c r="E107" i="8" s="1"/>
  <c r="E108" i="10" s="1"/>
  <c r="T108" i="5"/>
  <c r="E108" i="8" s="1"/>
  <c r="E109" i="10" s="1"/>
  <c r="T109" i="5"/>
  <c r="E109" i="8" s="1"/>
  <c r="E110" i="10" s="1"/>
  <c r="T110" i="5"/>
  <c r="E110" i="8" s="1"/>
  <c r="T111" i="5"/>
  <c r="E111" i="8" s="1"/>
  <c r="E112" i="10" s="1"/>
  <c r="T112" i="5"/>
  <c r="E112" i="8" s="1"/>
  <c r="E113" i="10" s="1"/>
  <c r="T113" i="5"/>
  <c r="E113" i="8" s="1"/>
  <c r="E114" i="10" s="1"/>
  <c r="T114" i="5"/>
  <c r="E114" i="8" s="1"/>
  <c r="T115" i="5"/>
  <c r="E115" i="8" s="1"/>
  <c r="E116" i="10" s="1"/>
  <c r="T116" i="5"/>
  <c r="E116" i="8" s="1"/>
  <c r="E117" i="10" s="1"/>
  <c r="T117" i="5"/>
  <c r="E117" i="8" s="1"/>
  <c r="E118" i="10" s="1"/>
  <c r="T118" i="5"/>
  <c r="E118" i="8" s="1"/>
  <c r="T119" i="5"/>
  <c r="E119" i="8" s="1"/>
  <c r="E120" i="10" s="1"/>
  <c r="T120" i="5"/>
  <c r="E120" i="8" s="1"/>
  <c r="E121" i="10" s="1"/>
  <c r="T121" i="5"/>
  <c r="E121" i="8" s="1"/>
  <c r="E122" i="10" s="1"/>
  <c r="T122" i="5"/>
  <c r="E122" i="8" s="1"/>
  <c r="T123" i="5"/>
  <c r="E123" i="8" s="1"/>
  <c r="E124" i="10" s="1"/>
  <c r="T124" i="5"/>
  <c r="E124" i="8" s="1"/>
  <c r="E125" i="10" s="1"/>
  <c r="T125" i="5"/>
  <c r="E125" i="8" s="1"/>
  <c r="E126" i="10" s="1"/>
  <c r="T126" i="5"/>
  <c r="E126" i="8" s="1"/>
  <c r="T127" i="5"/>
  <c r="E127" i="8" s="1"/>
  <c r="E128" i="10" s="1"/>
  <c r="T128" i="5"/>
  <c r="E128" i="8" s="1"/>
  <c r="E129" i="10" s="1"/>
  <c r="T129" i="5"/>
  <c r="E129" i="8" s="1"/>
  <c r="E130" i="10" s="1"/>
  <c r="T130" i="5"/>
  <c r="E130" i="8" s="1"/>
  <c r="T131" i="5"/>
  <c r="E131" i="8" s="1"/>
  <c r="E132" i="10" s="1"/>
  <c r="T132" i="5"/>
  <c r="E132" i="8" s="1"/>
  <c r="E133" i="10" s="1"/>
  <c r="T133" i="5"/>
  <c r="E133" i="8" s="1"/>
  <c r="E134" i="10" s="1"/>
  <c r="T134" i="5"/>
  <c r="E134" i="8" s="1"/>
  <c r="T135" i="5"/>
  <c r="E135" i="8" s="1"/>
  <c r="E136" i="10" s="1"/>
  <c r="T136" i="5"/>
  <c r="E136" i="8" s="1"/>
  <c r="E137" i="10" s="1"/>
  <c r="T137" i="5"/>
  <c r="E137" i="8" s="1"/>
  <c r="E138" i="10" s="1"/>
  <c r="T138" i="5"/>
  <c r="E138" i="8" s="1"/>
  <c r="T139" i="5"/>
  <c r="E139" i="8" s="1"/>
  <c r="E140" i="10" s="1"/>
  <c r="T140" i="5"/>
  <c r="E140" i="8" s="1"/>
  <c r="E141" i="10" s="1"/>
  <c r="T141" i="5"/>
  <c r="E141" i="8" s="1"/>
  <c r="E142" i="10" s="1"/>
  <c r="T142" i="5"/>
  <c r="E142" i="8" s="1"/>
  <c r="T143" i="5"/>
  <c r="E143" i="8" s="1"/>
  <c r="E144" i="10" s="1"/>
  <c r="T144" i="5"/>
  <c r="E144" i="8" s="1"/>
  <c r="E145" i="10" s="1"/>
  <c r="T145" i="5"/>
  <c r="E145" i="8" s="1"/>
  <c r="E146" i="10" s="1"/>
  <c r="T146" i="5"/>
  <c r="E146" i="8" s="1"/>
  <c r="T147" i="5"/>
  <c r="E147" i="8" s="1"/>
  <c r="E148" i="10" s="1"/>
  <c r="T148" i="5"/>
  <c r="E148" i="8" s="1"/>
  <c r="E149" i="10" s="1"/>
  <c r="T149" i="5"/>
  <c r="E149" i="8" s="1"/>
  <c r="E150" i="10" s="1"/>
  <c r="T150" i="5"/>
  <c r="E150" i="8" s="1"/>
  <c r="T151" i="5"/>
  <c r="E151" i="8" s="1"/>
  <c r="T152" i="5"/>
  <c r="E152" i="8" s="1"/>
  <c r="E153" i="10" s="1"/>
  <c r="T153" i="5"/>
  <c r="E153" i="8" s="1"/>
  <c r="E154" i="10" s="1"/>
  <c r="T154" i="5"/>
  <c r="E154" i="8" s="1"/>
  <c r="T155" i="5"/>
  <c r="E155" i="8" s="1"/>
  <c r="T156" i="5"/>
  <c r="E156" i="8" s="1"/>
  <c r="E157" i="10" s="1"/>
  <c r="T157" i="5"/>
  <c r="E157" i="8" s="1"/>
  <c r="E158" i="10" s="1"/>
  <c r="T158" i="5"/>
  <c r="E158" i="8" s="1"/>
  <c r="T159" i="5"/>
  <c r="E159" i="8" s="1"/>
  <c r="T160" i="5"/>
  <c r="E160" i="8" s="1"/>
  <c r="E161" i="10" s="1"/>
  <c r="T161" i="5"/>
  <c r="E161" i="8" s="1"/>
  <c r="E162" i="10" s="1"/>
  <c r="T162" i="5"/>
  <c r="E162" i="8" s="1"/>
  <c r="T163" i="5"/>
  <c r="E163" i="8" s="1"/>
  <c r="T164" i="5"/>
  <c r="E164" i="8" s="1"/>
  <c r="T165" i="5"/>
  <c r="E165" i="8" s="1"/>
  <c r="T166" i="5"/>
  <c r="E166" i="8" s="1"/>
  <c r="T167" i="5"/>
  <c r="E167" i="8" s="1"/>
  <c r="T168" i="5"/>
  <c r="E168" i="8" s="1"/>
  <c r="T169" i="5"/>
  <c r="E169" i="8" s="1"/>
  <c r="T170" i="5"/>
  <c r="E170" i="8" s="1"/>
  <c r="T171" i="5"/>
  <c r="E171" i="8" s="1"/>
  <c r="T172" i="5"/>
  <c r="E172" i="8" s="1"/>
  <c r="T172" i="8" s="1"/>
  <c r="T173" i="5"/>
  <c r="E173" i="8" s="1"/>
  <c r="T174" i="5"/>
  <c r="E174" i="8" s="1"/>
  <c r="AI174" i="8" s="1"/>
  <c r="T175" i="5"/>
  <c r="E175" i="8" s="1"/>
  <c r="T176" i="5"/>
  <c r="E176" i="8" s="1"/>
  <c r="AI176" i="8" s="1"/>
  <c r="T177" i="5"/>
  <c r="E177" i="8" s="1"/>
  <c r="T178" i="5"/>
  <c r="E178" i="8" s="1"/>
  <c r="AI178" i="8" s="1"/>
  <c r="T179" i="5"/>
  <c r="E179" i="8" s="1"/>
  <c r="T180" i="5"/>
  <c r="E180" i="8" s="1"/>
  <c r="T181" i="5"/>
  <c r="E181" i="8" s="1"/>
  <c r="T182" i="5"/>
  <c r="E182" i="8" s="1"/>
  <c r="T183" i="5"/>
  <c r="E183" i="8" s="1"/>
  <c r="T184" i="5"/>
  <c r="E184" i="8" s="1"/>
  <c r="T185" i="5"/>
  <c r="E185" i="8" s="1"/>
  <c r="T186" i="5"/>
  <c r="E186" i="8" s="1"/>
  <c r="AI186" i="8" s="1"/>
  <c r="T187" i="5"/>
  <c r="E187" i="8" s="1"/>
  <c r="T188" i="5"/>
  <c r="E188" i="8" s="1"/>
  <c r="T189" i="5"/>
  <c r="E189" i="8" s="1"/>
  <c r="T190" i="5"/>
  <c r="E190" i="8" s="1"/>
  <c r="T191" i="5"/>
  <c r="E191" i="8" s="1"/>
  <c r="T192" i="5"/>
  <c r="E192" i="8" s="1"/>
  <c r="AI192" i="8" s="1"/>
  <c r="T193" i="5"/>
  <c r="E193" i="8" s="1"/>
  <c r="AI193" i="8" s="1"/>
  <c r="T194" i="5"/>
  <c r="E194" i="8" s="1"/>
  <c r="AI194" i="8" s="1"/>
  <c r="T195" i="5"/>
  <c r="E195" i="8" s="1"/>
  <c r="AI195" i="8" s="1"/>
  <c r="T196" i="5"/>
  <c r="E196" i="8" s="1"/>
  <c r="AI196" i="8" s="1"/>
  <c r="T197" i="5"/>
  <c r="E197" i="8" s="1"/>
  <c r="AI197" i="8" s="1"/>
  <c r="T198" i="5"/>
  <c r="E198" i="8" s="1"/>
  <c r="AI198" i="8" s="1"/>
  <c r="T199" i="5"/>
  <c r="E199" i="8" s="1"/>
  <c r="AI199" i="8" s="1"/>
  <c r="T200" i="5"/>
  <c r="E200" i="8" s="1"/>
  <c r="AI200" i="8" s="1"/>
  <c r="T201" i="5"/>
  <c r="E201" i="8" s="1"/>
  <c r="AI201" i="8" s="1"/>
  <c r="T202" i="5"/>
  <c r="E202" i="8" s="1"/>
  <c r="AI202" i="8" s="1"/>
  <c r="T203" i="5"/>
  <c r="E203" i="8" s="1"/>
  <c r="AI203" i="8" s="1"/>
  <c r="T204" i="5"/>
  <c r="E204" i="8" s="1"/>
  <c r="AI204" i="8" s="1"/>
  <c r="T205" i="5"/>
  <c r="E205" i="8" s="1"/>
  <c r="AI205" i="8" s="1"/>
  <c r="T206" i="5"/>
  <c r="E206" i="8" s="1"/>
  <c r="AI206" i="8" s="1"/>
  <c r="T207" i="5"/>
  <c r="E207" i="8" s="1"/>
  <c r="AI207" i="8" s="1"/>
  <c r="T208" i="5"/>
  <c r="E208" i="8" s="1"/>
  <c r="AI208" i="8" s="1"/>
  <c r="T209" i="5"/>
  <c r="E209" i="8" s="1"/>
  <c r="AI209" i="8" s="1"/>
  <c r="T210" i="5"/>
  <c r="E210" i="8" s="1"/>
  <c r="AI210" i="8" s="1"/>
  <c r="T211" i="5"/>
  <c r="E211" i="8" s="1"/>
  <c r="AI211" i="8" s="1"/>
  <c r="T212" i="5"/>
  <c r="E212" i="8" s="1"/>
  <c r="AI212" i="8" s="1"/>
  <c r="T213" i="5"/>
  <c r="E213" i="8" s="1"/>
  <c r="AI213" i="8" s="1"/>
  <c r="T214" i="5"/>
  <c r="E214" i="8" s="1"/>
  <c r="AR10" i="8" s="1"/>
  <c r="T215" i="5"/>
  <c r="E215" i="8" s="1"/>
  <c r="AI215" i="8" s="1"/>
  <c r="T216" i="5"/>
  <c r="E216" i="8" s="1"/>
  <c r="AI216" i="8" s="1"/>
  <c r="T217" i="5"/>
  <c r="E217" i="8" s="1"/>
  <c r="AI217" i="8" s="1"/>
  <c r="T218" i="5"/>
  <c r="E218" i="8" s="1"/>
  <c r="AI218" i="8" s="1"/>
  <c r="T219" i="5"/>
  <c r="E219" i="8" s="1"/>
  <c r="AI219" i="8" s="1"/>
  <c r="T220" i="5"/>
  <c r="E220" i="8" s="1"/>
  <c r="AI220" i="8" s="1"/>
  <c r="T221" i="5"/>
  <c r="E221" i="8" s="1"/>
  <c r="AI221" i="8" s="1"/>
  <c r="T222" i="5"/>
  <c r="E222" i="8" s="1"/>
  <c r="AI222" i="8" s="1"/>
  <c r="T223" i="5"/>
  <c r="E223" i="8" s="1"/>
  <c r="AI223" i="8" s="1"/>
  <c r="T224" i="5"/>
  <c r="E224" i="8" s="1"/>
  <c r="AI224" i="8" s="1"/>
  <c r="T225" i="5"/>
  <c r="E225" i="8" s="1"/>
  <c r="AI225" i="8" s="1"/>
  <c r="T226" i="5"/>
  <c r="E226" i="8" s="1"/>
  <c r="AI226" i="8" s="1"/>
  <c r="T227" i="5"/>
  <c r="E227" i="8" s="1"/>
  <c r="AI227" i="8" s="1"/>
  <c r="T228" i="5"/>
  <c r="E228" i="8" s="1"/>
  <c r="AI228" i="8" s="1"/>
  <c r="T229" i="5"/>
  <c r="E229" i="8" s="1"/>
  <c r="AI229" i="8" s="1"/>
  <c r="T230" i="5"/>
  <c r="E230" i="8" s="1"/>
  <c r="AI230" i="8" s="1"/>
  <c r="T231" i="5"/>
  <c r="E231" i="8" s="1"/>
  <c r="AI231" i="8" s="1"/>
  <c r="T232" i="5"/>
  <c r="E232" i="8" s="1"/>
  <c r="AI232" i="8" s="1"/>
  <c r="T233" i="5"/>
  <c r="E233" i="8" s="1"/>
  <c r="AI233" i="8" s="1"/>
  <c r="T234" i="5"/>
  <c r="E234" i="8" s="1"/>
  <c r="AI234" i="8" s="1"/>
  <c r="T235" i="5"/>
  <c r="E235" i="8" s="1"/>
  <c r="AI235" i="8" s="1"/>
  <c r="T236" i="5"/>
  <c r="E236" i="8" s="1"/>
  <c r="AI236" i="8" s="1"/>
  <c r="T237" i="5"/>
  <c r="E237" i="8" s="1"/>
  <c r="AI237" i="8" s="1"/>
  <c r="T238" i="5"/>
  <c r="E238" i="8" s="1"/>
  <c r="AI238" i="8" s="1"/>
  <c r="T239" i="5"/>
  <c r="E239" i="8" s="1"/>
  <c r="AI239" i="8" s="1"/>
  <c r="T240" i="5"/>
  <c r="E240" i="8" s="1"/>
  <c r="AI240" i="8" s="1"/>
  <c r="T241" i="5"/>
  <c r="E241" i="8" s="1"/>
  <c r="AI241" i="8" s="1"/>
  <c r="T242" i="5"/>
  <c r="E242" i="8" s="1"/>
  <c r="AI242" i="8" s="1"/>
  <c r="T243" i="5"/>
  <c r="E243" i="8" s="1"/>
  <c r="AI243" i="8" s="1"/>
  <c r="T244" i="5"/>
  <c r="E244" i="8" s="1"/>
  <c r="AI244" i="8" s="1"/>
  <c r="T245" i="5"/>
  <c r="E245" i="8" s="1"/>
  <c r="AI245" i="8" s="1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2" i="4"/>
  <c r="D2" i="8" s="1"/>
  <c r="T3" i="4"/>
  <c r="D3" i="8" s="1"/>
  <c r="T4" i="4"/>
  <c r="D4" i="8" s="1"/>
  <c r="D5" i="10" s="1"/>
  <c r="T5" i="4"/>
  <c r="D5" i="8" s="1"/>
  <c r="T6" i="4"/>
  <c r="D6" i="8" s="1"/>
  <c r="T7" i="4"/>
  <c r="D7" i="8" s="1"/>
  <c r="T8" i="4"/>
  <c r="D8" i="8" s="1"/>
  <c r="T9" i="4"/>
  <c r="D9" i="8" s="1"/>
  <c r="D10" i="10" s="1"/>
  <c r="T10" i="4"/>
  <c r="D10" i="8" s="1"/>
  <c r="D11" i="10" s="1"/>
  <c r="T11" i="4"/>
  <c r="D11" i="8" s="1"/>
  <c r="T12" i="4"/>
  <c r="D12" i="8" s="1"/>
  <c r="T13" i="4"/>
  <c r="D13" i="8" s="1"/>
  <c r="T14" i="4"/>
  <c r="D14" i="8" s="1"/>
  <c r="D15" i="10" s="1"/>
  <c r="T15" i="4"/>
  <c r="D15" i="8" s="1"/>
  <c r="T16" i="4"/>
  <c r="D16" i="8" s="1"/>
  <c r="T17" i="4"/>
  <c r="D17" i="8" s="1"/>
  <c r="D18" i="10" s="1"/>
  <c r="T18" i="4"/>
  <c r="D18" i="8" s="1"/>
  <c r="T19" i="4"/>
  <c r="D19" i="8" s="1"/>
  <c r="T20" i="4"/>
  <c r="D20" i="8" s="1"/>
  <c r="T21" i="4"/>
  <c r="D21" i="8" s="1"/>
  <c r="D22" i="10" s="1"/>
  <c r="T22" i="4"/>
  <c r="D22" i="8" s="1"/>
  <c r="D23" i="10" s="1"/>
  <c r="T23" i="4"/>
  <c r="D23" i="8" s="1"/>
  <c r="T24" i="4"/>
  <c r="D24" i="8" s="1"/>
  <c r="T25" i="4"/>
  <c r="D25" i="8" s="1"/>
  <c r="D26" i="10" s="1"/>
  <c r="T26" i="4"/>
  <c r="D26" i="8" s="1"/>
  <c r="D27" i="10" s="1"/>
  <c r="T27" i="4"/>
  <c r="D27" i="8" s="1"/>
  <c r="T28" i="4"/>
  <c r="D28" i="8" s="1"/>
  <c r="T29" i="4"/>
  <c r="D29" i="8" s="1"/>
  <c r="D30" i="10" s="1"/>
  <c r="T30" i="4"/>
  <c r="D30" i="8" s="1"/>
  <c r="D31" i="10" s="1"/>
  <c r="T31" i="4"/>
  <c r="D31" i="8" s="1"/>
  <c r="T32" i="4"/>
  <c r="D32" i="8" s="1"/>
  <c r="T33" i="4"/>
  <c r="D33" i="8" s="1"/>
  <c r="D34" i="10" s="1"/>
  <c r="T34" i="4"/>
  <c r="D34" i="8" s="1"/>
  <c r="T35" i="4"/>
  <c r="D35" i="8" s="1"/>
  <c r="T36" i="4"/>
  <c r="D36" i="8" s="1"/>
  <c r="T37" i="4"/>
  <c r="D37" i="8" s="1"/>
  <c r="D38" i="10" s="1"/>
  <c r="T38" i="4"/>
  <c r="D38" i="8" s="1"/>
  <c r="D39" i="10" s="1"/>
  <c r="T39" i="4"/>
  <c r="D39" i="8" s="1"/>
  <c r="T40" i="4"/>
  <c r="D40" i="8" s="1"/>
  <c r="T41" i="4"/>
  <c r="D41" i="8" s="1"/>
  <c r="T42" i="4"/>
  <c r="D42" i="8" s="1"/>
  <c r="D43" i="10" s="1"/>
  <c r="T43" i="4"/>
  <c r="D43" i="8" s="1"/>
  <c r="T44" i="4"/>
  <c r="D44" i="8" s="1"/>
  <c r="T45" i="4"/>
  <c r="D45" i="8" s="1"/>
  <c r="T46" i="4"/>
  <c r="D46" i="8" s="1"/>
  <c r="D47" i="10" s="1"/>
  <c r="T47" i="4"/>
  <c r="D47" i="8" s="1"/>
  <c r="T48" i="4"/>
  <c r="D48" i="8" s="1"/>
  <c r="T49" i="4"/>
  <c r="D49" i="8" s="1"/>
  <c r="D50" i="10" s="1"/>
  <c r="T50" i="4"/>
  <c r="D50" i="8" s="1"/>
  <c r="D51" i="10" s="1"/>
  <c r="T51" i="4"/>
  <c r="D51" i="8" s="1"/>
  <c r="T52" i="4"/>
  <c r="D52" i="8" s="1"/>
  <c r="T53" i="4"/>
  <c r="D53" i="8" s="1"/>
  <c r="D54" i="10" s="1"/>
  <c r="T54" i="4"/>
  <c r="D54" i="8" s="1"/>
  <c r="D55" i="10" s="1"/>
  <c r="T55" i="4"/>
  <c r="D55" i="8" s="1"/>
  <c r="T56" i="4"/>
  <c r="D56" i="8" s="1"/>
  <c r="T57" i="4"/>
  <c r="D57" i="8" s="1"/>
  <c r="D58" i="10" s="1"/>
  <c r="T58" i="4"/>
  <c r="D58" i="8" s="1"/>
  <c r="D59" i="10" s="1"/>
  <c r="T59" i="4"/>
  <c r="D59" i="8" s="1"/>
  <c r="T60" i="4"/>
  <c r="D60" i="8" s="1"/>
  <c r="T61" i="4"/>
  <c r="D61" i="8" s="1"/>
  <c r="D62" i="10" s="1"/>
  <c r="T62" i="4"/>
  <c r="D62" i="8" s="1"/>
  <c r="D63" i="10" s="1"/>
  <c r="T63" i="4"/>
  <c r="D63" i="8" s="1"/>
  <c r="T64" i="4"/>
  <c r="D64" i="8" s="1"/>
  <c r="D65" i="10" s="1"/>
  <c r="T65" i="4"/>
  <c r="D65" i="8" s="1"/>
  <c r="D66" i="10" s="1"/>
  <c r="T66" i="4"/>
  <c r="D66" i="8" s="1"/>
  <c r="D67" i="10" s="1"/>
  <c r="T67" i="4"/>
  <c r="D67" i="8" s="1"/>
  <c r="T68" i="4"/>
  <c r="D68" i="8" s="1"/>
  <c r="D69" i="10" s="1"/>
  <c r="T69" i="4"/>
  <c r="D69" i="8" s="1"/>
  <c r="D70" i="10" s="1"/>
  <c r="T70" i="4"/>
  <c r="D70" i="8" s="1"/>
  <c r="D71" i="10" s="1"/>
  <c r="T71" i="4"/>
  <c r="D71" i="8" s="1"/>
  <c r="T72" i="4"/>
  <c r="D72" i="8" s="1"/>
  <c r="D73" i="10" s="1"/>
  <c r="T73" i="4"/>
  <c r="D73" i="8" s="1"/>
  <c r="D74" i="10" s="1"/>
  <c r="T74" i="4"/>
  <c r="D74" i="8" s="1"/>
  <c r="D75" i="10" s="1"/>
  <c r="T75" i="4"/>
  <c r="D75" i="8" s="1"/>
  <c r="T76" i="4"/>
  <c r="D76" i="8" s="1"/>
  <c r="D77" i="10" s="1"/>
  <c r="T77" i="4"/>
  <c r="D77" i="8" s="1"/>
  <c r="D78" i="10" s="1"/>
  <c r="T78" i="4"/>
  <c r="D78" i="8" s="1"/>
  <c r="D79" i="10" s="1"/>
  <c r="T79" i="4"/>
  <c r="D79" i="8" s="1"/>
  <c r="T80" i="4"/>
  <c r="D80" i="8" s="1"/>
  <c r="T81" i="4"/>
  <c r="D81" i="8" s="1"/>
  <c r="D82" i="10" s="1"/>
  <c r="T82" i="4"/>
  <c r="D82" i="8" s="1"/>
  <c r="D83" i="10" s="1"/>
  <c r="T83" i="4"/>
  <c r="D83" i="8" s="1"/>
  <c r="T84" i="4"/>
  <c r="D84" i="8" s="1"/>
  <c r="T85" i="4"/>
  <c r="D85" i="8" s="1"/>
  <c r="D86" i="10" s="1"/>
  <c r="T86" i="4"/>
  <c r="D86" i="8" s="1"/>
  <c r="D87" i="10" s="1"/>
  <c r="T87" i="4"/>
  <c r="D87" i="8" s="1"/>
  <c r="T88" i="4"/>
  <c r="D88" i="8" s="1"/>
  <c r="T89" i="4"/>
  <c r="D89" i="8" s="1"/>
  <c r="D90" i="10" s="1"/>
  <c r="T90" i="4"/>
  <c r="D90" i="8" s="1"/>
  <c r="D91" i="10" s="1"/>
  <c r="T91" i="4"/>
  <c r="D91" i="8" s="1"/>
  <c r="T92" i="4"/>
  <c r="D92" i="8" s="1"/>
  <c r="T93" i="4"/>
  <c r="D93" i="8" s="1"/>
  <c r="D94" i="10" s="1"/>
  <c r="T94" i="4"/>
  <c r="D94" i="8" s="1"/>
  <c r="D95" i="10" s="1"/>
  <c r="T95" i="4"/>
  <c r="D95" i="8" s="1"/>
  <c r="T96" i="4"/>
  <c r="D96" i="8" s="1"/>
  <c r="T97" i="4"/>
  <c r="D97" i="8" s="1"/>
  <c r="D98" i="10" s="1"/>
  <c r="T98" i="4"/>
  <c r="D98" i="8" s="1"/>
  <c r="D99" i="10" s="1"/>
  <c r="T99" i="4"/>
  <c r="D99" i="8" s="1"/>
  <c r="T100" i="4"/>
  <c r="D100" i="8" s="1"/>
  <c r="T101" i="4"/>
  <c r="D101" i="8" s="1"/>
  <c r="D102" i="10" s="1"/>
  <c r="T102" i="4"/>
  <c r="D102" i="8" s="1"/>
  <c r="D103" i="10" s="1"/>
  <c r="T103" i="4"/>
  <c r="D103" i="8" s="1"/>
  <c r="T104" i="4"/>
  <c r="D104" i="8" s="1"/>
  <c r="T105" i="4"/>
  <c r="D105" i="8" s="1"/>
  <c r="D106" i="10" s="1"/>
  <c r="T106" i="4"/>
  <c r="D106" i="8" s="1"/>
  <c r="D107" i="10" s="1"/>
  <c r="T107" i="4"/>
  <c r="D107" i="8" s="1"/>
  <c r="T108" i="4"/>
  <c r="D108" i="8" s="1"/>
  <c r="T109" i="4"/>
  <c r="D109" i="8" s="1"/>
  <c r="D110" i="10" s="1"/>
  <c r="T110" i="4"/>
  <c r="D110" i="8" s="1"/>
  <c r="D111" i="10" s="1"/>
  <c r="T111" i="4"/>
  <c r="D111" i="8" s="1"/>
  <c r="T112" i="4"/>
  <c r="D112" i="8" s="1"/>
  <c r="T113" i="4"/>
  <c r="D113" i="8" s="1"/>
  <c r="D114" i="10" s="1"/>
  <c r="T114" i="4"/>
  <c r="D114" i="8" s="1"/>
  <c r="D115" i="10" s="1"/>
  <c r="T115" i="4"/>
  <c r="D115" i="8" s="1"/>
  <c r="T116" i="4"/>
  <c r="D116" i="8" s="1"/>
  <c r="T117" i="4"/>
  <c r="D117" i="8" s="1"/>
  <c r="D118" i="10" s="1"/>
  <c r="T118" i="4"/>
  <c r="D118" i="8" s="1"/>
  <c r="D119" i="10" s="1"/>
  <c r="T119" i="4"/>
  <c r="D119" i="8" s="1"/>
  <c r="T120" i="4"/>
  <c r="D120" i="8" s="1"/>
  <c r="T121" i="4"/>
  <c r="D121" i="8" s="1"/>
  <c r="D122" i="10" s="1"/>
  <c r="T122" i="4"/>
  <c r="D122" i="8" s="1"/>
  <c r="D123" i="10" s="1"/>
  <c r="T123" i="4"/>
  <c r="D123" i="8" s="1"/>
  <c r="T124" i="4"/>
  <c r="D124" i="8" s="1"/>
  <c r="T125" i="4"/>
  <c r="D125" i="8" s="1"/>
  <c r="D126" i="10" s="1"/>
  <c r="T126" i="4"/>
  <c r="D126" i="8" s="1"/>
  <c r="D127" i="10" s="1"/>
  <c r="T127" i="4"/>
  <c r="D127" i="8" s="1"/>
  <c r="T128" i="4"/>
  <c r="D128" i="8" s="1"/>
  <c r="T129" i="4"/>
  <c r="D129" i="8" s="1"/>
  <c r="D130" i="10" s="1"/>
  <c r="T130" i="4"/>
  <c r="D130" i="8" s="1"/>
  <c r="D131" i="10" s="1"/>
  <c r="T131" i="4"/>
  <c r="D131" i="8" s="1"/>
  <c r="T132" i="4"/>
  <c r="D132" i="8" s="1"/>
  <c r="D133" i="10" s="1"/>
  <c r="T133" i="4"/>
  <c r="D133" i="8" s="1"/>
  <c r="D134" i="10" s="1"/>
  <c r="T134" i="4"/>
  <c r="D134" i="8" s="1"/>
  <c r="D135" i="10" s="1"/>
  <c r="T135" i="4"/>
  <c r="D135" i="8" s="1"/>
  <c r="T136" i="4"/>
  <c r="D136" i="8" s="1"/>
  <c r="D137" i="10" s="1"/>
  <c r="T137" i="4"/>
  <c r="D137" i="8" s="1"/>
  <c r="D138" i="10" s="1"/>
  <c r="T138" i="4"/>
  <c r="D138" i="8" s="1"/>
  <c r="T139" i="4"/>
  <c r="D139" i="8" s="1"/>
  <c r="T140" i="4"/>
  <c r="D140" i="8" s="1"/>
  <c r="D141" i="10" s="1"/>
  <c r="T141" i="4"/>
  <c r="D141" i="8" s="1"/>
  <c r="D142" i="10" s="1"/>
  <c r="T142" i="4"/>
  <c r="D142" i="8" s="1"/>
  <c r="D143" i="10" s="1"/>
  <c r="T143" i="4"/>
  <c r="D143" i="8" s="1"/>
  <c r="T144" i="4"/>
  <c r="D144" i="8" s="1"/>
  <c r="D145" i="10" s="1"/>
  <c r="T145" i="4"/>
  <c r="D145" i="8" s="1"/>
  <c r="D146" i="10" s="1"/>
  <c r="T146" i="4"/>
  <c r="D146" i="8" s="1"/>
  <c r="D147" i="10" s="1"/>
  <c r="T147" i="4"/>
  <c r="D147" i="8" s="1"/>
  <c r="T148" i="4"/>
  <c r="D148" i="8" s="1"/>
  <c r="D149" i="10" s="1"/>
  <c r="T149" i="4"/>
  <c r="D149" i="8" s="1"/>
  <c r="D150" i="10" s="1"/>
  <c r="T150" i="4"/>
  <c r="D150" i="8" s="1"/>
  <c r="T151" i="4"/>
  <c r="D151" i="8" s="1"/>
  <c r="T152" i="4"/>
  <c r="D152" i="8" s="1"/>
  <c r="D153" i="10" s="1"/>
  <c r="T153" i="4"/>
  <c r="D153" i="8" s="1"/>
  <c r="D154" i="10" s="1"/>
  <c r="T154" i="4"/>
  <c r="D154" i="8" s="1"/>
  <c r="T155" i="4"/>
  <c r="D155" i="8" s="1"/>
  <c r="T156" i="4"/>
  <c r="D156" i="8" s="1"/>
  <c r="D157" i="10" s="1"/>
  <c r="T157" i="4"/>
  <c r="D157" i="8" s="1"/>
  <c r="D158" i="10" s="1"/>
  <c r="T158" i="4"/>
  <c r="D158" i="8" s="1"/>
  <c r="T159" i="4"/>
  <c r="D159" i="8" s="1"/>
  <c r="T160" i="4"/>
  <c r="D160" i="8" s="1"/>
  <c r="D161" i="10" s="1"/>
  <c r="T161" i="4"/>
  <c r="D161" i="8" s="1"/>
  <c r="D162" i="10" s="1"/>
  <c r="T162" i="4"/>
  <c r="D162" i="8" s="1"/>
  <c r="D163" i="10" s="1"/>
  <c r="T163" i="4"/>
  <c r="D163" i="8" s="1"/>
  <c r="T164" i="4"/>
  <c r="D164" i="8" s="1"/>
  <c r="D165" i="10" s="1"/>
  <c r="T165" i="4"/>
  <c r="D165" i="8" s="1"/>
  <c r="D166" i="10" s="1"/>
  <c r="T166" i="4"/>
  <c r="D166" i="8" s="1"/>
  <c r="D167" i="10" s="1"/>
  <c r="T167" i="4"/>
  <c r="D167" i="8" s="1"/>
  <c r="T168" i="4"/>
  <c r="D168" i="8" s="1"/>
  <c r="D169" i="10" s="1"/>
  <c r="T169" i="4"/>
  <c r="D169" i="8" s="1"/>
  <c r="D170" i="10" s="1"/>
  <c r="T170" i="4"/>
  <c r="D170" i="8" s="1"/>
  <c r="D171" i="10" s="1"/>
  <c r="T171" i="4"/>
  <c r="D171" i="8" s="1"/>
  <c r="T172" i="4"/>
  <c r="D172" i="8" s="1"/>
  <c r="T173" i="4"/>
  <c r="D173" i="8" s="1"/>
  <c r="T174" i="4"/>
  <c r="D174" i="8" s="1"/>
  <c r="T175" i="4"/>
  <c r="D175" i="8" s="1"/>
  <c r="T176" i="4"/>
  <c r="D176" i="8" s="1"/>
  <c r="T177" i="4"/>
  <c r="D177" i="8" s="1"/>
  <c r="T178" i="4"/>
  <c r="D178" i="8" s="1"/>
  <c r="T179" i="4"/>
  <c r="D179" i="8" s="1"/>
  <c r="T180" i="4"/>
  <c r="D180" i="8" s="1"/>
  <c r="T181" i="4"/>
  <c r="D181" i="8" s="1"/>
  <c r="T182" i="4"/>
  <c r="D182" i="8" s="1"/>
  <c r="T183" i="4"/>
  <c r="D183" i="8" s="1"/>
  <c r="T184" i="4"/>
  <c r="D184" i="8" s="1"/>
  <c r="T185" i="4"/>
  <c r="D185" i="8" s="1"/>
  <c r="T186" i="4"/>
  <c r="D186" i="8" s="1"/>
  <c r="T187" i="4"/>
  <c r="D187" i="8" s="1"/>
  <c r="T188" i="4"/>
  <c r="D188" i="8" s="1"/>
  <c r="T189" i="4"/>
  <c r="D189" i="8" s="1"/>
  <c r="T190" i="4"/>
  <c r="D190" i="8" s="1"/>
  <c r="T191" i="4"/>
  <c r="D191" i="8" s="1"/>
  <c r="T192" i="4"/>
  <c r="D192" i="8" s="1"/>
  <c r="AH192" i="8" s="1"/>
  <c r="T193" i="4"/>
  <c r="D193" i="8" s="1"/>
  <c r="AH193" i="8" s="1"/>
  <c r="T194" i="4"/>
  <c r="D194" i="8" s="1"/>
  <c r="AH194" i="8" s="1"/>
  <c r="T195" i="4"/>
  <c r="D195" i="8" s="1"/>
  <c r="AH195" i="8" s="1"/>
  <c r="T196" i="4"/>
  <c r="D196" i="8" s="1"/>
  <c r="AH196" i="8" s="1"/>
  <c r="T197" i="4"/>
  <c r="D197" i="8" s="1"/>
  <c r="AH197" i="8" s="1"/>
  <c r="T198" i="4"/>
  <c r="D198" i="8" s="1"/>
  <c r="AH198" i="8" s="1"/>
  <c r="T199" i="4"/>
  <c r="D199" i="8" s="1"/>
  <c r="AH199" i="8" s="1"/>
  <c r="T200" i="4"/>
  <c r="D200" i="8" s="1"/>
  <c r="AH200" i="8" s="1"/>
  <c r="T201" i="4"/>
  <c r="D201" i="8" s="1"/>
  <c r="AH201" i="8" s="1"/>
  <c r="T202" i="4"/>
  <c r="D202" i="8" s="1"/>
  <c r="AH202" i="8" s="1"/>
  <c r="T203" i="4"/>
  <c r="D203" i="8" s="1"/>
  <c r="AH203" i="8" s="1"/>
  <c r="T204" i="4"/>
  <c r="D204" i="8" s="1"/>
  <c r="AH204" i="8" s="1"/>
  <c r="T205" i="4"/>
  <c r="D205" i="8" s="1"/>
  <c r="AH205" i="8" s="1"/>
  <c r="T206" i="4"/>
  <c r="D206" i="8" s="1"/>
  <c r="AH206" i="8" s="1"/>
  <c r="T207" i="4"/>
  <c r="D207" i="8" s="1"/>
  <c r="AH207" i="8" s="1"/>
  <c r="T208" i="4"/>
  <c r="D208" i="8" s="1"/>
  <c r="AH208" i="8" s="1"/>
  <c r="T209" i="4"/>
  <c r="D209" i="8" s="1"/>
  <c r="AH209" i="8" s="1"/>
  <c r="T210" i="4"/>
  <c r="D210" i="8" s="1"/>
  <c r="AH210" i="8" s="1"/>
  <c r="T211" i="4"/>
  <c r="D211" i="8" s="1"/>
  <c r="AH211" i="8" s="1"/>
  <c r="T212" i="4"/>
  <c r="D212" i="8" s="1"/>
  <c r="AH212" i="8" s="1"/>
  <c r="T213" i="4"/>
  <c r="D213" i="8" s="1"/>
  <c r="AH213" i="8" s="1"/>
  <c r="T214" i="4"/>
  <c r="D214" i="8" s="1"/>
  <c r="AQ10" i="8" s="1"/>
  <c r="T215" i="4"/>
  <c r="D215" i="8" s="1"/>
  <c r="AH215" i="8" s="1"/>
  <c r="T216" i="4"/>
  <c r="D216" i="8" s="1"/>
  <c r="AH216" i="8" s="1"/>
  <c r="T217" i="4"/>
  <c r="D217" i="8" s="1"/>
  <c r="AH217" i="8" s="1"/>
  <c r="T218" i="4"/>
  <c r="D218" i="8" s="1"/>
  <c r="AH218" i="8" s="1"/>
  <c r="T219" i="4"/>
  <c r="D219" i="8" s="1"/>
  <c r="AH219" i="8" s="1"/>
  <c r="T220" i="4"/>
  <c r="D220" i="8" s="1"/>
  <c r="AH220" i="8" s="1"/>
  <c r="T221" i="4"/>
  <c r="D221" i="8" s="1"/>
  <c r="AH221" i="8" s="1"/>
  <c r="T222" i="4"/>
  <c r="D222" i="8" s="1"/>
  <c r="AH222" i="8" s="1"/>
  <c r="T223" i="4"/>
  <c r="D223" i="8" s="1"/>
  <c r="AH223" i="8" s="1"/>
  <c r="T224" i="4"/>
  <c r="D224" i="8" s="1"/>
  <c r="AH224" i="8" s="1"/>
  <c r="T225" i="4"/>
  <c r="D225" i="8" s="1"/>
  <c r="AH225" i="8" s="1"/>
  <c r="T226" i="4"/>
  <c r="D226" i="8" s="1"/>
  <c r="AH226" i="8" s="1"/>
  <c r="T227" i="4"/>
  <c r="D227" i="8" s="1"/>
  <c r="AH227" i="8" s="1"/>
  <c r="T228" i="4"/>
  <c r="D228" i="8" s="1"/>
  <c r="AH228" i="8" s="1"/>
  <c r="T229" i="4"/>
  <c r="D229" i="8" s="1"/>
  <c r="AH229" i="8" s="1"/>
  <c r="T230" i="4"/>
  <c r="D230" i="8" s="1"/>
  <c r="AH230" i="8" s="1"/>
  <c r="T231" i="4"/>
  <c r="D231" i="8" s="1"/>
  <c r="AH231" i="8" s="1"/>
  <c r="T232" i="4"/>
  <c r="D232" i="8" s="1"/>
  <c r="AH232" i="8" s="1"/>
  <c r="T233" i="4"/>
  <c r="D233" i="8" s="1"/>
  <c r="AH233" i="8" s="1"/>
  <c r="T234" i="4"/>
  <c r="D234" i="8" s="1"/>
  <c r="AH234" i="8" s="1"/>
  <c r="T235" i="4"/>
  <c r="D235" i="8" s="1"/>
  <c r="AH235" i="8" s="1"/>
  <c r="T236" i="4"/>
  <c r="D236" i="8" s="1"/>
  <c r="AH236" i="8" s="1"/>
  <c r="T237" i="4"/>
  <c r="D237" i="8" s="1"/>
  <c r="AH237" i="8" s="1"/>
  <c r="T238" i="4"/>
  <c r="D238" i="8" s="1"/>
  <c r="AH238" i="8" s="1"/>
  <c r="T239" i="4"/>
  <c r="D239" i="8" s="1"/>
  <c r="AH239" i="8" s="1"/>
  <c r="T240" i="4"/>
  <c r="D240" i="8" s="1"/>
  <c r="AH240" i="8" s="1"/>
  <c r="T241" i="4"/>
  <c r="D241" i="8" s="1"/>
  <c r="AH241" i="8" s="1"/>
  <c r="T242" i="4"/>
  <c r="D242" i="8" s="1"/>
  <c r="AH242" i="8" s="1"/>
  <c r="T243" i="4"/>
  <c r="D243" i="8" s="1"/>
  <c r="AH243" i="8" s="1"/>
  <c r="T244" i="4"/>
  <c r="D244" i="8" s="1"/>
  <c r="AH244" i="8" s="1"/>
  <c r="T245" i="4"/>
  <c r="D245" i="8" s="1"/>
  <c r="AH245" i="8" s="1"/>
  <c r="T246" i="4"/>
  <c r="T247" i="4"/>
  <c r="T248" i="4"/>
  <c r="T249" i="4"/>
  <c r="T250" i="4"/>
  <c r="T251" i="4"/>
  <c r="T252" i="4"/>
  <c r="T253" i="4"/>
  <c r="T254" i="4"/>
  <c r="T255" i="4"/>
  <c r="T256" i="4"/>
  <c r="T257" i="4"/>
  <c r="T258" i="4"/>
  <c r="T259" i="4"/>
  <c r="T260" i="4"/>
  <c r="T261" i="4"/>
  <c r="T262" i="4"/>
  <c r="T263" i="4"/>
  <c r="T264" i="4"/>
  <c r="T265" i="4"/>
  <c r="T266" i="4"/>
  <c r="T267" i="4"/>
  <c r="T268" i="4"/>
  <c r="T269" i="4"/>
  <c r="T270" i="4"/>
  <c r="T271" i="4"/>
  <c r="T272" i="4"/>
  <c r="T273" i="4"/>
  <c r="T274" i="4"/>
  <c r="T275" i="4"/>
  <c r="T276" i="4"/>
  <c r="T277" i="4"/>
  <c r="T278" i="4"/>
  <c r="T279" i="4"/>
  <c r="T280" i="4"/>
  <c r="T281" i="4"/>
  <c r="T282" i="4"/>
  <c r="T283" i="4"/>
  <c r="T284" i="4"/>
  <c r="T285" i="4"/>
  <c r="T286" i="4"/>
  <c r="T287" i="4"/>
  <c r="T288" i="4"/>
  <c r="T289" i="4"/>
  <c r="T290" i="4"/>
  <c r="T291" i="4"/>
  <c r="T292" i="4"/>
  <c r="T293" i="4"/>
  <c r="T294" i="4"/>
  <c r="T295" i="4"/>
  <c r="T296" i="4"/>
  <c r="T297" i="4"/>
  <c r="T298" i="4"/>
  <c r="T299" i="4"/>
  <c r="T300" i="4"/>
  <c r="T301" i="4"/>
  <c r="T302" i="4"/>
  <c r="T303" i="4"/>
  <c r="T304" i="4"/>
  <c r="T305" i="4"/>
  <c r="T306" i="4"/>
  <c r="T307" i="4"/>
  <c r="T308" i="4"/>
  <c r="T309" i="4"/>
  <c r="T310" i="4"/>
  <c r="T311" i="4"/>
  <c r="T312" i="4"/>
  <c r="T313" i="4"/>
  <c r="T314" i="4"/>
  <c r="T315" i="4"/>
  <c r="T316" i="4"/>
  <c r="T317" i="4"/>
  <c r="T318" i="4"/>
  <c r="T319" i="4"/>
  <c r="T320" i="4"/>
  <c r="T321" i="4"/>
  <c r="T322" i="4"/>
  <c r="T323" i="4"/>
  <c r="T324" i="4"/>
  <c r="T325" i="4"/>
  <c r="T326" i="4"/>
  <c r="T327" i="4"/>
  <c r="T328" i="4"/>
  <c r="T329" i="4"/>
  <c r="T330" i="4"/>
  <c r="T331" i="4"/>
  <c r="T332" i="4"/>
  <c r="T333" i="4"/>
  <c r="T334" i="4"/>
  <c r="T335" i="4"/>
  <c r="T336" i="4"/>
  <c r="T337" i="4"/>
  <c r="T338" i="4"/>
  <c r="T339" i="4"/>
  <c r="T340" i="4"/>
  <c r="T341" i="4"/>
  <c r="T342" i="4"/>
  <c r="T343" i="4"/>
  <c r="T344" i="4"/>
  <c r="T345" i="4"/>
  <c r="T346" i="4"/>
  <c r="T347" i="4"/>
  <c r="T348" i="4"/>
  <c r="T349" i="4"/>
  <c r="T350" i="4"/>
  <c r="T351" i="4"/>
  <c r="T352" i="4"/>
  <c r="T353" i="4"/>
  <c r="T354" i="4"/>
  <c r="T355" i="4"/>
  <c r="T356" i="4"/>
  <c r="T357" i="4"/>
  <c r="T358" i="4"/>
  <c r="T359" i="4"/>
  <c r="T360" i="4"/>
  <c r="T361" i="4"/>
  <c r="T362" i="4"/>
  <c r="T363" i="4"/>
  <c r="T364" i="4"/>
  <c r="T365" i="4"/>
  <c r="T366" i="4"/>
  <c r="T367" i="4"/>
  <c r="T368" i="4"/>
  <c r="T369" i="4"/>
  <c r="T370" i="4"/>
  <c r="T371" i="4"/>
  <c r="T372" i="4"/>
  <c r="T373" i="4"/>
  <c r="T374" i="4"/>
  <c r="T375" i="4"/>
  <c r="T376" i="4"/>
  <c r="T377" i="4"/>
  <c r="T378" i="4"/>
  <c r="T379" i="4"/>
  <c r="T380" i="4"/>
  <c r="T381" i="4"/>
  <c r="T382" i="4"/>
  <c r="T383" i="4"/>
  <c r="T384" i="4"/>
  <c r="T385" i="4"/>
  <c r="T386" i="4"/>
  <c r="T387" i="4"/>
  <c r="T388" i="4"/>
  <c r="T389" i="4"/>
  <c r="T390" i="4"/>
  <c r="T391" i="4"/>
  <c r="T392" i="4"/>
  <c r="T393" i="4"/>
  <c r="T394" i="4"/>
  <c r="T395" i="4"/>
  <c r="T396" i="4"/>
  <c r="T397" i="4"/>
  <c r="T398" i="4"/>
  <c r="T399" i="4"/>
  <c r="T400" i="4"/>
  <c r="T401" i="4"/>
  <c r="T402" i="4"/>
  <c r="T403" i="4"/>
  <c r="T404" i="4"/>
  <c r="T405" i="4"/>
  <c r="T406" i="4"/>
  <c r="T407" i="4"/>
  <c r="T408" i="4"/>
  <c r="T409" i="4"/>
  <c r="T410" i="4"/>
  <c r="T411" i="4"/>
  <c r="T412" i="4"/>
  <c r="T413" i="4"/>
  <c r="T414" i="4"/>
  <c r="T415" i="4"/>
  <c r="T416" i="4"/>
  <c r="T417" i="4"/>
  <c r="T418" i="4"/>
  <c r="T419" i="4"/>
  <c r="T420" i="4"/>
  <c r="T421" i="4"/>
  <c r="T422" i="4"/>
  <c r="T423" i="4"/>
  <c r="T424" i="4"/>
  <c r="T425" i="4"/>
  <c r="T426" i="4"/>
  <c r="T427" i="4"/>
  <c r="T428" i="4"/>
  <c r="T429" i="4"/>
  <c r="T430" i="4"/>
  <c r="T431" i="4"/>
  <c r="T432" i="4"/>
  <c r="T433" i="4"/>
  <c r="T434" i="4"/>
  <c r="T435" i="4"/>
  <c r="T436" i="4"/>
  <c r="T437" i="4"/>
  <c r="T438" i="4"/>
  <c r="T439" i="4"/>
  <c r="T440" i="4"/>
  <c r="T441" i="4"/>
  <c r="T442" i="4"/>
  <c r="T443" i="4"/>
  <c r="T444" i="4"/>
  <c r="T445" i="4"/>
  <c r="T446" i="4"/>
  <c r="T447" i="4"/>
  <c r="T448" i="4"/>
  <c r="T449" i="4"/>
  <c r="T450" i="4"/>
  <c r="T451" i="4"/>
  <c r="T452" i="4"/>
  <c r="T2" i="3"/>
  <c r="C2" i="8" s="1"/>
  <c r="T3" i="3"/>
  <c r="C3" i="8" s="1"/>
  <c r="C4" i="10" s="1"/>
  <c r="T4" i="3"/>
  <c r="C4" i="8" s="1"/>
  <c r="T5" i="3"/>
  <c r="C5" i="8" s="1"/>
  <c r="T6" i="3"/>
  <c r="C6" i="8" s="1"/>
  <c r="T7" i="3"/>
  <c r="C7" i="8" s="1"/>
  <c r="C8" i="10" s="1"/>
  <c r="T8" i="3"/>
  <c r="C8" i="8" s="1"/>
  <c r="T9" i="3"/>
  <c r="C9" i="8" s="1"/>
  <c r="T10" i="3"/>
  <c r="C10" i="8" s="1"/>
  <c r="T11" i="3"/>
  <c r="C11" i="8" s="1"/>
  <c r="C12" i="10" s="1"/>
  <c r="T12" i="3"/>
  <c r="C12" i="8" s="1"/>
  <c r="T13" i="3"/>
  <c r="C13" i="8" s="1"/>
  <c r="T14" i="3"/>
  <c r="C14" i="8" s="1"/>
  <c r="T15" i="3"/>
  <c r="C15" i="8" s="1"/>
  <c r="C16" i="10" s="1"/>
  <c r="T16" i="3"/>
  <c r="C16" i="8" s="1"/>
  <c r="T17" i="3"/>
  <c r="C17" i="8" s="1"/>
  <c r="T18" i="3"/>
  <c r="C18" i="8" s="1"/>
  <c r="T19" i="3"/>
  <c r="C19" i="8" s="1"/>
  <c r="C20" i="10" s="1"/>
  <c r="T20" i="3"/>
  <c r="C20" i="8" s="1"/>
  <c r="T21" i="3"/>
  <c r="C21" i="8" s="1"/>
  <c r="T22" i="3"/>
  <c r="C22" i="8" s="1"/>
  <c r="T23" i="3"/>
  <c r="C23" i="8" s="1"/>
  <c r="C24" i="10" s="1"/>
  <c r="T24" i="3"/>
  <c r="C24" i="8" s="1"/>
  <c r="T25" i="3"/>
  <c r="C25" i="8" s="1"/>
  <c r="T26" i="3"/>
  <c r="C26" i="8" s="1"/>
  <c r="T27" i="3"/>
  <c r="C27" i="8" s="1"/>
  <c r="C28" i="10" s="1"/>
  <c r="T28" i="3"/>
  <c r="C28" i="8" s="1"/>
  <c r="T29" i="3"/>
  <c r="C29" i="8" s="1"/>
  <c r="T30" i="3"/>
  <c r="C30" i="8" s="1"/>
  <c r="T31" i="3"/>
  <c r="C31" i="8" s="1"/>
  <c r="C32" i="10" s="1"/>
  <c r="T32" i="3"/>
  <c r="C32" i="8" s="1"/>
  <c r="T33" i="3"/>
  <c r="C33" i="8" s="1"/>
  <c r="T34" i="3"/>
  <c r="C34" i="8" s="1"/>
  <c r="T35" i="3"/>
  <c r="C35" i="8" s="1"/>
  <c r="C36" i="10" s="1"/>
  <c r="T36" i="3"/>
  <c r="C36" i="8" s="1"/>
  <c r="T37" i="3"/>
  <c r="C37" i="8" s="1"/>
  <c r="T38" i="3"/>
  <c r="C38" i="8" s="1"/>
  <c r="T39" i="3"/>
  <c r="C39" i="8" s="1"/>
  <c r="T40" i="3"/>
  <c r="C40" i="8" s="1"/>
  <c r="T41" i="3"/>
  <c r="C41" i="8" s="1"/>
  <c r="T42" i="3"/>
  <c r="C42" i="8" s="1"/>
  <c r="C43" i="10" s="1"/>
  <c r="T43" i="3"/>
  <c r="C43" i="8" s="1"/>
  <c r="C44" i="10" s="1"/>
  <c r="T44" i="3"/>
  <c r="C44" i="8" s="1"/>
  <c r="T45" i="3"/>
  <c r="C45" i="8" s="1"/>
  <c r="T46" i="3"/>
  <c r="C46" i="8" s="1"/>
  <c r="C47" i="10" s="1"/>
  <c r="T47" i="3"/>
  <c r="C47" i="8" s="1"/>
  <c r="C48" i="10" s="1"/>
  <c r="T48" i="3"/>
  <c r="C48" i="8" s="1"/>
  <c r="T49" i="3"/>
  <c r="C49" i="8" s="1"/>
  <c r="T50" i="3"/>
  <c r="C50" i="8" s="1"/>
  <c r="C51" i="10" s="1"/>
  <c r="T51" i="3"/>
  <c r="C51" i="8" s="1"/>
  <c r="C52" i="10" s="1"/>
  <c r="T52" i="3"/>
  <c r="C52" i="8" s="1"/>
  <c r="T53" i="3"/>
  <c r="C53" i="8" s="1"/>
  <c r="T54" i="3"/>
  <c r="C54" i="8" s="1"/>
  <c r="C55" i="10" s="1"/>
  <c r="T55" i="3"/>
  <c r="C55" i="8" s="1"/>
  <c r="C56" i="10" s="1"/>
  <c r="T56" i="3"/>
  <c r="C56" i="8" s="1"/>
  <c r="T57" i="3"/>
  <c r="C57" i="8" s="1"/>
  <c r="T58" i="3"/>
  <c r="C58" i="8" s="1"/>
  <c r="C59" i="10" s="1"/>
  <c r="T59" i="3"/>
  <c r="C59" i="8" s="1"/>
  <c r="T60" i="3"/>
  <c r="C60" i="8" s="1"/>
  <c r="T61" i="3"/>
  <c r="C61" i="8" s="1"/>
  <c r="T62" i="3"/>
  <c r="C62" i="8" s="1"/>
  <c r="C63" i="10" s="1"/>
  <c r="T63" i="3"/>
  <c r="C63" i="8" s="1"/>
  <c r="C64" i="10" s="1"/>
  <c r="T64" i="3"/>
  <c r="C64" i="8" s="1"/>
  <c r="T65" i="3"/>
  <c r="C65" i="8" s="1"/>
  <c r="T66" i="3"/>
  <c r="C66" i="8" s="1"/>
  <c r="C67" i="10" s="1"/>
  <c r="T67" i="3"/>
  <c r="C67" i="8" s="1"/>
  <c r="C68" i="10" s="1"/>
  <c r="T68" i="3"/>
  <c r="C68" i="8" s="1"/>
  <c r="T69" i="3"/>
  <c r="C69" i="8" s="1"/>
  <c r="T70" i="3"/>
  <c r="C70" i="8" s="1"/>
  <c r="C71" i="10" s="1"/>
  <c r="T71" i="3"/>
  <c r="C71" i="8" s="1"/>
  <c r="C72" i="10" s="1"/>
  <c r="T72" i="3"/>
  <c r="C72" i="8" s="1"/>
  <c r="T73" i="3"/>
  <c r="C73" i="8" s="1"/>
  <c r="T74" i="3"/>
  <c r="C74" i="8" s="1"/>
  <c r="C75" i="10" s="1"/>
  <c r="T75" i="3"/>
  <c r="C75" i="8" s="1"/>
  <c r="C76" i="10" s="1"/>
  <c r="T76" i="3"/>
  <c r="C76" i="8" s="1"/>
  <c r="T77" i="3"/>
  <c r="C77" i="8" s="1"/>
  <c r="T78" i="3"/>
  <c r="C78" i="8" s="1"/>
  <c r="C79" i="10" s="1"/>
  <c r="T79" i="3"/>
  <c r="C79" i="8" s="1"/>
  <c r="C80" i="10" s="1"/>
  <c r="T80" i="3"/>
  <c r="C80" i="8" s="1"/>
  <c r="T81" i="3"/>
  <c r="C81" i="8" s="1"/>
  <c r="T82" i="3"/>
  <c r="C82" i="8" s="1"/>
  <c r="C83" i="10" s="1"/>
  <c r="T83" i="3"/>
  <c r="C83" i="8" s="1"/>
  <c r="C84" i="10" s="1"/>
  <c r="T84" i="3"/>
  <c r="C84" i="8" s="1"/>
  <c r="T85" i="3"/>
  <c r="C85" i="8" s="1"/>
  <c r="T86" i="3"/>
  <c r="C86" i="8" s="1"/>
  <c r="C87" i="10" s="1"/>
  <c r="T87" i="3"/>
  <c r="C87" i="8" s="1"/>
  <c r="C88" i="10" s="1"/>
  <c r="T88" i="3"/>
  <c r="C88" i="8" s="1"/>
  <c r="T89" i="3"/>
  <c r="C89" i="8" s="1"/>
  <c r="T90" i="3"/>
  <c r="C90" i="8" s="1"/>
  <c r="C91" i="10" s="1"/>
  <c r="T91" i="3"/>
  <c r="C91" i="8" s="1"/>
  <c r="C92" i="10" s="1"/>
  <c r="T92" i="3"/>
  <c r="C92" i="8" s="1"/>
  <c r="T93" i="3"/>
  <c r="C93" i="8" s="1"/>
  <c r="T94" i="3"/>
  <c r="C94" i="8" s="1"/>
  <c r="C95" i="10" s="1"/>
  <c r="T95" i="3"/>
  <c r="C95" i="8" s="1"/>
  <c r="C96" i="10" s="1"/>
  <c r="T96" i="3"/>
  <c r="C96" i="8" s="1"/>
  <c r="T97" i="3"/>
  <c r="C97" i="8" s="1"/>
  <c r="T98" i="3"/>
  <c r="C98" i="8" s="1"/>
  <c r="C99" i="10" s="1"/>
  <c r="T99" i="3"/>
  <c r="C99" i="8" s="1"/>
  <c r="C100" i="10" s="1"/>
  <c r="T100" i="3"/>
  <c r="C100" i="8" s="1"/>
  <c r="T101" i="3"/>
  <c r="C101" i="8" s="1"/>
  <c r="T102" i="3"/>
  <c r="C102" i="8" s="1"/>
  <c r="C103" i="10" s="1"/>
  <c r="T103" i="3"/>
  <c r="C103" i="8" s="1"/>
  <c r="C104" i="10" s="1"/>
  <c r="T104" i="3"/>
  <c r="C104" i="8" s="1"/>
  <c r="T105" i="3"/>
  <c r="C105" i="8" s="1"/>
  <c r="T106" i="3"/>
  <c r="C106" i="8" s="1"/>
  <c r="C107" i="10" s="1"/>
  <c r="T107" i="3"/>
  <c r="C107" i="8" s="1"/>
  <c r="T108" i="3"/>
  <c r="C108" i="8" s="1"/>
  <c r="T109" i="3"/>
  <c r="C109" i="8" s="1"/>
  <c r="T110" i="3"/>
  <c r="C110" i="8" s="1"/>
  <c r="C111" i="10" s="1"/>
  <c r="T111" i="3"/>
  <c r="C111" i="8" s="1"/>
  <c r="C112" i="10" s="1"/>
  <c r="T112" i="3"/>
  <c r="C112" i="8" s="1"/>
  <c r="T113" i="3"/>
  <c r="C113" i="8" s="1"/>
  <c r="T114" i="3"/>
  <c r="C114" i="8" s="1"/>
  <c r="C115" i="10" s="1"/>
  <c r="T115" i="3"/>
  <c r="C115" i="8" s="1"/>
  <c r="C116" i="10" s="1"/>
  <c r="T116" i="3"/>
  <c r="C116" i="8" s="1"/>
  <c r="T117" i="3"/>
  <c r="C117" i="8" s="1"/>
  <c r="T118" i="3"/>
  <c r="C118" i="8" s="1"/>
  <c r="C119" i="10" s="1"/>
  <c r="T119" i="3"/>
  <c r="C119" i="8" s="1"/>
  <c r="C120" i="10" s="1"/>
  <c r="T120" i="3"/>
  <c r="C120" i="8" s="1"/>
  <c r="T121" i="3"/>
  <c r="C121" i="8" s="1"/>
  <c r="T122" i="3"/>
  <c r="C122" i="8" s="1"/>
  <c r="C123" i="10" s="1"/>
  <c r="T123" i="3"/>
  <c r="C123" i="8" s="1"/>
  <c r="C124" i="10" s="1"/>
  <c r="T124" i="3"/>
  <c r="C124" i="8" s="1"/>
  <c r="T125" i="3"/>
  <c r="C125" i="8" s="1"/>
  <c r="T126" i="3"/>
  <c r="C126" i="8" s="1"/>
  <c r="C127" i="10" s="1"/>
  <c r="T127" i="3"/>
  <c r="C127" i="8" s="1"/>
  <c r="C128" i="10" s="1"/>
  <c r="T128" i="3"/>
  <c r="C128" i="8" s="1"/>
  <c r="T129" i="3"/>
  <c r="C129" i="8" s="1"/>
  <c r="T130" i="3"/>
  <c r="C130" i="8" s="1"/>
  <c r="C131" i="10" s="1"/>
  <c r="T131" i="3"/>
  <c r="C131" i="8" s="1"/>
  <c r="C132" i="10" s="1"/>
  <c r="T132" i="3"/>
  <c r="C132" i="8" s="1"/>
  <c r="T133" i="3"/>
  <c r="C133" i="8" s="1"/>
  <c r="T134" i="3"/>
  <c r="C134" i="8" s="1"/>
  <c r="C135" i="10" s="1"/>
  <c r="T135" i="3"/>
  <c r="C135" i="8" s="1"/>
  <c r="C136" i="10" s="1"/>
  <c r="T136" i="3"/>
  <c r="C136" i="8" s="1"/>
  <c r="T137" i="3"/>
  <c r="C137" i="8" s="1"/>
  <c r="T138" i="3"/>
  <c r="C138" i="8" s="1"/>
  <c r="C139" i="10" s="1"/>
  <c r="T139" i="3"/>
  <c r="C139" i="8" s="1"/>
  <c r="C140" i="10" s="1"/>
  <c r="T140" i="3"/>
  <c r="C140" i="8" s="1"/>
  <c r="T141" i="3"/>
  <c r="C141" i="8" s="1"/>
  <c r="T142" i="3"/>
  <c r="C142" i="8" s="1"/>
  <c r="C143" i="10" s="1"/>
  <c r="T143" i="3"/>
  <c r="C143" i="8" s="1"/>
  <c r="C144" i="10" s="1"/>
  <c r="T144" i="3"/>
  <c r="C144" i="8" s="1"/>
  <c r="T145" i="3"/>
  <c r="C145" i="8" s="1"/>
  <c r="T146" i="3"/>
  <c r="C146" i="8" s="1"/>
  <c r="C147" i="10" s="1"/>
  <c r="T147" i="3"/>
  <c r="C147" i="8" s="1"/>
  <c r="C148" i="10" s="1"/>
  <c r="T148" i="3"/>
  <c r="C148" i="8" s="1"/>
  <c r="T149" i="3"/>
  <c r="C149" i="8" s="1"/>
  <c r="T150" i="3"/>
  <c r="C150" i="8" s="1"/>
  <c r="C151" i="10" s="1"/>
  <c r="T151" i="3"/>
  <c r="C151" i="8" s="1"/>
  <c r="T152" i="3"/>
  <c r="C152" i="8" s="1"/>
  <c r="T153" i="3"/>
  <c r="C153" i="8" s="1"/>
  <c r="T154" i="3"/>
  <c r="C154" i="8" s="1"/>
  <c r="T155" i="3"/>
  <c r="C155" i="8" s="1"/>
  <c r="C156" i="10" s="1"/>
  <c r="T156" i="3"/>
  <c r="C156" i="8" s="1"/>
  <c r="T157" i="3"/>
  <c r="C157" i="8" s="1"/>
  <c r="T158" i="3"/>
  <c r="C158" i="8" s="1"/>
  <c r="T159" i="3"/>
  <c r="C159" i="8" s="1"/>
  <c r="C160" i="10" s="1"/>
  <c r="T160" i="3"/>
  <c r="C160" i="8" s="1"/>
  <c r="T161" i="3"/>
  <c r="C161" i="8" s="1"/>
  <c r="T162" i="3"/>
  <c r="C162" i="8" s="1"/>
  <c r="T163" i="3"/>
  <c r="C163" i="8" s="1"/>
  <c r="T164" i="3"/>
  <c r="C164" i="8" s="1"/>
  <c r="T165" i="3"/>
  <c r="C165" i="8" s="1"/>
  <c r="T166" i="3"/>
  <c r="C166" i="8" s="1"/>
  <c r="T167" i="3"/>
  <c r="C167" i="8" s="1"/>
  <c r="T168" i="3"/>
  <c r="C168" i="8" s="1"/>
  <c r="T169" i="3"/>
  <c r="C169" i="8" s="1"/>
  <c r="T170" i="3"/>
  <c r="C170" i="8" s="1"/>
  <c r="T171" i="3"/>
  <c r="C171" i="8" s="1"/>
  <c r="T172" i="3"/>
  <c r="C172" i="8" s="1"/>
  <c r="T173" i="3"/>
  <c r="C173" i="8" s="1"/>
  <c r="AG173" i="8" s="1"/>
  <c r="T174" i="3"/>
  <c r="C174" i="8" s="1"/>
  <c r="T175" i="3"/>
  <c r="C175" i="8" s="1"/>
  <c r="AG175" i="8" s="1"/>
  <c r="T176" i="3"/>
  <c r="C176" i="8" s="1"/>
  <c r="T177" i="3"/>
  <c r="C177" i="8" s="1"/>
  <c r="AG177" i="8" s="1"/>
  <c r="T178" i="3"/>
  <c r="C178" i="8" s="1"/>
  <c r="T179" i="3"/>
  <c r="C179" i="8" s="1"/>
  <c r="T180" i="3"/>
  <c r="C180" i="8" s="1"/>
  <c r="T181" i="3"/>
  <c r="C181" i="8" s="1"/>
  <c r="T182" i="3"/>
  <c r="C182" i="8" s="1"/>
  <c r="T183" i="3"/>
  <c r="C183" i="8" s="1"/>
  <c r="AG183" i="8" s="1"/>
  <c r="T184" i="3"/>
  <c r="C184" i="8" s="1"/>
  <c r="T185" i="3"/>
  <c r="C185" i="8" s="1"/>
  <c r="T186" i="3"/>
  <c r="C186" i="8" s="1"/>
  <c r="T187" i="3"/>
  <c r="C187" i="8" s="1"/>
  <c r="AG187" i="8" s="1"/>
  <c r="T188" i="3"/>
  <c r="C188" i="8" s="1"/>
  <c r="T189" i="3"/>
  <c r="C189" i="8" s="1"/>
  <c r="T190" i="3"/>
  <c r="C190" i="8" s="1"/>
  <c r="T191" i="3"/>
  <c r="C191" i="8" s="1"/>
  <c r="T192" i="3"/>
  <c r="C192" i="8" s="1"/>
  <c r="AG192" i="8" s="1"/>
  <c r="T193" i="3"/>
  <c r="C193" i="8" s="1"/>
  <c r="AG193" i="8" s="1"/>
  <c r="T194" i="3"/>
  <c r="C194" i="8" s="1"/>
  <c r="AG194" i="8" s="1"/>
  <c r="T195" i="3"/>
  <c r="C195" i="8" s="1"/>
  <c r="AG195" i="8" s="1"/>
  <c r="T196" i="3"/>
  <c r="C196" i="8" s="1"/>
  <c r="AG196" i="8" s="1"/>
  <c r="T197" i="3"/>
  <c r="C197" i="8" s="1"/>
  <c r="AG197" i="8" s="1"/>
  <c r="T198" i="3"/>
  <c r="C198" i="8" s="1"/>
  <c r="AG198" i="8" s="1"/>
  <c r="T199" i="3"/>
  <c r="C199" i="8" s="1"/>
  <c r="AG199" i="8" s="1"/>
  <c r="T200" i="3"/>
  <c r="C200" i="8" s="1"/>
  <c r="AG200" i="8" s="1"/>
  <c r="T201" i="3"/>
  <c r="C201" i="8" s="1"/>
  <c r="AG201" i="8" s="1"/>
  <c r="T202" i="3"/>
  <c r="C202" i="8" s="1"/>
  <c r="AG202" i="8" s="1"/>
  <c r="T203" i="3"/>
  <c r="C203" i="8" s="1"/>
  <c r="AG203" i="8" s="1"/>
  <c r="T204" i="3"/>
  <c r="C204" i="8" s="1"/>
  <c r="AG204" i="8" s="1"/>
  <c r="T205" i="3"/>
  <c r="C205" i="8" s="1"/>
  <c r="AG205" i="8" s="1"/>
  <c r="T206" i="3"/>
  <c r="C206" i="8" s="1"/>
  <c r="AG206" i="8" s="1"/>
  <c r="T207" i="3"/>
  <c r="C207" i="8" s="1"/>
  <c r="AG207" i="8" s="1"/>
  <c r="T208" i="3"/>
  <c r="C208" i="8" s="1"/>
  <c r="AG208" i="8" s="1"/>
  <c r="T209" i="3"/>
  <c r="C209" i="8" s="1"/>
  <c r="AG209" i="8" s="1"/>
  <c r="T210" i="3"/>
  <c r="C210" i="8" s="1"/>
  <c r="AG210" i="8" s="1"/>
  <c r="T211" i="3"/>
  <c r="C211" i="8" s="1"/>
  <c r="AG211" i="8" s="1"/>
  <c r="T212" i="3"/>
  <c r="C212" i="8" s="1"/>
  <c r="AG212" i="8" s="1"/>
  <c r="T213" i="3"/>
  <c r="C213" i="8" s="1"/>
  <c r="AG213" i="8" s="1"/>
  <c r="T214" i="3"/>
  <c r="C214" i="8" s="1"/>
  <c r="AP10" i="8" s="1"/>
  <c r="T215" i="3"/>
  <c r="C215" i="8" s="1"/>
  <c r="AG215" i="8" s="1"/>
  <c r="T216" i="3"/>
  <c r="C216" i="8" s="1"/>
  <c r="AG216" i="8" s="1"/>
  <c r="T217" i="3"/>
  <c r="C217" i="8" s="1"/>
  <c r="AG217" i="8" s="1"/>
  <c r="T218" i="3"/>
  <c r="C218" i="8" s="1"/>
  <c r="AG218" i="8" s="1"/>
  <c r="T219" i="3"/>
  <c r="C219" i="8" s="1"/>
  <c r="AG219" i="8" s="1"/>
  <c r="T220" i="3"/>
  <c r="C220" i="8" s="1"/>
  <c r="AG220" i="8" s="1"/>
  <c r="T221" i="3"/>
  <c r="C221" i="8" s="1"/>
  <c r="AG221" i="8" s="1"/>
  <c r="T222" i="3"/>
  <c r="C222" i="8" s="1"/>
  <c r="AG222" i="8" s="1"/>
  <c r="T223" i="3"/>
  <c r="C223" i="8" s="1"/>
  <c r="AG223" i="8" s="1"/>
  <c r="T224" i="3"/>
  <c r="C224" i="8" s="1"/>
  <c r="AG224" i="8" s="1"/>
  <c r="T225" i="3"/>
  <c r="C225" i="8" s="1"/>
  <c r="AG225" i="8" s="1"/>
  <c r="T226" i="3"/>
  <c r="C226" i="8" s="1"/>
  <c r="AG226" i="8" s="1"/>
  <c r="T227" i="3"/>
  <c r="C227" i="8" s="1"/>
  <c r="AG227" i="8" s="1"/>
  <c r="T228" i="3"/>
  <c r="C228" i="8" s="1"/>
  <c r="AG228" i="8" s="1"/>
  <c r="T229" i="3"/>
  <c r="C229" i="8" s="1"/>
  <c r="AG229" i="8" s="1"/>
  <c r="T230" i="3"/>
  <c r="C230" i="8" s="1"/>
  <c r="AG230" i="8" s="1"/>
  <c r="T231" i="3"/>
  <c r="C231" i="8" s="1"/>
  <c r="AG231" i="8" s="1"/>
  <c r="T232" i="3"/>
  <c r="C232" i="8" s="1"/>
  <c r="AG232" i="8" s="1"/>
  <c r="T233" i="3"/>
  <c r="C233" i="8" s="1"/>
  <c r="AG233" i="8" s="1"/>
  <c r="T234" i="3"/>
  <c r="C234" i="8" s="1"/>
  <c r="AG234" i="8" s="1"/>
  <c r="T235" i="3"/>
  <c r="C235" i="8" s="1"/>
  <c r="AG235" i="8" s="1"/>
  <c r="T236" i="3"/>
  <c r="C236" i="8" s="1"/>
  <c r="AG236" i="8" s="1"/>
  <c r="T237" i="3"/>
  <c r="C237" i="8" s="1"/>
  <c r="AG237" i="8" s="1"/>
  <c r="T238" i="3"/>
  <c r="C238" i="8" s="1"/>
  <c r="AG238" i="8" s="1"/>
  <c r="T239" i="3"/>
  <c r="C239" i="8" s="1"/>
  <c r="AG239" i="8" s="1"/>
  <c r="T240" i="3"/>
  <c r="C240" i="8" s="1"/>
  <c r="AG240" i="8" s="1"/>
  <c r="T241" i="3"/>
  <c r="C241" i="8" s="1"/>
  <c r="AG241" i="8" s="1"/>
  <c r="T242" i="3"/>
  <c r="C242" i="8" s="1"/>
  <c r="AG242" i="8" s="1"/>
  <c r="T243" i="3"/>
  <c r="C243" i="8" s="1"/>
  <c r="AG243" i="8" s="1"/>
  <c r="T244" i="3"/>
  <c r="C244" i="8" s="1"/>
  <c r="AG244" i="8" s="1"/>
  <c r="T245" i="3"/>
  <c r="C245" i="8" s="1"/>
  <c r="AG245" i="8" s="1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2" i="1"/>
  <c r="B2" i="8" s="1"/>
  <c r="T3" i="1"/>
  <c r="B3" i="8" s="1"/>
  <c r="B4" i="10" s="1"/>
  <c r="T4" i="1"/>
  <c r="B4" i="8" s="1"/>
  <c r="B5" i="10" s="1"/>
  <c r="T5" i="1"/>
  <c r="B5" i="8" s="1"/>
  <c r="T6" i="1"/>
  <c r="B6" i="8" s="1"/>
  <c r="T7" i="1"/>
  <c r="B7" i="8" s="1"/>
  <c r="B8" i="10" s="1"/>
  <c r="T8" i="1"/>
  <c r="B8" i="8" s="1"/>
  <c r="B9" i="10" s="1"/>
  <c r="T9" i="1"/>
  <c r="B9" i="8" s="1"/>
  <c r="T10" i="1"/>
  <c r="B10" i="8" s="1"/>
  <c r="T11" i="1"/>
  <c r="B11" i="8" s="1"/>
  <c r="B12" i="10" s="1"/>
  <c r="T12" i="1"/>
  <c r="B12" i="8" s="1"/>
  <c r="B13" i="10" s="1"/>
  <c r="T13" i="1"/>
  <c r="B13" i="8" s="1"/>
  <c r="T14" i="1"/>
  <c r="B14" i="8" s="1"/>
  <c r="T15" i="1"/>
  <c r="B15" i="8" s="1"/>
  <c r="B16" i="10" s="1"/>
  <c r="T16" i="1"/>
  <c r="B16" i="8" s="1"/>
  <c r="B17" i="10" s="1"/>
  <c r="T17" i="1"/>
  <c r="B17" i="8" s="1"/>
  <c r="T18" i="1"/>
  <c r="B18" i="8" s="1"/>
  <c r="T19" i="1"/>
  <c r="B19" i="8" s="1"/>
  <c r="B20" i="10" s="1"/>
  <c r="T20" i="1"/>
  <c r="B20" i="8" s="1"/>
  <c r="T21" i="1"/>
  <c r="B21" i="8" s="1"/>
  <c r="T22" i="1"/>
  <c r="B22" i="8" s="1"/>
  <c r="T23" i="1"/>
  <c r="B23" i="8" s="1"/>
  <c r="B24" i="10" s="1"/>
  <c r="T24" i="1"/>
  <c r="B24" i="8" s="1"/>
  <c r="B25" i="10" s="1"/>
  <c r="T25" i="1"/>
  <c r="B25" i="8" s="1"/>
  <c r="T26" i="1"/>
  <c r="B26" i="8" s="1"/>
  <c r="T27" i="1"/>
  <c r="B27" i="8" s="1"/>
  <c r="B28" i="10" s="1"/>
  <c r="T28" i="1"/>
  <c r="B28" i="8" s="1"/>
  <c r="B29" i="10" s="1"/>
  <c r="T29" i="1"/>
  <c r="B29" i="8" s="1"/>
  <c r="T30" i="1"/>
  <c r="B30" i="8" s="1"/>
  <c r="T31" i="1"/>
  <c r="B31" i="8" s="1"/>
  <c r="B32" i="10" s="1"/>
  <c r="T32" i="1"/>
  <c r="B32" i="8" s="1"/>
  <c r="T33" i="1"/>
  <c r="B33" i="8" s="1"/>
  <c r="T34" i="1"/>
  <c r="B34" i="8" s="1"/>
  <c r="T35" i="1"/>
  <c r="B35" i="8" s="1"/>
  <c r="B36" i="10" s="1"/>
  <c r="T36" i="1"/>
  <c r="B36" i="8" s="1"/>
  <c r="T37" i="1"/>
  <c r="B37" i="8" s="1"/>
  <c r="B38" i="10" s="1"/>
  <c r="T38" i="1"/>
  <c r="B38" i="8" s="1"/>
  <c r="T39" i="1"/>
  <c r="B39" i="8" s="1"/>
  <c r="B40" i="10" s="1"/>
  <c r="T40" i="1"/>
  <c r="B40" i="8" s="1"/>
  <c r="T41" i="1"/>
  <c r="B41" i="8" s="1"/>
  <c r="B42" i="10" s="1"/>
  <c r="T42" i="1"/>
  <c r="B42" i="8" s="1"/>
  <c r="T43" i="1"/>
  <c r="B43" i="8" s="1"/>
  <c r="B44" i="10" s="1"/>
  <c r="T44" i="1"/>
  <c r="B44" i="8" s="1"/>
  <c r="T45" i="1"/>
  <c r="B45" i="8" s="1"/>
  <c r="B46" i="10" s="1"/>
  <c r="T46" i="1"/>
  <c r="B46" i="8" s="1"/>
  <c r="T47" i="1"/>
  <c r="B47" i="8" s="1"/>
  <c r="B48" i="10" s="1"/>
  <c r="T48" i="1"/>
  <c r="B48" i="8" s="1"/>
  <c r="T49" i="1"/>
  <c r="B49" i="8" s="1"/>
  <c r="B50" i="10" s="1"/>
  <c r="T50" i="1"/>
  <c r="B50" i="8" s="1"/>
  <c r="T51" i="1"/>
  <c r="B51" i="8" s="1"/>
  <c r="B52" i="10" s="1"/>
  <c r="T52" i="1"/>
  <c r="B52" i="8" s="1"/>
  <c r="T53" i="1"/>
  <c r="B53" i="8" s="1"/>
  <c r="B54" i="10" s="1"/>
  <c r="T54" i="1"/>
  <c r="B54" i="8" s="1"/>
  <c r="T55" i="1"/>
  <c r="B55" i="8" s="1"/>
  <c r="B56" i="10" s="1"/>
  <c r="T56" i="1"/>
  <c r="B56" i="8" s="1"/>
  <c r="T57" i="1"/>
  <c r="B57" i="8" s="1"/>
  <c r="B58" i="10" s="1"/>
  <c r="T58" i="1"/>
  <c r="B58" i="8" s="1"/>
  <c r="T59" i="1"/>
  <c r="B59" i="8" s="1"/>
  <c r="B60" i="10" s="1"/>
  <c r="T60" i="1"/>
  <c r="B60" i="8" s="1"/>
  <c r="T61" i="1"/>
  <c r="B61" i="8" s="1"/>
  <c r="B62" i="10" s="1"/>
  <c r="T62" i="1"/>
  <c r="B62" i="8" s="1"/>
  <c r="T63" i="1"/>
  <c r="B63" i="8" s="1"/>
  <c r="B64" i="10" s="1"/>
  <c r="T64" i="1"/>
  <c r="B64" i="8" s="1"/>
  <c r="T65" i="1"/>
  <c r="B65" i="8" s="1"/>
  <c r="B66" i="10" s="1"/>
  <c r="T66" i="1"/>
  <c r="B66" i="8" s="1"/>
  <c r="T67" i="1"/>
  <c r="B67" i="8" s="1"/>
  <c r="B68" i="10" s="1"/>
  <c r="T68" i="1"/>
  <c r="B68" i="8" s="1"/>
  <c r="T69" i="1"/>
  <c r="B69" i="8" s="1"/>
  <c r="B70" i="10" s="1"/>
  <c r="T70" i="1"/>
  <c r="B70" i="8" s="1"/>
  <c r="T71" i="1"/>
  <c r="B71" i="8" s="1"/>
  <c r="B72" i="10" s="1"/>
  <c r="T72" i="1"/>
  <c r="B72" i="8" s="1"/>
  <c r="T73" i="1"/>
  <c r="B73" i="8" s="1"/>
  <c r="B74" i="10" s="1"/>
  <c r="T74" i="1"/>
  <c r="B74" i="8" s="1"/>
  <c r="T75" i="1"/>
  <c r="B75" i="8" s="1"/>
  <c r="B76" i="10" s="1"/>
  <c r="T76" i="1"/>
  <c r="B76" i="8" s="1"/>
  <c r="T77" i="1"/>
  <c r="B77" i="8" s="1"/>
  <c r="B78" i="10" s="1"/>
  <c r="T78" i="1"/>
  <c r="B78" i="8" s="1"/>
  <c r="T79" i="1"/>
  <c r="B79" i="8" s="1"/>
  <c r="B80" i="10" s="1"/>
  <c r="T80" i="1"/>
  <c r="B80" i="8" s="1"/>
  <c r="T81" i="1"/>
  <c r="B81" i="8" s="1"/>
  <c r="B82" i="10" s="1"/>
  <c r="T82" i="1"/>
  <c r="B82" i="8" s="1"/>
  <c r="T83" i="1"/>
  <c r="B83" i="8" s="1"/>
  <c r="B84" i="10" s="1"/>
  <c r="T84" i="1"/>
  <c r="B84" i="8" s="1"/>
  <c r="T85" i="1"/>
  <c r="B85" i="8" s="1"/>
  <c r="B86" i="10" s="1"/>
  <c r="T86" i="1"/>
  <c r="B86" i="8" s="1"/>
  <c r="T87" i="1"/>
  <c r="B87" i="8" s="1"/>
  <c r="B88" i="10" s="1"/>
  <c r="T88" i="1"/>
  <c r="B88" i="8" s="1"/>
  <c r="T89" i="1"/>
  <c r="B89" i="8" s="1"/>
  <c r="B90" i="10" s="1"/>
  <c r="T90" i="1"/>
  <c r="B90" i="8" s="1"/>
  <c r="T91" i="1"/>
  <c r="B91" i="8" s="1"/>
  <c r="B92" i="10" s="1"/>
  <c r="T92" i="1"/>
  <c r="B92" i="8" s="1"/>
  <c r="T93" i="1"/>
  <c r="B93" i="8" s="1"/>
  <c r="B94" i="10" s="1"/>
  <c r="T94" i="1"/>
  <c r="B94" i="8" s="1"/>
  <c r="T95" i="1"/>
  <c r="B95" i="8" s="1"/>
  <c r="B96" i="10" s="1"/>
  <c r="T96" i="1"/>
  <c r="B96" i="8" s="1"/>
  <c r="T97" i="1"/>
  <c r="B97" i="8" s="1"/>
  <c r="B98" i="10" s="1"/>
  <c r="T98" i="1"/>
  <c r="B98" i="8" s="1"/>
  <c r="T99" i="1"/>
  <c r="B99" i="8" s="1"/>
  <c r="B100" i="10" s="1"/>
  <c r="T100" i="1"/>
  <c r="B100" i="8" s="1"/>
  <c r="T101" i="1"/>
  <c r="B101" i="8" s="1"/>
  <c r="B102" i="10" s="1"/>
  <c r="T102" i="1"/>
  <c r="B102" i="8" s="1"/>
  <c r="T103" i="1"/>
  <c r="B103" i="8" s="1"/>
  <c r="B104" i="10" s="1"/>
  <c r="T104" i="1"/>
  <c r="B104" i="8" s="1"/>
  <c r="T105" i="1"/>
  <c r="B105" i="8" s="1"/>
  <c r="B106" i="10" s="1"/>
  <c r="T106" i="1"/>
  <c r="B106" i="8" s="1"/>
  <c r="T107" i="1"/>
  <c r="B107" i="8" s="1"/>
  <c r="B108" i="10" s="1"/>
  <c r="T108" i="1"/>
  <c r="B108" i="8" s="1"/>
  <c r="T109" i="1"/>
  <c r="B109" i="8" s="1"/>
  <c r="B110" i="10" s="1"/>
  <c r="T110" i="1"/>
  <c r="B110" i="8" s="1"/>
  <c r="T111" i="1"/>
  <c r="B111" i="8" s="1"/>
  <c r="B112" i="10" s="1"/>
  <c r="T112" i="1"/>
  <c r="B112" i="8" s="1"/>
  <c r="T113" i="1"/>
  <c r="B113" i="8" s="1"/>
  <c r="B114" i="10" s="1"/>
  <c r="T114" i="1"/>
  <c r="B114" i="8" s="1"/>
  <c r="T115" i="1"/>
  <c r="B115" i="8" s="1"/>
  <c r="B116" i="10" s="1"/>
  <c r="T116" i="1"/>
  <c r="B116" i="8" s="1"/>
  <c r="T117" i="1"/>
  <c r="B117" i="8" s="1"/>
  <c r="B118" i="10" s="1"/>
  <c r="T118" i="1"/>
  <c r="B118" i="8" s="1"/>
  <c r="T119" i="1"/>
  <c r="B119" i="8" s="1"/>
  <c r="B120" i="10" s="1"/>
  <c r="T120" i="1"/>
  <c r="B120" i="8" s="1"/>
  <c r="T121" i="1"/>
  <c r="B121" i="8" s="1"/>
  <c r="B122" i="10" s="1"/>
  <c r="T122" i="1"/>
  <c r="B122" i="8" s="1"/>
  <c r="T123" i="1"/>
  <c r="B123" i="8" s="1"/>
  <c r="B124" i="10" s="1"/>
  <c r="T124" i="1"/>
  <c r="B124" i="8" s="1"/>
  <c r="T125" i="1"/>
  <c r="B125" i="8" s="1"/>
  <c r="B126" i="10" s="1"/>
  <c r="T126" i="1"/>
  <c r="B126" i="8" s="1"/>
  <c r="T127" i="1"/>
  <c r="B127" i="8" s="1"/>
  <c r="B128" i="10" s="1"/>
  <c r="T128" i="1"/>
  <c r="B128" i="8" s="1"/>
  <c r="T129" i="1"/>
  <c r="B129" i="8" s="1"/>
  <c r="B130" i="10" s="1"/>
  <c r="T130" i="1"/>
  <c r="B130" i="8" s="1"/>
  <c r="T131" i="1"/>
  <c r="B131" i="8" s="1"/>
  <c r="B132" i="10" s="1"/>
  <c r="T132" i="1"/>
  <c r="B132" i="8" s="1"/>
  <c r="T133" i="1"/>
  <c r="B133" i="8" s="1"/>
  <c r="B134" i="10" s="1"/>
  <c r="T134" i="1"/>
  <c r="B134" i="8" s="1"/>
  <c r="T135" i="1"/>
  <c r="B135" i="8" s="1"/>
  <c r="B136" i="10" s="1"/>
  <c r="T136" i="1"/>
  <c r="B136" i="8" s="1"/>
  <c r="T137" i="1"/>
  <c r="B137" i="8" s="1"/>
  <c r="B138" i="10" s="1"/>
  <c r="T138" i="1"/>
  <c r="B138" i="8" s="1"/>
  <c r="T139" i="1"/>
  <c r="B139" i="8" s="1"/>
  <c r="B140" i="10" s="1"/>
  <c r="T140" i="1"/>
  <c r="B140" i="8" s="1"/>
  <c r="T141" i="1"/>
  <c r="B141" i="8" s="1"/>
  <c r="B142" i="10" s="1"/>
  <c r="T142" i="1"/>
  <c r="B142" i="8" s="1"/>
  <c r="T143" i="1"/>
  <c r="B143" i="8" s="1"/>
  <c r="B144" i="10" s="1"/>
  <c r="T144" i="1"/>
  <c r="B144" i="8" s="1"/>
  <c r="T145" i="1"/>
  <c r="B145" i="8" s="1"/>
  <c r="B146" i="10" s="1"/>
  <c r="T146" i="1"/>
  <c r="B146" i="8" s="1"/>
  <c r="T147" i="1"/>
  <c r="B147" i="8" s="1"/>
  <c r="B148" i="10" s="1"/>
  <c r="T148" i="1"/>
  <c r="B148" i="8" s="1"/>
  <c r="T149" i="1"/>
  <c r="B149" i="8" s="1"/>
  <c r="B150" i="10" s="1"/>
  <c r="T150" i="1"/>
  <c r="B150" i="8" s="1"/>
  <c r="T151" i="1"/>
  <c r="B151" i="8" s="1"/>
  <c r="B152" i="10" s="1"/>
  <c r="T152" i="1"/>
  <c r="B152" i="8" s="1"/>
  <c r="T153" i="1"/>
  <c r="B153" i="8" s="1"/>
  <c r="B154" i="10" s="1"/>
  <c r="T154" i="1"/>
  <c r="B154" i="8" s="1"/>
  <c r="T155" i="1"/>
  <c r="B155" i="8" s="1"/>
  <c r="B156" i="10" s="1"/>
  <c r="T156" i="1"/>
  <c r="B156" i="8" s="1"/>
  <c r="T157" i="1"/>
  <c r="B157" i="8" s="1"/>
  <c r="B158" i="10" s="1"/>
  <c r="T158" i="1"/>
  <c r="B158" i="8" s="1"/>
  <c r="T159" i="1"/>
  <c r="B159" i="8" s="1"/>
  <c r="B160" i="10" s="1"/>
  <c r="T160" i="1"/>
  <c r="B160" i="8" s="1"/>
  <c r="T161" i="1"/>
  <c r="B161" i="8" s="1"/>
  <c r="B162" i="10" s="1"/>
  <c r="T162" i="1"/>
  <c r="B162" i="8" s="1"/>
  <c r="T163" i="1"/>
  <c r="B163" i="8" s="1"/>
  <c r="B164" i="10" s="1"/>
  <c r="T164" i="1"/>
  <c r="B164" i="8" s="1"/>
  <c r="T165" i="1"/>
  <c r="B165" i="8" s="1"/>
  <c r="B166" i="10" s="1"/>
  <c r="T166" i="1"/>
  <c r="B166" i="8" s="1"/>
  <c r="T167" i="1"/>
  <c r="B167" i="8" s="1"/>
  <c r="B168" i="10" s="1"/>
  <c r="T168" i="1"/>
  <c r="B168" i="8" s="1"/>
  <c r="T169" i="1"/>
  <c r="B169" i="8" s="1"/>
  <c r="B170" i="10" s="1"/>
  <c r="T170" i="1"/>
  <c r="B170" i="8" s="1"/>
  <c r="T171" i="1"/>
  <c r="B171" i="8" s="1"/>
  <c r="B172" i="10" s="1"/>
  <c r="T172" i="1"/>
  <c r="B172" i="8" s="1"/>
  <c r="T173" i="1"/>
  <c r="B173" i="8" s="1"/>
  <c r="T174" i="1"/>
  <c r="B174" i="8" s="1"/>
  <c r="T175" i="1"/>
  <c r="B175" i="8" s="1"/>
  <c r="T176" i="1"/>
  <c r="B176" i="8" s="1"/>
  <c r="T177" i="1"/>
  <c r="B177" i="8" s="1"/>
  <c r="T178" i="1"/>
  <c r="B178" i="8" s="1"/>
  <c r="T179" i="1"/>
  <c r="B179" i="8" s="1"/>
  <c r="T180" i="1"/>
  <c r="B180" i="8" s="1"/>
  <c r="T181" i="1"/>
  <c r="B181" i="8" s="1"/>
  <c r="T182" i="1"/>
  <c r="B182" i="8" s="1"/>
  <c r="T183" i="1"/>
  <c r="B183" i="8" s="1"/>
  <c r="T184" i="1"/>
  <c r="B184" i="8" s="1"/>
  <c r="T185" i="1"/>
  <c r="B185" i="8" s="1"/>
  <c r="T186" i="1"/>
  <c r="B186" i="8" s="1"/>
  <c r="T187" i="1"/>
  <c r="B187" i="8" s="1"/>
  <c r="T188" i="1"/>
  <c r="B188" i="8" s="1"/>
  <c r="T189" i="1"/>
  <c r="B189" i="8" s="1"/>
  <c r="T190" i="1"/>
  <c r="B190" i="8" s="1"/>
  <c r="T191" i="1"/>
  <c r="B191" i="8" s="1"/>
  <c r="T192" i="1"/>
  <c r="B192" i="8" s="1"/>
  <c r="AF192" i="8" s="1"/>
  <c r="T193" i="1"/>
  <c r="B193" i="8" s="1"/>
  <c r="AF193" i="8" s="1"/>
  <c r="T194" i="1"/>
  <c r="B194" i="8" s="1"/>
  <c r="AF194" i="8" s="1"/>
  <c r="T195" i="1"/>
  <c r="B195" i="8" s="1"/>
  <c r="AF195" i="8" s="1"/>
  <c r="T196" i="1"/>
  <c r="B196" i="8" s="1"/>
  <c r="AF196" i="8" s="1"/>
  <c r="T197" i="1"/>
  <c r="B197" i="8" s="1"/>
  <c r="AF197" i="8" s="1"/>
  <c r="T198" i="1"/>
  <c r="B198" i="8" s="1"/>
  <c r="AF198" i="8" s="1"/>
  <c r="T199" i="1"/>
  <c r="B199" i="8" s="1"/>
  <c r="AF199" i="8" s="1"/>
  <c r="T200" i="1"/>
  <c r="B200" i="8" s="1"/>
  <c r="AF200" i="8" s="1"/>
  <c r="T201" i="1"/>
  <c r="B201" i="8" s="1"/>
  <c r="AF201" i="8" s="1"/>
  <c r="T202" i="1"/>
  <c r="B202" i="8" s="1"/>
  <c r="AF202" i="8" s="1"/>
  <c r="T203" i="1"/>
  <c r="B203" i="8" s="1"/>
  <c r="AF203" i="8" s="1"/>
  <c r="T204" i="1"/>
  <c r="B204" i="8" s="1"/>
  <c r="AF204" i="8" s="1"/>
  <c r="T205" i="1"/>
  <c r="B205" i="8" s="1"/>
  <c r="AF205" i="8" s="1"/>
  <c r="T206" i="1"/>
  <c r="B206" i="8" s="1"/>
  <c r="AF206" i="8" s="1"/>
  <c r="T207" i="1"/>
  <c r="B207" i="8" s="1"/>
  <c r="AF207" i="8" s="1"/>
  <c r="T208" i="1"/>
  <c r="B208" i="8" s="1"/>
  <c r="AF208" i="8" s="1"/>
  <c r="T209" i="1"/>
  <c r="B209" i="8" s="1"/>
  <c r="AF209" i="8" s="1"/>
  <c r="T210" i="1"/>
  <c r="B210" i="8" s="1"/>
  <c r="AF210" i="8" s="1"/>
  <c r="T211" i="1"/>
  <c r="B211" i="8" s="1"/>
  <c r="AF211" i="8" s="1"/>
  <c r="T212" i="1"/>
  <c r="B212" i="8" s="1"/>
  <c r="AF212" i="8" s="1"/>
  <c r="T213" i="1"/>
  <c r="B213" i="8" s="1"/>
  <c r="AF213" i="8" s="1"/>
  <c r="T214" i="1"/>
  <c r="B214" i="8" s="1"/>
  <c r="AO10" i="8" s="1"/>
  <c r="T215" i="1"/>
  <c r="B215" i="8" s="1"/>
  <c r="AF215" i="8" s="1"/>
  <c r="T216" i="1"/>
  <c r="B216" i="8" s="1"/>
  <c r="AF216" i="8" s="1"/>
  <c r="T217" i="1"/>
  <c r="B217" i="8" s="1"/>
  <c r="AF217" i="8" s="1"/>
  <c r="T218" i="1"/>
  <c r="B218" i="8" s="1"/>
  <c r="AF218" i="8" s="1"/>
  <c r="T219" i="1"/>
  <c r="B219" i="8" s="1"/>
  <c r="AF219" i="8" s="1"/>
  <c r="T220" i="1"/>
  <c r="B220" i="8" s="1"/>
  <c r="AF220" i="8" s="1"/>
  <c r="T221" i="1"/>
  <c r="B221" i="8" s="1"/>
  <c r="AF221" i="8" s="1"/>
  <c r="T222" i="1"/>
  <c r="B222" i="8" s="1"/>
  <c r="AF222" i="8" s="1"/>
  <c r="T223" i="1"/>
  <c r="B223" i="8" s="1"/>
  <c r="AF223" i="8" s="1"/>
  <c r="T224" i="1"/>
  <c r="B224" i="8" s="1"/>
  <c r="AF224" i="8" s="1"/>
  <c r="T225" i="1"/>
  <c r="B225" i="8" s="1"/>
  <c r="AF225" i="8" s="1"/>
  <c r="T226" i="1"/>
  <c r="B226" i="8" s="1"/>
  <c r="AF226" i="8" s="1"/>
  <c r="T227" i="1"/>
  <c r="B227" i="8" s="1"/>
  <c r="AF227" i="8" s="1"/>
  <c r="T228" i="1"/>
  <c r="B228" i="8" s="1"/>
  <c r="AF228" i="8" s="1"/>
  <c r="T229" i="1"/>
  <c r="B229" i="8" s="1"/>
  <c r="AF229" i="8" s="1"/>
  <c r="T230" i="1"/>
  <c r="B230" i="8" s="1"/>
  <c r="AF230" i="8" s="1"/>
  <c r="T231" i="1"/>
  <c r="B231" i="8" s="1"/>
  <c r="AF231" i="8" s="1"/>
  <c r="T232" i="1"/>
  <c r="B232" i="8" s="1"/>
  <c r="AF232" i="8" s="1"/>
  <c r="T233" i="1"/>
  <c r="B233" i="8" s="1"/>
  <c r="AF233" i="8" s="1"/>
  <c r="T234" i="1"/>
  <c r="B234" i="8" s="1"/>
  <c r="AF234" i="8" s="1"/>
  <c r="T235" i="1"/>
  <c r="B235" i="8" s="1"/>
  <c r="AF235" i="8" s="1"/>
  <c r="T236" i="1"/>
  <c r="B236" i="8" s="1"/>
  <c r="AF236" i="8" s="1"/>
  <c r="T237" i="1"/>
  <c r="B237" i="8" s="1"/>
  <c r="AF237" i="8" s="1"/>
  <c r="T238" i="1"/>
  <c r="B238" i="8" s="1"/>
  <c r="AF238" i="8" s="1"/>
  <c r="T239" i="1"/>
  <c r="B239" i="8" s="1"/>
  <c r="AF239" i="8" s="1"/>
  <c r="T240" i="1"/>
  <c r="B240" i="8" s="1"/>
  <c r="AF240" i="8" s="1"/>
  <c r="T241" i="1"/>
  <c r="B241" i="8" s="1"/>
  <c r="AF241" i="8" s="1"/>
  <c r="T242" i="1"/>
  <c r="B242" i="8" s="1"/>
  <c r="AF242" i="8" s="1"/>
  <c r="T243" i="1"/>
  <c r="B243" i="8" s="1"/>
  <c r="AF243" i="8" s="1"/>
  <c r="T244" i="1"/>
  <c r="B244" i="8" s="1"/>
  <c r="AF244" i="8" s="1"/>
  <c r="T245" i="1"/>
  <c r="B245" i="8" s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I3" i="9" l="1"/>
  <c r="C171" i="10"/>
  <c r="C163" i="10"/>
  <c r="C39" i="10"/>
  <c r="C35" i="10"/>
  <c r="C31" i="10"/>
  <c r="C27" i="10"/>
  <c r="C23" i="10"/>
  <c r="C19" i="10"/>
  <c r="C15" i="10"/>
  <c r="C11" i="10"/>
  <c r="C7" i="10"/>
  <c r="D46" i="10"/>
  <c r="D42" i="10"/>
  <c r="D14" i="10"/>
  <c r="D6" i="10"/>
  <c r="C170" i="10"/>
  <c r="C162" i="10"/>
  <c r="C150" i="10"/>
  <c r="C146" i="10"/>
  <c r="C142" i="10"/>
  <c r="C138" i="10"/>
  <c r="C134" i="10"/>
  <c r="C130" i="10"/>
  <c r="C126" i="10"/>
  <c r="C122" i="10"/>
  <c r="C118" i="10"/>
  <c r="C114" i="10"/>
  <c r="C110" i="10"/>
  <c r="C106" i="10"/>
  <c r="C102" i="10"/>
  <c r="C98" i="10"/>
  <c r="C94" i="10"/>
  <c r="C90" i="10"/>
  <c r="C86" i="10"/>
  <c r="C82" i="10"/>
  <c r="C78" i="10"/>
  <c r="C74" i="10"/>
  <c r="C70" i="10"/>
  <c r="C66" i="10"/>
  <c r="D129" i="10"/>
  <c r="D125" i="10"/>
  <c r="D121" i="10"/>
  <c r="D117" i="10"/>
  <c r="D113" i="10"/>
  <c r="D109" i="10"/>
  <c r="D105" i="10"/>
  <c r="D101" i="10"/>
  <c r="D97" i="10"/>
  <c r="D93" i="10"/>
  <c r="D89" i="10"/>
  <c r="D85" i="10"/>
  <c r="D81" i="10"/>
  <c r="D61" i="10"/>
  <c r="D57" i="10"/>
  <c r="D53" i="10"/>
  <c r="D49" i="10"/>
  <c r="D45" i="10"/>
  <c r="D41" i="10"/>
  <c r="D37" i="10"/>
  <c r="D33" i="10"/>
  <c r="D29" i="10"/>
  <c r="D25" i="10"/>
  <c r="D21" i="10"/>
  <c r="D17" i="10"/>
  <c r="D9" i="10"/>
  <c r="E172" i="10"/>
  <c r="F147" i="10"/>
  <c r="AF245" i="8"/>
  <c r="BB2" i="8"/>
  <c r="BB6" i="8"/>
  <c r="BB10" i="8"/>
  <c r="BB14" i="8"/>
  <c r="BB18" i="8"/>
  <c r="BB22" i="8"/>
  <c r="BB26" i="8"/>
  <c r="BB30" i="8"/>
  <c r="BB34" i="8"/>
  <c r="BB38" i="8"/>
  <c r="BB42" i="8"/>
  <c r="BB46" i="8"/>
  <c r="BB50" i="8"/>
  <c r="BB54" i="8"/>
  <c r="BB58" i="8"/>
  <c r="BB62" i="8"/>
  <c r="BB66" i="8"/>
  <c r="BB70" i="8"/>
  <c r="BB74" i="8"/>
  <c r="BB78" i="8"/>
  <c r="BB82" i="8"/>
  <c r="BB86" i="8"/>
  <c r="BB90" i="8"/>
  <c r="BB94" i="8"/>
  <c r="BB98" i="8"/>
  <c r="BB102" i="8"/>
  <c r="BB106" i="8"/>
  <c r="BB110" i="8"/>
  <c r="BB114" i="8"/>
  <c r="BB118" i="8"/>
  <c r="BB122" i="8"/>
  <c r="BB126" i="8"/>
  <c r="BB130" i="8"/>
  <c r="BB134" i="8"/>
  <c r="BB138" i="8"/>
  <c r="BB142" i="8"/>
  <c r="BB146" i="8"/>
  <c r="BB150" i="8"/>
  <c r="BA5" i="8"/>
  <c r="BA9" i="8"/>
  <c r="BA13" i="8"/>
  <c r="BA17" i="8"/>
  <c r="BA21" i="8"/>
  <c r="BA25" i="8"/>
  <c r="BA29" i="8"/>
  <c r="BA33" i="8"/>
  <c r="BA37" i="8"/>
  <c r="BA41" i="8"/>
  <c r="BA45" i="8"/>
  <c r="BA49" i="8"/>
  <c r="BA53" i="8"/>
  <c r="BA57" i="8"/>
  <c r="BA61" i="8"/>
  <c r="BA65" i="8"/>
  <c r="BA69" i="8"/>
  <c r="BA73" i="8"/>
  <c r="BA77" i="8"/>
  <c r="BA81" i="8"/>
  <c r="BA85" i="8"/>
  <c r="BA89" i="8"/>
  <c r="BA93" i="8"/>
  <c r="BA97" i="8"/>
  <c r="BA101" i="8"/>
  <c r="BA105" i="8"/>
  <c r="BA109" i="8"/>
  <c r="BA113" i="8"/>
  <c r="BA117" i="8"/>
  <c r="BA121" i="8"/>
  <c r="BA125" i="8"/>
  <c r="BA129" i="8"/>
  <c r="BA133" i="8"/>
  <c r="BA137" i="8"/>
  <c r="BA141" i="8"/>
  <c r="BA145" i="8"/>
  <c r="BA149" i="8"/>
  <c r="AZ4" i="8"/>
  <c r="AZ8" i="8"/>
  <c r="AZ12" i="8"/>
  <c r="AZ16" i="8"/>
  <c r="AZ20" i="8"/>
  <c r="AZ24" i="8"/>
  <c r="AZ28" i="8"/>
  <c r="AZ32" i="8"/>
  <c r="AZ36" i="8"/>
  <c r="AZ40" i="8"/>
  <c r="BA2" i="8"/>
  <c r="BA6" i="8"/>
  <c r="BA10" i="8"/>
  <c r="BA14" i="8"/>
  <c r="BA18" i="8"/>
  <c r="BA22" i="8"/>
  <c r="BA26" i="8"/>
  <c r="BA30" i="8"/>
  <c r="BA34" i="8"/>
  <c r="BA38" i="8"/>
  <c r="BA42" i="8"/>
  <c r="BA46" i="8"/>
  <c r="BA50" i="8"/>
  <c r="BA54" i="8"/>
  <c r="BA58" i="8"/>
  <c r="BA62" i="8"/>
  <c r="BA66" i="8"/>
  <c r="BA70" i="8"/>
  <c r="BA74" i="8"/>
  <c r="BA78" i="8"/>
  <c r="BA82" i="8"/>
  <c r="BA86" i="8"/>
  <c r="BA90" i="8"/>
  <c r="BA94" i="8"/>
  <c r="BA98" i="8"/>
  <c r="BA102" i="8"/>
  <c r="BA106" i="8"/>
  <c r="BA110" i="8"/>
  <c r="BA114" i="8"/>
  <c r="BA118" i="8"/>
  <c r="BA122" i="8"/>
  <c r="BA126" i="8"/>
  <c r="BA130" i="8"/>
  <c r="BA134" i="8"/>
  <c r="BA138" i="8"/>
  <c r="BA142" i="8"/>
  <c r="BA146" i="8"/>
  <c r="BA150" i="8"/>
  <c r="AZ5" i="8"/>
  <c r="AZ9" i="8"/>
  <c r="AZ13" i="8"/>
  <c r="AZ17" i="8"/>
  <c r="AZ21" i="8"/>
  <c r="AZ25" i="8"/>
  <c r="AZ29" i="8"/>
  <c r="AZ33" i="8"/>
  <c r="BA3" i="8"/>
  <c r="BA7" i="8"/>
  <c r="BA11" i="8"/>
  <c r="BA15" i="8"/>
  <c r="BA19" i="8"/>
  <c r="BA23" i="8"/>
  <c r="BA27" i="8"/>
  <c r="BA31" i="8"/>
  <c r="BA35" i="8"/>
  <c r="BA39" i="8"/>
  <c r="BA43" i="8"/>
  <c r="BA47" i="8"/>
  <c r="BA51" i="8"/>
  <c r="BA55" i="8"/>
  <c r="BA59" i="8"/>
  <c r="BA63" i="8"/>
  <c r="BA67" i="8"/>
  <c r="BA71" i="8"/>
  <c r="BA75" i="8"/>
  <c r="BA79" i="8"/>
  <c r="BA83" i="8"/>
  <c r="BA87" i="8"/>
  <c r="BA91" i="8"/>
  <c r="BA95" i="8"/>
  <c r="BA99" i="8"/>
  <c r="BA103" i="8"/>
  <c r="BA107" i="8"/>
  <c r="BA111" i="8"/>
  <c r="BA115" i="8"/>
  <c r="BA119" i="8"/>
  <c r="BA123" i="8"/>
  <c r="BA127" i="8"/>
  <c r="BA131" i="8"/>
  <c r="BA135" i="8"/>
  <c r="BA139" i="8"/>
  <c r="BA143" i="8"/>
  <c r="BA147" i="8"/>
  <c r="AZ2" i="8"/>
  <c r="AZ6" i="8"/>
  <c r="AZ10" i="8"/>
  <c r="AZ14" i="8"/>
  <c r="AZ18" i="8"/>
  <c r="AZ22" i="8"/>
  <c r="AZ26" i="8"/>
  <c r="AZ30" i="8"/>
  <c r="AZ34" i="8"/>
  <c r="BB5" i="8"/>
  <c r="BB21" i="8"/>
  <c r="BB37" i="8"/>
  <c r="BB53" i="8"/>
  <c r="BB69" i="8"/>
  <c r="BB85" i="8"/>
  <c r="BB101" i="8"/>
  <c r="BB117" i="8"/>
  <c r="BB133" i="8"/>
  <c r="BB149" i="8"/>
  <c r="BA16" i="8"/>
  <c r="BA32" i="8"/>
  <c r="BA48" i="8"/>
  <c r="BA64" i="8"/>
  <c r="BA80" i="8"/>
  <c r="BA96" i="8"/>
  <c r="BA112" i="8"/>
  <c r="BA128" i="8"/>
  <c r="BA144" i="8"/>
  <c r="AZ11" i="8"/>
  <c r="AZ27" i="8"/>
  <c r="AZ38" i="8"/>
  <c r="AZ43" i="8"/>
  <c r="AZ47" i="8"/>
  <c r="AZ51" i="8"/>
  <c r="AZ55" i="8"/>
  <c r="AZ59" i="8"/>
  <c r="AZ63" i="8"/>
  <c r="AZ67" i="8"/>
  <c r="AZ71" i="8"/>
  <c r="AZ75" i="8"/>
  <c r="AZ79" i="8"/>
  <c r="AZ83" i="8"/>
  <c r="AZ87" i="8"/>
  <c r="AZ91" i="8"/>
  <c r="AZ95" i="8"/>
  <c r="AZ99" i="8"/>
  <c r="AZ103" i="8"/>
  <c r="AZ107" i="8"/>
  <c r="AZ111" i="8"/>
  <c r="AZ115" i="8"/>
  <c r="AZ119" i="8"/>
  <c r="AZ123" i="8"/>
  <c r="AZ127" i="8"/>
  <c r="AZ131" i="8"/>
  <c r="AZ135" i="8"/>
  <c r="AZ139" i="8"/>
  <c r="AZ143" i="8"/>
  <c r="AZ147" i="8"/>
  <c r="AY2" i="8"/>
  <c r="AY6" i="8"/>
  <c r="AY10" i="8"/>
  <c r="AY14" i="8"/>
  <c r="AY18" i="8"/>
  <c r="AY22" i="8"/>
  <c r="AY26" i="8"/>
  <c r="AY30" i="8"/>
  <c r="AY34" i="8"/>
  <c r="AY38" i="8"/>
  <c r="AY42" i="8"/>
  <c r="AY46" i="8"/>
  <c r="AY50" i="8"/>
  <c r="AY54" i="8"/>
  <c r="AY58" i="8"/>
  <c r="AY62" i="8"/>
  <c r="AY66" i="8"/>
  <c r="AY70" i="8"/>
  <c r="AY74" i="8"/>
  <c r="AY78" i="8"/>
  <c r="AY82" i="8"/>
  <c r="AY86" i="8"/>
  <c r="AY90" i="8"/>
  <c r="AY94" i="8"/>
  <c r="AY98" i="8"/>
  <c r="AY102" i="8"/>
  <c r="AY106" i="8"/>
  <c r="AY110" i="8"/>
  <c r="AY114" i="8"/>
  <c r="AY118" i="8"/>
  <c r="AY122" i="8"/>
  <c r="AY126" i="8"/>
  <c r="AY130" i="8"/>
  <c r="AY134" i="8"/>
  <c r="AY138" i="8"/>
  <c r="BB9" i="8"/>
  <c r="BB25" i="8"/>
  <c r="BB41" i="8"/>
  <c r="BB57" i="8"/>
  <c r="BB73" i="8"/>
  <c r="BB89" i="8"/>
  <c r="BB105" i="8"/>
  <c r="BB121" i="8"/>
  <c r="BB137" i="8"/>
  <c r="BA4" i="8"/>
  <c r="BA20" i="8"/>
  <c r="BA36" i="8"/>
  <c r="BA52" i="8"/>
  <c r="BA68" i="8"/>
  <c r="BA84" i="8"/>
  <c r="BA100" i="8"/>
  <c r="BA116" i="8"/>
  <c r="BA132" i="8"/>
  <c r="BA148" i="8"/>
  <c r="AZ15" i="8"/>
  <c r="AZ31" i="8"/>
  <c r="AZ39" i="8"/>
  <c r="AZ44" i="8"/>
  <c r="AZ48" i="8"/>
  <c r="AZ52" i="8"/>
  <c r="AZ56" i="8"/>
  <c r="AZ60" i="8"/>
  <c r="AZ64" i="8"/>
  <c r="AZ68" i="8"/>
  <c r="AZ72" i="8"/>
  <c r="AZ76" i="8"/>
  <c r="AZ80" i="8"/>
  <c r="AZ84" i="8"/>
  <c r="AZ88" i="8"/>
  <c r="AZ92" i="8"/>
  <c r="AZ96" i="8"/>
  <c r="AZ100" i="8"/>
  <c r="AZ104" i="8"/>
  <c r="AZ108" i="8"/>
  <c r="AZ112" i="8"/>
  <c r="AZ116" i="8"/>
  <c r="AZ120" i="8"/>
  <c r="AZ124" i="8"/>
  <c r="AZ128" i="8"/>
  <c r="AZ132" i="8"/>
  <c r="AZ136" i="8"/>
  <c r="AZ140" i="8"/>
  <c r="AZ144" i="8"/>
  <c r="AZ148" i="8"/>
  <c r="AY3" i="8"/>
  <c r="AY7" i="8"/>
  <c r="AY11" i="8"/>
  <c r="AY15" i="8"/>
  <c r="AY19" i="8"/>
  <c r="AY23" i="8"/>
  <c r="AY27" i="8"/>
  <c r="AY31" i="8"/>
  <c r="AY35" i="8"/>
  <c r="AY39" i="8"/>
  <c r="AY43" i="8"/>
  <c r="AY47" i="8"/>
  <c r="AY51" i="8"/>
  <c r="AY55" i="8"/>
  <c r="AY59" i="8"/>
  <c r="AY63" i="8"/>
  <c r="AY67" i="8"/>
  <c r="AY71" i="8"/>
  <c r="AY75" i="8"/>
  <c r="AY79" i="8"/>
  <c r="AY83" i="8"/>
  <c r="AY87" i="8"/>
  <c r="AY91" i="8"/>
  <c r="AY95" i="8"/>
  <c r="AY99" i="8"/>
  <c r="AY103" i="8"/>
  <c r="AY107" i="8"/>
  <c r="AY111" i="8"/>
  <c r="AY115" i="8"/>
  <c r="AY119" i="8"/>
  <c r="AY123" i="8"/>
  <c r="AY127" i="8"/>
  <c r="AY131" i="8"/>
  <c r="AY135" i="8"/>
  <c r="AY139" i="8"/>
  <c r="AY143" i="8"/>
  <c r="BB13" i="8"/>
  <c r="BB29" i="8"/>
  <c r="BB45" i="8"/>
  <c r="BB61" i="8"/>
  <c r="BB77" i="8"/>
  <c r="BB93" i="8"/>
  <c r="BB109" i="8"/>
  <c r="BB125" i="8"/>
  <c r="BB141" i="8"/>
  <c r="BA8" i="8"/>
  <c r="BA24" i="8"/>
  <c r="BA40" i="8"/>
  <c r="BA56" i="8"/>
  <c r="BA72" i="8"/>
  <c r="BA88" i="8"/>
  <c r="BA104" i="8"/>
  <c r="BA120" i="8"/>
  <c r="BA136" i="8"/>
  <c r="AZ3" i="8"/>
  <c r="AZ19" i="8"/>
  <c r="AZ35" i="8"/>
  <c r="AZ41" i="8"/>
  <c r="AZ45" i="8"/>
  <c r="AZ49" i="8"/>
  <c r="AZ53" i="8"/>
  <c r="AZ57" i="8"/>
  <c r="AZ61" i="8"/>
  <c r="AZ65" i="8"/>
  <c r="AZ69" i="8"/>
  <c r="AZ73" i="8"/>
  <c r="AZ77" i="8"/>
  <c r="AZ81" i="8"/>
  <c r="AZ85" i="8"/>
  <c r="AZ89" i="8"/>
  <c r="AZ93" i="8"/>
  <c r="AZ97" i="8"/>
  <c r="AZ101" i="8"/>
  <c r="AZ105" i="8"/>
  <c r="AZ109" i="8"/>
  <c r="AZ113" i="8"/>
  <c r="AZ117" i="8"/>
  <c r="AZ121" i="8"/>
  <c r="AZ125" i="8"/>
  <c r="AZ129" i="8"/>
  <c r="AZ133" i="8"/>
  <c r="AZ137" i="8"/>
  <c r="AZ141" i="8"/>
  <c r="AZ145" i="8"/>
  <c r="AZ149" i="8"/>
  <c r="AY4" i="8"/>
  <c r="AY8" i="8"/>
  <c r="AY12" i="8"/>
  <c r="AY16" i="8"/>
  <c r="AY20" i="8"/>
  <c r="AY24" i="8"/>
  <c r="AY28" i="8"/>
  <c r="AY32" i="8"/>
  <c r="AY36" i="8"/>
  <c r="AY40" i="8"/>
  <c r="AY44" i="8"/>
  <c r="AY48" i="8"/>
  <c r="AY52" i="8"/>
  <c r="AY56" i="8"/>
  <c r="AY60" i="8"/>
  <c r="AY64" i="8"/>
  <c r="AY68" i="8"/>
  <c r="AY72" i="8"/>
  <c r="AY76" i="8"/>
  <c r="AY80" i="8"/>
  <c r="AY84" i="8"/>
  <c r="AY88" i="8"/>
  <c r="AY92" i="8"/>
  <c r="AY96" i="8"/>
  <c r="AY100" i="8"/>
  <c r="AY104" i="8"/>
  <c r="AY108" i="8"/>
  <c r="AY112" i="8"/>
  <c r="AY116" i="8"/>
  <c r="AY120" i="8"/>
  <c r="AY124" i="8"/>
  <c r="AY128" i="8"/>
  <c r="AY132" i="8"/>
  <c r="AY136" i="8"/>
  <c r="AY140" i="8"/>
  <c r="AY144" i="8"/>
  <c r="BB17" i="8"/>
  <c r="BB81" i="8"/>
  <c r="BB145" i="8"/>
  <c r="BA60" i="8"/>
  <c r="BA124" i="8"/>
  <c r="AZ37" i="8"/>
  <c r="AZ54" i="8"/>
  <c r="AZ70" i="8"/>
  <c r="AZ86" i="8"/>
  <c r="AZ102" i="8"/>
  <c r="AZ118" i="8"/>
  <c r="AZ134" i="8"/>
  <c r="AZ150" i="8"/>
  <c r="AY17" i="8"/>
  <c r="AY33" i="8"/>
  <c r="AY49" i="8"/>
  <c r="AY65" i="8"/>
  <c r="AY81" i="8"/>
  <c r="AY97" i="8"/>
  <c r="AY113" i="8"/>
  <c r="AY129" i="8"/>
  <c r="AY142" i="8"/>
  <c r="AY148" i="8"/>
  <c r="AX3" i="8"/>
  <c r="AX7" i="8"/>
  <c r="AX11" i="8"/>
  <c r="AX15" i="8"/>
  <c r="AX19" i="8"/>
  <c r="AX23" i="8"/>
  <c r="AX27" i="8"/>
  <c r="AX31" i="8"/>
  <c r="AX35" i="8"/>
  <c r="AX39" i="8"/>
  <c r="AX43" i="8"/>
  <c r="AX47" i="8"/>
  <c r="AX51" i="8"/>
  <c r="AX55" i="8"/>
  <c r="AX59" i="8"/>
  <c r="AX63" i="8"/>
  <c r="AX67" i="8"/>
  <c r="AX71" i="8"/>
  <c r="AX75" i="8"/>
  <c r="AX79" i="8"/>
  <c r="AX83" i="8"/>
  <c r="AX87" i="8"/>
  <c r="AX91" i="8"/>
  <c r="AX95" i="8"/>
  <c r="AX99" i="8"/>
  <c r="AX103" i="8"/>
  <c r="AX107" i="8"/>
  <c r="AX111" i="8"/>
  <c r="AX115" i="8"/>
  <c r="AX119" i="8"/>
  <c r="AX123" i="8"/>
  <c r="AX127" i="8"/>
  <c r="AX131" i="8"/>
  <c r="AX135" i="8"/>
  <c r="AX139" i="8"/>
  <c r="AX143" i="8"/>
  <c r="AX147" i="8"/>
  <c r="AX108" i="8"/>
  <c r="AX116" i="8"/>
  <c r="AX124" i="8"/>
  <c r="AX132" i="8"/>
  <c r="AX136" i="8"/>
  <c r="AX144" i="8"/>
  <c r="BB129" i="8"/>
  <c r="AY29" i="8"/>
  <c r="AY109" i="8"/>
  <c r="AY147" i="8"/>
  <c r="AX10" i="8"/>
  <c r="AX22" i="8"/>
  <c r="AX38" i="8"/>
  <c r="AX50" i="8"/>
  <c r="AX62" i="8"/>
  <c r="AX74" i="8"/>
  <c r="AX86" i="8"/>
  <c r="AX94" i="8"/>
  <c r="AX106" i="8"/>
  <c r="AX122" i="8"/>
  <c r="AX134" i="8"/>
  <c r="AX146" i="8"/>
  <c r="BB33" i="8"/>
  <c r="BB97" i="8"/>
  <c r="BA12" i="8"/>
  <c r="BA76" i="8"/>
  <c r="BA140" i="8"/>
  <c r="AZ42" i="8"/>
  <c r="AZ58" i="8"/>
  <c r="AZ74" i="8"/>
  <c r="AZ90" i="8"/>
  <c r="AZ106" i="8"/>
  <c r="AZ122" i="8"/>
  <c r="AZ138" i="8"/>
  <c r="AY5" i="8"/>
  <c r="AY21" i="8"/>
  <c r="AY37" i="8"/>
  <c r="AY53" i="8"/>
  <c r="AY69" i="8"/>
  <c r="AY85" i="8"/>
  <c r="AY101" i="8"/>
  <c r="AY117" i="8"/>
  <c r="AY133" i="8"/>
  <c r="AY145" i="8"/>
  <c r="AY149" i="8"/>
  <c r="AX4" i="8"/>
  <c r="AX8" i="8"/>
  <c r="AX12" i="8"/>
  <c r="AX16" i="8"/>
  <c r="AX20" i="8"/>
  <c r="AX24" i="8"/>
  <c r="AX28" i="8"/>
  <c r="AX32" i="8"/>
  <c r="AX36" i="8"/>
  <c r="AX40" i="8"/>
  <c r="AX44" i="8"/>
  <c r="AX48" i="8"/>
  <c r="AX52" i="8"/>
  <c r="AX56" i="8"/>
  <c r="AX60" i="8"/>
  <c r="AX64" i="8"/>
  <c r="AX68" i="8"/>
  <c r="AX72" i="8"/>
  <c r="AX76" i="8"/>
  <c r="AX80" i="8"/>
  <c r="AX84" i="8"/>
  <c r="AX88" i="8"/>
  <c r="AX92" i="8"/>
  <c r="AX96" i="8"/>
  <c r="AX100" i="8"/>
  <c r="AX104" i="8"/>
  <c r="AX112" i="8"/>
  <c r="AX120" i="8"/>
  <c r="AX128" i="8"/>
  <c r="AX140" i="8"/>
  <c r="AX148" i="8"/>
  <c r="BA44" i="8"/>
  <c r="BA108" i="8"/>
  <c r="AZ23" i="8"/>
  <c r="AZ50" i="8"/>
  <c r="AZ66" i="8"/>
  <c r="AZ82" i="8"/>
  <c r="AZ98" i="8"/>
  <c r="AZ114" i="8"/>
  <c r="AZ130" i="8"/>
  <c r="AZ146" i="8"/>
  <c r="AY13" i="8"/>
  <c r="AY45" i="8"/>
  <c r="AY77" i="8"/>
  <c r="AY93" i="8"/>
  <c r="AY125" i="8"/>
  <c r="AX2" i="8"/>
  <c r="AX14" i="8"/>
  <c r="AX26" i="8"/>
  <c r="AX34" i="8"/>
  <c r="AX42" i="8"/>
  <c r="AX54" i="8"/>
  <c r="AX66" i="8"/>
  <c r="AX82" i="8"/>
  <c r="AX98" i="8"/>
  <c r="AX110" i="8"/>
  <c r="AX118" i="8"/>
  <c r="AX130" i="8"/>
  <c r="AX142" i="8"/>
  <c r="BB49" i="8"/>
  <c r="BB113" i="8"/>
  <c r="BA28" i="8"/>
  <c r="BA92" i="8"/>
  <c r="AZ7" i="8"/>
  <c r="AZ46" i="8"/>
  <c r="AZ62" i="8"/>
  <c r="AZ78" i="8"/>
  <c r="AZ94" i="8"/>
  <c r="AZ110" i="8"/>
  <c r="AZ126" i="8"/>
  <c r="AZ142" i="8"/>
  <c r="AY9" i="8"/>
  <c r="AY25" i="8"/>
  <c r="AY41" i="8"/>
  <c r="AY57" i="8"/>
  <c r="AY73" i="8"/>
  <c r="AY89" i="8"/>
  <c r="AY105" i="8"/>
  <c r="AY121" i="8"/>
  <c r="AY137" i="8"/>
  <c r="AY146" i="8"/>
  <c r="AY150" i="8"/>
  <c r="AX5" i="8"/>
  <c r="AX9" i="8"/>
  <c r="AX13" i="8"/>
  <c r="AX17" i="8"/>
  <c r="AX21" i="8"/>
  <c r="AX25" i="8"/>
  <c r="AX29" i="8"/>
  <c r="AX33" i="8"/>
  <c r="AX37" i="8"/>
  <c r="AX41" i="8"/>
  <c r="AX45" i="8"/>
  <c r="AX49" i="8"/>
  <c r="AX53" i="8"/>
  <c r="AX57" i="8"/>
  <c r="AX61" i="8"/>
  <c r="AX65" i="8"/>
  <c r="AX69" i="8"/>
  <c r="AX73" i="8"/>
  <c r="AX77" i="8"/>
  <c r="AX81" i="8"/>
  <c r="AX85" i="8"/>
  <c r="AX89" i="8"/>
  <c r="AX93" i="8"/>
  <c r="AX97" i="8"/>
  <c r="AX101" i="8"/>
  <c r="AX105" i="8"/>
  <c r="AX109" i="8"/>
  <c r="AX113" i="8"/>
  <c r="AX117" i="8"/>
  <c r="AX121" i="8"/>
  <c r="AX125" i="8"/>
  <c r="AX129" i="8"/>
  <c r="AX133" i="8"/>
  <c r="AX137" i="8"/>
  <c r="AX141" i="8"/>
  <c r="AX145" i="8"/>
  <c r="AX149" i="8"/>
  <c r="BB65" i="8"/>
  <c r="AY61" i="8"/>
  <c r="AY141" i="8"/>
  <c r="AX6" i="8"/>
  <c r="AX18" i="8"/>
  <c r="AX30" i="8"/>
  <c r="AX46" i="8"/>
  <c r="AX58" i="8"/>
  <c r="AX70" i="8"/>
  <c r="AX78" i="8"/>
  <c r="AX90" i="8"/>
  <c r="AX102" i="8"/>
  <c r="AX114" i="8"/>
  <c r="AX126" i="8"/>
  <c r="AX138" i="8"/>
  <c r="AX150" i="8"/>
  <c r="B37" i="10"/>
  <c r="B33" i="10"/>
  <c r="B21" i="10"/>
  <c r="C60" i="10"/>
  <c r="C40" i="10"/>
  <c r="D159" i="10"/>
  <c r="D155" i="10"/>
  <c r="D151" i="10"/>
  <c r="D139" i="10"/>
  <c r="D35" i="10"/>
  <c r="D19" i="10"/>
  <c r="D7" i="10"/>
  <c r="E90" i="10"/>
  <c r="E86" i="10"/>
  <c r="E74" i="10"/>
  <c r="F49" i="10"/>
  <c r="AF191" i="8"/>
  <c r="B192" i="10"/>
  <c r="AF187" i="8"/>
  <c r="B188" i="10"/>
  <c r="AF183" i="8"/>
  <c r="B184" i="10"/>
  <c r="AF179" i="8"/>
  <c r="B180" i="10"/>
  <c r="AF175" i="8"/>
  <c r="B176" i="10"/>
  <c r="AG214" i="8"/>
  <c r="C191" i="10"/>
  <c r="AG190" i="8"/>
  <c r="AG186" i="8"/>
  <c r="C187" i="10"/>
  <c r="C183" i="10"/>
  <c r="AG182" i="8"/>
  <c r="C178" i="10"/>
  <c r="AG178" i="8"/>
  <c r="C179" i="10"/>
  <c r="C174" i="10"/>
  <c r="AG174" i="8"/>
  <c r="C175" i="10"/>
  <c r="C166" i="10"/>
  <c r="C167" i="10"/>
  <c r="C158" i="10"/>
  <c r="C159" i="10"/>
  <c r="C154" i="10"/>
  <c r="C155" i="10"/>
  <c r="AF214" i="8"/>
  <c r="AF190" i="8"/>
  <c r="B191" i="10"/>
  <c r="AF186" i="8"/>
  <c r="B187" i="10"/>
  <c r="AF182" i="8"/>
  <c r="B183" i="10"/>
  <c r="AF178" i="8"/>
  <c r="B179" i="10"/>
  <c r="AF174" i="8"/>
  <c r="B175" i="10"/>
  <c r="B171" i="10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03" i="10"/>
  <c r="B99" i="10"/>
  <c r="B95" i="10"/>
  <c r="B91" i="10"/>
  <c r="B87" i="10"/>
  <c r="B83" i="10"/>
  <c r="B79" i="10"/>
  <c r="B75" i="10"/>
  <c r="B71" i="10"/>
  <c r="B67" i="10"/>
  <c r="B63" i="10"/>
  <c r="B59" i="10"/>
  <c r="B55" i="10"/>
  <c r="B51" i="10"/>
  <c r="B47" i="10"/>
  <c r="B43" i="10"/>
  <c r="B39" i="10"/>
  <c r="B35" i="10"/>
  <c r="B31" i="10"/>
  <c r="B27" i="10"/>
  <c r="B23" i="10"/>
  <c r="B19" i="10"/>
  <c r="B15" i="10"/>
  <c r="B11" i="10"/>
  <c r="B7" i="10"/>
  <c r="B3" i="10"/>
  <c r="B2" i="10"/>
  <c r="AG189" i="8"/>
  <c r="C190" i="10"/>
  <c r="AG185" i="8"/>
  <c r="C186" i="10"/>
  <c r="AG181" i="8"/>
  <c r="C182" i="10"/>
  <c r="AF189" i="8"/>
  <c r="B190" i="10"/>
  <c r="AF185" i="8"/>
  <c r="B186" i="10"/>
  <c r="AF181" i="8"/>
  <c r="B182" i="10"/>
  <c r="AF177" i="8"/>
  <c r="B178" i="10"/>
  <c r="AF173" i="8"/>
  <c r="B174" i="10"/>
  <c r="B34" i="10"/>
  <c r="B30" i="10"/>
  <c r="B26" i="10"/>
  <c r="B22" i="10"/>
  <c r="B18" i="10"/>
  <c r="B14" i="10"/>
  <c r="B10" i="10"/>
  <c r="B6" i="10"/>
  <c r="C188" i="10"/>
  <c r="AG188" i="8"/>
  <c r="C189" i="10"/>
  <c r="C184" i="10"/>
  <c r="AG184" i="8"/>
  <c r="C185" i="10"/>
  <c r="AG180" i="8"/>
  <c r="C181" i="10"/>
  <c r="C176" i="10"/>
  <c r="AG176" i="8"/>
  <c r="C177" i="10"/>
  <c r="C172" i="10"/>
  <c r="R172" i="8"/>
  <c r="R171" i="8" s="1"/>
  <c r="R170" i="8" s="1"/>
  <c r="R169" i="8" s="1"/>
  <c r="R168" i="8" s="1"/>
  <c r="R167" i="8" s="1"/>
  <c r="R166" i="8" s="1"/>
  <c r="R165" i="8" s="1"/>
  <c r="R164" i="8" s="1"/>
  <c r="R163" i="8" s="1"/>
  <c r="R162" i="8" s="1"/>
  <c r="R161" i="8" s="1"/>
  <c r="R160" i="8" s="1"/>
  <c r="R159" i="8" s="1"/>
  <c r="R158" i="8" s="1"/>
  <c r="R157" i="8" s="1"/>
  <c r="R156" i="8" s="1"/>
  <c r="R155" i="8" s="1"/>
  <c r="R154" i="8" s="1"/>
  <c r="R153" i="8" s="1"/>
  <c r="R152" i="8" s="1"/>
  <c r="R151" i="8" s="1"/>
  <c r="R150" i="8" s="1"/>
  <c r="R149" i="8" s="1"/>
  <c r="R148" i="8" s="1"/>
  <c r="R147" i="8" s="1"/>
  <c r="R146" i="8" s="1"/>
  <c r="R145" i="8" s="1"/>
  <c r="R144" i="8" s="1"/>
  <c r="R143" i="8" s="1"/>
  <c r="R142" i="8" s="1"/>
  <c r="R141" i="8" s="1"/>
  <c r="R140" i="8" s="1"/>
  <c r="R139" i="8" s="1"/>
  <c r="R138" i="8" s="1"/>
  <c r="R137" i="8" s="1"/>
  <c r="R136" i="8" s="1"/>
  <c r="R135" i="8" s="1"/>
  <c r="R134" i="8" s="1"/>
  <c r="R133" i="8" s="1"/>
  <c r="R132" i="8" s="1"/>
  <c r="R131" i="8" s="1"/>
  <c r="R130" i="8" s="1"/>
  <c r="R129" i="8" s="1"/>
  <c r="R128" i="8" s="1"/>
  <c r="R127" i="8" s="1"/>
  <c r="R126" i="8" s="1"/>
  <c r="R125" i="8" s="1"/>
  <c r="R124" i="8" s="1"/>
  <c r="R123" i="8" s="1"/>
  <c r="R122" i="8" s="1"/>
  <c r="R121" i="8" s="1"/>
  <c r="R120" i="8" s="1"/>
  <c r="R119" i="8" s="1"/>
  <c r="R118" i="8" s="1"/>
  <c r="R117" i="8" s="1"/>
  <c r="R116" i="8" s="1"/>
  <c r="R115" i="8" s="1"/>
  <c r="R114" i="8" s="1"/>
  <c r="R113" i="8" s="1"/>
  <c r="R112" i="8" s="1"/>
  <c r="R111" i="8" s="1"/>
  <c r="R110" i="8" s="1"/>
  <c r="R109" i="8" s="1"/>
  <c r="R108" i="8" s="1"/>
  <c r="R107" i="8" s="1"/>
  <c r="R106" i="8" s="1"/>
  <c r="R105" i="8" s="1"/>
  <c r="R104" i="8" s="1"/>
  <c r="R103" i="8" s="1"/>
  <c r="R102" i="8" s="1"/>
  <c r="R101" i="8" s="1"/>
  <c r="R100" i="8" s="1"/>
  <c r="R99" i="8" s="1"/>
  <c r="R98" i="8" s="1"/>
  <c r="R97" i="8" s="1"/>
  <c r="R96" i="8" s="1"/>
  <c r="R95" i="8" s="1"/>
  <c r="R94" i="8" s="1"/>
  <c r="R93" i="8" s="1"/>
  <c r="R92" i="8" s="1"/>
  <c r="R91" i="8" s="1"/>
  <c r="R90" i="8" s="1"/>
  <c r="R89" i="8" s="1"/>
  <c r="R88" i="8" s="1"/>
  <c r="R87" i="8" s="1"/>
  <c r="R86" i="8" s="1"/>
  <c r="R85" i="8" s="1"/>
  <c r="R84" i="8" s="1"/>
  <c r="R83" i="8" s="1"/>
  <c r="R82" i="8" s="1"/>
  <c r="R81" i="8" s="1"/>
  <c r="R80" i="8" s="1"/>
  <c r="R79" i="8" s="1"/>
  <c r="R78" i="8" s="1"/>
  <c r="R77" i="8" s="1"/>
  <c r="R76" i="8" s="1"/>
  <c r="R75" i="8" s="1"/>
  <c r="R74" i="8" s="1"/>
  <c r="R73" i="8" s="1"/>
  <c r="R72" i="8" s="1"/>
  <c r="R71" i="8" s="1"/>
  <c r="R70" i="8" s="1"/>
  <c r="R69" i="8" s="1"/>
  <c r="R68" i="8" s="1"/>
  <c r="R67" i="8" s="1"/>
  <c r="R66" i="8" s="1"/>
  <c r="R65" i="8" s="1"/>
  <c r="R64" i="8" s="1"/>
  <c r="R63" i="8" s="1"/>
  <c r="R62" i="8" s="1"/>
  <c r="R61" i="8" s="1"/>
  <c r="R60" i="8" s="1"/>
  <c r="R59" i="8" s="1"/>
  <c r="R58" i="8" s="1"/>
  <c r="R57" i="8" s="1"/>
  <c r="R56" i="8" s="1"/>
  <c r="R55" i="8" s="1"/>
  <c r="R54" i="8" s="1"/>
  <c r="R53" i="8" s="1"/>
  <c r="C173" i="10"/>
  <c r="C168" i="10"/>
  <c r="C169" i="10"/>
  <c r="C164" i="10"/>
  <c r="C165" i="10"/>
  <c r="C161" i="10"/>
  <c r="C157" i="10"/>
  <c r="C152" i="10"/>
  <c r="C153" i="10"/>
  <c r="C149" i="10"/>
  <c r="C145" i="10"/>
  <c r="C141" i="10"/>
  <c r="C137" i="10"/>
  <c r="C133" i="10"/>
  <c r="C129" i="10"/>
  <c r="C125" i="10"/>
  <c r="C121" i="10"/>
  <c r="C117" i="10"/>
  <c r="C113" i="10"/>
  <c r="C109" i="10"/>
  <c r="AF188" i="8"/>
  <c r="B189" i="10"/>
  <c r="AF184" i="8"/>
  <c r="B185" i="10"/>
  <c r="AF180" i="8"/>
  <c r="B181" i="10"/>
  <c r="AF176" i="8"/>
  <c r="B177" i="10"/>
  <c r="Q172" i="8"/>
  <c r="Q171" i="8" s="1"/>
  <c r="Q170" i="8" s="1"/>
  <c r="Q169" i="8" s="1"/>
  <c r="Q168" i="8" s="1"/>
  <c r="Q167" i="8" s="1"/>
  <c r="Q166" i="8" s="1"/>
  <c r="Q165" i="8" s="1"/>
  <c r="Q164" i="8" s="1"/>
  <c r="Q163" i="8" s="1"/>
  <c r="Q162" i="8" s="1"/>
  <c r="Q161" i="8" s="1"/>
  <c r="Q160" i="8" s="1"/>
  <c r="Q159" i="8" s="1"/>
  <c r="Q158" i="8" s="1"/>
  <c r="Q157" i="8" s="1"/>
  <c r="Q156" i="8" s="1"/>
  <c r="Q155" i="8" s="1"/>
  <c r="Q154" i="8" s="1"/>
  <c r="Q153" i="8" s="1"/>
  <c r="Q152" i="8" s="1"/>
  <c r="Q151" i="8" s="1"/>
  <c r="Q150" i="8" s="1"/>
  <c r="Q149" i="8" s="1"/>
  <c r="Q148" i="8" s="1"/>
  <c r="Q147" i="8" s="1"/>
  <c r="Q146" i="8" s="1"/>
  <c r="Q145" i="8" s="1"/>
  <c r="Q144" i="8" s="1"/>
  <c r="Q143" i="8" s="1"/>
  <c r="Q142" i="8" s="1"/>
  <c r="Q141" i="8" s="1"/>
  <c r="Q140" i="8" s="1"/>
  <c r="Q139" i="8" s="1"/>
  <c r="Q138" i="8" s="1"/>
  <c r="Q137" i="8" s="1"/>
  <c r="Q136" i="8" s="1"/>
  <c r="Q135" i="8" s="1"/>
  <c r="Q134" i="8" s="1"/>
  <c r="Q133" i="8" s="1"/>
  <c r="Q132" i="8" s="1"/>
  <c r="Q131" i="8" s="1"/>
  <c r="Q130" i="8" s="1"/>
  <c r="Q129" i="8" s="1"/>
  <c r="Q128" i="8" s="1"/>
  <c r="Q127" i="8" s="1"/>
  <c r="Q126" i="8" s="1"/>
  <c r="Q125" i="8" s="1"/>
  <c r="Q124" i="8" s="1"/>
  <c r="Q123" i="8" s="1"/>
  <c r="Q122" i="8" s="1"/>
  <c r="Q121" i="8" s="1"/>
  <c r="Q120" i="8" s="1"/>
  <c r="Q119" i="8" s="1"/>
  <c r="Q118" i="8" s="1"/>
  <c r="Q117" i="8" s="1"/>
  <c r="Q116" i="8" s="1"/>
  <c r="Q115" i="8" s="1"/>
  <c r="Q114" i="8" s="1"/>
  <c r="Q113" i="8" s="1"/>
  <c r="Q112" i="8" s="1"/>
  <c r="Q111" i="8" s="1"/>
  <c r="Q110" i="8" s="1"/>
  <c r="Q109" i="8" s="1"/>
  <c r="Q108" i="8" s="1"/>
  <c r="Q107" i="8" s="1"/>
  <c r="Q106" i="8" s="1"/>
  <c r="Q105" i="8" s="1"/>
  <c r="Q104" i="8" s="1"/>
  <c r="Q103" i="8" s="1"/>
  <c r="Q102" i="8" s="1"/>
  <c r="Q101" i="8" s="1"/>
  <c r="Q100" i="8" s="1"/>
  <c r="Q99" i="8" s="1"/>
  <c r="Q98" i="8" s="1"/>
  <c r="Q97" i="8" s="1"/>
  <c r="Q96" i="8" s="1"/>
  <c r="Q95" i="8" s="1"/>
  <c r="Q94" i="8" s="1"/>
  <c r="Q93" i="8" s="1"/>
  <c r="Q92" i="8" s="1"/>
  <c r="Q91" i="8" s="1"/>
  <c r="Q90" i="8" s="1"/>
  <c r="Q89" i="8" s="1"/>
  <c r="Q88" i="8" s="1"/>
  <c r="Q87" i="8" s="1"/>
  <c r="Q86" i="8" s="1"/>
  <c r="Q85" i="8" s="1"/>
  <c r="Q84" i="8" s="1"/>
  <c r="Q83" i="8" s="1"/>
  <c r="Q82" i="8" s="1"/>
  <c r="Q81" i="8" s="1"/>
  <c r="Q80" i="8" s="1"/>
  <c r="Q79" i="8" s="1"/>
  <c r="Q78" i="8" s="1"/>
  <c r="Q77" i="8" s="1"/>
  <c r="Q76" i="8" s="1"/>
  <c r="Q75" i="8" s="1"/>
  <c r="Q74" i="8" s="1"/>
  <c r="Q73" i="8" s="1"/>
  <c r="Q72" i="8" s="1"/>
  <c r="Q71" i="8" s="1"/>
  <c r="Q70" i="8" s="1"/>
  <c r="Q69" i="8" s="1"/>
  <c r="Q68" i="8" s="1"/>
  <c r="Q67" i="8" s="1"/>
  <c r="Q66" i="8" s="1"/>
  <c r="Q65" i="8" s="1"/>
  <c r="Q64" i="8" s="1"/>
  <c r="Q63" i="8" s="1"/>
  <c r="Q62" i="8" s="1"/>
  <c r="Q61" i="8" s="1"/>
  <c r="Q60" i="8" s="1"/>
  <c r="Q59" i="8" s="1"/>
  <c r="Q58" i="8" s="1"/>
  <c r="Q57" i="8" s="1"/>
  <c r="Q56" i="8" s="1"/>
  <c r="Q55" i="8" s="1"/>
  <c r="Q54" i="8" s="1"/>
  <c r="Q53" i="8" s="1"/>
  <c r="B173" i="10"/>
  <c r="B169" i="10"/>
  <c r="B165" i="10"/>
  <c r="B161" i="10"/>
  <c r="B157" i="10"/>
  <c r="B153" i="10"/>
  <c r="B149" i="10"/>
  <c r="B145" i="10"/>
  <c r="B141" i="10"/>
  <c r="B137" i="10"/>
  <c r="B133" i="10"/>
  <c r="B129" i="10"/>
  <c r="B125" i="10"/>
  <c r="B121" i="10"/>
  <c r="B117" i="10"/>
  <c r="B113" i="10"/>
  <c r="B109" i="10"/>
  <c r="B105" i="10"/>
  <c r="B101" i="10"/>
  <c r="B97" i="10"/>
  <c r="B93" i="10"/>
  <c r="B89" i="10"/>
  <c r="B85" i="10"/>
  <c r="B81" i="10"/>
  <c r="B77" i="10"/>
  <c r="B73" i="10"/>
  <c r="B69" i="10"/>
  <c r="B65" i="10"/>
  <c r="B61" i="10"/>
  <c r="B57" i="10"/>
  <c r="B53" i="10"/>
  <c r="B49" i="10"/>
  <c r="B45" i="10"/>
  <c r="B41" i="10"/>
  <c r="AG191" i="8"/>
  <c r="C192" i="10"/>
  <c r="AG179" i="8"/>
  <c r="C180" i="10"/>
  <c r="C108" i="10"/>
  <c r="C3" i="10"/>
  <c r="C2" i="10"/>
  <c r="AH189" i="8"/>
  <c r="D190" i="10"/>
  <c r="AH185" i="8"/>
  <c r="D186" i="10"/>
  <c r="AH181" i="8"/>
  <c r="D182" i="10"/>
  <c r="AH177" i="8"/>
  <c r="D178" i="10"/>
  <c r="AH173" i="8"/>
  <c r="D174" i="10"/>
  <c r="AI188" i="8"/>
  <c r="E189" i="10"/>
  <c r="AI184" i="8"/>
  <c r="E185" i="10"/>
  <c r="AI180" i="8"/>
  <c r="E181" i="10"/>
  <c r="T171" i="8"/>
  <c r="T170" i="8" s="1"/>
  <c r="T169" i="8" s="1"/>
  <c r="T168" i="8" s="1"/>
  <c r="T167" i="8" s="1"/>
  <c r="T166" i="8" s="1"/>
  <c r="T165" i="8" s="1"/>
  <c r="T164" i="8" s="1"/>
  <c r="T163" i="8" s="1"/>
  <c r="T162" i="8" s="1"/>
  <c r="T161" i="8" s="1"/>
  <c r="T160" i="8" s="1"/>
  <c r="T159" i="8" s="1"/>
  <c r="T158" i="8" s="1"/>
  <c r="T157" i="8" s="1"/>
  <c r="T156" i="8" s="1"/>
  <c r="T155" i="8" s="1"/>
  <c r="T154" i="8" s="1"/>
  <c r="T153" i="8" s="1"/>
  <c r="T152" i="8" s="1"/>
  <c r="T151" i="8" s="1"/>
  <c r="T150" i="8" s="1"/>
  <c r="T149" i="8" s="1"/>
  <c r="T148" i="8" s="1"/>
  <c r="T147" i="8" s="1"/>
  <c r="T146" i="8" s="1"/>
  <c r="T145" i="8" s="1"/>
  <c r="T144" i="8" s="1"/>
  <c r="T143" i="8" s="1"/>
  <c r="T142" i="8" s="1"/>
  <c r="T141" i="8" s="1"/>
  <c r="T140" i="8" s="1"/>
  <c r="T139" i="8" s="1"/>
  <c r="T138" i="8" s="1"/>
  <c r="T137" i="8" s="1"/>
  <c r="T136" i="8" s="1"/>
  <c r="T135" i="8" s="1"/>
  <c r="T134" i="8" s="1"/>
  <c r="T133" i="8" s="1"/>
  <c r="T132" i="8" s="1"/>
  <c r="T131" i="8" s="1"/>
  <c r="T130" i="8" s="1"/>
  <c r="T129" i="8" s="1"/>
  <c r="T128" i="8" s="1"/>
  <c r="T127" i="8" s="1"/>
  <c r="T126" i="8" s="1"/>
  <c r="T125" i="8" s="1"/>
  <c r="T124" i="8" s="1"/>
  <c r="T123" i="8" s="1"/>
  <c r="T122" i="8" s="1"/>
  <c r="T121" i="8" s="1"/>
  <c r="T120" i="8" s="1"/>
  <c r="T119" i="8" s="1"/>
  <c r="T118" i="8" s="1"/>
  <c r="T117" i="8" s="1"/>
  <c r="T116" i="8" s="1"/>
  <c r="T115" i="8" s="1"/>
  <c r="T114" i="8" s="1"/>
  <c r="T113" i="8" s="1"/>
  <c r="T112" i="8" s="1"/>
  <c r="T111" i="8" s="1"/>
  <c r="T110" i="8" s="1"/>
  <c r="T109" i="8" s="1"/>
  <c r="T108" i="8" s="1"/>
  <c r="T107" i="8" s="1"/>
  <c r="T106" i="8" s="1"/>
  <c r="T105" i="8" s="1"/>
  <c r="T104" i="8" s="1"/>
  <c r="T103" i="8" s="1"/>
  <c r="T102" i="8" s="1"/>
  <c r="T101" i="8" s="1"/>
  <c r="T100" i="8" s="1"/>
  <c r="T99" i="8" s="1"/>
  <c r="T98" i="8" s="1"/>
  <c r="T97" i="8" s="1"/>
  <c r="T96" i="8" s="1"/>
  <c r="T95" i="8" s="1"/>
  <c r="T94" i="8" s="1"/>
  <c r="T93" i="8" s="1"/>
  <c r="T92" i="8" s="1"/>
  <c r="T91" i="8" s="1"/>
  <c r="T90" i="8" s="1"/>
  <c r="T89" i="8" s="1"/>
  <c r="T88" i="8" s="1"/>
  <c r="T87" i="8" s="1"/>
  <c r="T86" i="8" s="1"/>
  <c r="T85" i="8" s="1"/>
  <c r="T84" i="8" s="1"/>
  <c r="T83" i="8" s="1"/>
  <c r="T82" i="8" s="1"/>
  <c r="T81" i="8" s="1"/>
  <c r="T80" i="8" s="1"/>
  <c r="T79" i="8" s="1"/>
  <c r="T78" i="8" s="1"/>
  <c r="T77" i="8" s="1"/>
  <c r="T76" i="8" s="1"/>
  <c r="T75" i="8" s="1"/>
  <c r="T74" i="8" s="1"/>
  <c r="T73" i="8" s="1"/>
  <c r="T72" i="8" s="1"/>
  <c r="T71" i="8" s="1"/>
  <c r="T70" i="8" s="1"/>
  <c r="T69" i="8" s="1"/>
  <c r="T68" i="8" s="1"/>
  <c r="T67" i="8" s="1"/>
  <c r="T66" i="8" s="1"/>
  <c r="T65" i="8" s="1"/>
  <c r="T64" i="8" s="1"/>
  <c r="T63" i="8" s="1"/>
  <c r="T62" i="8" s="1"/>
  <c r="T61" i="8" s="1"/>
  <c r="T60" i="8" s="1"/>
  <c r="T59" i="8" s="1"/>
  <c r="T58" i="8" s="1"/>
  <c r="T57" i="8" s="1"/>
  <c r="T56" i="8" s="1"/>
  <c r="T55" i="8" s="1"/>
  <c r="T54" i="8" s="1"/>
  <c r="T53" i="8" s="1"/>
  <c r="AJ191" i="8"/>
  <c r="F192" i="10"/>
  <c r="AJ187" i="8"/>
  <c r="F188" i="10"/>
  <c r="AJ183" i="8"/>
  <c r="F184" i="10"/>
  <c r="AJ179" i="8"/>
  <c r="F180" i="10"/>
  <c r="AJ175" i="8"/>
  <c r="F176" i="10"/>
  <c r="AK214" i="8"/>
  <c r="G191" i="10"/>
  <c r="AK190" i="8"/>
  <c r="G187" i="10"/>
  <c r="AK186" i="8"/>
  <c r="AK182" i="8"/>
  <c r="G183" i="10"/>
  <c r="AK178" i="8"/>
  <c r="G179" i="10"/>
  <c r="G174" i="10"/>
  <c r="AK174" i="8"/>
  <c r="G175" i="10"/>
  <c r="G170" i="10"/>
  <c r="G171" i="10"/>
  <c r="G166" i="10"/>
  <c r="G167" i="10"/>
  <c r="G162" i="10"/>
  <c r="G163" i="10"/>
  <c r="G158" i="10"/>
  <c r="G159" i="10"/>
  <c r="G154" i="10"/>
  <c r="G155" i="10"/>
  <c r="G2" i="10"/>
  <c r="L3" i="9"/>
  <c r="M3" i="9"/>
  <c r="K3" i="9"/>
  <c r="C62" i="10"/>
  <c r="C58" i="10"/>
  <c r="C54" i="10"/>
  <c r="C50" i="10"/>
  <c r="C46" i="10"/>
  <c r="C42" i="10"/>
  <c r="C38" i="10"/>
  <c r="C34" i="10"/>
  <c r="C30" i="10"/>
  <c r="C26" i="10"/>
  <c r="C22" i="10"/>
  <c r="C18" i="10"/>
  <c r="C14" i="10"/>
  <c r="C10" i="10"/>
  <c r="C6" i="10"/>
  <c r="AH188" i="8"/>
  <c r="D189" i="10"/>
  <c r="AH184" i="8"/>
  <c r="D185" i="10"/>
  <c r="AH180" i="8"/>
  <c r="D181" i="10"/>
  <c r="AH176" i="8"/>
  <c r="D177" i="10"/>
  <c r="S172" i="8"/>
  <c r="S171" i="8" s="1"/>
  <c r="S170" i="8" s="1"/>
  <c r="S169" i="8" s="1"/>
  <c r="S168" i="8" s="1"/>
  <c r="S167" i="8" s="1"/>
  <c r="S166" i="8" s="1"/>
  <c r="S165" i="8" s="1"/>
  <c r="S164" i="8" s="1"/>
  <c r="S163" i="8" s="1"/>
  <c r="S162" i="8" s="1"/>
  <c r="S161" i="8" s="1"/>
  <c r="S160" i="8" s="1"/>
  <c r="S159" i="8" s="1"/>
  <c r="S158" i="8" s="1"/>
  <c r="S157" i="8" s="1"/>
  <c r="S156" i="8" s="1"/>
  <c r="S155" i="8" s="1"/>
  <c r="S154" i="8" s="1"/>
  <c r="S153" i="8" s="1"/>
  <c r="S152" i="8" s="1"/>
  <c r="S151" i="8" s="1"/>
  <c r="S150" i="8" s="1"/>
  <c r="S149" i="8" s="1"/>
  <c r="S148" i="8" s="1"/>
  <c r="S147" i="8" s="1"/>
  <c r="S146" i="8" s="1"/>
  <c r="S145" i="8" s="1"/>
  <c r="S144" i="8" s="1"/>
  <c r="S143" i="8" s="1"/>
  <c r="S142" i="8" s="1"/>
  <c r="S141" i="8" s="1"/>
  <c r="S140" i="8" s="1"/>
  <c r="S139" i="8" s="1"/>
  <c r="S138" i="8" s="1"/>
  <c r="S137" i="8" s="1"/>
  <c r="S136" i="8" s="1"/>
  <c r="S135" i="8" s="1"/>
  <c r="S134" i="8" s="1"/>
  <c r="S133" i="8" s="1"/>
  <c r="S132" i="8" s="1"/>
  <c r="S131" i="8" s="1"/>
  <c r="S130" i="8" s="1"/>
  <c r="S129" i="8" s="1"/>
  <c r="S128" i="8" s="1"/>
  <c r="S127" i="8" s="1"/>
  <c r="S126" i="8" s="1"/>
  <c r="S125" i="8" s="1"/>
  <c r="S124" i="8" s="1"/>
  <c r="S123" i="8" s="1"/>
  <c r="S122" i="8" s="1"/>
  <c r="S121" i="8" s="1"/>
  <c r="S120" i="8" s="1"/>
  <c r="S119" i="8" s="1"/>
  <c r="S118" i="8" s="1"/>
  <c r="S117" i="8" s="1"/>
  <c r="S116" i="8" s="1"/>
  <c r="S115" i="8" s="1"/>
  <c r="S114" i="8" s="1"/>
  <c r="S113" i="8" s="1"/>
  <c r="S112" i="8" s="1"/>
  <c r="S111" i="8" s="1"/>
  <c r="S110" i="8" s="1"/>
  <c r="S109" i="8" s="1"/>
  <c r="S108" i="8" s="1"/>
  <c r="S107" i="8" s="1"/>
  <c r="S106" i="8" s="1"/>
  <c r="S105" i="8" s="1"/>
  <c r="S104" i="8" s="1"/>
  <c r="S103" i="8" s="1"/>
  <c r="S102" i="8" s="1"/>
  <c r="S101" i="8" s="1"/>
  <c r="S100" i="8" s="1"/>
  <c r="S99" i="8" s="1"/>
  <c r="S98" i="8" s="1"/>
  <c r="S97" i="8" s="1"/>
  <c r="S96" i="8" s="1"/>
  <c r="S95" i="8" s="1"/>
  <c r="S94" i="8" s="1"/>
  <c r="S93" i="8" s="1"/>
  <c r="S92" i="8" s="1"/>
  <c r="S91" i="8" s="1"/>
  <c r="S90" i="8" s="1"/>
  <c r="S89" i="8" s="1"/>
  <c r="S88" i="8" s="1"/>
  <c r="S87" i="8" s="1"/>
  <c r="S86" i="8" s="1"/>
  <c r="S85" i="8" s="1"/>
  <c r="S84" i="8" s="1"/>
  <c r="S83" i="8" s="1"/>
  <c r="S82" i="8" s="1"/>
  <c r="S81" i="8" s="1"/>
  <c r="S80" i="8" s="1"/>
  <c r="S79" i="8" s="1"/>
  <c r="S78" i="8" s="1"/>
  <c r="S77" i="8" s="1"/>
  <c r="S76" i="8" s="1"/>
  <c r="S75" i="8" s="1"/>
  <c r="S74" i="8" s="1"/>
  <c r="S73" i="8" s="1"/>
  <c r="S72" i="8" s="1"/>
  <c r="S71" i="8" s="1"/>
  <c r="S70" i="8" s="1"/>
  <c r="S69" i="8" s="1"/>
  <c r="S68" i="8" s="1"/>
  <c r="S67" i="8" s="1"/>
  <c r="S66" i="8" s="1"/>
  <c r="S65" i="8" s="1"/>
  <c r="S64" i="8" s="1"/>
  <c r="S63" i="8" s="1"/>
  <c r="S62" i="8" s="1"/>
  <c r="S61" i="8" s="1"/>
  <c r="S60" i="8" s="1"/>
  <c r="S59" i="8" s="1"/>
  <c r="S58" i="8" s="1"/>
  <c r="S57" i="8" s="1"/>
  <c r="S56" i="8" s="1"/>
  <c r="S55" i="8" s="1"/>
  <c r="S54" i="8" s="1"/>
  <c r="S53" i="8" s="1"/>
  <c r="D173" i="10"/>
  <c r="D13" i="10"/>
  <c r="E192" i="10"/>
  <c r="AI191" i="8"/>
  <c r="E187" i="10"/>
  <c r="AI187" i="8"/>
  <c r="E188" i="10"/>
  <c r="E184" i="10"/>
  <c r="AI183" i="8"/>
  <c r="E179" i="10"/>
  <c r="AI179" i="8"/>
  <c r="E180" i="10"/>
  <c r="E175" i="10"/>
  <c r="AI175" i="8"/>
  <c r="E176" i="10"/>
  <c r="E167" i="10"/>
  <c r="E168" i="10"/>
  <c r="E163" i="10"/>
  <c r="E164" i="10"/>
  <c r="E159" i="10"/>
  <c r="E160" i="10"/>
  <c r="E155" i="10"/>
  <c r="E156" i="10"/>
  <c r="E151" i="10"/>
  <c r="E152" i="10"/>
  <c r="AJ214" i="8"/>
  <c r="AJ190" i="8"/>
  <c r="F191" i="10"/>
  <c r="AJ186" i="8"/>
  <c r="F187" i="10"/>
  <c r="AJ182" i="8"/>
  <c r="F183" i="10"/>
  <c r="AJ178" i="8"/>
  <c r="F179" i="10"/>
  <c r="AJ174" i="8"/>
  <c r="F175" i="10"/>
  <c r="F2" i="10"/>
  <c r="F3" i="10"/>
  <c r="AK189" i="8"/>
  <c r="G190" i="10"/>
  <c r="AK185" i="8"/>
  <c r="G186" i="10"/>
  <c r="AK181" i="8"/>
  <c r="G182" i="10"/>
  <c r="AK177" i="8"/>
  <c r="G178" i="10"/>
  <c r="C105" i="10"/>
  <c r="C101" i="10"/>
  <c r="C97" i="10"/>
  <c r="C93" i="10"/>
  <c r="C89" i="10"/>
  <c r="C85" i="10"/>
  <c r="C81" i="10"/>
  <c r="C77" i="10"/>
  <c r="C73" i="10"/>
  <c r="C69" i="10"/>
  <c r="C65" i="10"/>
  <c r="C61" i="10"/>
  <c r="C57" i="10"/>
  <c r="C53" i="10"/>
  <c r="C49" i="10"/>
  <c r="C45" i="10"/>
  <c r="C41" i="10"/>
  <c r="C37" i="10"/>
  <c r="C33" i="10"/>
  <c r="C29" i="10"/>
  <c r="C25" i="10"/>
  <c r="C21" i="10"/>
  <c r="C17" i="10"/>
  <c r="C13" i="10"/>
  <c r="C9" i="10"/>
  <c r="C5" i="10"/>
  <c r="AH191" i="8"/>
  <c r="D192" i="10"/>
  <c r="AH187" i="8"/>
  <c r="D188" i="10"/>
  <c r="AH183" i="8"/>
  <c r="D184" i="10"/>
  <c r="AH179" i="8"/>
  <c r="D180" i="10"/>
  <c r="AH175" i="8"/>
  <c r="D176" i="10"/>
  <c r="D172" i="10"/>
  <c r="D168" i="10"/>
  <c r="D164" i="10"/>
  <c r="D160" i="10"/>
  <c r="D156" i="10"/>
  <c r="D152" i="10"/>
  <c r="D148" i="10"/>
  <c r="D144" i="10"/>
  <c r="D140" i="10"/>
  <c r="D136" i="10"/>
  <c r="D132" i="10"/>
  <c r="D128" i="10"/>
  <c r="D124" i="10"/>
  <c r="D120" i="10"/>
  <c r="D116" i="10"/>
  <c r="D112" i="10"/>
  <c r="D108" i="10"/>
  <c r="D104" i="10"/>
  <c r="D100" i="10"/>
  <c r="D96" i="10"/>
  <c r="D92" i="10"/>
  <c r="D88" i="10"/>
  <c r="D84" i="10"/>
  <c r="D80" i="10"/>
  <c r="D76" i="10"/>
  <c r="D72" i="10"/>
  <c r="D68" i="10"/>
  <c r="D64" i="10"/>
  <c r="D60" i="10"/>
  <c r="D56" i="10"/>
  <c r="D52" i="10"/>
  <c r="D48" i="10"/>
  <c r="D44" i="10"/>
  <c r="D40" i="10"/>
  <c r="D36" i="10"/>
  <c r="D32" i="10"/>
  <c r="D28" i="10"/>
  <c r="D24" i="10"/>
  <c r="D20" i="10"/>
  <c r="D16" i="10"/>
  <c r="D12" i="10"/>
  <c r="D8" i="10"/>
  <c r="D4" i="10"/>
  <c r="AI214" i="8"/>
  <c r="AI190" i="8"/>
  <c r="E191" i="10"/>
  <c r="AI182" i="8"/>
  <c r="E183" i="10"/>
  <c r="E171" i="10"/>
  <c r="E147" i="10"/>
  <c r="E143" i="10"/>
  <c r="E139" i="10"/>
  <c r="E135" i="10"/>
  <c r="E131" i="10"/>
  <c r="E127" i="10"/>
  <c r="E123" i="10"/>
  <c r="E119" i="10"/>
  <c r="E115" i="10"/>
  <c r="E111" i="10"/>
  <c r="E107" i="10"/>
  <c r="E103" i="10"/>
  <c r="E99" i="10"/>
  <c r="E95" i="10"/>
  <c r="E91" i="10"/>
  <c r="E87" i="10"/>
  <c r="E83" i="10"/>
  <c r="E79" i="10"/>
  <c r="E75" i="10"/>
  <c r="E71" i="10"/>
  <c r="E67" i="10"/>
  <c r="E63" i="10"/>
  <c r="E59" i="10"/>
  <c r="E55" i="10"/>
  <c r="E51" i="10"/>
  <c r="E47" i="10"/>
  <c r="E43" i="10"/>
  <c r="E39" i="10"/>
  <c r="E35" i="10"/>
  <c r="E31" i="10"/>
  <c r="E27" i="10"/>
  <c r="E23" i="10"/>
  <c r="E19" i="10"/>
  <c r="E15" i="10"/>
  <c r="E11" i="10"/>
  <c r="E7" i="10"/>
  <c r="E2" i="10"/>
  <c r="E3" i="10"/>
  <c r="AJ189" i="8"/>
  <c r="F190" i="10"/>
  <c r="AJ185" i="8"/>
  <c r="F186" i="10"/>
  <c r="AJ181" i="8"/>
  <c r="F182" i="10"/>
  <c r="AJ177" i="8"/>
  <c r="F178" i="10"/>
  <c r="AJ173" i="8"/>
  <c r="F174" i="10"/>
  <c r="F170" i="10"/>
  <c r="F166" i="10"/>
  <c r="F162" i="10"/>
  <c r="F158" i="10"/>
  <c r="F154" i="10"/>
  <c r="F150" i="10"/>
  <c r="F146" i="10"/>
  <c r="F142" i="10"/>
  <c r="F138" i="10"/>
  <c r="F134" i="10"/>
  <c r="F130" i="10"/>
  <c r="F126" i="10"/>
  <c r="F122" i="10"/>
  <c r="F118" i="10"/>
  <c r="F114" i="10"/>
  <c r="F110" i="10"/>
  <c r="F106" i="10"/>
  <c r="F102" i="10"/>
  <c r="F98" i="10"/>
  <c r="F94" i="10"/>
  <c r="F90" i="10"/>
  <c r="F86" i="10"/>
  <c r="F82" i="10"/>
  <c r="F78" i="10"/>
  <c r="F74" i="10"/>
  <c r="F70" i="10"/>
  <c r="F66" i="10"/>
  <c r="F62" i="10"/>
  <c r="F58" i="10"/>
  <c r="F54" i="10"/>
  <c r="F50" i="10"/>
  <c r="F46" i="10"/>
  <c r="F42" i="10"/>
  <c r="F38" i="10"/>
  <c r="F34" i="10"/>
  <c r="F30" i="10"/>
  <c r="F26" i="10"/>
  <c r="F22" i="10"/>
  <c r="F18" i="10"/>
  <c r="F14" i="10"/>
  <c r="F10" i="10"/>
  <c r="F6" i="10"/>
  <c r="G192" i="10"/>
  <c r="AK192" i="8"/>
  <c r="G188" i="10"/>
  <c r="AK188" i="8"/>
  <c r="G189" i="10"/>
  <c r="AK184" i="8"/>
  <c r="G185" i="10"/>
  <c r="G180" i="10"/>
  <c r="AK180" i="8"/>
  <c r="G181" i="10"/>
  <c r="G176" i="10"/>
  <c r="AK176" i="8"/>
  <c r="G177" i="10"/>
  <c r="V172" i="8"/>
  <c r="V171" i="8" s="1"/>
  <c r="V170" i="8" s="1"/>
  <c r="V169" i="8" s="1"/>
  <c r="V168" i="8" s="1"/>
  <c r="V167" i="8" s="1"/>
  <c r="V166" i="8" s="1"/>
  <c r="V165" i="8" s="1"/>
  <c r="V164" i="8" s="1"/>
  <c r="V163" i="8" s="1"/>
  <c r="V162" i="8" s="1"/>
  <c r="V161" i="8" s="1"/>
  <c r="V160" i="8" s="1"/>
  <c r="V159" i="8" s="1"/>
  <c r="V158" i="8" s="1"/>
  <c r="V157" i="8" s="1"/>
  <c r="V156" i="8" s="1"/>
  <c r="V155" i="8" s="1"/>
  <c r="V154" i="8" s="1"/>
  <c r="V153" i="8" s="1"/>
  <c r="V152" i="8" s="1"/>
  <c r="V151" i="8" s="1"/>
  <c r="V150" i="8" s="1"/>
  <c r="V149" i="8" s="1"/>
  <c r="G173" i="10"/>
  <c r="G169" i="10"/>
  <c r="G165" i="10"/>
  <c r="G161" i="10"/>
  <c r="G156" i="10"/>
  <c r="G157" i="10"/>
  <c r="G152" i="10"/>
  <c r="G153" i="10"/>
  <c r="N148" i="8"/>
  <c r="G148" i="8"/>
  <c r="G149" i="10" s="1"/>
  <c r="N144" i="8"/>
  <c r="G144" i="8"/>
  <c r="G145" i="10" s="1"/>
  <c r="N140" i="8"/>
  <c r="G140" i="8"/>
  <c r="G141" i="10" s="1"/>
  <c r="N136" i="8"/>
  <c r="G136" i="8"/>
  <c r="G137" i="10" s="1"/>
  <c r="N132" i="8"/>
  <c r="G132" i="8"/>
  <c r="G133" i="10" s="1"/>
  <c r="N128" i="8"/>
  <c r="G128" i="8"/>
  <c r="G129" i="10" s="1"/>
  <c r="N124" i="8"/>
  <c r="G124" i="8"/>
  <c r="G125" i="10" s="1"/>
  <c r="N120" i="8"/>
  <c r="G120" i="8"/>
  <c r="G121" i="10" s="1"/>
  <c r="N116" i="8"/>
  <c r="G116" i="8"/>
  <c r="G117" i="10" s="1"/>
  <c r="N112" i="8"/>
  <c r="G112" i="8"/>
  <c r="G113" i="10" s="1"/>
  <c r="N108" i="8"/>
  <c r="G108" i="8"/>
  <c r="G109" i="10" s="1"/>
  <c r="N104" i="8"/>
  <c r="G104" i="8"/>
  <c r="G105" i="10" s="1"/>
  <c r="N100" i="8"/>
  <c r="G100" i="8"/>
  <c r="G101" i="10" s="1"/>
  <c r="N96" i="8"/>
  <c r="G96" i="8"/>
  <c r="G97" i="10" s="1"/>
  <c r="N92" i="8"/>
  <c r="G92" i="8"/>
  <c r="G93" i="10" s="1"/>
  <c r="N88" i="8"/>
  <c r="G88" i="8"/>
  <c r="G89" i="10" s="1"/>
  <c r="N84" i="8"/>
  <c r="G84" i="8"/>
  <c r="G85" i="10" s="1"/>
  <c r="N80" i="8"/>
  <c r="G80" i="8"/>
  <c r="G81" i="10" s="1"/>
  <c r="N76" i="8"/>
  <c r="G76" i="8"/>
  <c r="G77" i="10" s="1"/>
  <c r="N72" i="8"/>
  <c r="G72" i="8"/>
  <c r="G73" i="10" s="1"/>
  <c r="N68" i="8"/>
  <c r="G68" i="8"/>
  <c r="G69" i="10" s="1"/>
  <c r="N64" i="8"/>
  <c r="G64" i="8"/>
  <c r="G65" i="10" s="1"/>
  <c r="N60" i="8"/>
  <c r="G60" i="8"/>
  <c r="G61" i="10" s="1"/>
  <c r="N56" i="8"/>
  <c r="G56" i="8"/>
  <c r="G57" i="10" s="1"/>
  <c r="N52" i="8"/>
  <c r="G52" i="8"/>
  <c r="G53" i="10" s="1"/>
  <c r="N48" i="8"/>
  <c r="G48" i="8"/>
  <c r="G49" i="10" s="1"/>
  <c r="N44" i="8"/>
  <c r="G44" i="8"/>
  <c r="G45" i="10" s="1"/>
  <c r="N40" i="8"/>
  <c r="G40" i="8"/>
  <c r="G41" i="10" s="1"/>
  <c r="N36" i="8"/>
  <c r="G36" i="8"/>
  <c r="G37" i="10" s="1"/>
  <c r="N32" i="8"/>
  <c r="G32" i="8"/>
  <c r="G33" i="10" s="1"/>
  <c r="N28" i="8"/>
  <c r="G28" i="8"/>
  <c r="G29" i="10" s="1"/>
  <c r="N24" i="8"/>
  <c r="G24" i="8"/>
  <c r="G25" i="10" s="1"/>
  <c r="N20" i="8"/>
  <c r="G20" i="8"/>
  <c r="G21" i="10" s="1"/>
  <c r="N16" i="8"/>
  <c r="G16" i="8"/>
  <c r="G17" i="10" s="1"/>
  <c r="N12" i="8"/>
  <c r="G12" i="8"/>
  <c r="G13" i="10" s="1"/>
  <c r="N8" i="8"/>
  <c r="G8" i="8"/>
  <c r="G9" i="10" s="1"/>
  <c r="N4" i="8"/>
  <c r="G4" i="8"/>
  <c r="G5" i="10" s="1"/>
  <c r="AH214" i="8"/>
  <c r="AH190" i="8"/>
  <c r="D191" i="10"/>
  <c r="AH186" i="8"/>
  <c r="D187" i="10"/>
  <c r="AH182" i="8"/>
  <c r="D183" i="10"/>
  <c r="AH178" i="8"/>
  <c r="D179" i="10"/>
  <c r="AH174" i="8"/>
  <c r="D175" i="10"/>
  <c r="D2" i="10"/>
  <c r="D3" i="10"/>
  <c r="E190" i="10"/>
  <c r="AI189" i="8"/>
  <c r="E186" i="10"/>
  <c r="AI185" i="8"/>
  <c r="AI181" i="8"/>
  <c r="E182" i="10"/>
  <c r="E177" i="10"/>
  <c r="AI177" i="8"/>
  <c r="E178" i="10"/>
  <c r="E173" i="10"/>
  <c r="AI173" i="8"/>
  <c r="E174" i="10"/>
  <c r="E169" i="10"/>
  <c r="E170" i="10"/>
  <c r="E165" i="10"/>
  <c r="E166" i="10"/>
  <c r="E14" i="10"/>
  <c r="E10" i="10"/>
  <c r="E6" i="10"/>
  <c r="AJ188" i="8"/>
  <c r="F189" i="10"/>
  <c r="AJ184" i="8"/>
  <c r="F185" i="10"/>
  <c r="AJ180" i="8"/>
  <c r="F181" i="10"/>
  <c r="AJ176" i="8"/>
  <c r="F177" i="10"/>
  <c r="U172" i="8"/>
  <c r="U171" i="8" s="1"/>
  <c r="U170" i="8" s="1"/>
  <c r="U169" i="8" s="1"/>
  <c r="U168" i="8" s="1"/>
  <c r="U167" i="8" s="1"/>
  <c r="U166" i="8" s="1"/>
  <c r="U165" i="8" s="1"/>
  <c r="U164" i="8" s="1"/>
  <c r="U163" i="8" s="1"/>
  <c r="U162" i="8" s="1"/>
  <c r="U161" i="8" s="1"/>
  <c r="U160" i="8" s="1"/>
  <c r="U159" i="8" s="1"/>
  <c r="U158" i="8" s="1"/>
  <c r="U157" i="8" s="1"/>
  <c r="U156" i="8" s="1"/>
  <c r="U155" i="8" s="1"/>
  <c r="U154" i="8" s="1"/>
  <c r="U153" i="8" s="1"/>
  <c r="U152" i="8" s="1"/>
  <c r="U151" i="8" s="1"/>
  <c r="U150" i="8" s="1"/>
  <c r="U149" i="8" s="1"/>
  <c r="U148" i="8" s="1"/>
  <c r="U147" i="8" s="1"/>
  <c r="U146" i="8" s="1"/>
  <c r="U145" i="8" s="1"/>
  <c r="U144" i="8" s="1"/>
  <c r="U143" i="8" s="1"/>
  <c r="U142" i="8" s="1"/>
  <c r="U141" i="8" s="1"/>
  <c r="U140" i="8" s="1"/>
  <c r="U139" i="8" s="1"/>
  <c r="U138" i="8" s="1"/>
  <c r="U137" i="8" s="1"/>
  <c r="U136" i="8" s="1"/>
  <c r="U135" i="8" s="1"/>
  <c r="U134" i="8" s="1"/>
  <c r="U133" i="8" s="1"/>
  <c r="U132" i="8" s="1"/>
  <c r="U131" i="8" s="1"/>
  <c r="U130" i="8" s="1"/>
  <c r="U129" i="8" s="1"/>
  <c r="U128" i="8" s="1"/>
  <c r="U127" i="8" s="1"/>
  <c r="U126" i="8" s="1"/>
  <c r="U125" i="8" s="1"/>
  <c r="U124" i="8" s="1"/>
  <c r="U123" i="8" s="1"/>
  <c r="U122" i="8" s="1"/>
  <c r="U121" i="8" s="1"/>
  <c r="U120" i="8" s="1"/>
  <c r="U119" i="8" s="1"/>
  <c r="U118" i="8" s="1"/>
  <c r="U117" i="8" s="1"/>
  <c r="U116" i="8" s="1"/>
  <c r="U115" i="8" s="1"/>
  <c r="U114" i="8" s="1"/>
  <c r="U113" i="8" s="1"/>
  <c r="U112" i="8" s="1"/>
  <c r="U111" i="8" s="1"/>
  <c r="U110" i="8" s="1"/>
  <c r="U109" i="8" s="1"/>
  <c r="U108" i="8" s="1"/>
  <c r="U107" i="8" s="1"/>
  <c r="U106" i="8" s="1"/>
  <c r="U105" i="8" s="1"/>
  <c r="U104" i="8" s="1"/>
  <c r="U103" i="8" s="1"/>
  <c r="U102" i="8" s="1"/>
  <c r="U101" i="8" s="1"/>
  <c r="U100" i="8" s="1"/>
  <c r="U99" i="8" s="1"/>
  <c r="U98" i="8" s="1"/>
  <c r="U97" i="8" s="1"/>
  <c r="U96" i="8" s="1"/>
  <c r="U95" i="8" s="1"/>
  <c r="U94" i="8" s="1"/>
  <c r="U93" i="8" s="1"/>
  <c r="U92" i="8" s="1"/>
  <c r="U91" i="8" s="1"/>
  <c r="U90" i="8" s="1"/>
  <c r="U89" i="8" s="1"/>
  <c r="U88" i="8" s="1"/>
  <c r="U87" i="8" s="1"/>
  <c r="U86" i="8" s="1"/>
  <c r="U85" i="8" s="1"/>
  <c r="U84" i="8" s="1"/>
  <c r="U83" i="8" s="1"/>
  <c r="U82" i="8" s="1"/>
  <c r="U81" i="8" s="1"/>
  <c r="U80" i="8" s="1"/>
  <c r="U79" i="8" s="1"/>
  <c r="U78" i="8" s="1"/>
  <c r="U77" i="8" s="1"/>
  <c r="U76" i="8" s="1"/>
  <c r="U75" i="8" s="1"/>
  <c r="U74" i="8" s="1"/>
  <c r="U73" i="8" s="1"/>
  <c r="U72" i="8" s="1"/>
  <c r="U71" i="8" s="1"/>
  <c r="U70" i="8" s="1"/>
  <c r="U69" i="8" s="1"/>
  <c r="U68" i="8" s="1"/>
  <c r="U67" i="8" s="1"/>
  <c r="U66" i="8" s="1"/>
  <c r="U65" i="8" s="1"/>
  <c r="U64" i="8" s="1"/>
  <c r="U63" i="8" s="1"/>
  <c r="U62" i="8" s="1"/>
  <c r="U61" i="8" s="1"/>
  <c r="U60" i="8" s="1"/>
  <c r="U59" i="8" s="1"/>
  <c r="U58" i="8" s="1"/>
  <c r="U57" i="8" s="1"/>
  <c r="U56" i="8" s="1"/>
  <c r="U55" i="8" s="1"/>
  <c r="U54" i="8" s="1"/>
  <c r="U53" i="8" s="1"/>
  <c r="F173" i="10"/>
  <c r="AK183" i="8"/>
  <c r="G184" i="10"/>
  <c r="G168" i="10"/>
  <c r="G147" i="8"/>
  <c r="G148" i="10" s="1"/>
  <c r="G143" i="8"/>
  <c r="G144" i="10" s="1"/>
  <c r="G139" i="8"/>
  <c r="G140" i="10" s="1"/>
  <c r="G135" i="8"/>
  <c r="G136" i="10" s="1"/>
  <c r="G131" i="8"/>
  <c r="G132" i="10" s="1"/>
  <c r="G127" i="8"/>
  <c r="G128" i="10" s="1"/>
  <c r="G123" i="8"/>
  <c r="G124" i="10" s="1"/>
  <c r="G119" i="8"/>
  <c r="G120" i="10" s="1"/>
  <c r="G115" i="8"/>
  <c r="G116" i="10" s="1"/>
  <c r="G111" i="8"/>
  <c r="G112" i="10" s="1"/>
  <c r="G107" i="8"/>
  <c r="G108" i="10" s="1"/>
  <c r="G103" i="8"/>
  <c r="G104" i="10" s="1"/>
  <c r="G99" i="8"/>
  <c r="G100" i="10" s="1"/>
  <c r="G95" i="8"/>
  <c r="G96" i="10" s="1"/>
  <c r="G91" i="8"/>
  <c r="G92" i="10" s="1"/>
  <c r="G87" i="8"/>
  <c r="G88" i="10" s="1"/>
  <c r="G83" i="8"/>
  <c r="G84" i="10" s="1"/>
  <c r="G79" i="8"/>
  <c r="G80" i="10" s="1"/>
  <c r="G75" i="8"/>
  <c r="G76" i="10" s="1"/>
  <c r="G71" i="8"/>
  <c r="G72" i="10" s="1"/>
  <c r="G67" i="8"/>
  <c r="G68" i="10" s="1"/>
  <c r="N63" i="8"/>
  <c r="G63" i="8"/>
  <c r="G64" i="10" s="1"/>
  <c r="G59" i="8"/>
  <c r="G60" i="10" s="1"/>
  <c r="G55" i="8"/>
  <c r="G56" i="10" s="1"/>
  <c r="G51" i="8"/>
  <c r="G52" i="10" s="1"/>
  <c r="N47" i="8"/>
  <c r="G47" i="8"/>
  <c r="G48" i="10" s="1"/>
  <c r="G43" i="8"/>
  <c r="G44" i="10" s="1"/>
  <c r="G39" i="8"/>
  <c r="G40" i="10" s="1"/>
  <c r="G35" i="8"/>
  <c r="G36" i="10" s="1"/>
  <c r="N31" i="8"/>
  <c r="G31" i="8"/>
  <c r="G32" i="10" s="1"/>
  <c r="G27" i="8"/>
  <c r="G28" i="10" s="1"/>
  <c r="G23" i="8"/>
  <c r="G24" i="10" s="1"/>
  <c r="G19" i="8"/>
  <c r="G20" i="10" s="1"/>
  <c r="N15" i="8"/>
  <c r="G15" i="8"/>
  <c r="G16" i="10" s="1"/>
  <c r="G11" i="8"/>
  <c r="G12" i="10" s="1"/>
  <c r="G7" i="8"/>
  <c r="G8" i="10" s="1"/>
  <c r="G3" i="8"/>
  <c r="G4" i="10" s="1"/>
  <c r="N150" i="8"/>
  <c r="N146" i="8"/>
  <c r="N142" i="8"/>
  <c r="N138" i="8"/>
  <c r="N134" i="8"/>
  <c r="N130" i="8"/>
  <c r="N126" i="8"/>
  <c r="N122" i="8"/>
  <c r="N118" i="8"/>
  <c r="N114" i="8"/>
  <c r="N110" i="8"/>
  <c r="N106" i="8"/>
  <c r="N102" i="8"/>
  <c r="N98" i="8"/>
  <c r="N94" i="8"/>
  <c r="N90" i="8"/>
  <c r="N86" i="8"/>
  <c r="N82" i="8"/>
  <c r="N78" i="8"/>
  <c r="N74" i="8"/>
  <c r="N70" i="8"/>
  <c r="N66" i="8"/>
  <c r="N62" i="8"/>
  <c r="N58" i="8"/>
  <c r="N54" i="8"/>
  <c r="N50" i="8"/>
  <c r="N46" i="8"/>
  <c r="N42" i="8"/>
  <c r="N38" i="8"/>
  <c r="N34" i="8"/>
  <c r="N30" i="8"/>
  <c r="N26" i="8"/>
  <c r="N22" i="8"/>
  <c r="N18" i="8"/>
  <c r="N14" i="8"/>
  <c r="N10" i="8"/>
  <c r="N6" i="8"/>
  <c r="N2" i="8"/>
  <c r="Y4" i="1"/>
  <c r="N149" i="8"/>
  <c r="N145" i="8"/>
  <c r="N141" i="8"/>
  <c r="N137" i="8"/>
  <c r="N133" i="8"/>
  <c r="N129" i="8"/>
  <c r="N125" i="8"/>
  <c r="N121" i="8"/>
  <c r="N117" i="8"/>
  <c r="N113" i="8"/>
  <c r="N109" i="8"/>
  <c r="N105" i="8"/>
  <c r="N101" i="8"/>
  <c r="N97" i="8"/>
  <c r="N93" i="8"/>
  <c r="N89" i="8"/>
  <c r="N85" i="8"/>
  <c r="N81" i="8"/>
  <c r="N77" i="8"/>
  <c r="N73" i="8"/>
  <c r="N69" i="8"/>
  <c r="N65" i="8"/>
  <c r="N61" i="8"/>
  <c r="N57" i="8"/>
  <c r="N53" i="8"/>
  <c r="N49" i="8"/>
  <c r="N45" i="8"/>
  <c r="N41" i="8"/>
  <c r="N37" i="8"/>
  <c r="N33" i="8"/>
  <c r="N29" i="8"/>
  <c r="N25" i="8"/>
  <c r="N21" i="8"/>
  <c r="N17" i="8"/>
  <c r="N13" i="8"/>
  <c r="N9" i="8"/>
  <c r="N5" i="8"/>
  <c r="Q3" i="9"/>
  <c r="N3" i="9"/>
  <c r="R3" i="9"/>
  <c r="P3" i="9"/>
  <c r="E4" i="9"/>
  <c r="Y5" i="6"/>
  <c r="Y5" i="7"/>
  <c r="F4" i="9"/>
  <c r="C3" i="9"/>
  <c r="J3" i="9" s="1"/>
  <c r="Y4" i="4"/>
  <c r="Y4" i="5"/>
  <c r="M14" i="8"/>
  <c r="Y5" i="1"/>
  <c r="A4" i="9"/>
  <c r="Y5" i="3"/>
  <c r="B4" i="9"/>
  <c r="I146" i="8"/>
  <c r="J146" i="8"/>
  <c r="K146" i="8"/>
  <c r="L146" i="8"/>
  <c r="M146" i="8"/>
  <c r="J134" i="8"/>
  <c r="K134" i="8"/>
  <c r="I134" i="8"/>
  <c r="M134" i="8"/>
  <c r="L134" i="8"/>
  <c r="I114" i="8"/>
  <c r="J114" i="8"/>
  <c r="K114" i="8"/>
  <c r="L114" i="8"/>
  <c r="M114" i="8"/>
  <c r="J102" i="8"/>
  <c r="K102" i="8"/>
  <c r="I102" i="8"/>
  <c r="M102" i="8"/>
  <c r="L102" i="8"/>
  <c r="I90" i="8"/>
  <c r="K90" i="8"/>
  <c r="L90" i="8"/>
  <c r="J90" i="8"/>
  <c r="M90" i="8"/>
  <c r="I78" i="8"/>
  <c r="K78" i="8"/>
  <c r="L78" i="8"/>
  <c r="J78" i="8"/>
  <c r="M78" i="8"/>
  <c r="I66" i="8"/>
  <c r="K66" i="8"/>
  <c r="L66" i="8"/>
  <c r="J66" i="8"/>
  <c r="M66" i="8"/>
  <c r="I54" i="8"/>
  <c r="J54" i="8"/>
  <c r="K54" i="8"/>
  <c r="L54" i="8"/>
  <c r="M54" i="8"/>
  <c r="I42" i="8"/>
  <c r="L42" i="8"/>
  <c r="K42" i="8"/>
  <c r="J42" i="8"/>
  <c r="M42" i="8"/>
  <c r="I26" i="8"/>
  <c r="L26" i="8"/>
  <c r="K26" i="8"/>
  <c r="J26" i="8"/>
  <c r="M26" i="8"/>
  <c r="M2" i="8"/>
  <c r="I2" i="8"/>
  <c r="L2" i="8"/>
  <c r="K2" i="8"/>
  <c r="J2" i="8"/>
  <c r="I149" i="8"/>
  <c r="K149" i="8"/>
  <c r="J149" i="8"/>
  <c r="L149" i="8"/>
  <c r="M149" i="8"/>
  <c r="I141" i="8"/>
  <c r="K141" i="8"/>
  <c r="J141" i="8"/>
  <c r="L141" i="8"/>
  <c r="M141" i="8"/>
  <c r="I137" i="8"/>
  <c r="K137" i="8"/>
  <c r="J137" i="8"/>
  <c r="L137" i="8"/>
  <c r="M137" i="8"/>
  <c r="I133" i="8"/>
  <c r="K133" i="8"/>
  <c r="L133" i="8"/>
  <c r="M133" i="8"/>
  <c r="J133" i="8"/>
  <c r="I129" i="8"/>
  <c r="J129" i="8"/>
  <c r="K129" i="8"/>
  <c r="L129" i="8"/>
  <c r="M129" i="8"/>
  <c r="I125" i="8"/>
  <c r="K125" i="8"/>
  <c r="J125" i="8"/>
  <c r="L125" i="8"/>
  <c r="M125" i="8"/>
  <c r="I121" i="8"/>
  <c r="K121" i="8"/>
  <c r="J121" i="8"/>
  <c r="L121" i="8"/>
  <c r="M121" i="8"/>
  <c r="I117" i="8"/>
  <c r="K117" i="8"/>
  <c r="J117" i="8"/>
  <c r="L117" i="8"/>
  <c r="M117" i="8"/>
  <c r="I113" i="8"/>
  <c r="J113" i="8"/>
  <c r="K113" i="8"/>
  <c r="L113" i="8"/>
  <c r="M113" i="8"/>
  <c r="I109" i="8"/>
  <c r="K109" i="8"/>
  <c r="J109" i="8"/>
  <c r="L109" i="8"/>
  <c r="M109" i="8"/>
  <c r="I105" i="8"/>
  <c r="K105" i="8"/>
  <c r="J105" i="8"/>
  <c r="L105" i="8"/>
  <c r="M105" i="8"/>
  <c r="I101" i="8"/>
  <c r="K101" i="8"/>
  <c r="J101" i="8"/>
  <c r="L101" i="8"/>
  <c r="M101" i="8"/>
  <c r="I97" i="8"/>
  <c r="J97" i="8"/>
  <c r="K97" i="8"/>
  <c r="L97" i="8"/>
  <c r="M97" i="8"/>
  <c r="I93" i="8"/>
  <c r="K93" i="8"/>
  <c r="J93" i="8"/>
  <c r="L93" i="8"/>
  <c r="M93" i="8"/>
  <c r="I89" i="8"/>
  <c r="K89" i="8"/>
  <c r="J89" i="8"/>
  <c r="L89" i="8"/>
  <c r="M89" i="8"/>
  <c r="I85" i="8"/>
  <c r="K85" i="8"/>
  <c r="J85" i="8"/>
  <c r="L85" i="8"/>
  <c r="M85" i="8"/>
  <c r="I81" i="8"/>
  <c r="J81" i="8"/>
  <c r="K81" i="8"/>
  <c r="L81" i="8"/>
  <c r="M81" i="8"/>
  <c r="I77" i="8"/>
  <c r="K77" i="8"/>
  <c r="J77" i="8"/>
  <c r="M77" i="8"/>
  <c r="L77" i="8"/>
  <c r="I73" i="8"/>
  <c r="J73" i="8"/>
  <c r="K73" i="8"/>
  <c r="L73" i="8"/>
  <c r="M73" i="8"/>
  <c r="I69" i="8"/>
  <c r="J69" i="8"/>
  <c r="K69" i="8"/>
  <c r="L69" i="8"/>
  <c r="M69" i="8"/>
  <c r="I65" i="8"/>
  <c r="J65" i="8"/>
  <c r="K65" i="8"/>
  <c r="L65" i="8"/>
  <c r="M65" i="8"/>
  <c r="I61" i="8"/>
  <c r="J61" i="8"/>
  <c r="K61" i="8"/>
  <c r="M61" i="8"/>
  <c r="L61" i="8"/>
  <c r="I57" i="8"/>
  <c r="J57" i="8"/>
  <c r="K57" i="8"/>
  <c r="L57" i="8"/>
  <c r="M57" i="8"/>
  <c r="I53" i="8"/>
  <c r="J53" i="8"/>
  <c r="K53" i="8"/>
  <c r="L53" i="8"/>
  <c r="M53" i="8"/>
  <c r="I49" i="8"/>
  <c r="J49" i="8"/>
  <c r="K49" i="8"/>
  <c r="M49" i="8"/>
  <c r="L49" i="8"/>
  <c r="I45" i="8"/>
  <c r="J45" i="8"/>
  <c r="K45" i="8"/>
  <c r="L45" i="8"/>
  <c r="M45" i="8"/>
  <c r="I41" i="8"/>
  <c r="J41" i="8"/>
  <c r="K41" i="8"/>
  <c r="M41" i="8"/>
  <c r="L41" i="8"/>
  <c r="I37" i="8"/>
  <c r="J37" i="8"/>
  <c r="L37" i="8"/>
  <c r="K37" i="8"/>
  <c r="M37" i="8"/>
  <c r="I33" i="8"/>
  <c r="J33" i="8"/>
  <c r="L33" i="8"/>
  <c r="K33" i="8"/>
  <c r="M33" i="8"/>
  <c r="I29" i="8"/>
  <c r="J29" i="8"/>
  <c r="K29" i="8"/>
  <c r="L29" i="8"/>
  <c r="M29" i="8"/>
  <c r="I25" i="8"/>
  <c r="J25" i="8"/>
  <c r="L25" i="8"/>
  <c r="K25" i="8"/>
  <c r="M25" i="8"/>
  <c r="I21" i="8"/>
  <c r="J21" i="8"/>
  <c r="L21" i="8"/>
  <c r="K21" i="8"/>
  <c r="M21" i="8"/>
  <c r="I17" i="8"/>
  <c r="J17" i="8"/>
  <c r="L17" i="8"/>
  <c r="K17" i="8"/>
  <c r="M17" i="8"/>
  <c r="I13" i="8"/>
  <c r="J13" i="8"/>
  <c r="K13" i="8"/>
  <c r="L13" i="8"/>
  <c r="M13" i="8"/>
  <c r="I9" i="8"/>
  <c r="J9" i="8"/>
  <c r="L9" i="8"/>
  <c r="K9" i="8"/>
  <c r="M9" i="8"/>
  <c r="I5" i="8"/>
  <c r="J5" i="8"/>
  <c r="L5" i="8"/>
  <c r="K5" i="8"/>
  <c r="M5" i="8"/>
  <c r="J150" i="8"/>
  <c r="K150" i="8"/>
  <c r="M150" i="8"/>
  <c r="I150" i="8"/>
  <c r="L150" i="8"/>
  <c r="K142" i="8"/>
  <c r="J142" i="8"/>
  <c r="I142" i="8"/>
  <c r="L142" i="8"/>
  <c r="M142" i="8"/>
  <c r="I130" i="8"/>
  <c r="J130" i="8"/>
  <c r="K130" i="8"/>
  <c r="L130" i="8"/>
  <c r="M130" i="8"/>
  <c r="J118" i="8"/>
  <c r="K118" i="8"/>
  <c r="M118" i="8"/>
  <c r="I118" i="8"/>
  <c r="L118" i="8"/>
  <c r="I106" i="8"/>
  <c r="K106" i="8"/>
  <c r="J106" i="8"/>
  <c r="L106" i="8"/>
  <c r="M106" i="8"/>
  <c r="I98" i="8"/>
  <c r="J98" i="8"/>
  <c r="K98" i="8"/>
  <c r="L98" i="8"/>
  <c r="M98" i="8"/>
  <c r="I86" i="8"/>
  <c r="J86" i="8"/>
  <c r="K86" i="8"/>
  <c r="M86" i="8"/>
  <c r="L86" i="8"/>
  <c r="I74" i="8"/>
  <c r="K74" i="8"/>
  <c r="L74" i="8"/>
  <c r="J74" i="8"/>
  <c r="M74" i="8"/>
  <c r="I62" i="8"/>
  <c r="J62" i="8"/>
  <c r="K62" i="8"/>
  <c r="L62" i="8"/>
  <c r="M62" i="8"/>
  <c r="I50" i="8"/>
  <c r="K50" i="8"/>
  <c r="L50" i="8"/>
  <c r="J50" i="8"/>
  <c r="M50" i="8"/>
  <c r="I38" i="8"/>
  <c r="J38" i="8"/>
  <c r="L38" i="8"/>
  <c r="K38" i="8"/>
  <c r="M38" i="8"/>
  <c r="I30" i="8"/>
  <c r="J30" i="8"/>
  <c r="K30" i="8"/>
  <c r="L30" i="8"/>
  <c r="M30" i="8"/>
  <c r="I18" i="8"/>
  <c r="K18" i="8"/>
  <c r="L18" i="8"/>
  <c r="J18" i="8"/>
  <c r="M18" i="8"/>
  <c r="I145" i="8"/>
  <c r="J145" i="8"/>
  <c r="K145" i="8"/>
  <c r="L145" i="8"/>
  <c r="M145" i="8"/>
  <c r="I148" i="8"/>
  <c r="J148" i="8"/>
  <c r="K148" i="8"/>
  <c r="L148" i="8"/>
  <c r="M148" i="8"/>
  <c r="I144" i="8"/>
  <c r="J144" i="8"/>
  <c r="L144" i="8"/>
  <c r="M144" i="8"/>
  <c r="K144" i="8"/>
  <c r="J140" i="8"/>
  <c r="I140" i="8"/>
  <c r="L140" i="8"/>
  <c r="M140" i="8"/>
  <c r="K140" i="8"/>
  <c r="I136" i="8"/>
  <c r="J136" i="8"/>
  <c r="K136" i="8"/>
  <c r="L136" i="8"/>
  <c r="M136" i="8"/>
  <c r="I132" i="8"/>
  <c r="J132" i="8"/>
  <c r="K132" i="8"/>
  <c r="L132" i="8"/>
  <c r="M132" i="8"/>
  <c r="I128" i="8"/>
  <c r="L128" i="8"/>
  <c r="M128" i="8"/>
  <c r="J128" i="8"/>
  <c r="K128" i="8"/>
  <c r="J124" i="8"/>
  <c r="I124" i="8"/>
  <c r="L124" i="8"/>
  <c r="M124" i="8"/>
  <c r="K124" i="8"/>
  <c r="I120" i="8"/>
  <c r="J120" i="8"/>
  <c r="K120" i="8"/>
  <c r="L120" i="8"/>
  <c r="M120" i="8"/>
  <c r="I116" i="8"/>
  <c r="J116" i="8"/>
  <c r="K116" i="8"/>
  <c r="L116" i="8"/>
  <c r="M116" i="8"/>
  <c r="I112" i="8"/>
  <c r="L112" i="8"/>
  <c r="M112" i="8"/>
  <c r="J112" i="8"/>
  <c r="K112" i="8"/>
  <c r="J108" i="8"/>
  <c r="I108" i="8"/>
  <c r="L108" i="8"/>
  <c r="M108" i="8"/>
  <c r="K108" i="8"/>
  <c r="I104" i="8"/>
  <c r="J104" i="8"/>
  <c r="K104" i="8"/>
  <c r="L104" i="8"/>
  <c r="M104" i="8"/>
  <c r="I100" i="8"/>
  <c r="J100" i="8"/>
  <c r="K100" i="8"/>
  <c r="L100" i="8"/>
  <c r="M100" i="8"/>
  <c r="I96" i="8"/>
  <c r="J96" i="8"/>
  <c r="L96" i="8"/>
  <c r="M96" i="8"/>
  <c r="K96" i="8"/>
  <c r="J92" i="8"/>
  <c r="I92" i="8"/>
  <c r="L92" i="8"/>
  <c r="M92" i="8"/>
  <c r="K92" i="8"/>
  <c r="I88" i="8"/>
  <c r="J88" i="8"/>
  <c r="K88" i="8"/>
  <c r="L88" i="8"/>
  <c r="M88" i="8"/>
  <c r="J84" i="8"/>
  <c r="K84" i="8"/>
  <c r="L84" i="8"/>
  <c r="M84" i="8"/>
  <c r="I84" i="8"/>
  <c r="I80" i="8"/>
  <c r="J80" i="8"/>
  <c r="L80" i="8"/>
  <c r="M80" i="8"/>
  <c r="K80" i="8"/>
  <c r="I76" i="8"/>
  <c r="J76" i="8"/>
  <c r="M76" i="8"/>
  <c r="K76" i="8"/>
  <c r="L76" i="8"/>
  <c r="I72" i="8"/>
  <c r="J72" i="8"/>
  <c r="K72" i="8"/>
  <c r="M72" i="8"/>
  <c r="L72" i="8"/>
  <c r="I68" i="8"/>
  <c r="J68" i="8"/>
  <c r="K68" i="8"/>
  <c r="L68" i="8"/>
  <c r="M68" i="8"/>
  <c r="I64" i="8"/>
  <c r="J64" i="8"/>
  <c r="L64" i="8"/>
  <c r="M64" i="8"/>
  <c r="K64" i="8"/>
  <c r="I60" i="8"/>
  <c r="J60" i="8"/>
  <c r="M60" i="8"/>
  <c r="K60" i="8"/>
  <c r="L60" i="8"/>
  <c r="I56" i="8"/>
  <c r="J56" i="8"/>
  <c r="K56" i="8"/>
  <c r="M56" i="8"/>
  <c r="L56" i="8"/>
  <c r="I52" i="8"/>
  <c r="J52" i="8"/>
  <c r="K52" i="8"/>
  <c r="L52" i="8"/>
  <c r="M52" i="8"/>
  <c r="I48" i="8"/>
  <c r="J48" i="8"/>
  <c r="M48" i="8"/>
  <c r="L48" i="8"/>
  <c r="K48" i="8"/>
  <c r="I44" i="8"/>
  <c r="J44" i="8"/>
  <c r="L44" i="8"/>
  <c r="M44" i="8"/>
  <c r="K44" i="8"/>
  <c r="I40" i="8"/>
  <c r="K40" i="8"/>
  <c r="J40" i="8"/>
  <c r="M40" i="8"/>
  <c r="L40" i="8"/>
  <c r="I36" i="8"/>
  <c r="J36" i="8"/>
  <c r="K36" i="8"/>
  <c r="L36" i="8"/>
  <c r="M36" i="8"/>
  <c r="I32" i="8"/>
  <c r="J32" i="8"/>
  <c r="K32" i="8"/>
  <c r="L32" i="8"/>
  <c r="M32" i="8"/>
  <c r="I28" i="8"/>
  <c r="J28" i="8"/>
  <c r="M28" i="8"/>
  <c r="K28" i="8"/>
  <c r="L28" i="8"/>
  <c r="I24" i="8"/>
  <c r="K24" i="8"/>
  <c r="J24" i="8"/>
  <c r="M24" i="8"/>
  <c r="L24" i="8"/>
  <c r="I20" i="8"/>
  <c r="J20" i="8"/>
  <c r="K20" i="8"/>
  <c r="L20" i="8"/>
  <c r="M20" i="8"/>
  <c r="I16" i="8"/>
  <c r="J16" i="8"/>
  <c r="K16" i="8"/>
  <c r="L16" i="8"/>
  <c r="M16" i="8"/>
  <c r="I12" i="8"/>
  <c r="J12" i="8"/>
  <c r="K12" i="8"/>
  <c r="M12" i="8"/>
  <c r="L12" i="8"/>
  <c r="I8" i="8"/>
  <c r="K8" i="8"/>
  <c r="J8" i="8"/>
  <c r="M8" i="8"/>
  <c r="L8" i="8"/>
  <c r="I138" i="8"/>
  <c r="K138" i="8"/>
  <c r="J138" i="8"/>
  <c r="L138" i="8"/>
  <c r="M138" i="8"/>
  <c r="I122" i="8"/>
  <c r="K122" i="8"/>
  <c r="J122" i="8"/>
  <c r="L122" i="8"/>
  <c r="M122" i="8"/>
  <c r="K110" i="8"/>
  <c r="J110" i="8"/>
  <c r="I110" i="8"/>
  <c r="L110" i="8"/>
  <c r="M110" i="8"/>
  <c r="K94" i="8"/>
  <c r="J94" i="8"/>
  <c r="I94" i="8"/>
  <c r="L94" i="8"/>
  <c r="M94" i="8"/>
  <c r="I82" i="8"/>
  <c r="J82" i="8"/>
  <c r="K82" i="8"/>
  <c r="L82" i="8"/>
  <c r="M82" i="8"/>
  <c r="I70" i="8"/>
  <c r="J70" i="8"/>
  <c r="K70" i="8"/>
  <c r="L70" i="8"/>
  <c r="M70" i="8"/>
  <c r="I58" i="8"/>
  <c r="K58" i="8"/>
  <c r="L58" i="8"/>
  <c r="J58" i="8"/>
  <c r="M58" i="8"/>
  <c r="I46" i="8"/>
  <c r="J46" i="8"/>
  <c r="K46" i="8"/>
  <c r="L46" i="8"/>
  <c r="M46" i="8"/>
  <c r="I34" i="8"/>
  <c r="K34" i="8"/>
  <c r="L34" i="8"/>
  <c r="J34" i="8"/>
  <c r="M34" i="8"/>
  <c r="I22" i="8"/>
  <c r="J22" i="8"/>
  <c r="L22" i="8"/>
  <c r="K22" i="8"/>
  <c r="M22" i="8"/>
  <c r="I147" i="8"/>
  <c r="J147" i="8"/>
  <c r="K147" i="8"/>
  <c r="L147" i="8"/>
  <c r="M147" i="8"/>
  <c r="I143" i="8"/>
  <c r="J143" i="8"/>
  <c r="K143" i="8"/>
  <c r="L143" i="8"/>
  <c r="M143" i="8"/>
  <c r="I139" i="8"/>
  <c r="J139" i="8"/>
  <c r="K139" i="8"/>
  <c r="L139" i="8"/>
  <c r="M139" i="8"/>
  <c r="I135" i="8"/>
  <c r="J135" i="8"/>
  <c r="K135" i="8"/>
  <c r="L135" i="8"/>
  <c r="M135" i="8"/>
  <c r="I131" i="8"/>
  <c r="J131" i="8"/>
  <c r="K131" i="8"/>
  <c r="L131" i="8"/>
  <c r="M131" i="8"/>
  <c r="I127" i="8"/>
  <c r="J127" i="8"/>
  <c r="K127" i="8"/>
  <c r="L127" i="8"/>
  <c r="M127" i="8"/>
  <c r="I123" i="8"/>
  <c r="J123" i="8"/>
  <c r="K123" i="8"/>
  <c r="L123" i="8"/>
  <c r="M123" i="8"/>
  <c r="I119" i="8"/>
  <c r="J119" i="8"/>
  <c r="K119" i="8"/>
  <c r="L119" i="8"/>
  <c r="M119" i="8"/>
  <c r="I115" i="8"/>
  <c r="J115" i="8"/>
  <c r="K115" i="8"/>
  <c r="L115" i="8"/>
  <c r="M115" i="8"/>
  <c r="I111" i="8"/>
  <c r="J111" i="8"/>
  <c r="K111" i="8"/>
  <c r="L111" i="8"/>
  <c r="M111" i="8"/>
  <c r="I107" i="8"/>
  <c r="J107" i="8"/>
  <c r="K107" i="8"/>
  <c r="L107" i="8"/>
  <c r="M107" i="8"/>
  <c r="I103" i="8"/>
  <c r="J103" i="8"/>
  <c r="K103" i="8"/>
  <c r="L103" i="8"/>
  <c r="M103" i="8"/>
  <c r="I99" i="8"/>
  <c r="J99" i="8"/>
  <c r="K99" i="8"/>
  <c r="L99" i="8"/>
  <c r="M99" i="8"/>
  <c r="I95" i="8"/>
  <c r="J95" i="8"/>
  <c r="K95" i="8"/>
  <c r="L95" i="8"/>
  <c r="M95" i="8"/>
  <c r="I91" i="8"/>
  <c r="J91" i="8"/>
  <c r="K91" i="8"/>
  <c r="L91" i="8"/>
  <c r="M91" i="8"/>
  <c r="I87" i="8"/>
  <c r="J87" i="8"/>
  <c r="K87" i="8"/>
  <c r="L87" i="8"/>
  <c r="M87" i="8"/>
  <c r="I83" i="8"/>
  <c r="J83" i="8"/>
  <c r="K83" i="8"/>
  <c r="L83" i="8"/>
  <c r="M83" i="8"/>
  <c r="I79" i="8"/>
  <c r="J79" i="8"/>
  <c r="K79" i="8"/>
  <c r="L79" i="8"/>
  <c r="M79" i="8"/>
  <c r="I75" i="8"/>
  <c r="J75" i="8"/>
  <c r="K75" i="8"/>
  <c r="M75" i="8"/>
  <c r="L75" i="8"/>
  <c r="I71" i="8"/>
  <c r="J71" i="8"/>
  <c r="K71" i="8"/>
  <c r="M71" i="8"/>
  <c r="L71" i="8"/>
  <c r="I67" i="8"/>
  <c r="J67" i="8"/>
  <c r="K67" i="8"/>
  <c r="M67" i="8"/>
  <c r="L67" i="8"/>
  <c r="I63" i="8"/>
  <c r="J63" i="8"/>
  <c r="K63" i="8"/>
  <c r="L63" i="8"/>
  <c r="M63" i="8"/>
  <c r="I59" i="8"/>
  <c r="J59" i="8"/>
  <c r="K59" i="8"/>
  <c r="M59" i="8"/>
  <c r="L59" i="8"/>
  <c r="I55" i="8"/>
  <c r="J55" i="8"/>
  <c r="K55" i="8"/>
  <c r="M55" i="8"/>
  <c r="L55" i="8"/>
  <c r="I51" i="8"/>
  <c r="J51" i="8"/>
  <c r="K51" i="8"/>
  <c r="L51" i="8"/>
  <c r="M51" i="8"/>
  <c r="I47" i="8"/>
  <c r="J47" i="8"/>
  <c r="K47" i="8"/>
  <c r="L47" i="8"/>
  <c r="M47" i="8"/>
  <c r="I43" i="8"/>
  <c r="J43" i="8"/>
  <c r="K43" i="8"/>
  <c r="L43" i="8"/>
  <c r="M43" i="8"/>
  <c r="I39" i="8"/>
  <c r="J39" i="8"/>
  <c r="K39" i="8"/>
  <c r="L39" i="8"/>
  <c r="M39" i="8"/>
  <c r="I35" i="8"/>
  <c r="J35" i="8"/>
  <c r="K35" i="8"/>
  <c r="L35" i="8"/>
  <c r="M35" i="8"/>
  <c r="I31" i="8"/>
  <c r="J31" i="8"/>
  <c r="K31" i="8"/>
  <c r="L31" i="8"/>
  <c r="M31" i="8"/>
  <c r="I27" i="8"/>
  <c r="J27" i="8"/>
  <c r="K27" i="8"/>
  <c r="L27" i="8"/>
  <c r="M27" i="8"/>
  <c r="K126" i="8"/>
  <c r="J126" i="8"/>
  <c r="I126" i="8"/>
  <c r="L126" i="8"/>
  <c r="M126" i="8"/>
  <c r="I4" i="8"/>
  <c r="J4" i="8"/>
  <c r="K4" i="8"/>
  <c r="L4" i="8"/>
  <c r="M4" i="8"/>
  <c r="I23" i="8"/>
  <c r="J23" i="8"/>
  <c r="K23" i="8"/>
  <c r="L23" i="8"/>
  <c r="M23" i="8"/>
  <c r="I19" i="8"/>
  <c r="J19" i="8"/>
  <c r="K19" i="8"/>
  <c r="L19" i="8"/>
  <c r="M19" i="8"/>
  <c r="I15" i="8"/>
  <c r="J15" i="8"/>
  <c r="K15" i="8"/>
  <c r="L15" i="8"/>
  <c r="M15" i="8"/>
  <c r="I11" i="8"/>
  <c r="J11" i="8"/>
  <c r="K11" i="8"/>
  <c r="L11" i="8"/>
  <c r="M11" i="8"/>
  <c r="I7" i="8"/>
  <c r="J7" i="8"/>
  <c r="K7" i="8"/>
  <c r="L7" i="8"/>
  <c r="M7" i="8"/>
  <c r="I3" i="8"/>
  <c r="J3" i="8"/>
  <c r="K3" i="8"/>
  <c r="L3" i="8"/>
  <c r="M3" i="8"/>
  <c r="I14" i="8"/>
  <c r="J14" i="8"/>
  <c r="K14" i="8"/>
  <c r="L14" i="8"/>
  <c r="I10" i="8"/>
  <c r="L10" i="8"/>
  <c r="K10" i="8"/>
  <c r="J10" i="8"/>
  <c r="I6" i="8"/>
  <c r="J6" i="8"/>
  <c r="L6" i="8"/>
  <c r="M10" i="8"/>
  <c r="M6" i="8"/>
  <c r="K6" i="8"/>
  <c r="N23" i="8" l="1"/>
  <c r="N55" i="8"/>
  <c r="N75" i="8"/>
  <c r="N83" i="8"/>
  <c r="N91" i="8"/>
  <c r="N99" i="8"/>
  <c r="N107" i="8"/>
  <c r="N115" i="8"/>
  <c r="N123" i="8"/>
  <c r="N131" i="8"/>
  <c r="N139" i="8"/>
  <c r="N147" i="8"/>
  <c r="BB144" i="8"/>
  <c r="BB128" i="8"/>
  <c r="BB112" i="8"/>
  <c r="BB96" i="8"/>
  <c r="BB80" i="8"/>
  <c r="BB64" i="8"/>
  <c r="BB48" i="8"/>
  <c r="BB32" i="8"/>
  <c r="BB16" i="8"/>
  <c r="BB139" i="8"/>
  <c r="BB123" i="8"/>
  <c r="BB107" i="8"/>
  <c r="BB91" i="8"/>
  <c r="BB75" i="8"/>
  <c r="BB59" i="8"/>
  <c r="BB43" i="8"/>
  <c r="BB27" i="8"/>
  <c r="BB11" i="8"/>
  <c r="BB140" i="8"/>
  <c r="BB124" i="8"/>
  <c r="BB108" i="8"/>
  <c r="BB92" i="8"/>
  <c r="BB76" i="8"/>
  <c r="BB60" i="8"/>
  <c r="BB44" i="8"/>
  <c r="BB28" i="8"/>
  <c r="BB12" i="8"/>
  <c r="BB135" i="8"/>
  <c r="BB119" i="8"/>
  <c r="BB103" i="8"/>
  <c r="BB87" i="8"/>
  <c r="BB71" i="8"/>
  <c r="BB55" i="8"/>
  <c r="BB39" i="8"/>
  <c r="BB23" i="8"/>
  <c r="BB7" i="8"/>
  <c r="N7" i="8"/>
  <c r="N39" i="8"/>
  <c r="N71" i="8"/>
  <c r="N79" i="8"/>
  <c r="N87" i="8"/>
  <c r="N95" i="8"/>
  <c r="N103" i="8"/>
  <c r="N111" i="8"/>
  <c r="N119" i="8"/>
  <c r="N127" i="8"/>
  <c r="N135" i="8"/>
  <c r="N143" i="8"/>
  <c r="BB136" i="8"/>
  <c r="BB120" i="8"/>
  <c r="BB104" i="8"/>
  <c r="BB88" i="8"/>
  <c r="BB72" i="8"/>
  <c r="BB56" i="8"/>
  <c r="BB40" i="8"/>
  <c r="BB24" i="8"/>
  <c r="BB8" i="8"/>
  <c r="BB147" i="8"/>
  <c r="BB131" i="8"/>
  <c r="BB115" i="8"/>
  <c r="BB99" i="8"/>
  <c r="BB83" i="8"/>
  <c r="BB67" i="8"/>
  <c r="BB51" i="8"/>
  <c r="BB35" i="8"/>
  <c r="BB19" i="8"/>
  <c r="BB3" i="8"/>
  <c r="BB148" i="8"/>
  <c r="BB132" i="8"/>
  <c r="BB116" i="8"/>
  <c r="BB100" i="8"/>
  <c r="BB84" i="8"/>
  <c r="BB68" i="8"/>
  <c r="BB52" i="8"/>
  <c r="BB36" i="8"/>
  <c r="BB20" i="8"/>
  <c r="BB4" i="8"/>
  <c r="BB143" i="8"/>
  <c r="BB127" i="8"/>
  <c r="BB111" i="8"/>
  <c r="BB95" i="8"/>
  <c r="BB79" i="8"/>
  <c r="BB63" i="8"/>
  <c r="BB47" i="8"/>
  <c r="BB31" i="8"/>
  <c r="BB15" i="8"/>
  <c r="G3" i="10"/>
  <c r="G19" i="10"/>
  <c r="G35" i="10"/>
  <c r="G51" i="10"/>
  <c r="G67" i="10"/>
  <c r="G83" i="10"/>
  <c r="G99" i="10"/>
  <c r="G115" i="10"/>
  <c r="G131" i="10"/>
  <c r="G147" i="10"/>
  <c r="Z21" i="8"/>
  <c r="Y21" i="8"/>
  <c r="AA21" i="8"/>
  <c r="AB21" i="8"/>
  <c r="AR12" i="8"/>
  <c r="AS12" i="8"/>
  <c r="AP12" i="8"/>
  <c r="AO12" i="8"/>
  <c r="AQ12" i="8"/>
  <c r="O3" i="9"/>
  <c r="G7" i="10"/>
  <c r="G23" i="10"/>
  <c r="G39" i="10"/>
  <c r="G55" i="10"/>
  <c r="G71" i="10"/>
  <c r="G87" i="10"/>
  <c r="G103" i="10"/>
  <c r="G119" i="10"/>
  <c r="G135" i="10"/>
  <c r="N3" i="8"/>
  <c r="N11" i="8"/>
  <c r="N19" i="8"/>
  <c r="N27" i="8"/>
  <c r="N35" i="8"/>
  <c r="N43" i="8"/>
  <c r="N51" i="8"/>
  <c r="N59" i="8"/>
  <c r="N67" i="8"/>
  <c r="G11" i="10"/>
  <c r="G27" i="10"/>
  <c r="G43" i="10"/>
  <c r="G59" i="10"/>
  <c r="G75" i="10"/>
  <c r="G91" i="10"/>
  <c r="G107" i="10"/>
  <c r="G123" i="10"/>
  <c r="G139" i="10"/>
  <c r="V148" i="8"/>
  <c r="V147" i="8" s="1"/>
  <c r="V146" i="8" s="1"/>
  <c r="V145" i="8" s="1"/>
  <c r="V144" i="8" s="1"/>
  <c r="V143" i="8" s="1"/>
  <c r="V142" i="8" s="1"/>
  <c r="V141" i="8" s="1"/>
  <c r="V140" i="8" s="1"/>
  <c r="V139" i="8" s="1"/>
  <c r="V138" i="8" s="1"/>
  <c r="V137" i="8" s="1"/>
  <c r="V136" i="8" s="1"/>
  <c r="V135" i="8" s="1"/>
  <c r="V134" i="8" s="1"/>
  <c r="V133" i="8" s="1"/>
  <c r="V132" i="8" s="1"/>
  <c r="V131" i="8" s="1"/>
  <c r="V130" i="8" s="1"/>
  <c r="V129" i="8" s="1"/>
  <c r="V128" i="8" s="1"/>
  <c r="V127" i="8" s="1"/>
  <c r="V126" i="8" s="1"/>
  <c r="V125" i="8" s="1"/>
  <c r="V124" i="8" s="1"/>
  <c r="V123" i="8" s="1"/>
  <c r="V122" i="8" s="1"/>
  <c r="V121" i="8" s="1"/>
  <c r="V120" i="8" s="1"/>
  <c r="V119" i="8" s="1"/>
  <c r="V118" i="8" s="1"/>
  <c r="V117" i="8" s="1"/>
  <c r="V116" i="8" s="1"/>
  <c r="V115" i="8" s="1"/>
  <c r="V114" i="8" s="1"/>
  <c r="V113" i="8" s="1"/>
  <c r="V112" i="8" s="1"/>
  <c r="V111" i="8" s="1"/>
  <c r="V110" i="8" s="1"/>
  <c r="V109" i="8" s="1"/>
  <c r="V108" i="8" s="1"/>
  <c r="V107" i="8" s="1"/>
  <c r="V106" i="8" s="1"/>
  <c r="V105" i="8" s="1"/>
  <c r="V104" i="8" s="1"/>
  <c r="V103" i="8" s="1"/>
  <c r="V102" i="8" s="1"/>
  <c r="V101" i="8" s="1"/>
  <c r="V100" i="8" s="1"/>
  <c r="V99" i="8" s="1"/>
  <c r="V98" i="8" s="1"/>
  <c r="V97" i="8" s="1"/>
  <c r="V96" i="8" s="1"/>
  <c r="V95" i="8" s="1"/>
  <c r="V94" i="8" s="1"/>
  <c r="V93" i="8" s="1"/>
  <c r="V92" i="8" s="1"/>
  <c r="V91" i="8" s="1"/>
  <c r="V90" i="8" s="1"/>
  <c r="V89" i="8" s="1"/>
  <c r="V88" i="8" s="1"/>
  <c r="V87" i="8" s="1"/>
  <c r="V86" i="8" s="1"/>
  <c r="V85" i="8" s="1"/>
  <c r="V84" i="8" s="1"/>
  <c r="V83" i="8" s="1"/>
  <c r="V82" i="8" s="1"/>
  <c r="V81" i="8" s="1"/>
  <c r="V80" i="8" s="1"/>
  <c r="V79" i="8" s="1"/>
  <c r="V78" i="8" s="1"/>
  <c r="V77" i="8" s="1"/>
  <c r="V76" i="8" s="1"/>
  <c r="V75" i="8" s="1"/>
  <c r="V74" i="8" s="1"/>
  <c r="V73" i="8" s="1"/>
  <c r="V72" i="8" s="1"/>
  <c r="V71" i="8" s="1"/>
  <c r="V70" i="8" s="1"/>
  <c r="V69" i="8" s="1"/>
  <c r="V68" i="8" s="1"/>
  <c r="V67" i="8" s="1"/>
  <c r="V66" i="8" s="1"/>
  <c r="V65" i="8" s="1"/>
  <c r="V64" i="8" s="1"/>
  <c r="V63" i="8" s="1"/>
  <c r="V62" i="8" s="1"/>
  <c r="V61" i="8" s="1"/>
  <c r="V60" i="8" s="1"/>
  <c r="V59" i="8" s="1"/>
  <c r="V58" i="8" s="1"/>
  <c r="V57" i="8" s="1"/>
  <c r="V56" i="8" s="1"/>
  <c r="V55" i="8" s="1"/>
  <c r="V54" i="8" s="1"/>
  <c r="V53" i="8" s="1"/>
  <c r="AC21" i="8" s="1"/>
  <c r="G15" i="10"/>
  <c r="G31" i="10"/>
  <c r="G47" i="10"/>
  <c r="G63" i="10"/>
  <c r="G79" i="10"/>
  <c r="G95" i="10"/>
  <c r="G111" i="10"/>
  <c r="G127" i="10"/>
  <c r="G143" i="10"/>
  <c r="Q4" i="9"/>
  <c r="N4" i="9"/>
  <c r="R4" i="9"/>
  <c r="L4" i="9"/>
  <c r="I4" i="9"/>
  <c r="M4" i="9"/>
  <c r="D4" i="9"/>
  <c r="K4" i="9" s="1"/>
  <c r="Y5" i="5"/>
  <c r="Y6" i="7"/>
  <c r="F5" i="9"/>
  <c r="C4" i="9"/>
  <c r="J4" i="9" s="1"/>
  <c r="Y5" i="4"/>
  <c r="E5" i="9"/>
  <c r="Y6" i="6"/>
  <c r="Y6" i="1"/>
  <c r="A5" i="9"/>
  <c r="Y6" i="3"/>
  <c r="B5" i="9"/>
  <c r="I5" i="9" l="1"/>
  <c r="M5" i="9"/>
  <c r="L5" i="9"/>
  <c r="Q5" i="9"/>
  <c r="N5" i="9"/>
  <c r="R5" i="9"/>
  <c r="O4" i="9"/>
  <c r="P4" i="9"/>
  <c r="E6" i="9"/>
  <c r="Y7" i="6"/>
  <c r="Y7" i="7"/>
  <c r="F6" i="9"/>
  <c r="M6" i="9" s="1"/>
  <c r="C5" i="9"/>
  <c r="J5" i="9" s="1"/>
  <c r="Y6" i="4"/>
  <c r="D5" i="9"/>
  <c r="K5" i="9" s="1"/>
  <c r="Y6" i="5"/>
  <c r="Y7" i="1"/>
  <c r="A6" i="9"/>
  <c r="Y7" i="3"/>
  <c r="B6" i="9"/>
  <c r="I6" i="9" s="1"/>
  <c r="L6" i="9" l="1"/>
  <c r="P5" i="9"/>
  <c r="N6" i="9"/>
  <c r="R6" i="9"/>
  <c r="Q6" i="9"/>
  <c r="O5" i="9"/>
  <c r="Y8" i="7"/>
  <c r="F7" i="9"/>
  <c r="C6" i="9"/>
  <c r="J6" i="9" s="1"/>
  <c r="Y7" i="4"/>
  <c r="Y8" i="6"/>
  <c r="E7" i="9"/>
  <c r="Y7" i="5"/>
  <c r="D6" i="9"/>
  <c r="K6" i="9" s="1"/>
  <c r="Y8" i="1"/>
  <c r="A7" i="9"/>
  <c r="Y8" i="3"/>
  <c r="B7" i="9"/>
  <c r="I7" i="9" l="1"/>
  <c r="O6" i="9"/>
  <c r="Q7" i="9"/>
  <c r="N7" i="9"/>
  <c r="R7" i="9"/>
  <c r="L7" i="9"/>
  <c r="M7" i="9"/>
  <c r="P6" i="9"/>
  <c r="C7" i="9"/>
  <c r="J7" i="9" s="1"/>
  <c r="Y8" i="4"/>
  <c r="Y8" i="5"/>
  <c r="D7" i="9"/>
  <c r="K7" i="9" s="1"/>
  <c r="Y9" i="6"/>
  <c r="E8" i="9"/>
  <c r="L8" i="9" s="1"/>
  <c r="Y9" i="7"/>
  <c r="F8" i="9"/>
  <c r="M8" i="9" s="1"/>
  <c r="Y9" i="1"/>
  <c r="A8" i="9"/>
  <c r="Y9" i="3"/>
  <c r="B8" i="9"/>
  <c r="I8" i="9" s="1"/>
  <c r="O7" i="9" l="1"/>
  <c r="Q8" i="9"/>
  <c r="N8" i="9"/>
  <c r="R8" i="9"/>
  <c r="P7" i="9"/>
  <c r="Y10" i="7"/>
  <c r="F9" i="9"/>
  <c r="C8" i="9"/>
  <c r="J8" i="9" s="1"/>
  <c r="Y9" i="4"/>
  <c r="Y9" i="5"/>
  <c r="D8" i="9"/>
  <c r="K8" i="9" s="1"/>
  <c r="Y10" i="6"/>
  <c r="E9" i="9"/>
  <c r="Y10" i="1"/>
  <c r="A9" i="9"/>
  <c r="Y10" i="3"/>
  <c r="B9" i="9"/>
  <c r="Q9" i="9" l="1"/>
  <c r="R9" i="9"/>
  <c r="N9" i="9"/>
  <c r="M9" i="9"/>
  <c r="L9" i="9"/>
  <c r="I9" i="9"/>
  <c r="O8" i="9"/>
  <c r="P8" i="9"/>
  <c r="C9" i="9"/>
  <c r="J9" i="9" s="1"/>
  <c r="Y10" i="4"/>
  <c r="Y11" i="6"/>
  <c r="E10" i="9"/>
  <c r="Y10" i="5"/>
  <c r="D9" i="9"/>
  <c r="K9" i="9" s="1"/>
  <c r="Y11" i="7"/>
  <c r="F10" i="9"/>
  <c r="Y11" i="1"/>
  <c r="A10" i="9"/>
  <c r="Y11" i="3"/>
  <c r="B10" i="9"/>
  <c r="I10" i="9" l="1"/>
  <c r="M10" i="9"/>
  <c r="L10" i="9"/>
  <c r="P9" i="9"/>
  <c r="N10" i="9"/>
  <c r="R10" i="9"/>
  <c r="O10" i="9"/>
  <c r="P10" i="9"/>
  <c r="Q10" i="9"/>
  <c r="O9" i="9"/>
  <c r="Y12" i="6"/>
  <c r="E11" i="9"/>
  <c r="C10" i="9"/>
  <c r="J10" i="9" s="1"/>
  <c r="Y11" i="4"/>
  <c r="Y12" i="7"/>
  <c r="F11" i="9"/>
  <c r="Y11" i="5"/>
  <c r="D10" i="9"/>
  <c r="K10" i="9" s="1"/>
  <c r="Y12" i="1"/>
  <c r="A11" i="9"/>
  <c r="Y12" i="3"/>
  <c r="B11" i="9"/>
  <c r="L11" i="9" l="1"/>
  <c r="M11" i="9"/>
  <c r="Q11" i="9"/>
  <c r="N11" i="9"/>
  <c r="R11" i="9"/>
  <c r="I11" i="9"/>
  <c r="C11" i="9"/>
  <c r="J11" i="9" s="1"/>
  <c r="Y12" i="4"/>
  <c r="Y12" i="5"/>
  <c r="D11" i="9"/>
  <c r="K11" i="9" s="1"/>
  <c r="Y13" i="7"/>
  <c r="F12" i="9"/>
  <c r="Y13" i="6"/>
  <c r="E12" i="9"/>
  <c r="Y13" i="1"/>
  <c r="A12" i="9"/>
  <c r="Y13" i="3"/>
  <c r="B12" i="9"/>
  <c r="P11" i="9" l="1"/>
  <c r="M12" i="9"/>
  <c r="O11" i="9"/>
  <c r="Q12" i="9"/>
  <c r="N12" i="9"/>
  <c r="R12" i="9"/>
  <c r="I12" i="9"/>
  <c r="L12" i="9"/>
  <c r="Y14" i="6"/>
  <c r="E13" i="9"/>
  <c r="Y13" i="5"/>
  <c r="D12" i="9"/>
  <c r="K12" i="9" s="1"/>
  <c r="C12" i="9"/>
  <c r="J12" i="9" s="1"/>
  <c r="Y13" i="4"/>
  <c r="Y14" i="7"/>
  <c r="F13" i="9"/>
  <c r="M13" i="9" s="1"/>
  <c r="Y14" i="1"/>
  <c r="A13" i="9"/>
  <c r="Y14" i="3"/>
  <c r="B13" i="9"/>
  <c r="I13" i="9" s="1"/>
  <c r="Q13" i="9" l="1"/>
  <c r="N13" i="9"/>
  <c r="R13" i="9"/>
  <c r="L13" i="9"/>
  <c r="O12" i="9"/>
  <c r="P12" i="9"/>
  <c r="Y15" i="7"/>
  <c r="F14" i="9"/>
  <c r="Y14" i="5"/>
  <c r="D13" i="9"/>
  <c r="K13" i="9" s="1"/>
  <c r="C13" i="9"/>
  <c r="J13" i="9" s="1"/>
  <c r="Y14" i="4"/>
  <c r="Y15" i="6"/>
  <c r="E14" i="9"/>
  <c r="Y15" i="1"/>
  <c r="A14" i="9"/>
  <c r="Y15" i="3"/>
  <c r="B14" i="9"/>
  <c r="L14" i="9" l="1"/>
  <c r="I14" i="9"/>
  <c r="N14" i="9"/>
  <c r="R14" i="9"/>
  <c r="Q14" i="9"/>
  <c r="M14" i="9"/>
  <c r="P13" i="9"/>
  <c r="O13" i="9"/>
  <c r="Y16" i="6"/>
  <c r="E15" i="9"/>
  <c r="Y15" i="5"/>
  <c r="D14" i="9"/>
  <c r="K14" i="9" s="1"/>
  <c r="C14" i="9"/>
  <c r="J14" i="9" s="1"/>
  <c r="Y15" i="4"/>
  <c r="Y16" i="7"/>
  <c r="F15" i="9"/>
  <c r="Y16" i="1"/>
  <c r="A15" i="9"/>
  <c r="Y16" i="3"/>
  <c r="B15" i="9"/>
  <c r="I15" i="9" l="1"/>
  <c r="M15" i="9"/>
  <c r="O14" i="9"/>
  <c r="P14" i="9"/>
  <c r="Q15" i="9"/>
  <c r="N15" i="9"/>
  <c r="R15" i="9"/>
  <c r="L15" i="9"/>
  <c r="Y17" i="7"/>
  <c r="F16" i="9"/>
  <c r="Y16" i="5"/>
  <c r="D15" i="9"/>
  <c r="K15" i="9" s="1"/>
  <c r="C15" i="9"/>
  <c r="J15" i="9" s="1"/>
  <c r="Y16" i="4"/>
  <c r="Y17" i="6"/>
  <c r="E16" i="9"/>
  <c r="L16" i="9" s="1"/>
  <c r="Y17" i="1"/>
  <c r="A16" i="9"/>
  <c r="Y17" i="3"/>
  <c r="B16" i="9"/>
  <c r="I16" i="9" s="1"/>
  <c r="P15" i="9" l="1"/>
  <c r="Q16" i="9"/>
  <c r="N16" i="9"/>
  <c r="R16" i="9"/>
  <c r="M16" i="9"/>
  <c r="O15" i="9"/>
  <c r="Y18" i="6"/>
  <c r="E17" i="9"/>
  <c r="Y17" i="5"/>
  <c r="D16" i="9"/>
  <c r="K16" i="9" s="1"/>
  <c r="C16" i="9"/>
  <c r="J16" i="9" s="1"/>
  <c r="Y17" i="4"/>
  <c r="Y18" i="7"/>
  <c r="F17" i="9"/>
  <c r="Y18" i="1"/>
  <c r="A17" i="9"/>
  <c r="Y18" i="3"/>
  <c r="B17" i="9"/>
  <c r="M17" i="9" l="1"/>
  <c r="I17" i="9"/>
  <c r="Q17" i="9"/>
  <c r="N17" i="9"/>
  <c r="R17" i="9"/>
  <c r="L17" i="9"/>
  <c r="O16" i="9"/>
  <c r="P16" i="9"/>
  <c r="Y18" i="5"/>
  <c r="D17" i="9"/>
  <c r="K17" i="9" s="1"/>
  <c r="Y19" i="7"/>
  <c r="F18" i="9"/>
  <c r="M18" i="9" s="1"/>
  <c r="C17" i="9"/>
  <c r="J17" i="9" s="1"/>
  <c r="Y18" i="4"/>
  <c r="Y19" i="6"/>
  <c r="E18" i="9"/>
  <c r="L18" i="9" s="1"/>
  <c r="Y19" i="1"/>
  <c r="A18" i="9"/>
  <c r="Y19" i="3"/>
  <c r="B18" i="9"/>
  <c r="I18" i="9" s="1"/>
  <c r="N18" i="9" l="1"/>
  <c r="R18" i="9"/>
  <c r="O18" i="9"/>
  <c r="P18" i="9"/>
  <c r="Q18" i="9"/>
  <c r="P17" i="9"/>
  <c r="O17" i="9"/>
  <c r="Y20" i="7"/>
  <c r="F19" i="9"/>
  <c r="C18" i="9"/>
  <c r="J18" i="9" s="1"/>
  <c r="Y19" i="4"/>
  <c r="Y20" i="6"/>
  <c r="E19" i="9"/>
  <c r="Y19" i="5"/>
  <c r="D18" i="9"/>
  <c r="K18" i="9" s="1"/>
  <c r="Y20" i="1"/>
  <c r="A19" i="9"/>
  <c r="Y20" i="3"/>
  <c r="B19" i="9"/>
  <c r="I19" i="9" s="1"/>
  <c r="Q19" i="9" l="1"/>
  <c r="N19" i="9"/>
  <c r="R19" i="9"/>
  <c r="L19" i="9"/>
  <c r="M19" i="9"/>
  <c r="C19" i="9"/>
  <c r="J19" i="9" s="1"/>
  <c r="Y20" i="4"/>
  <c r="Y20" i="5"/>
  <c r="D19" i="9"/>
  <c r="K19" i="9" s="1"/>
  <c r="Y21" i="6"/>
  <c r="E20" i="9"/>
  <c r="Y21" i="7"/>
  <c r="F20" i="9"/>
  <c r="Y21" i="1"/>
  <c r="A20" i="9"/>
  <c r="Y21" i="3"/>
  <c r="B20" i="9"/>
  <c r="I20" i="9" s="1"/>
  <c r="M20" i="9" l="1"/>
  <c r="O19" i="9"/>
  <c r="Q20" i="9"/>
  <c r="N20" i="9"/>
  <c r="R20" i="9"/>
  <c r="L20" i="9"/>
  <c r="P19" i="9"/>
  <c r="Y21" i="5"/>
  <c r="D20" i="9"/>
  <c r="K20" i="9" s="1"/>
  <c r="Y22" i="7"/>
  <c r="F21" i="9"/>
  <c r="C20" i="9"/>
  <c r="J20" i="9" s="1"/>
  <c r="Y21" i="4"/>
  <c r="Y22" i="6"/>
  <c r="E21" i="9"/>
  <c r="Y22" i="1"/>
  <c r="A21" i="9"/>
  <c r="Y22" i="3"/>
  <c r="B21" i="9"/>
  <c r="I21" i="9" l="1"/>
  <c r="M21" i="9"/>
  <c r="L21" i="9"/>
  <c r="O20" i="9"/>
  <c r="P20" i="9"/>
  <c r="Q21" i="9"/>
  <c r="N21" i="9"/>
  <c r="R21" i="9"/>
  <c r="Y23" i="7"/>
  <c r="F22" i="9"/>
  <c r="C21" i="9"/>
  <c r="J21" i="9" s="1"/>
  <c r="Y22" i="4"/>
  <c r="Y23" i="6"/>
  <c r="E22" i="9"/>
  <c r="Y22" i="5"/>
  <c r="D21" i="9"/>
  <c r="K21" i="9" s="1"/>
  <c r="Y23" i="1"/>
  <c r="A22" i="9"/>
  <c r="Y23" i="3"/>
  <c r="B22" i="9"/>
  <c r="O21" i="9" l="1"/>
  <c r="P21" i="9"/>
  <c r="N22" i="9"/>
  <c r="R22" i="9"/>
  <c r="Q22" i="9"/>
  <c r="L22" i="9"/>
  <c r="M22" i="9"/>
  <c r="I22" i="9"/>
  <c r="C22" i="9"/>
  <c r="J22" i="9" s="1"/>
  <c r="Y23" i="4"/>
  <c r="Y23" i="5"/>
  <c r="D22" i="9"/>
  <c r="K22" i="9" s="1"/>
  <c r="Y24" i="6"/>
  <c r="E23" i="9"/>
  <c r="Y24" i="7"/>
  <c r="F23" i="9"/>
  <c r="Y24" i="1"/>
  <c r="A23" i="9"/>
  <c r="Y24" i="3"/>
  <c r="B23" i="9"/>
  <c r="I23" i="9" l="1"/>
  <c r="M23" i="9"/>
  <c r="O22" i="9"/>
  <c r="P22" i="9"/>
  <c r="Q23" i="9"/>
  <c r="N23" i="9"/>
  <c r="R23" i="9"/>
  <c r="L23" i="9"/>
  <c r="Y24" i="5"/>
  <c r="D23" i="9"/>
  <c r="K23" i="9" s="1"/>
  <c r="Y25" i="7"/>
  <c r="F24" i="9"/>
  <c r="C23" i="9"/>
  <c r="J23" i="9" s="1"/>
  <c r="Y24" i="4"/>
  <c r="Y25" i="6"/>
  <c r="E24" i="9"/>
  <c r="Y25" i="1"/>
  <c r="A24" i="9"/>
  <c r="Y25" i="3"/>
  <c r="B24" i="9"/>
  <c r="I24" i="9" l="1"/>
  <c r="L24" i="9"/>
  <c r="M24" i="9"/>
  <c r="P23" i="9"/>
  <c r="Q24" i="9"/>
  <c r="N24" i="9"/>
  <c r="R24" i="9"/>
  <c r="O23" i="9"/>
  <c r="Y26" i="7"/>
  <c r="F25" i="9"/>
  <c r="C24" i="9"/>
  <c r="J24" i="9" s="1"/>
  <c r="Y25" i="4"/>
  <c r="Y26" i="6"/>
  <c r="E25" i="9"/>
  <c r="Y25" i="5"/>
  <c r="D24" i="9"/>
  <c r="K24" i="9" s="1"/>
  <c r="Y26" i="1"/>
  <c r="A25" i="9"/>
  <c r="Y26" i="3"/>
  <c r="B25" i="9"/>
  <c r="L25" i="9" l="1"/>
  <c r="M25" i="9"/>
  <c r="I25" i="9"/>
  <c r="O25" i="9"/>
  <c r="Q25" i="9"/>
  <c r="R25" i="9"/>
  <c r="N25" i="9"/>
  <c r="O24" i="9"/>
  <c r="P24" i="9"/>
  <c r="C25" i="9"/>
  <c r="J25" i="9" s="1"/>
  <c r="Y26" i="4"/>
  <c r="Y26" i="5"/>
  <c r="D25" i="9"/>
  <c r="K25" i="9" s="1"/>
  <c r="Y27" i="6"/>
  <c r="E26" i="9"/>
  <c r="L26" i="9" s="1"/>
  <c r="Y27" i="7"/>
  <c r="F26" i="9"/>
  <c r="Y27" i="1"/>
  <c r="A26" i="9"/>
  <c r="Y27" i="3"/>
  <c r="B26" i="9"/>
  <c r="P25" i="9" l="1"/>
  <c r="N26" i="9"/>
  <c r="R26" i="9"/>
  <c r="Q26" i="9"/>
  <c r="I26" i="9"/>
  <c r="M26" i="9"/>
  <c r="Y27" i="5"/>
  <c r="D26" i="9"/>
  <c r="K26" i="9" s="1"/>
  <c r="Y28" i="7"/>
  <c r="F27" i="9"/>
  <c r="C26" i="9"/>
  <c r="J26" i="9" s="1"/>
  <c r="Y27" i="4"/>
  <c r="Y28" i="6"/>
  <c r="E27" i="9"/>
  <c r="Y28" i="1"/>
  <c r="A27" i="9"/>
  <c r="Y28" i="3"/>
  <c r="B27" i="9"/>
  <c r="I27" i="9" l="1"/>
  <c r="P26" i="9"/>
  <c r="L27" i="9"/>
  <c r="M27" i="9"/>
  <c r="O26" i="9"/>
  <c r="Q27" i="9"/>
  <c r="N27" i="9"/>
  <c r="R27" i="9"/>
  <c r="Y29" i="7"/>
  <c r="F28" i="9"/>
  <c r="Y29" i="6"/>
  <c r="E28" i="9"/>
  <c r="C27" i="9"/>
  <c r="J27" i="9" s="1"/>
  <c r="Y28" i="4"/>
  <c r="Y28" i="5"/>
  <c r="D27" i="9"/>
  <c r="K27" i="9" s="1"/>
  <c r="Y29" i="1"/>
  <c r="A28" i="9"/>
  <c r="Y29" i="3"/>
  <c r="B28" i="9"/>
  <c r="P27" i="9" l="1"/>
  <c r="M28" i="9"/>
  <c r="Q28" i="9"/>
  <c r="N28" i="9"/>
  <c r="R28" i="9"/>
  <c r="I28" i="9"/>
  <c r="L28" i="9"/>
  <c r="O27" i="9"/>
  <c r="Y30" i="6"/>
  <c r="E29" i="9"/>
  <c r="C28" i="9"/>
  <c r="J28" i="9" s="1"/>
  <c r="Y29" i="4"/>
  <c r="Y29" i="5"/>
  <c r="D28" i="9"/>
  <c r="K28" i="9" s="1"/>
  <c r="Y30" i="7"/>
  <c r="F29" i="9"/>
  <c r="Y30" i="1"/>
  <c r="A29" i="9"/>
  <c r="Y30" i="3"/>
  <c r="B29" i="9"/>
  <c r="Q29" i="9" l="1"/>
  <c r="N29" i="9"/>
  <c r="R29" i="9"/>
  <c r="O28" i="9"/>
  <c r="P28" i="9"/>
  <c r="L29" i="9"/>
  <c r="I29" i="9"/>
  <c r="M29" i="9"/>
  <c r="C29" i="9"/>
  <c r="J29" i="9" s="1"/>
  <c r="Y30" i="4"/>
  <c r="Y31" i="7"/>
  <c r="F30" i="9"/>
  <c r="Y30" i="5"/>
  <c r="D29" i="9"/>
  <c r="K29" i="9" s="1"/>
  <c r="Y31" i="6"/>
  <c r="E30" i="9"/>
  <c r="Y31" i="1"/>
  <c r="A30" i="9"/>
  <c r="Y31" i="3"/>
  <c r="B30" i="9"/>
  <c r="N30" i="9" l="1"/>
  <c r="R30" i="9"/>
  <c r="Q30" i="9"/>
  <c r="I30" i="9"/>
  <c r="L30" i="9"/>
  <c r="M30" i="9"/>
  <c r="P29" i="9"/>
  <c r="O29" i="9"/>
  <c r="Y32" i="7"/>
  <c r="F31" i="9"/>
  <c r="Y32" i="6"/>
  <c r="E31" i="9"/>
  <c r="C30" i="9"/>
  <c r="J30" i="9" s="1"/>
  <c r="Y31" i="4"/>
  <c r="Y31" i="5"/>
  <c r="D30" i="9"/>
  <c r="K30" i="9" s="1"/>
  <c r="Y32" i="1"/>
  <c r="A31" i="9"/>
  <c r="Y32" i="3"/>
  <c r="B31" i="9"/>
  <c r="P30" i="9" l="1"/>
  <c r="M31" i="9"/>
  <c r="O30" i="9"/>
  <c r="Q31" i="9"/>
  <c r="N31" i="9"/>
  <c r="R31" i="9"/>
  <c r="I31" i="9"/>
  <c r="L31" i="9"/>
  <c r="Y33" i="6"/>
  <c r="E32" i="9"/>
  <c r="C31" i="9"/>
  <c r="J31" i="9" s="1"/>
  <c r="Y32" i="4"/>
  <c r="Y32" i="5"/>
  <c r="D31" i="9"/>
  <c r="K31" i="9" s="1"/>
  <c r="Y33" i="7"/>
  <c r="F32" i="9"/>
  <c r="M32" i="9" s="1"/>
  <c r="Y33" i="1"/>
  <c r="A32" i="9"/>
  <c r="Y33" i="3"/>
  <c r="B32" i="9"/>
  <c r="I32" i="9" s="1"/>
  <c r="Q32" i="9" l="1"/>
  <c r="N32" i="9"/>
  <c r="R32" i="9"/>
  <c r="L32" i="9"/>
  <c r="P31" i="9"/>
  <c r="O31" i="9"/>
  <c r="Y34" i="7"/>
  <c r="F33" i="9"/>
  <c r="C32" i="9"/>
  <c r="J32" i="9" s="1"/>
  <c r="Y33" i="4"/>
  <c r="Y33" i="5"/>
  <c r="D32" i="9"/>
  <c r="K32" i="9" s="1"/>
  <c r="Y34" i="6"/>
  <c r="E33" i="9"/>
  <c r="Y34" i="1"/>
  <c r="A33" i="9"/>
  <c r="Y34" i="3"/>
  <c r="B33" i="9"/>
  <c r="I33" i="9" l="1"/>
  <c r="L33" i="9"/>
  <c r="Q33" i="9"/>
  <c r="N33" i="9"/>
  <c r="R33" i="9"/>
  <c r="M33" i="9"/>
  <c r="O32" i="9"/>
  <c r="P32" i="9"/>
  <c r="C33" i="9"/>
  <c r="J33" i="9" s="1"/>
  <c r="Y34" i="4"/>
  <c r="Y35" i="6"/>
  <c r="E34" i="9"/>
  <c r="L34" i="9" s="1"/>
  <c r="Y34" i="5"/>
  <c r="D33" i="9"/>
  <c r="K33" i="9" s="1"/>
  <c r="Y35" i="7"/>
  <c r="F34" i="9"/>
  <c r="M34" i="9" s="1"/>
  <c r="Y35" i="1"/>
  <c r="A34" i="9"/>
  <c r="Y35" i="3"/>
  <c r="B34" i="9"/>
  <c r="I34" i="9" s="1"/>
  <c r="N34" i="9" l="1"/>
  <c r="R34" i="9"/>
  <c r="Q34" i="9"/>
  <c r="P33" i="9"/>
  <c r="O33" i="9"/>
  <c r="C34" i="9"/>
  <c r="J34" i="9" s="1"/>
  <c r="Y35" i="4"/>
  <c r="Y36" i="7"/>
  <c r="F35" i="9"/>
  <c r="Y36" i="6"/>
  <c r="E35" i="9"/>
  <c r="Y35" i="5"/>
  <c r="D34" i="9"/>
  <c r="K34" i="9" s="1"/>
  <c r="Y36" i="1"/>
  <c r="A35" i="9"/>
  <c r="Y36" i="3"/>
  <c r="B35" i="9"/>
  <c r="P34" i="9" l="1"/>
  <c r="I35" i="9"/>
  <c r="M35" i="9"/>
  <c r="O34" i="9"/>
  <c r="Q35" i="9"/>
  <c r="N35" i="9"/>
  <c r="R35" i="9"/>
  <c r="P35" i="9"/>
  <c r="L35" i="9"/>
  <c r="Y36" i="5"/>
  <c r="D35" i="9"/>
  <c r="K35" i="9" s="1"/>
  <c r="Y37" i="7"/>
  <c r="F36" i="9"/>
  <c r="M36" i="9" s="1"/>
  <c r="C35" i="9"/>
  <c r="J35" i="9" s="1"/>
  <c r="Y36" i="4"/>
  <c r="Y37" i="6"/>
  <c r="E36" i="9"/>
  <c r="L36" i="9" s="1"/>
  <c r="Y37" i="1"/>
  <c r="A36" i="9"/>
  <c r="Y37" i="3"/>
  <c r="B36" i="9"/>
  <c r="I36" i="9" s="1"/>
  <c r="Q36" i="9" l="1"/>
  <c r="N36" i="9"/>
  <c r="R36" i="9"/>
  <c r="O35" i="9"/>
  <c r="C36" i="9"/>
  <c r="J36" i="9" s="1"/>
  <c r="Y37" i="4"/>
  <c r="Y38" i="6"/>
  <c r="E37" i="9"/>
  <c r="Y38" i="7"/>
  <c r="F37" i="9"/>
  <c r="Y37" i="5"/>
  <c r="D36" i="9"/>
  <c r="K36" i="9" s="1"/>
  <c r="Y38" i="1"/>
  <c r="A37" i="9"/>
  <c r="Y38" i="3"/>
  <c r="B37" i="9"/>
  <c r="Q37" i="9" l="1"/>
  <c r="N37" i="9"/>
  <c r="R37" i="9"/>
  <c r="L37" i="9"/>
  <c r="M37" i="9"/>
  <c r="I37" i="9"/>
  <c r="O36" i="9"/>
  <c r="P36" i="9"/>
  <c r="Y39" i="6"/>
  <c r="E38" i="9"/>
  <c r="C37" i="9"/>
  <c r="J37" i="9" s="1"/>
  <c r="Y38" i="4"/>
  <c r="Y38" i="5"/>
  <c r="D37" i="9"/>
  <c r="K37" i="9" s="1"/>
  <c r="Y39" i="7"/>
  <c r="F38" i="9"/>
  <c r="Y39" i="1"/>
  <c r="A38" i="9"/>
  <c r="Y39" i="3"/>
  <c r="B38" i="9"/>
  <c r="N38" i="9" l="1"/>
  <c r="R38" i="9"/>
  <c r="O38" i="9"/>
  <c r="Q38" i="9"/>
  <c r="L38" i="9"/>
  <c r="I38" i="9"/>
  <c r="M38" i="9"/>
  <c r="P37" i="9"/>
  <c r="O37" i="9"/>
  <c r="C38" i="9"/>
  <c r="J38" i="9" s="1"/>
  <c r="Y39" i="4"/>
  <c r="Y40" i="7"/>
  <c r="F39" i="9"/>
  <c r="Y39" i="5"/>
  <c r="D38" i="9"/>
  <c r="K38" i="9" s="1"/>
  <c r="Y40" i="6"/>
  <c r="E39" i="9"/>
  <c r="Y40" i="1"/>
  <c r="A39" i="9"/>
  <c r="Y40" i="3"/>
  <c r="B39" i="9"/>
  <c r="Q39" i="9" l="1"/>
  <c r="N39" i="9"/>
  <c r="R39" i="9"/>
  <c r="O39" i="9"/>
  <c r="P38" i="9"/>
  <c r="I39" i="9"/>
  <c r="L39" i="9"/>
  <c r="M39" i="9"/>
  <c r="Y41" i="6"/>
  <c r="E40" i="9"/>
  <c r="Y41" i="7"/>
  <c r="F40" i="9"/>
  <c r="C39" i="9"/>
  <c r="J39" i="9" s="1"/>
  <c r="Y40" i="4"/>
  <c r="Y40" i="5"/>
  <c r="D39" i="9"/>
  <c r="K39" i="9" s="1"/>
  <c r="Y41" i="1"/>
  <c r="A40" i="9"/>
  <c r="Y41" i="3"/>
  <c r="B40" i="9"/>
  <c r="I40" i="9" s="1"/>
  <c r="L40" i="9" l="1"/>
  <c r="Q40" i="9"/>
  <c r="N40" i="9"/>
  <c r="R40" i="9"/>
  <c r="M40" i="9"/>
  <c r="P39" i="9"/>
  <c r="Y41" i="5"/>
  <c r="D40" i="9"/>
  <c r="K40" i="9" s="1"/>
  <c r="Y42" i="7"/>
  <c r="F41" i="9"/>
  <c r="C40" i="9"/>
  <c r="J40" i="9" s="1"/>
  <c r="Y41" i="4"/>
  <c r="Y42" i="6"/>
  <c r="E41" i="9"/>
  <c r="Y42" i="1"/>
  <c r="A41" i="9"/>
  <c r="Y42" i="3"/>
  <c r="B41" i="9"/>
  <c r="I41" i="9" l="1"/>
  <c r="M41" i="9"/>
  <c r="L41" i="9"/>
  <c r="Q41" i="9"/>
  <c r="R41" i="9"/>
  <c r="N41" i="9"/>
  <c r="O40" i="9"/>
  <c r="P40" i="9"/>
  <c r="Y43" i="6"/>
  <c r="E42" i="9"/>
  <c r="C41" i="9"/>
  <c r="J41" i="9" s="1"/>
  <c r="Y42" i="4"/>
  <c r="Y43" i="7"/>
  <c r="F42" i="9"/>
  <c r="Y42" i="5"/>
  <c r="D41" i="9"/>
  <c r="K41" i="9" s="1"/>
  <c r="Y43" i="1"/>
  <c r="A42" i="9"/>
  <c r="Y43" i="3"/>
  <c r="B42" i="9"/>
  <c r="O41" i="9" l="1"/>
  <c r="I42" i="9"/>
  <c r="P41" i="9"/>
  <c r="N42" i="9"/>
  <c r="R42" i="9"/>
  <c r="Q42" i="9"/>
  <c r="M42" i="9"/>
  <c r="L42" i="9"/>
  <c r="C42" i="9"/>
  <c r="J42" i="9" s="1"/>
  <c r="Y43" i="4"/>
  <c r="Y43" i="5"/>
  <c r="D42" i="9"/>
  <c r="K42" i="9" s="1"/>
  <c r="Y44" i="7"/>
  <c r="F43" i="9"/>
  <c r="Y44" i="6"/>
  <c r="E43" i="9"/>
  <c r="L43" i="9" s="1"/>
  <c r="Y44" i="1"/>
  <c r="A43" i="9"/>
  <c r="Y44" i="3"/>
  <c r="B43" i="9"/>
  <c r="I43" i="9" s="1"/>
  <c r="O42" i="9" l="1"/>
  <c r="Q43" i="9"/>
  <c r="N43" i="9"/>
  <c r="R43" i="9"/>
  <c r="O43" i="9"/>
  <c r="M43" i="9"/>
  <c r="P42" i="9"/>
  <c r="Y45" i="6"/>
  <c r="E44" i="9"/>
  <c r="C43" i="9"/>
  <c r="J43" i="9" s="1"/>
  <c r="Y44" i="4"/>
  <c r="Y44" i="5"/>
  <c r="D43" i="9"/>
  <c r="K43" i="9" s="1"/>
  <c r="Y45" i="7"/>
  <c r="F44" i="9"/>
  <c r="Y45" i="1"/>
  <c r="A44" i="9"/>
  <c r="Y45" i="3"/>
  <c r="B44" i="9"/>
  <c r="I44" i="9" l="1"/>
  <c r="M44" i="9"/>
  <c r="Q44" i="9"/>
  <c r="N44" i="9"/>
  <c r="R44" i="9"/>
  <c r="O44" i="9"/>
  <c r="L44" i="9"/>
  <c r="P43" i="9"/>
  <c r="C44" i="9"/>
  <c r="J44" i="9" s="1"/>
  <c r="Y45" i="4"/>
  <c r="Y46" i="7"/>
  <c r="F45" i="9"/>
  <c r="Y45" i="5"/>
  <c r="D44" i="9"/>
  <c r="K44" i="9" s="1"/>
  <c r="Y46" i="6"/>
  <c r="E45" i="9"/>
  <c r="L45" i="9" s="1"/>
  <c r="Y46" i="1"/>
  <c r="A45" i="9"/>
  <c r="Y46" i="3"/>
  <c r="B45" i="9"/>
  <c r="I45" i="9" s="1"/>
  <c r="Q45" i="9" l="1"/>
  <c r="N45" i="9"/>
  <c r="R45" i="9"/>
  <c r="P44" i="9"/>
  <c r="M45" i="9"/>
  <c r="Y47" i="7"/>
  <c r="F46" i="9"/>
  <c r="Y47" i="6"/>
  <c r="E46" i="9"/>
  <c r="C45" i="9"/>
  <c r="J45" i="9" s="1"/>
  <c r="Y46" i="4"/>
  <c r="Y46" i="5"/>
  <c r="D45" i="9"/>
  <c r="K45" i="9" s="1"/>
  <c r="Y47" i="1"/>
  <c r="A46" i="9"/>
  <c r="Y47" i="3"/>
  <c r="B46" i="9"/>
  <c r="I46" i="9" l="1"/>
  <c r="L46" i="9"/>
  <c r="P45" i="9"/>
  <c r="N46" i="9"/>
  <c r="R46" i="9"/>
  <c r="Q46" i="9"/>
  <c r="M46" i="9"/>
  <c r="O45" i="9"/>
  <c r="Y47" i="5"/>
  <c r="D46" i="9"/>
  <c r="K46" i="9" s="1"/>
  <c r="C46" i="9"/>
  <c r="J46" i="9" s="1"/>
  <c r="Y47" i="4"/>
  <c r="Y48" i="6"/>
  <c r="E47" i="9"/>
  <c r="Y48" i="7"/>
  <c r="F47" i="9"/>
  <c r="Y48" i="1"/>
  <c r="A47" i="9"/>
  <c r="Y48" i="3"/>
  <c r="B47" i="9"/>
  <c r="Q47" i="9" l="1"/>
  <c r="N47" i="9"/>
  <c r="R47" i="9"/>
  <c r="L47" i="9"/>
  <c r="P46" i="9"/>
  <c r="I47" i="9"/>
  <c r="M47" i="9"/>
  <c r="O46" i="9"/>
  <c r="Y49" i="7"/>
  <c r="F48" i="9"/>
  <c r="C47" i="9"/>
  <c r="J47" i="9" s="1"/>
  <c r="Y48" i="4"/>
  <c r="Y49" i="6"/>
  <c r="E48" i="9"/>
  <c r="L48" i="9" s="1"/>
  <c r="Y48" i="5"/>
  <c r="D47" i="9"/>
  <c r="K47" i="9" s="1"/>
  <c r="Y49" i="1"/>
  <c r="A48" i="9"/>
  <c r="Y49" i="3"/>
  <c r="B48" i="9"/>
  <c r="O47" i="9" l="1"/>
  <c r="I48" i="9"/>
  <c r="Q48" i="9"/>
  <c r="N48" i="9"/>
  <c r="R48" i="9"/>
  <c r="M48" i="9"/>
  <c r="P47" i="9"/>
  <c r="Y49" i="5"/>
  <c r="D48" i="9"/>
  <c r="K48" i="9" s="1"/>
  <c r="C48" i="9"/>
  <c r="J48" i="9" s="1"/>
  <c r="Y49" i="4"/>
  <c r="Y50" i="6"/>
  <c r="E49" i="9"/>
  <c r="Y50" i="7"/>
  <c r="F49" i="9"/>
  <c r="Y50" i="1"/>
  <c r="A49" i="9"/>
  <c r="Y50" i="3"/>
  <c r="B49" i="9"/>
  <c r="M49" i="9" l="1"/>
  <c r="I49" i="9"/>
  <c r="Q49" i="9"/>
  <c r="N49" i="9"/>
  <c r="R49" i="9"/>
  <c r="L49" i="9"/>
  <c r="O48" i="9"/>
  <c r="P48" i="9"/>
  <c r="Y51" i="7"/>
  <c r="F50" i="9"/>
  <c r="C49" i="9"/>
  <c r="J49" i="9" s="1"/>
  <c r="Y50" i="4"/>
  <c r="Y51" i="6"/>
  <c r="E50" i="9"/>
  <c r="Y50" i="5"/>
  <c r="D49" i="9"/>
  <c r="K49" i="9" s="1"/>
  <c r="Y51" i="1"/>
  <c r="A50" i="9"/>
  <c r="Y51" i="3"/>
  <c r="B50" i="9"/>
  <c r="L50" i="9" l="1"/>
  <c r="I50" i="9"/>
  <c r="N50" i="9"/>
  <c r="R50" i="9"/>
  <c r="Q50" i="9"/>
  <c r="M50" i="9"/>
  <c r="P49" i="9"/>
  <c r="O49" i="9"/>
  <c r="Y51" i="5"/>
  <c r="D50" i="9"/>
  <c r="K50" i="9" s="1"/>
  <c r="C50" i="9"/>
  <c r="J50" i="9" s="1"/>
  <c r="Y51" i="4"/>
  <c r="Y52" i="6"/>
  <c r="E51" i="9"/>
  <c r="Y52" i="7"/>
  <c r="F51" i="9"/>
  <c r="Y52" i="1"/>
  <c r="A51" i="9"/>
  <c r="Y52" i="3"/>
  <c r="B51" i="9"/>
  <c r="I51" i="9" l="1"/>
  <c r="M51" i="9"/>
  <c r="P50" i="9"/>
  <c r="L51" i="9"/>
  <c r="O50" i="9"/>
  <c r="Q51" i="9"/>
  <c r="N51" i="9"/>
  <c r="R51" i="9"/>
  <c r="Y53" i="7"/>
  <c r="F52" i="9"/>
  <c r="C51" i="9"/>
  <c r="J51" i="9" s="1"/>
  <c r="Y52" i="4"/>
  <c r="Y53" i="6"/>
  <c r="E52" i="9"/>
  <c r="Y52" i="5"/>
  <c r="D51" i="9"/>
  <c r="K51" i="9" s="1"/>
  <c r="Y53" i="1"/>
  <c r="A52" i="9"/>
  <c r="Y53" i="3"/>
  <c r="B52" i="9"/>
  <c r="I52" i="9" s="1"/>
  <c r="P51" i="9" l="1"/>
  <c r="O51" i="9"/>
  <c r="Q52" i="9"/>
  <c r="N52" i="9"/>
  <c r="R52" i="9"/>
  <c r="L52" i="9"/>
  <c r="M52" i="9"/>
  <c r="C52" i="9"/>
  <c r="J52" i="9" s="1"/>
  <c r="Y53" i="4"/>
  <c r="Y53" i="5"/>
  <c r="D52" i="9"/>
  <c r="K52" i="9" s="1"/>
  <c r="Y54" i="6"/>
  <c r="E53" i="9"/>
  <c r="Y54" i="7"/>
  <c r="F53" i="9"/>
  <c r="Y54" i="1"/>
  <c r="A53" i="9"/>
  <c r="Y54" i="3"/>
  <c r="B53" i="9"/>
  <c r="P52" i="9" l="1"/>
  <c r="O52" i="9"/>
  <c r="L53" i="9"/>
  <c r="P53" i="9"/>
  <c r="Q53" i="9"/>
  <c r="N53" i="9"/>
  <c r="R53" i="9"/>
  <c r="I53" i="9"/>
  <c r="M53" i="9"/>
  <c r="Y54" i="5"/>
  <c r="D53" i="9"/>
  <c r="K53" i="9" s="1"/>
  <c r="C53" i="9"/>
  <c r="J53" i="9" s="1"/>
  <c r="Y54" i="4"/>
  <c r="Y55" i="7"/>
  <c r="F54" i="9"/>
  <c r="Y55" i="6"/>
  <c r="E54" i="9"/>
  <c r="L54" i="9" s="1"/>
  <c r="Y55" i="1"/>
  <c r="A54" i="9"/>
  <c r="Y55" i="3"/>
  <c r="B54" i="9"/>
  <c r="I54" i="9" s="1"/>
  <c r="N54" i="9" l="1"/>
  <c r="R54" i="9"/>
  <c r="Q54" i="9"/>
  <c r="M54" i="9"/>
  <c r="O53" i="9"/>
  <c r="C54" i="9"/>
  <c r="J54" i="9" s="1"/>
  <c r="Y55" i="4"/>
  <c r="Y56" i="6"/>
  <c r="E55" i="9"/>
  <c r="Y56" i="7"/>
  <c r="F55" i="9"/>
  <c r="Y55" i="5"/>
  <c r="D54" i="9"/>
  <c r="K54" i="9" s="1"/>
  <c r="Y56" i="1"/>
  <c r="A55" i="9"/>
  <c r="Y56" i="3"/>
  <c r="B55" i="9"/>
  <c r="P54" i="9" l="1"/>
  <c r="I55" i="9"/>
  <c r="L55" i="9"/>
  <c r="O54" i="9"/>
  <c r="Q55" i="9"/>
  <c r="N55" i="9"/>
  <c r="R55" i="9"/>
  <c r="M55" i="9"/>
  <c r="Y57" i="6"/>
  <c r="E56" i="9"/>
  <c r="Y56" i="5"/>
  <c r="D55" i="9"/>
  <c r="K55" i="9" s="1"/>
  <c r="C55" i="9"/>
  <c r="J55" i="9" s="1"/>
  <c r="Y56" i="4"/>
  <c r="Y57" i="7"/>
  <c r="F56" i="9"/>
  <c r="M56" i="9" s="1"/>
  <c r="Y57" i="1"/>
  <c r="A56" i="9"/>
  <c r="Y57" i="3"/>
  <c r="B56" i="9"/>
  <c r="I56" i="9" s="1"/>
  <c r="P55" i="9" l="1"/>
  <c r="Q56" i="9"/>
  <c r="N56" i="9"/>
  <c r="R56" i="9"/>
  <c r="L56" i="9"/>
  <c r="O55" i="9"/>
  <c r="Y58" i="7"/>
  <c r="F57" i="9"/>
  <c r="C56" i="9"/>
  <c r="J56" i="9" s="1"/>
  <c r="Y57" i="4"/>
  <c r="Y57" i="5"/>
  <c r="D56" i="9"/>
  <c r="K56" i="9" s="1"/>
  <c r="Y58" i="6"/>
  <c r="E57" i="9"/>
  <c r="Y58" i="1"/>
  <c r="A57" i="9"/>
  <c r="Y58" i="3"/>
  <c r="B57" i="9"/>
  <c r="L57" i="9" l="1"/>
  <c r="I57" i="9"/>
  <c r="Q57" i="9"/>
  <c r="R57" i="9"/>
  <c r="N57" i="9"/>
  <c r="M57" i="9"/>
  <c r="O56" i="9"/>
  <c r="P56" i="9"/>
  <c r="C57" i="9"/>
  <c r="J57" i="9" s="1"/>
  <c r="Y58" i="4"/>
  <c r="Y59" i="6"/>
  <c r="E58" i="9"/>
  <c r="L58" i="9" s="1"/>
  <c r="Y58" i="5"/>
  <c r="D57" i="9"/>
  <c r="K57" i="9" s="1"/>
  <c r="Y59" i="7"/>
  <c r="F58" i="9"/>
  <c r="M58" i="9" s="1"/>
  <c r="Y59" i="1"/>
  <c r="A58" i="9"/>
  <c r="Y59" i="3"/>
  <c r="B58" i="9"/>
  <c r="I58" i="9" s="1"/>
  <c r="N58" i="9" l="1"/>
  <c r="R58" i="9"/>
  <c r="O58" i="9"/>
  <c r="P58" i="9"/>
  <c r="Q58" i="9"/>
  <c r="P57" i="9"/>
  <c r="O57" i="9"/>
  <c r="Y60" i="6"/>
  <c r="E59" i="9"/>
  <c r="C58" i="9"/>
  <c r="J58" i="9" s="1"/>
  <c r="Y59" i="4"/>
  <c r="Y60" i="7"/>
  <c r="F59" i="9"/>
  <c r="Y59" i="5"/>
  <c r="D58" i="9"/>
  <c r="K58" i="9" s="1"/>
  <c r="Y60" i="1"/>
  <c r="A59" i="9"/>
  <c r="Y60" i="3"/>
  <c r="B59" i="9"/>
  <c r="I59" i="9" s="1"/>
  <c r="Q59" i="9" l="1"/>
  <c r="N59" i="9"/>
  <c r="R59" i="9"/>
  <c r="O59" i="9"/>
  <c r="M59" i="9"/>
  <c r="L59" i="9"/>
  <c r="Y60" i="5"/>
  <c r="D59" i="9"/>
  <c r="K59" i="9" s="1"/>
  <c r="C59" i="9"/>
  <c r="J59" i="9" s="1"/>
  <c r="Y60" i="4"/>
  <c r="Y61" i="7"/>
  <c r="F60" i="9"/>
  <c r="Y61" i="6"/>
  <c r="E60" i="9"/>
  <c r="Y61" i="1"/>
  <c r="A60" i="9"/>
  <c r="Y61" i="3"/>
  <c r="B60" i="9"/>
  <c r="I60" i="9" l="1"/>
  <c r="L60" i="9"/>
  <c r="Q60" i="9"/>
  <c r="N60" i="9"/>
  <c r="R60" i="9"/>
  <c r="M60" i="9"/>
  <c r="P59" i="9"/>
  <c r="C60" i="9"/>
  <c r="J60" i="9" s="1"/>
  <c r="Y61" i="4"/>
  <c r="Y62" i="6"/>
  <c r="E61" i="9"/>
  <c r="Y62" i="7"/>
  <c r="F61" i="9"/>
  <c r="Y61" i="5"/>
  <c r="D60" i="9"/>
  <c r="K60" i="9" s="1"/>
  <c r="Y62" i="1"/>
  <c r="A61" i="9"/>
  <c r="Y62" i="3"/>
  <c r="B61" i="9"/>
  <c r="I61" i="9" l="1"/>
  <c r="L61" i="9"/>
  <c r="Q61" i="9"/>
  <c r="N61" i="9"/>
  <c r="R61" i="9"/>
  <c r="M61" i="9"/>
  <c r="O60" i="9"/>
  <c r="P60" i="9"/>
  <c r="Y62" i="5"/>
  <c r="D61" i="9"/>
  <c r="K61" i="9" s="1"/>
  <c r="Y63" i="6"/>
  <c r="E62" i="9"/>
  <c r="C61" i="9"/>
  <c r="J61" i="9" s="1"/>
  <c r="Y62" i="4"/>
  <c r="Y63" i="7"/>
  <c r="F62" i="9"/>
  <c r="Y63" i="1"/>
  <c r="A62" i="9"/>
  <c r="Y63" i="3"/>
  <c r="B62" i="9"/>
  <c r="P61" i="9" l="1"/>
  <c r="N62" i="9"/>
  <c r="R62" i="9"/>
  <c r="O62" i="9"/>
  <c r="Q62" i="9"/>
  <c r="O61" i="9"/>
  <c r="I62" i="9"/>
  <c r="M62" i="9"/>
  <c r="L62" i="9"/>
  <c r="Y64" i="7"/>
  <c r="F63" i="9"/>
  <c r="Y64" i="6"/>
  <c r="E63" i="9"/>
  <c r="C62" i="9"/>
  <c r="J62" i="9" s="1"/>
  <c r="Y63" i="4"/>
  <c r="Y63" i="5"/>
  <c r="D62" i="9"/>
  <c r="K62" i="9" s="1"/>
  <c r="Y64" i="1"/>
  <c r="A63" i="9"/>
  <c r="Y64" i="3"/>
  <c r="B63" i="9"/>
  <c r="M63" i="9" l="1"/>
  <c r="Q63" i="9"/>
  <c r="N63" i="9"/>
  <c r="R63" i="9"/>
  <c r="I63" i="9"/>
  <c r="L63" i="9"/>
  <c r="P62" i="9"/>
  <c r="Y64" i="5"/>
  <c r="D63" i="9"/>
  <c r="K63" i="9" s="1"/>
  <c r="Y65" i="6"/>
  <c r="E64" i="9"/>
  <c r="C63" i="9"/>
  <c r="J63" i="9" s="1"/>
  <c r="Y64" i="4"/>
  <c r="Y65" i="7"/>
  <c r="F64" i="9"/>
  <c r="Y65" i="1"/>
  <c r="A64" i="9"/>
  <c r="Y65" i="3"/>
  <c r="B64" i="9"/>
  <c r="I64" i="9" l="1"/>
  <c r="O63" i="9"/>
  <c r="Q64" i="9"/>
  <c r="N64" i="9"/>
  <c r="R64" i="9"/>
  <c r="P63" i="9"/>
  <c r="M64" i="9"/>
  <c r="L64" i="9"/>
  <c r="Y66" i="7"/>
  <c r="F65" i="9"/>
  <c r="Y66" i="6"/>
  <c r="E65" i="9"/>
  <c r="C64" i="9"/>
  <c r="J64" i="9" s="1"/>
  <c r="Y65" i="4"/>
  <c r="Y65" i="5"/>
  <c r="D64" i="9"/>
  <c r="K64" i="9" s="1"/>
  <c r="Y66" i="1"/>
  <c r="A65" i="9"/>
  <c r="Y66" i="3"/>
  <c r="B65" i="9"/>
  <c r="I65" i="9" s="1"/>
  <c r="L65" i="9" l="1"/>
  <c r="Q65" i="9"/>
  <c r="N65" i="9"/>
  <c r="R65" i="9"/>
  <c r="M65" i="9"/>
  <c r="O64" i="9"/>
  <c r="P64" i="9"/>
  <c r="Y66" i="5"/>
  <c r="D65" i="9"/>
  <c r="K65" i="9" s="1"/>
  <c r="Y67" i="6"/>
  <c r="E66" i="9"/>
  <c r="C65" i="9"/>
  <c r="J65" i="9" s="1"/>
  <c r="Y66" i="4"/>
  <c r="Y67" i="7"/>
  <c r="F66" i="9"/>
  <c r="Y67" i="1"/>
  <c r="A66" i="9"/>
  <c r="Y67" i="3"/>
  <c r="B66" i="9"/>
  <c r="I66" i="9" s="1"/>
  <c r="L66" i="9" l="1"/>
  <c r="M66" i="9"/>
  <c r="N66" i="9"/>
  <c r="R66" i="9"/>
  <c r="Q66" i="9"/>
  <c r="P65" i="9"/>
  <c r="O65" i="9"/>
  <c r="Y68" i="7"/>
  <c r="F67" i="9"/>
  <c r="Y68" i="6"/>
  <c r="E67" i="9"/>
  <c r="L67" i="9" s="1"/>
  <c r="C66" i="9"/>
  <c r="J66" i="9" s="1"/>
  <c r="Y67" i="4"/>
  <c r="Y67" i="5"/>
  <c r="D66" i="9"/>
  <c r="K66" i="9" s="1"/>
  <c r="Y68" i="1"/>
  <c r="A67" i="9"/>
  <c r="Y68" i="3"/>
  <c r="B67" i="9"/>
  <c r="I67" i="9" s="1"/>
  <c r="P66" i="9" l="1"/>
  <c r="O66" i="9"/>
  <c r="Q67" i="9"/>
  <c r="N67" i="9"/>
  <c r="R67" i="9"/>
  <c r="P67" i="9"/>
  <c r="M67" i="9"/>
  <c r="Y69" i="6"/>
  <c r="E68" i="9"/>
  <c r="C67" i="9"/>
  <c r="J67" i="9" s="1"/>
  <c r="Y68" i="4"/>
  <c r="Y68" i="5"/>
  <c r="D67" i="9"/>
  <c r="K67" i="9" s="1"/>
  <c r="Y69" i="7"/>
  <c r="F68" i="9"/>
  <c r="M68" i="9" s="1"/>
  <c r="Y69" i="1"/>
  <c r="A68" i="9"/>
  <c r="Y69" i="3"/>
  <c r="B68" i="9"/>
  <c r="I68" i="9" s="1"/>
  <c r="Q68" i="9" l="1"/>
  <c r="N68" i="9"/>
  <c r="R68" i="9"/>
  <c r="L68" i="9"/>
  <c r="O67" i="9"/>
  <c r="C68" i="9"/>
  <c r="J68" i="9" s="1"/>
  <c r="Y69" i="4"/>
  <c r="Y70" i="7"/>
  <c r="F69" i="9"/>
  <c r="Y69" i="5"/>
  <c r="D68" i="9"/>
  <c r="K68" i="9" s="1"/>
  <c r="Y70" i="6"/>
  <c r="E69" i="9"/>
  <c r="Y70" i="1"/>
  <c r="A69" i="9"/>
  <c r="Y70" i="3"/>
  <c r="B69" i="9"/>
  <c r="I69" i="9" l="1"/>
  <c r="L69" i="9"/>
  <c r="M69" i="9"/>
  <c r="Q69" i="9"/>
  <c r="R69" i="9"/>
  <c r="N69" i="9"/>
  <c r="O68" i="9"/>
  <c r="P68" i="9"/>
  <c r="Y71" i="6"/>
  <c r="E70" i="9"/>
  <c r="C69" i="9"/>
  <c r="J69" i="9" s="1"/>
  <c r="Y70" i="4"/>
  <c r="Y71" i="7"/>
  <c r="F70" i="9"/>
  <c r="Y70" i="5"/>
  <c r="D69" i="9"/>
  <c r="K69" i="9" s="1"/>
  <c r="Y71" i="1"/>
  <c r="A70" i="9"/>
  <c r="Y71" i="3"/>
  <c r="B70" i="9"/>
  <c r="I70" i="9" s="1"/>
  <c r="P69" i="9" l="1"/>
  <c r="O69" i="9"/>
  <c r="P70" i="9"/>
  <c r="Q70" i="9"/>
  <c r="R70" i="9"/>
  <c r="N70" i="9"/>
  <c r="M70" i="9"/>
  <c r="L70" i="9"/>
  <c r="Y71" i="5"/>
  <c r="D70" i="9"/>
  <c r="K70" i="9" s="1"/>
  <c r="C70" i="9"/>
  <c r="J70" i="9" s="1"/>
  <c r="Y71" i="4"/>
  <c r="Y72" i="7"/>
  <c r="F71" i="9"/>
  <c r="Y72" i="6"/>
  <c r="E71" i="9"/>
  <c r="Y72" i="1"/>
  <c r="A71" i="9"/>
  <c r="Y72" i="3"/>
  <c r="B71" i="9"/>
  <c r="Q71" i="9" l="1"/>
  <c r="N71" i="9"/>
  <c r="R71" i="9"/>
  <c r="M71" i="9"/>
  <c r="O70" i="9"/>
  <c r="I71" i="9"/>
  <c r="L71" i="9"/>
  <c r="C71" i="9"/>
  <c r="J71" i="9" s="1"/>
  <c r="Y72" i="4"/>
  <c r="Y73" i="6"/>
  <c r="E72" i="9"/>
  <c r="Y73" i="7"/>
  <c r="F72" i="9"/>
  <c r="Y72" i="5"/>
  <c r="D71" i="9"/>
  <c r="K71" i="9" s="1"/>
  <c r="Y73" i="1"/>
  <c r="A72" i="9"/>
  <c r="Y73" i="3"/>
  <c r="B72" i="9"/>
  <c r="O71" i="9" l="1"/>
  <c r="M72" i="9"/>
  <c r="Q72" i="9"/>
  <c r="N72" i="9"/>
  <c r="R72" i="9"/>
  <c r="I72" i="9"/>
  <c r="L72" i="9"/>
  <c r="P71" i="9"/>
  <c r="Y73" i="5"/>
  <c r="D72" i="9"/>
  <c r="K72" i="9" s="1"/>
  <c r="C72" i="9"/>
  <c r="J72" i="9" s="1"/>
  <c r="Y73" i="4"/>
  <c r="Y74" i="6"/>
  <c r="E73" i="9"/>
  <c r="Y74" i="7"/>
  <c r="F73" i="9"/>
  <c r="M73" i="9" s="1"/>
  <c r="Y74" i="1"/>
  <c r="A73" i="9"/>
  <c r="Y74" i="3"/>
  <c r="B73" i="9"/>
  <c r="I73" i="9" s="1"/>
  <c r="Q73" i="9" l="1"/>
  <c r="R73" i="9"/>
  <c r="N73" i="9"/>
  <c r="L73" i="9"/>
  <c r="O72" i="9"/>
  <c r="P72" i="9"/>
  <c r="C73" i="9"/>
  <c r="J73" i="9" s="1"/>
  <c r="Y74" i="4"/>
  <c r="Y75" i="7"/>
  <c r="F74" i="9"/>
  <c r="Y75" i="6"/>
  <c r="E74" i="9"/>
  <c r="Y74" i="5"/>
  <c r="D73" i="9"/>
  <c r="K73" i="9" s="1"/>
  <c r="Y75" i="1"/>
  <c r="A74" i="9"/>
  <c r="Y75" i="3"/>
  <c r="B74" i="9"/>
  <c r="I74" i="9" l="1"/>
  <c r="M74" i="9"/>
  <c r="N74" i="9"/>
  <c r="R74" i="9"/>
  <c r="Q74" i="9"/>
  <c r="P73" i="9"/>
  <c r="L74" i="9"/>
  <c r="O73" i="9"/>
  <c r="Y75" i="5"/>
  <c r="D74" i="9"/>
  <c r="K74" i="9" s="1"/>
  <c r="C74" i="9"/>
  <c r="J74" i="9" s="1"/>
  <c r="Y75" i="4"/>
  <c r="Y76" i="7"/>
  <c r="F75" i="9"/>
  <c r="Y76" i="6"/>
  <c r="E75" i="9"/>
  <c r="Y76" i="1"/>
  <c r="A75" i="9"/>
  <c r="Y76" i="3"/>
  <c r="B75" i="9"/>
  <c r="I75" i="9" l="1"/>
  <c r="L75" i="9"/>
  <c r="P74" i="9"/>
  <c r="O74" i="9"/>
  <c r="M75" i="9"/>
  <c r="Q75" i="9"/>
  <c r="N75" i="9"/>
  <c r="R75" i="9"/>
  <c r="C75" i="9"/>
  <c r="J75" i="9" s="1"/>
  <c r="Y76" i="4"/>
  <c r="Y77" i="6"/>
  <c r="E76" i="9"/>
  <c r="L76" i="9" s="1"/>
  <c r="Y77" i="7"/>
  <c r="F76" i="9"/>
  <c r="Y76" i="5"/>
  <c r="D75" i="9"/>
  <c r="K75" i="9" s="1"/>
  <c r="Y77" i="1"/>
  <c r="A76" i="9"/>
  <c r="Y77" i="3"/>
  <c r="B76" i="9"/>
  <c r="I76" i="9" s="1"/>
  <c r="P75" i="9" l="1"/>
  <c r="O75" i="9"/>
  <c r="Q76" i="9"/>
  <c r="N76" i="9"/>
  <c r="R76" i="9"/>
  <c r="M76" i="9"/>
  <c r="Y77" i="5"/>
  <c r="D76" i="9"/>
  <c r="K76" i="9" s="1"/>
  <c r="Y78" i="6"/>
  <c r="E77" i="9"/>
  <c r="C76" i="9"/>
  <c r="J76" i="9" s="1"/>
  <c r="Y77" i="4"/>
  <c r="Y78" i="7"/>
  <c r="F77" i="9"/>
  <c r="Y78" i="1"/>
  <c r="A77" i="9"/>
  <c r="Y78" i="3"/>
  <c r="B77" i="9"/>
  <c r="I77" i="9" l="1"/>
  <c r="L77" i="9"/>
  <c r="M77" i="9"/>
  <c r="O76" i="9"/>
  <c r="P76" i="9"/>
  <c r="Q77" i="9"/>
  <c r="N77" i="9"/>
  <c r="R77" i="9"/>
  <c r="Y79" i="7"/>
  <c r="F78" i="9"/>
  <c r="Y79" i="6"/>
  <c r="E78" i="9"/>
  <c r="C77" i="9"/>
  <c r="J77" i="9" s="1"/>
  <c r="Y78" i="4"/>
  <c r="Y78" i="5"/>
  <c r="D77" i="9"/>
  <c r="K77" i="9" s="1"/>
  <c r="Y79" i="1"/>
  <c r="A78" i="9"/>
  <c r="Y79" i="3"/>
  <c r="B78" i="9"/>
  <c r="M78" i="9" l="1"/>
  <c r="P77" i="9"/>
  <c r="I78" i="9"/>
  <c r="L78" i="9"/>
  <c r="O77" i="9"/>
  <c r="N78" i="9"/>
  <c r="R78" i="9"/>
  <c r="Q78" i="9"/>
  <c r="Y80" i="6"/>
  <c r="E79" i="9"/>
  <c r="C78" i="9"/>
  <c r="J78" i="9" s="1"/>
  <c r="Y79" i="4"/>
  <c r="Y79" i="5"/>
  <c r="D78" i="9"/>
  <c r="K78" i="9" s="1"/>
  <c r="Y80" i="7"/>
  <c r="F79" i="9"/>
  <c r="Y80" i="1"/>
  <c r="A79" i="9"/>
  <c r="Y80" i="3"/>
  <c r="B79" i="9"/>
  <c r="O78" i="9" l="1"/>
  <c r="L79" i="9"/>
  <c r="Q79" i="9"/>
  <c r="N79" i="9"/>
  <c r="R79" i="9"/>
  <c r="I79" i="9"/>
  <c r="M79" i="9"/>
  <c r="P78" i="9"/>
  <c r="C79" i="9"/>
  <c r="J79" i="9" s="1"/>
  <c r="Y80" i="4"/>
  <c r="Y81" i="7"/>
  <c r="F80" i="9"/>
  <c r="M80" i="9" s="1"/>
  <c r="Y80" i="5"/>
  <c r="D79" i="9"/>
  <c r="K79" i="9" s="1"/>
  <c r="Y81" i="6"/>
  <c r="E80" i="9"/>
  <c r="L80" i="9" s="1"/>
  <c r="Y81" i="1"/>
  <c r="A80" i="9"/>
  <c r="Y81" i="3"/>
  <c r="B80" i="9"/>
  <c r="I80" i="9" s="1"/>
  <c r="O79" i="9" l="1"/>
  <c r="Q80" i="9"/>
  <c r="N80" i="9"/>
  <c r="R80" i="9"/>
  <c r="P79" i="9"/>
  <c r="Y82" i="7"/>
  <c r="F81" i="9"/>
  <c r="Y82" i="6"/>
  <c r="E81" i="9"/>
  <c r="C80" i="9"/>
  <c r="J80" i="9" s="1"/>
  <c r="Y81" i="4"/>
  <c r="Y81" i="5"/>
  <c r="D80" i="9"/>
  <c r="K80" i="9" s="1"/>
  <c r="Y82" i="1"/>
  <c r="A81" i="9"/>
  <c r="Y82" i="3"/>
  <c r="B81" i="9"/>
  <c r="Q81" i="9" l="1"/>
  <c r="N81" i="9"/>
  <c r="R81" i="9"/>
  <c r="M81" i="9"/>
  <c r="I81" i="9"/>
  <c r="L81" i="9"/>
  <c r="O80" i="9"/>
  <c r="P80" i="9"/>
  <c r="Y82" i="5"/>
  <c r="D81" i="9"/>
  <c r="K81" i="9" s="1"/>
  <c r="Y83" i="6"/>
  <c r="E82" i="9"/>
  <c r="C81" i="9"/>
  <c r="J81" i="9" s="1"/>
  <c r="Y82" i="4"/>
  <c r="Y83" i="7"/>
  <c r="F82" i="9"/>
  <c r="Y83" i="1"/>
  <c r="A82" i="9"/>
  <c r="Y83" i="3"/>
  <c r="B82" i="9"/>
  <c r="M82" i="9" l="1"/>
  <c r="P81" i="9"/>
  <c r="N82" i="9"/>
  <c r="R82" i="9"/>
  <c r="Q82" i="9"/>
  <c r="I82" i="9"/>
  <c r="L82" i="9"/>
  <c r="O81" i="9"/>
  <c r="Y84" i="6"/>
  <c r="E83" i="9"/>
  <c r="Y84" i="7"/>
  <c r="F83" i="9"/>
  <c r="C82" i="9"/>
  <c r="J82" i="9" s="1"/>
  <c r="Y83" i="4"/>
  <c r="Y83" i="5"/>
  <c r="D82" i="9"/>
  <c r="K82" i="9" s="1"/>
  <c r="Y84" i="1"/>
  <c r="A83" i="9"/>
  <c r="Y84" i="3"/>
  <c r="B83" i="9"/>
  <c r="L83" i="9" l="1"/>
  <c r="Q83" i="9"/>
  <c r="N83" i="9"/>
  <c r="R83" i="9"/>
  <c r="I83" i="9"/>
  <c r="M83" i="9"/>
  <c r="P82" i="9"/>
  <c r="O82" i="9"/>
  <c r="Y84" i="5"/>
  <c r="D83" i="9"/>
  <c r="K83" i="9" s="1"/>
  <c r="Y85" i="7"/>
  <c r="F84" i="9"/>
  <c r="C83" i="9"/>
  <c r="J83" i="9" s="1"/>
  <c r="Y84" i="4"/>
  <c r="Y85" i="6"/>
  <c r="E84" i="9"/>
  <c r="Y85" i="1"/>
  <c r="A84" i="9"/>
  <c r="Y85" i="3"/>
  <c r="B84" i="9"/>
  <c r="O83" i="9" l="1"/>
  <c r="Q84" i="9"/>
  <c r="N84" i="9"/>
  <c r="R84" i="9"/>
  <c r="I84" i="9"/>
  <c r="L84" i="9"/>
  <c r="M84" i="9"/>
  <c r="P83" i="9"/>
  <c r="Y86" i="6"/>
  <c r="E85" i="9"/>
  <c r="Y86" i="7"/>
  <c r="F85" i="9"/>
  <c r="C84" i="9"/>
  <c r="J84" i="9" s="1"/>
  <c r="Y85" i="4"/>
  <c r="Y85" i="5"/>
  <c r="D84" i="9"/>
  <c r="K84" i="9" s="1"/>
  <c r="Y86" i="1"/>
  <c r="A85" i="9"/>
  <c r="Y86" i="3"/>
  <c r="B85" i="9"/>
  <c r="L85" i="9" l="1"/>
  <c r="Q85" i="9"/>
  <c r="N85" i="9"/>
  <c r="R85" i="9"/>
  <c r="I85" i="9"/>
  <c r="M85" i="9"/>
  <c r="O84" i="9"/>
  <c r="P84" i="9"/>
  <c r="Y86" i="5"/>
  <c r="D85" i="9"/>
  <c r="K85" i="9" s="1"/>
  <c r="Y87" i="7"/>
  <c r="F86" i="9"/>
  <c r="C85" i="9"/>
  <c r="J85" i="9" s="1"/>
  <c r="Y86" i="4"/>
  <c r="Y87" i="6"/>
  <c r="E86" i="9"/>
  <c r="Y87" i="1"/>
  <c r="A86" i="9"/>
  <c r="Y87" i="3"/>
  <c r="B86" i="9"/>
  <c r="L86" i="9" l="1"/>
  <c r="I86" i="9"/>
  <c r="N86" i="9"/>
  <c r="R86" i="9"/>
  <c r="Q86" i="9"/>
  <c r="P85" i="9"/>
  <c r="M86" i="9"/>
  <c r="O85" i="9"/>
  <c r="Y88" i="7"/>
  <c r="F87" i="9"/>
  <c r="Y88" i="6"/>
  <c r="E87" i="9"/>
  <c r="C86" i="9"/>
  <c r="J86" i="9" s="1"/>
  <c r="Y87" i="4"/>
  <c r="Y87" i="5"/>
  <c r="D86" i="9"/>
  <c r="K86" i="9" s="1"/>
  <c r="Y88" i="1"/>
  <c r="A87" i="9"/>
  <c r="Y88" i="3"/>
  <c r="B87" i="9"/>
  <c r="I87" i="9" l="1"/>
  <c r="L87" i="9"/>
  <c r="O86" i="9"/>
  <c r="Q87" i="9"/>
  <c r="N87" i="9"/>
  <c r="R87" i="9"/>
  <c r="M87" i="9"/>
  <c r="P86" i="9"/>
  <c r="Y88" i="5"/>
  <c r="D87" i="9"/>
  <c r="K87" i="9" s="1"/>
  <c r="Y89" i="6"/>
  <c r="E88" i="9"/>
  <c r="C87" i="9"/>
  <c r="J87" i="9" s="1"/>
  <c r="Y88" i="4"/>
  <c r="Y89" i="7"/>
  <c r="F88" i="9"/>
  <c r="Y89" i="1"/>
  <c r="A88" i="9"/>
  <c r="Y89" i="3"/>
  <c r="B88" i="9"/>
  <c r="M88" i="9" l="1"/>
  <c r="L88" i="9"/>
  <c r="I88" i="9"/>
  <c r="O87" i="9"/>
  <c r="Q88" i="9"/>
  <c r="N88" i="9"/>
  <c r="R88" i="9"/>
  <c r="P87" i="9"/>
  <c r="Y90" i="6"/>
  <c r="E89" i="9"/>
  <c r="Y90" i="7"/>
  <c r="F89" i="9"/>
  <c r="M89" i="9" s="1"/>
  <c r="C88" i="9"/>
  <c r="J88" i="9" s="1"/>
  <c r="Y89" i="4"/>
  <c r="Y89" i="5"/>
  <c r="D88" i="9"/>
  <c r="K88" i="9" s="1"/>
  <c r="Y90" i="1"/>
  <c r="A89" i="9"/>
  <c r="Y90" i="3"/>
  <c r="B89" i="9"/>
  <c r="I89" i="9" s="1"/>
  <c r="P88" i="9" l="1"/>
  <c r="O88" i="9"/>
  <c r="Q89" i="9"/>
  <c r="R89" i="9"/>
  <c r="N89" i="9"/>
  <c r="L89" i="9"/>
  <c r="Y90" i="5"/>
  <c r="D89" i="9"/>
  <c r="K89" i="9" s="1"/>
  <c r="Y91" i="7"/>
  <c r="F90" i="9"/>
  <c r="C89" i="9"/>
  <c r="J89" i="9" s="1"/>
  <c r="Y90" i="4"/>
  <c r="Y91" i="6"/>
  <c r="E90" i="9"/>
  <c r="Y91" i="1"/>
  <c r="A90" i="9"/>
  <c r="Y91" i="3"/>
  <c r="B90" i="9"/>
  <c r="L90" i="9" l="1"/>
  <c r="O89" i="9"/>
  <c r="I90" i="9"/>
  <c r="M90" i="9"/>
  <c r="P89" i="9"/>
  <c r="N90" i="9"/>
  <c r="R90" i="9"/>
  <c r="O90" i="9"/>
  <c r="Q90" i="9"/>
  <c r="Y92" i="6"/>
  <c r="E91" i="9"/>
  <c r="Y92" i="7"/>
  <c r="F91" i="9"/>
  <c r="C90" i="9"/>
  <c r="J90" i="9" s="1"/>
  <c r="Y91" i="4"/>
  <c r="Y91" i="5"/>
  <c r="D90" i="9"/>
  <c r="K90" i="9" s="1"/>
  <c r="Y92" i="1"/>
  <c r="A91" i="9"/>
  <c r="Y92" i="3"/>
  <c r="B91" i="9"/>
  <c r="L91" i="9" l="1"/>
  <c r="Q91" i="9"/>
  <c r="N91" i="9"/>
  <c r="R91" i="9"/>
  <c r="I91" i="9"/>
  <c r="M91" i="9"/>
  <c r="P90" i="9"/>
  <c r="Y92" i="5"/>
  <c r="D91" i="9"/>
  <c r="K91" i="9" s="1"/>
  <c r="Y93" i="7"/>
  <c r="F92" i="9"/>
  <c r="C91" i="9"/>
  <c r="J91" i="9" s="1"/>
  <c r="Y92" i="4"/>
  <c r="Y93" i="6"/>
  <c r="E92" i="9"/>
  <c r="Y93" i="1"/>
  <c r="A92" i="9"/>
  <c r="Y93" i="3"/>
  <c r="B92" i="9"/>
  <c r="Q92" i="9" l="1"/>
  <c r="N92" i="9"/>
  <c r="R92" i="9"/>
  <c r="P91" i="9"/>
  <c r="I92" i="9"/>
  <c r="L92" i="9"/>
  <c r="M92" i="9"/>
  <c r="O91" i="9"/>
  <c r="Y94" i="7"/>
  <c r="F93" i="9"/>
  <c r="Y94" i="6"/>
  <c r="E93" i="9"/>
  <c r="C92" i="9"/>
  <c r="J92" i="9" s="1"/>
  <c r="Y93" i="4"/>
  <c r="Y93" i="5"/>
  <c r="D92" i="9"/>
  <c r="K92" i="9" s="1"/>
  <c r="Y94" i="1"/>
  <c r="A93" i="9"/>
  <c r="Y94" i="3"/>
  <c r="B93" i="9"/>
  <c r="M93" i="9" l="1"/>
  <c r="Q93" i="9"/>
  <c r="N93" i="9"/>
  <c r="R93" i="9"/>
  <c r="I93" i="9"/>
  <c r="L93" i="9"/>
  <c r="O92" i="9"/>
  <c r="P92" i="9"/>
  <c r="Y95" i="6"/>
  <c r="E94" i="9"/>
  <c r="Y94" i="5"/>
  <c r="D93" i="9"/>
  <c r="K93" i="9" s="1"/>
  <c r="C93" i="9"/>
  <c r="J93" i="9" s="1"/>
  <c r="Y94" i="4"/>
  <c r="Y95" i="7"/>
  <c r="F94" i="9"/>
  <c r="Y95" i="1"/>
  <c r="A94" i="9"/>
  <c r="Y95" i="3"/>
  <c r="B94" i="9"/>
  <c r="L94" i="9" l="1"/>
  <c r="P93" i="9"/>
  <c r="M94" i="9"/>
  <c r="O93" i="9"/>
  <c r="N94" i="9"/>
  <c r="R94" i="9"/>
  <c r="Q94" i="9"/>
  <c r="I94" i="9"/>
  <c r="Y95" i="5"/>
  <c r="D94" i="9"/>
  <c r="K94" i="9" s="1"/>
  <c r="Y96" i="7"/>
  <c r="F95" i="9"/>
  <c r="M95" i="9" s="1"/>
  <c r="C94" i="9"/>
  <c r="J94" i="9" s="1"/>
  <c r="Y95" i="4"/>
  <c r="Y96" i="6"/>
  <c r="E95" i="9"/>
  <c r="L95" i="9" s="1"/>
  <c r="Y96" i="1"/>
  <c r="A95" i="9"/>
  <c r="Y96" i="3"/>
  <c r="B95" i="9"/>
  <c r="I95" i="9" s="1"/>
  <c r="Q95" i="9" l="1"/>
  <c r="N95" i="9"/>
  <c r="R95" i="9"/>
  <c r="P94" i="9"/>
  <c r="O94" i="9"/>
  <c r="Y97" i="7"/>
  <c r="F96" i="9"/>
  <c r="Y97" i="6"/>
  <c r="E96" i="9"/>
  <c r="Y96" i="4"/>
  <c r="C95" i="9"/>
  <c r="J95" i="9" s="1"/>
  <c r="Y96" i="5"/>
  <c r="D95" i="9"/>
  <c r="K95" i="9" s="1"/>
  <c r="Y97" i="1"/>
  <c r="A96" i="9"/>
  <c r="Y97" i="3"/>
  <c r="B96" i="9"/>
  <c r="O95" i="9" l="1"/>
  <c r="I96" i="9"/>
  <c r="L96" i="9"/>
  <c r="Q96" i="9"/>
  <c r="N96" i="9"/>
  <c r="R96" i="9"/>
  <c r="M96" i="9"/>
  <c r="P95" i="9"/>
  <c r="Y97" i="5"/>
  <c r="D96" i="9"/>
  <c r="K96" i="9" s="1"/>
  <c r="Y98" i="6"/>
  <c r="E97" i="9"/>
  <c r="L97" i="9" s="1"/>
  <c r="C96" i="9"/>
  <c r="J96" i="9" s="1"/>
  <c r="Y97" i="4"/>
  <c r="Y98" i="7"/>
  <c r="F97" i="9"/>
  <c r="M97" i="9" s="1"/>
  <c r="Y98" i="1"/>
  <c r="A97" i="9"/>
  <c r="Y98" i="3"/>
  <c r="B97" i="9"/>
  <c r="I97" i="9" s="1"/>
  <c r="Q97" i="9" l="1"/>
  <c r="N97" i="9"/>
  <c r="R97" i="9"/>
  <c r="O96" i="9"/>
  <c r="P96" i="9"/>
  <c r="Y99" i="6"/>
  <c r="E98" i="9"/>
  <c r="Y99" i="7"/>
  <c r="F98" i="9"/>
  <c r="C97" i="9"/>
  <c r="J97" i="9" s="1"/>
  <c r="Y98" i="4"/>
  <c r="Y98" i="5"/>
  <c r="D97" i="9"/>
  <c r="K97" i="9" s="1"/>
  <c r="Y99" i="1"/>
  <c r="A98" i="9"/>
  <c r="Y99" i="3"/>
  <c r="B98" i="9"/>
  <c r="I98" i="9" l="1"/>
  <c r="M98" i="9"/>
  <c r="P97" i="9"/>
  <c r="N98" i="9"/>
  <c r="R98" i="9"/>
  <c r="P98" i="9"/>
  <c r="Q98" i="9"/>
  <c r="L98" i="9"/>
  <c r="O97" i="9"/>
  <c r="Y100" i="7"/>
  <c r="F99" i="9"/>
  <c r="Y99" i="5"/>
  <c r="D98" i="9"/>
  <c r="K98" i="9" s="1"/>
  <c r="C98" i="9"/>
  <c r="J98" i="9" s="1"/>
  <c r="Y99" i="4"/>
  <c r="Y100" i="6"/>
  <c r="E99" i="9"/>
  <c r="Y100" i="1"/>
  <c r="A99" i="9"/>
  <c r="Y100" i="3"/>
  <c r="B99" i="9"/>
  <c r="M99" i="9" l="1"/>
  <c r="Q99" i="9"/>
  <c r="N99" i="9"/>
  <c r="R99" i="9"/>
  <c r="I99" i="9"/>
  <c r="L99" i="9"/>
  <c r="O98" i="9"/>
  <c r="Y101" i="6"/>
  <c r="E100" i="9"/>
  <c r="Y100" i="5"/>
  <c r="D99" i="9"/>
  <c r="K99" i="9" s="1"/>
  <c r="C99" i="9"/>
  <c r="J99" i="9" s="1"/>
  <c r="Y100" i="4"/>
  <c r="Y101" i="7"/>
  <c r="F100" i="9"/>
  <c r="Y101" i="1"/>
  <c r="A100" i="9"/>
  <c r="Y101" i="3"/>
  <c r="B100" i="9"/>
  <c r="L100" i="9" l="1"/>
  <c r="Q100" i="9"/>
  <c r="N100" i="9"/>
  <c r="R100" i="9"/>
  <c r="P99" i="9"/>
  <c r="I100" i="9"/>
  <c r="M100" i="9"/>
  <c r="O99" i="9"/>
  <c r="Y101" i="5"/>
  <c r="D100" i="9"/>
  <c r="K100" i="9" s="1"/>
  <c r="Y102" i="7"/>
  <c r="F101" i="9"/>
  <c r="C100" i="9"/>
  <c r="J100" i="9" s="1"/>
  <c r="Y101" i="4"/>
  <c r="Y102" i="6"/>
  <c r="E101" i="9"/>
  <c r="Y102" i="1"/>
  <c r="A101" i="9"/>
  <c r="Y102" i="3"/>
  <c r="B101" i="9"/>
  <c r="Q101" i="9" l="1"/>
  <c r="N101" i="9"/>
  <c r="R101" i="9"/>
  <c r="M101" i="9"/>
  <c r="P100" i="9"/>
  <c r="I101" i="9"/>
  <c r="L101" i="9"/>
  <c r="O100" i="9"/>
  <c r="Y103" i="7"/>
  <c r="F102" i="9"/>
  <c r="Y103" i="6"/>
  <c r="E102" i="9"/>
  <c r="C101" i="9"/>
  <c r="J101" i="9" s="1"/>
  <c r="Y102" i="4"/>
  <c r="Y102" i="5"/>
  <c r="D101" i="9"/>
  <c r="K101" i="9" s="1"/>
  <c r="Y103" i="1"/>
  <c r="A102" i="9"/>
  <c r="Y103" i="3"/>
  <c r="B102" i="9"/>
  <c r="M102" i="9" l="1"/>
  <c r="N102" i="9"/>
  <c r="R102" i="9"/>
  <c r="Q102" i="9"/>
  <c r="L102" i="9"/>
  <c r="P101" i="9"/>
  <c r="I102" i="9"/>
  <c r="O101" i="9"/>
  <c r="Y103" i="5"/>
  <c r="D102" i="9"/>
  <c r="K102" i="9" s="1"/>
  <c r="Y104" i="6"/>
  <c r="E103" i="9"/>
  <c r="C102" i="9"/>
  <c r="J102" i="9" s="1"/>
  <c r="Y103" i="4"/>
  <c r="Y104" i="7"/>
  <c r="F103" i="9"/>
  <c r="Y104" i="1"/>
  <c r="A103" i="9"/>
  <c r="Y104" i="3"/>
  <c r="B103" i="9"/>
  <c r="Q103" i="9" l="1"/>
  <c r="N103" i="9"/>
  <c r="R103" i="9"/>
  <c r="O102" i="9"/>
  <c r="L103" i="9"/>
  <c r="I103" i="9"/>
  <c r="M103" i="9"/>
  <c r="P102" i="9"/>
  <c r="Y105" i="7"/>
  <c r="F104" i="9"/>
  <c r="Y105" i="6"/>
  <c r="E104" i="9"/>
  <c r="C103" i="9"/>
  <c r="J103" i="9" s="1"/>
  <c r="Y104" i="4"/>
  <c r="Y104" i="5"/>
  <c r="D103" i="9"/>
  <c r="K103" i="9" s="1"/>
  <c r="Y105" i="1"/>
  <c r="A104" i="9"/>
  <c r="Y105" i="3"/>
  <c r="B104" i="9"/>
  <c r="M104" i="9" l="1"/>
  <c r="O103" i="9"/>
  <c r="Q104" i="9"/>
  <c r="N104" i="9"/>
  <c r="R104" i="9"/>
  <c r="I104" i="9"/>
  <c r="L104" i="9"/>
  <c r="P103" i="9"/>
  <c r="Y106" i="6"/>
  <c r="E105" i="9"/>
  <c r="C104" i="9"/>
  <c r="J104" i="9" s="1"/>
  <c r="Y105" i="4"/>
  <c r="Y105" i="5"/>
  <c r="D104" i="9"/>
  <c r="K104" i="9" s="1"/>
  <c r="Y106" i="7"/>
  <c r="F105" i="9"/>
  <c r="Y106" i="1"/>
  <c r="A105" i="9"/>
  <c r="Y106" i="3"/>
  <c r="B105" i="9"/>
  <c r="O104" i="9" l="1"/>
  <c r="L105" i="9"/>
  <c r="P104" i="9"/>
  <c r="I105" i="9"/>
  <c r="M105" i="9"/>
  <c r="Q105" i="9"/>
  <c r="R105" i="9"/>
  <c r="N105" i="9"/>
  <c r="C105" i="9"/>
  <c r="J105" i="9" s="1"/>
  <c r="Y106" i="4"/>
  <c r="Y107" i="7"/>
  <c r="F106" i="9"/>
  <c r="Y106" i="5"/>
  <c r="D105" i="9"/>
  <c r="K105" i="9" s="1"/>
  <c r="Y107" i="6"/>
  <c r="E106" i="9"/>
  <c r="Y107" i="1"/>
  <c r="A106" i="9"/>
  <c r="Y107" i="3"/>
  <c r="B106" i="9"/>
  <c r="N106" i="9" l="1"/>
  <c r="R106" i="9"/>
  <c r="P106" i="9"/>
  <c r="Q106" i="9"/>
  <c r="P105" i="9"/>
  <c r="I106" i="9"/>
  <c r="L106" i="9"/>
  <c r="M106" i="9"/>
  <c r="O105" i="9"/>
  <c r="Y108" i="7"/>
  <c r="F107" i="9"/>
  <c r="C106" i="9"/>
  <c r="J106" i="9" s="1"/>
  <c r="Y107" i="4"/>
  <c r="Y108" i="6"/>
  <c r="E107" i="9"/>
  <c r="Y107" i="5"/>
  <c r="D106" i="9"/>
  <c r="K106" i="9" s="1"/>
  <c r="Y108" i="1"/>
  <c r="A107" i="9"/>
  <c r="Y108" i="3"/>
  <c r="B107" i="9"/>
  <c r="L107" i="9" l="1"/>
  <c r="O106" i="9"/>
  <c r="M107" i="9"/>
  <c r="Q107" i="9"/>
  <c r="N107" i="9"/>
  <c r="R107" i="9"/>
  <c r="I107" i="9"/>
  <c r="C107" i="9"/>
  <c r="J107" i="9" s="1"/>
  <c r="Y108" i="4"/>
  <c r="Y108" i="5"/>
  <c r="D107" i="9"/>
  <c r="K107" i="9" s="1"/>
  <c r="Y109" i="6"/>
  <c r="E108" i="9"/>
  <c r="Y109" i="7"/>
  <c r="F108" i="9"/>
  <c r="Y109" i="1"/>
  <c r="A108" i="9"/>
  <c r="Y109" i="3"/>
  <c r="B108" i="9"/>
  <c r="I108" i="9" l="1"/>
  <c r="M108" i="9"/>
  <c r="P107" i="9"/>
  <c r="Q108" i="9"/>
  <c r="N108" i="9"/>
  <c r="R108" i="9"/>
  <c r="L108" i="9"/>
  <c r="O107" i="9"/>
  <c r="Y109" i="5"/>
  <c r="D108" i="9"/>
  <c r="K108" i="9" s="1"/>
  <c r="Y110" i="7"/>
  <c r="F109" i="9"/>
  <c r="C108" i="9"/>
  <c r="J108" i="9" s="1"/>
  <c r="Y109" i="4"/>
  <c r="Y110" i="6"/>
  <c r="E109" i="9"/>
  <c r="Y110" i="1"/>
  <c r="A109" i="9"/>
  <c r="Y110" i="3"/>
  <c r="B109" i="9"/>
  <c r="I109" i="9" s="1"/>
  <c r="O108" i="9" l="1"/>
  <c r="L109" i="9"/>
  <c r="M109" i="9"/>
  <c r="Q109" i="9"/>
  <c r="N109" i="9"/>
  <c r="R109" i="9"/>
  <c r="P108" i="9"/>
  <c r="Y111" i="6"/>
  <c r="E110" i="9"/>
  <c r="Y111" i="7"/>
  <c r="F110" i="9"/>
  <c r="C109" i="9"/>
  <c r="J109" i="9" s="1"/>
  <c r="Y110" i="4"/>
  <c r="Y110" i="5"/>
  <c r="D109" i="9"/>
  <c r="K109" i="9" s="1"/>
  <c r="Y111" i="1"/>
  <c r="A110" i="9"/>
  <c r="Y111" i="3"/>
  <c r="B110" i="9"/>
  <c r="I110" i="9" l="1"/>
  <c r="M110" i="9"/>
  <c r="P109" i="9"/>
  <c r="N110" i="9"/>
  <c r="R110" i="9"/>
  <c r="Q110" i="9"/>
  <c r="L110" i="9"/>
  <c r="O109" i="9"/>
  <c r="Y112" i="7"/>
  <c r="F111" i="9"/>
  <c r="Y111" i="5"/>
  <c r="D110" i="9"/>
  <c r="K110" i="9" s="1"/>
  <c r="C110" i="9"/>
  <c r="J110" i="9" s="1"/>
  <c r="Y111" i="4"/>
  <c r="Y112" i="6"/>
  <c r="E111" i="9"/>
  <c r="Y112" i="1"/>
  <c r="A111" i="9"/>
  <c r="Y112" i="3"/>
  <c r="B111" i="9"/>
  <c r="P110" i="9" l="1"/>
  <c r="Q111" i="9"/>
  <c r="N111" i="9"/>
  <c r="R111" i="9"/>
  <c r="I111" i="9"/>
  <c r="L111" i="9"/>
  <c r="O110" i="9"/>
  <c r="M111" i="9"/>
  <c r="Y112" i="5"/>
  <c r="D111" i="9"/>
  <c r="K111" i="9" s="1"/>
  <c r="Y113" i="6"/>
  <c r="E112" i="9"/>
  <c r="Y112" i="4"/>
  <c r="C111" i="9"/>
  <c r="J111" i="9" s="1"/>
  <c r="Y113" i="7"/>
  <c r="F112" i="9"/>
  <c r="Y113" i="1"/>
  <c r="A112" i="9"/>
  <c r="Y113" i="3"/>
  <c r="B112" i="9"/>
  <c r="O111" i="9" l="1"/>
  <c r="Q112" i="9"/>
  <c r="N112" i="9"/>
  <c r="R112" i="9"/>
  <c r="I112" i="9"/>
  <c r="M112" i="9"/>
  <c r="L112" i="9"/>
  <c r="P111" i="9"/>
  <c r="Y114" i="7"/>
  <c r="F113" i="9"/>
  <c r="Y114" i="6"/>
  <c r="E113" i="9"/>
  <c r="C112" i="9"/>
  <c r="J112" i="9" s="1"/>
  <c r="Y113" i="4"/>
  <c r="Y113" i="5"/>
  <c r="D112" i="9"/>
  <c r="K112" i="9" s="1"/>
  <c r="Y114" i="1"/>
  <c r="A113" i="9"/>
  <c r="Y114" i="3"/>
  <c r="B113" i="9"/>
  <c r="Q113" i="9" l="1"/>
  <c r="N113" i="9"/>
  <c r="R113" i="9"/>
  <c r="M113" i="9"/>
  <c r="I113" i="9"/>
  <c r="L113" i="9"/>
  <c r="O112" i="9"/>
  <c r="P112" i="9"/>
  <c r="C113" i="9"/>
  <c r="J113" i="9" s="1"/>
  <c r="Y114" i="4"/>
  <c r="Y114" i="5"/>
  <c r="D113" i="9"/>
  <c r="K113" i="9" s="1"/>
  <c r="Y115" i="6"/>
  <c r="E114" i="9"/>
  <c r="Y115" i="7"/>
  <c r="F114" i="9"/>
  <c r="Y115" i="1"/>
  <c r="A114" i="9"/>
  <c r="Y115" i="3"/>
  <c r="B114" i="9"/>
  <c r="L114" i="9" l="1"/>
  <c r="N114" i="9"/>
  <c r="R114" i="9"/>
  <c r="P114" i="9"/>
  <c r="Q114" i="9"/>
  <c r="I114" i="9"/>
  <c r="M114" i="9"/>
  <c r="P113" i="9"/>
  <c r="O113" i="9"/>
  <c r="Y116" i="7"/>
  <c r="F115" i="9"/>
  <c r="Y115" i="5"/>
  <c r="D114" i="9"/>
  <c r="K114" i="9" s="1"/>
  <c r="C114" i="9"/>
  <c r="J114" i="9" s="1"/>
  <c r="Y115" i="4"/>
  <c r="Y116" i="6"/>
  <c r="E115" i="9"/>
  <c r="Y116" i="1"/>
  <c r="A115" i="9"/>
  <c r="Y116" i="3"/>
  <c r="B115" i="9"/>
  <c r="Q115" i="9" l="1"/>
  <c r="N115" i="9"/>
  <c r="R115" i="9"/>
  <c r="O115" i="9"/>
  <c r="M115" i="9"/>
  <c r="O114" i="9"/>
  <c r="I115" i="9"/>
  <c r="L115" i="9"/>
  <c r="Y117" i="6"/>
  <c r="E116" i="9"/>
  <c r="Y116" i="5"/>
  <c r="D115" i="9"/>
  <c r="K115" i="9" s="1"/>
  <c r="C115" i="9"/>
  <c r="J115" i="9" s="1"/>
  <c r="Y116" i="4"/>
  <c r="Y117" i="7"/>
  <c r="F116" i="9"/>
  <c r="Y117" i="1"/>
  <c r="A116" i="9"/>
  <c r="Y117" i="3"/>
  <c r="B116" i="9"/>
  <c r="Q116" i="9" l="1"/>
  <c r="N116" i="9"/>
  <c r="R116" i="9"/>
  <c r="L116" i="9"/>
  <c r="I116" i="9"/>
  <c r="M116" i="9"/>
  <c r="P115" i="9"/>
  <c r="Y118" i="7"/>
  <c r="F117" i="9"/>
  <c r="C116" i="9"/>
  <c r="J116" i="9" s="1"/>
  <c r="Y117" i="4"/>
  <c r="Y117" i="5"/>
  <c r="D116" i="9"/>
  <c r="K116" i="9" s="1"/>
  <c r="Y118" i="6"/>
  <c r="E117" i="9"/>
  <c r="Y118" i="1"/>
  <c r="A117" i="9"/>
  <c r="Y118" i="3"/>
  <c r="B117" i="9"/>
  <c r="Q117" i="9" l="1"/>
  <c r="N117" i="9"/>
  <c r="R117" i="9"/>
  <c r="M117" i="9"/>
  <c r="I117" i="9"/>
  <c r="L117" i="9"/>
  <c r="O116" i="9"/>
  <c r="P116" i="9"/>
  <c r="C117" i="9"/>
  <c r="J117" i="9" s="1"/>
  <c r="Y118" i="4"/>
  <c r="Y119" i="6"/>
  <c r="E118" i="9"/>
  <c r="Y118" i="5"/>
  <c r="D117" i="9"/>
  <c r="K117" i="9" s="1"/>
  <c r="Y119" i="7"/>
  <c r="F118" i="9"/>
  <c r="Y119" i="1"/>
  <c r="A118" i="9"/>
  <c r="Y119" i="3"/>
  <c r="B118" i="9"/>
  <c r="N118" i="9" l="1"/>
  <c r="R118" i="9"/>
  <c r="Q118" i="9"/>
  <c r="M118" i="9"/>
  <c r="P117" i="9"/>
  <c r="I118" i="9"/>
  <c r="L118" i="9"/>
  <c r="O117" i="9"/>
  <c r="Y120" i="6"/>
  <c r="E119" i="9"/>
  <c r="Y120" i="7"/>
  <c r="F119" i="9"/>
  <c r="C118" i="9"/>
  <c r="J118" i="9" s="1"/>
  <c r="Y119" i="4"/>
  <c r="Y119" i="5"/>
  <c r="D118" i="9"/>
  <c r="K118" i="9" s="1"/>
  <c r="Y120" i="1"/>
  <c r="A119" i="9"/>
  <c r="Y120" i="3"/>
  <c r="B119" i="9"/>
  <c r="P118" i="9" l="1"/>
  <c r="L119" i="9"/>
  <c r="O118" i="9"/>
  <c r="Q119" i="9"/>
  <c r="N119" i="9"/>
  <c r="R119" i="9"/>
  <c r="I119" i="9"/>
  <c r="M119" i="9"/>
  <c r="Y120" i="5"/>
  <c r="D119" i="9"/>
  <c r="K119" i="9" s="1"/>
  <c r="Y121" i="7"/>
  <c r="F120" i="9"/>
  <c r="C119" i="9"/>
  <c r="J119" i="9" s="1"/>
  <c r="Y120" i="4"/>
  <c r="Y121" i="6"/>
  <c r="E120" i="9"/>
  <c r="Y121" i="1"/>
  <c r="A120" i="9"/>
  <c r="Y121" i="3"/>
  <c r="B120" i="9"/>
  <c r="P119" i="9" l="1"/>
  <c r="O119" i="9"/>
  <c r="I120" i="9"/>
  <c r="Q120" i="9"/>
  <c r="N120" i="9"/>
  <c r="R120" i="9"/>
  <c r="L120" i="9"/>
  <c r="M120" i="9"/>
  <c r="Y122" i="6"/>
  <c r="E121" i="9"/>
  <c r="Y122" i="7"/>
  <c r="F121" i="9"/>
  <c r="C120" i="9"/>
  <c r="J120" i="9" s="1"/>
  <c r="Y121" i="4"/>
  <c r="Y121" i="5"/>
  <c r="D120" i="9"/>
  <c r="K120" i="9" s="1"/>
  <c r="Y122" i="1"/>
  <c r="A121" i="9"/>
  <c r="Y122" i="3"/>
  <c r="B121" i="9"/>
  <c r="P120" i="9" l="1"/>
  <c r="O120" i="9"/>
  <c r="Q121" i="9"/>
  <c r="R121" i="9"/>
  <c r="N121" i="9"/>
  <c r="L121" i="9"/>
  <c r="M121" i="9"/>
  <c r="I121" i="9"/>
  <c r="Y122" i="5"/>
  <c r="D121" i="9"/>
  <c r="K121" i="9" s="1"/>
  <c r="Y123" i="7"/>
  <c r="F122" i="9"/>
  <c r="M122" i="9" s="1"/>
  <c r="C121" i="9"/>
  <c r="J121" i="9" s="1"/>
  <c r="Y122" i="4"/>
  <c r="Y123" i="6"/>
  <c r="E122" i="9"/>
  <c r="L122" i="9" s="1"/>
  <c r="Y123" i="1"/>
  <c r="A122" i="9"/>
  <c r="Y123" i="3"/>
  <c r="B122" i="9"/>
  <c r="I122" i="9" s="1"/>
  <c r="P121" i="9" l="1"/>
  <c r="R122" i="9"/>
  <c r="N122" i="9"/>
  <c r="P122" i="9"/>
  <c r="Q122" i="9"/>
  <c r="O121" i="9"/>
  <c r="Y124" i="6"/>
  <c r="E123" i="9"/>
  <c r="Y124" i="7"/>
  <c r="F123" i="9"/>
  <c r="C122" i="9"/>
  <c r="J122" i="9" s="1"/>
  <c r="Y123" i="4"/>
  <c r="Y123" i="5"/>
  <c r="D122" i="9"/>
  <c r="K122" i="9" s="1"/>
  <c r="Y124" i="1"/>
  <c r="A123" i="9"/>
  <c r="Y124" i="3"/>
  <c r="B123" i="9"/>
  <c r="L123" i="9" l="1"/>
  <c r="Q123" i="9"/>
  <c r="N123" i="9"/>
  <c r="R123" i="9"/>
  <c r="I123" i="9"/>
  <c r="M123" i="9"/>
  <c r="O122" i="9"/>
  <c r="Y124" i="5"/>
  <c r="D123" i="9"/>
  <c r="K123" i="9" s="1"/>
  <c r="Y125" i="7"/>
  <c r="F124" i="9"/>
  <c r="C123" i="9"/>
  <c r="J123" i="9" s="1"/>
  <c r="Y124" i="4"/>
  <c r="Y125" i="6"/>
  <c r="E124" i="9"/>
  <c r="Y125" i="1"/>
  <c r="A124" i="9"/>
  <c r="Y125" i="3"/>
  <c r="B124" i="9"/>
  <c r="P123" i="9" l="1"/>
  <c r="Q124" i="9"/>
  <c r="N124" i="9"/>
  <c r="R124" i="9"/>
  <c r="I124" i="9"/>
  <c r="L124" i="9"/>
  <c r="M124" i="9"/>
  <c r="O123" i="9"/>
  <c r="Y126" i="7"/>
  <c r="F125" i="9"/>
  <c r="C124" i="9"/>
  <c r="J124" i="9" s="1"/>
  <c r="Y125" i="4"/>
  <c r="Y126" i="6"/>
  <c r="E125" i="9"/>
  <c r="Y125" i="5"/>
  <c r="D124" i="9"/>
  <c r="K124" i="9" s="1"/>
  <c r="Y126" i="1"/>
  <c r="A125" i="9"/>
  <c r="Y126" i="3"/>
  <c r="B125" i="9"/>
  <c r="M125" i="9" l="1"/>
  <c r="L125" i="9"/>
  <c r="O124" i="9"/>
  <c r="I125" i="9"/>
  <c r="P124" i="9"/>
  <c r="Q125" i="9"/>
  <c r="N125" i="9"/>
  <c r="R125" i="9"/>
  <c r="C125" i="9"/>
  <c r="J125" i="9" s="1"/>
  <c r="Y126" i="4"/>
  <c r="Y126" i="5"/>
  <c r="D125" i="9"/>
  <c r="K125" i="9" s="1"/>
  <c r="Y127" i="6"/>
  <c r="E126" i="9"/>
  <c r="Y127" i="7"/>
  <c r="F126" i="9"/>
  <c r="M126" i="9" s="1"/>
  <c r="Y127" i="1"/>
  <c r="A126" i="9"/>
  <c r="Y127" i="3"/>
  <c r="B126" i="9"/>
  <c r="I126" i="9" s="1"/>
  <c r="P125" i="9" l="1"/>
  <c r="O125" i="9"/>
  <c r="N126" i="9"/>
  <c r="R126" i="9"/>
  <c r="Q126" i="9"/>
  <c r="L126" i="9"/>
  <c r="Y127" i="5"/>
  <c r="D126" i="9"/>
  <c r="K126" i="9" s="1"/>
  <c r="Y128" i="7"/>
  <c r="F127" i="9"/>
  <c r="C126" i="9"/>
  <c r="J126" i="9" s="1"/>
  <c r="Y127" i="4"/>
  <c r="Y128" i="6"/>
  <c r="E127" i="9"/>
  <c r="Y128" i="1"/>
  <c r="A127" i="9"/>
  <c r="Y128" i="3"/>
  <c r="B127" i="9"/>
  <c r="I127" i="9" l="1"/>
  <c r="L127" i="9"/>
  <c r="M127" i="9"/>
  <c r="O126" i="9"/>
  <c r="Q127" i="9"/>
  <c r="N127" i="9"/>
  <c r="R127" i="9"/>
  <c r="P126" i="9"/>
  <c r="Y129" i="7"/>
  <c r="F128" i="9"/>
  <c r="Y129" i="6"/>
  <c r="E128" i="9"/>
  <c r="L128" i="9" s="1"/>
  <c r="C127" i="9"/>
  <c r="J127" i="9" s="1"/>
  <c r="Y128" i="4"/>
  <c r="Y128" i="5"/>
  <c r="D127" i="9"/>
  <c r="K127" i="9" s="1"/>
  <c r="Y129" i="1"/>
  <c r="A128" i="9"/>
  <c r="Y129" i="3"/>
  <c r="B128" i="9"/>
  <c r="I128" i="9" s="1"/>
  <c r="P127" i="9" l="1"/>
  <c r="Q128" i="9"/>
  <c r="N128" i="9"/>
  <c r="R128" i="9"/>
  <c r="M128" i="9"/>
  <c r="O127" i="9"/>
  <c r="Y130" i="6"/>
  <c r="E129" i="9"/>
  <c r="Y129" i="5"/>
  <c r="D128" i="9"/>
  <c r="K128" i="9" s="1"/>
  <c r="C128" i="9"/>
  <c r="J128" i="9" s="1"/>
  <c r="Y129" i="4"/>
  <c r="Y130" i="7"/>
  <c r="F129" i="9"/>
  <c r="Y130" i="1"/>
  <c r="A129" i="9"/>
  <c r="Y130" i="3"/>
  <c r="B129" i="9"/>
  <c r="I129" i="9" l="1"/>
  <c r="M129" i="9"/>
  <c r="O128" i="9"/>
  <c r="L129" i="9"/>
  <c r="P128" i="9"/>
  <c r="Q129" i="9"/>
  <c r="N129" i="9"/>
  <c r="R129" i="9"/>
  <c r="Y131" i="7"/>
  <c r="F130" i="9"/>
  <c r="Y130" i="5"/>
  <c r="D129" i="9"/>
  <c r="K129" i="9" s="1"/>
  <c r="C129" i="9"/>
  <c r="J129" i="9" s="1"/>
  <c r="Y130" i="4"/>
  <c r="Y131" i="6"/>
  <c r="E130" i="9"/>
  <c r="Y131" i="1"/>
  <c r="A130" i="9"/>
  <c r="Y131" i="3"/>
  <c r="B130" i="9"/>
  <c r="P129" i="9" l="1"/>
  <c r="I130" i="9"/>
  <c r="L130" i="9"/>
  <c r="O129" i="9"/>
  <c r="N130" i="9"/>
  <c r="R130" i="9"/>
  <c r="Q130" i="9"/>
  <c r="M130" i="9"/>
  <c r="Y132" i="6"/>
  <c r="E131" i="9"/>
  <c r="C130" i="9"/>
  <c r="J130" i="9" s="1"/>
  <c r="Y131" i="4"/>
  <c r="Y131" i="5"/>
  <c r="D130" i="9"/>
  <c r="K130" i="9" s="1"/>
  <c r="Y132" i="7"/>
  <c r="F131" i="9"/>
  <c r="Y132" i="1"/>
  <c r="A131" i="9"/>
  <c r="Y132" i="3"/>
  <c r="B131" i="9"/>
  <c r="M131" i="9" l="1"/>
  <c r="I131" i="9"/>
  <c r="O130" i="9"/>
  <c r="Q131" i="9"/>
  <c r="N131" i="9"/>
  <c r="R131" i="9"/>
  <c r="L131" i="9"/>
  <c r="P130" i="9"/>
  <c r="C131" i="9"/>
  <c r="J131" i="9" s="1"/>
  <c r="Y132" i="4"/>
  <c r="Y133" i="7"/>
  <c r="F132" i="9"/>
  <c r="Y132" i="5"/>
  <c r="D131" i="9"/>
  <c r="K131" i="9" s="1"/>
  <c r="Y133" i="6"/>
  <c r="E132" i="9"/>
  <c r="Y133" i="1"/>
  <c r="A132" i="9"/>
  <c r="Y133" i="3"/>
  <c r="B132" i="9"/>
  <c r="I132" i="9" s="1"/>
  <c r="L132" i="9" l="1"/>
  <c r="M132" i="9"/>
  <c r="Q132" i="9"/>
  <c r="N132" i="9"/>
  <c r="R132" i="9"/>
  <c r="P131" i="9"/>
  <c r="O131" i="9"/>
  <c r="Y134" i="6"/>
  <c r="E133" i="9"/>
  <c r="Y134" i="7"/>
  <c r="F133" i="9"/>
  <c r="C132" i="9"/>
  <c r="J132" i="9" s="1"/>
  <c r="Y133" i="4"/>
  <c r="Y133" i="5"/>
  <c r="D132" i="9"/>
  <c r="K132" i="9" s="1"/>
  <c r="Y134" i="1"/>
  <c r="A133" i="9"/>
  <c r="Y134" i="3"/>
  <c r="B133" i="9"/>
  <c r="I133" i="9" l="1"/>
  <c r="M133" i="9"/>
  <c r="Q133" i="9"/>
  <c r="N133" i="9"/>
  <c r="R133" i="9"/>
  <c r="L133" i="9"/>
  <c r="O132" i="9"/>
  <c r="P132" i="9"/>
  <c r="Y134" i="5"/>
  <c r="D133" i="9"/>
  <c r="K133" i="9" s="1"/>
  <c r="Y135" i="7"/>
  <c r="F134" i="9"/>
  <c r="C133" i="9"/>
  <c r="J133" i="9" s="1"/>
  <c r="Y134" i="4"/>
  <c r="Y135" i="6"/>
  <c r="E134" i="9"/>
  <c r="Y135" i="1"/>
  <c r="A134" i="9"/>
  <c r="Y135" i="3"/>
  <c r="B134" i="9"/>
  <c r="I134" i="9" l="1"/>
  <c r="L134" i="9"/>
  <c r="M134" i="9"/>
  <c r="P133" i="9"/>
  <c r="N134" i="9"/>
  <c r="R134" i="9"/>
  <c r="Q134" i="9"/>
  <c r="O133" i="9"/>
  <c r="Y136" i="6"/>
  <c r="E135" i="9"/>
  <c r="Y136" i="7"/>
  <c r="F135" i="9"/>
  <c r="M135" i="9" s="1"/>
  <c r="C134" i="9"/>
  <c r="J134" i="9" s="1"/>
  <c r="Y135" i="4"/>
  <c r="Y135" i="5"/>
  <c r="D134" i="9"/>
  <c r="K134" i="9" s="1"/>
  <c r="Y136" i="1"/>
  <c r="A135" i="9"/>
  <c r="Y136" i="3"/>
  <c r="B135" i="9"/>
  <c r="I135" i="9" s="1"/>
  <c r="O134" i="9" l="1"/>
  <c r="Q135" i="9"/>
  <c r="N135" i="9"/>
  <c r="R135" i="9"/>
  <c r="L135" i="9"/>
  <c r="P134" i="9"/>
  <c r="Y136" i="5"/>
  <c r="D135" i="9"/>
  <c r="K135" i="9" s="1"/>
  <c r="Y137" i="7"/>
  <c r="F136" i="9"/>
  <c r="C135" i="9"/>
  <c r="J135" i="9" s="1"/>
  <c r="Y136" i="4"/>
  <c r="Y137" i="6"/>
  <c r="E136" i="9"/>
  <c r="Y137" i="1"/>
  <c r="A136" i="9"/>
  <c r="Y137" i="3"/>
  <c r="B136" i="9"/>
  <c r="I136" i="9" l="1"/>
  <c r="L136" i="9"/>
  <c r="M136" i="9"/>
  <c r="Q136" i="9"/>
  <c r="N136" i="9"/>
  <c r="R136" i="9"/>
  <c r="P135" i="9"/>
  <c r="O135" i="9"/>
  <c r="Y138" i="6"/>
  <c r="E137" i="9"/>
  <c r="Y138" i="7"/>
  <c r="F137" i="9"/>
  <c r="M137" i="9" s="1"/>
  <c r="C136" i="9"/>
  <c r="J136" i="9" s="1"/>
  <c r="Y137" i="4"/>
  <c r="Y137" i="5"/>
  <c r="D136" i="9"/>
  <c r="K136" i="9" s="1"/>
  <c r="Y138" i="1"/>
  <c r="A137" i="9"/>
  <c r="Y138" i="3"/>
  <c r="B137" i="9"/>
  <c r="I137" i="9" s="1"/>
  <c r="Q137" i="9" l="1"/>
  <c r="R137" i="9"/>
  <c r="N137" i="9"/>
  <c r="L137" i="9"/>
  <c r="O136" i="9"/>
  <c r="P136" i="9"/>
  <c r="Y138" i="5"/>
  <c r="D137" i="9"/>
  <c r="K137" i="9" s="1"/>
  <c r="Y139" i="7"/>
  <c r="F138" i="9"/>
  <c r="C137" i="9"/>
  <c r="J137" i="9" s="1"/>
  <c r="Y138" i="4"/>
  <c r="Y139" i="6"/>
  <c r="E138" i="9"/>
  <c r="Y139" i="1"/>
  <c r="A138" i="9"/>
  <c r="Y139" i="3"/>
  <c r="B138" i="9"/>
  <c r="I138" i="9" l="1"/>
  <c r="M138" i="9"/>
  <c r="L138" i="9"/>
  <c r="P137" i="9"/>
  <c r="N138" i="9"/>
  <c r="R138" i="9"/>
  <c r="Q138" i="9"/>
  <c r="O137" i="9"/>
  <c r="Y140" i="6"/>
  <c r="E139" i="9"/>
  <c r="Y140" i="7"/>
  <c r="F139" i="9"/>
  <c r="C138" i="9"/>
  <c r="J138" i="9" s="1"/>
  <c r="Y139" i="4"/>
  <c r="Y139" i="5"/>
  <c r="D138" i="9"/>
  <c r="K138" i="9" s="1"/>
  <c r="Y140" i="1"/>
  <c r="A139" i="9"/>
  <c r="Y140" i="3"/>
  <c r="B139" i="9"/>
  <c r="O138" i="9" l="1"/>
  <c r="I139" i="9"/>
  <c r="M139" i="9"/>
  <c r="Q139" i="9"/>
  <c r="N139" i="9"/>
  <c r="R139" i="9"/>
  <c r="L139" i="9"/>
  <c r="P138" i="9"/>
  <c r="Y140" i="5"/>
  <c r="D139" i="9"/>
  <c r="K139" i="9" s="1"/>
  <c r="Y141" i="7"/>
  <c r="F140" i="9"/>
  <c r="C139" i="9"/>
  <c r="J139" i="9" s="1"/>
  <c r="Y140" i="4"/>
  <c r="Y141" i="6"/>
  <c r="E140" i="9"/>
  <c r="Y141" i="1"/>
  <c r="A140" i="9"/>
  <c r="Y141" i="3"/>
  <c r="B140" i="9"/>
  <c r="I140" i="9" s="1"/>
  <c r="M140" i="9" l="1"/>
  <c r="L140" i="9"/>
  <c r="O139" i="9"/>
  <c r="Q140" i="9"/>
  <c r="N140" i="9"/>
  <c r="R140" i="9"/>
  <c r="P139" i="9"/>
  <c r="Y142" i="6"/>
  <c r="E141" i="9"/>
  <c r="Y142" i="7"/>
  <c r="F141" i="9"/>
  <c r="C140" i="9"/>
  <c r="J140" i="9" s="1"/>
  <c r="Y141" i="4"/>
  <c r="Y141" i="5"/>
  <c r="D140" i="9"/>
  <c r="K140" i="9" s="1"/>
  <c r="Y142" i="1"/>
  <c r="A141" i="9"/>
  <c r="Y142" i="3"/>
  <c r="B141" i="9"/>
  <c r="I141" i="9" s="1"/>
  <c r="Q141" i="9" l="1"/>
  <c r="N141" i="9"/>
  <c r="R141" i="9"/>
  <c r="L141" i="9"/>
  <c r="M141" i="9"/>
  <c r="O140" i="9"/>
  <c r="P140" i="9"/>
  <c r="Y142" i="5"/>
  <c r="D141" i="9"/>
  <c r="K141" i="9" s="1"/>
  <c r="C141" i="9"/>
  <c r="J141" i="9" s="1"/>
  <c r="Y142" i="4"/>
  <c r="Y143" i="7"/>
  <c r="F142" i="9"/>
  <c r="Y143" i="6"/>
  <c r="E142" i="9"/>
  <c r="L142" i="9" s="1"/>
  <c r="Y143" i="1"/>
  <c r="A142" i="9"/>
  <c r="Y143" i="3"/>
  <c r="B142" i="9"/>
  <c r="I142" i="9" s="1"/>
  <c r="N142" i="9" l="1"/>
  <c r="Q142" i="9"/>
  <c r="R142" i="9"/>
  <c r="M142" i="9"/>
  <c r="P141" i="9"/>
  <c r="O141" i="9"/>
  <c r="C142" i="9"/>
  <c r="J142" i="9" s="1"/>
  <c r="Y143" i="4"/>
  <c r="Y144" i="6"/>
  <c r="E143" i="9"/>
  <c r="Y144" i="7"/>
  <c r="F143" i="9"/>
  <c r="Y143" i="5"/>
  <c r="D142" i="9"/>
  <c r="K142" i="9" s="1"/>
  <c r="Y144" i="1"/>
  <c r="A143" i="9"/>
  <c r="Y144" i="3"/>
  <c r="B143" i="9"/>
  <c r="I143" i="9" l="1"/>
  <c r="L143" i="9"/>
  <c r="P142" i="9"/>
  <c r="M143" i="9"/>
  <c r="N143" i="9"/>
  <c r="R143" i="9"/>
  <c r="Q143" i="9"/>
  <c r="O142" i="9"/>
  <c r="Y144" i="5"/>
  <c r="D143" i="9"/>
  <c r="K143" i="9" s="1"/>
  <c r="Y145" i="6"/>
  <c r="E144" i="9"/>
  <c r="L144" i="9" s="1"/>
  <c r="C143" i="9"/>
  <c r="J143" i="9" s="1"/>
  <c r="Y144" i="4"/>
  <c r="Y145" i="7"/>
  <c r="F144" i="9"/>
  <c r="M144" i="9" s="1"/>
  <c r="Y145" i="1"/>
  <c r="A144" i="9"/>
  <c r="Y145" i="3"/>
  <c r="B144" i="9"/>
  <c r="I144" i="9" s="1"/>
  <c r="Q144" i="9" l="1"/>
  <c r="N144" i="9"/>
  <c r="R144" i="9"/>
  <c r="P143" i="9"/>
  <c r="O143" i="9"/>
  <c r="Y146" i="7"/>
  <c r="F145" i="9"/>
  <c r="Y146" i="6"/>
  <c r="E145" i="9"/>
  <c r="C144" i="9"/>
  <c r="J144" i="9" s="1"/>
  <c r="Y145" i="4"/>
  <c r="Y145" i="5"/>
  <c r="D144" i="9"/>
  <c r="K144" i="9" s="1"/>
  <c r="Y146" i="1"/>
  <c r="A145" i="9"/>
  <c r="Y146" i="3"/>
  <c r="B145" i="9"/>
  <c r="O144" i="9" l="1"/>
  <c r="L145" i="9"/>
  <c r="I145" i="9"/>
  <c r="Q145" i="9"/>
  <c r="N145" i="9"/>
  <c r="R145" i="9"/>
  <c r="M145" i="9"/>
  <c r="P144" i="9"/>
  <c r="Y147" i="6"/>
  <c r="E146" i="9"/>
  <c r="Y146" i="5"/>
  <c r="D145" i="9"/>
  <c r="K145" i="9" s="1"/>
  <c r="C145" i="9"/>
  <c r="J145" i="9" s="1"/>
  <c r="Y146" i="4"/>
  <c r="Y147" i="7"/>
  <c r="F146" i="9"/>
  <c r="Y147" i="1"/>
  <c r="A146" i="9"/>
  <c r="Y147" i="3"/>
  <c r="B146" i="9"/>
  <c r="O145" i="9" l="1"/>
  <c r="P145" i="9"/>
  <c r="L146" i="9"/>
  <c r="M146" i="9"/>
  <c r="Q146" i="9"/>
  <c r="N146" i="9"/>
  <c r="R146" i="9"/>
  <c r="I146" i="9"/>
  <c r="Y148" i="7"/>
  <c r="F147" i="9"/>
  <c r="Y147" i="5"/>
  <c r="D146" i="9"/>
  <c r="K146" i="9" s="1"/>
  <c r="C146" i="9"/>
  <c r="J146" i="9" s="1"/>
  <c r="Y147" i="4"/>
  <c r="Y148" i="6"/>
  <c r="E147" i="9"/>
  <c r="Y148" i="1"/>
  <c r="A147" i="9"/>
  <c r="Y148" i="3"/>
  <c r="B147" i="9"/>
  <c r="I147" i="9" s="1"/>
  <c r="L147" i="9" l="1"/>
  <c r="O146" i="9"/>
  <c r="P146" i="9"/>
  <c r="N147" i="9"/>
  <c r="R147" i="9"/>
  <c r="Q147" i="9"/>
  <c r="M147" i="9"/>
  <c r="Y148" i="5"/>
  <c r="D147" i="9"/>
  <c r="K147" i="9" s="1"/>
  <c r="Y149" i="6"/>
  <c r="E148" i="9"/>
  <c r="L148" i="9" s="1"/>
  <c r="C147" i="9"/>
  <c r="J147" i="9" s="1"/>
  <c r="Y148" i="4"/>
  <c r="Y149" i="7"/>
  <c r="F148" i="9"/>
  <c r="M148" i="9" s="1"/>
  <c r="Y149" i="1"/>
  <c r="A148" i="9"/>
  <c r="Y149" i="3"/>
  <c r="B148" i="9"/>
  <c r="I148" i="9" s="1"/>
  <c r="O147" i="9" l="1"/>
  <c r="Q148" i="9"/>
  <c r="N148" i="9"/>
  <c r="R148" i="9"/>
  <c r="P147" i="9"/>
  <c r="Y150" i="7"/>
  <c r="F149" i="9"/>
  <c r="Y150" i="6"/>
  <c r="E149" i="9"/>
  <c r="C148" i="9"/>
  <c r="J148" i="9" s="1"/>
  <c r="Y149" i="4"/>
  <c r="Y149" i="5"/>
  <c r="D148" i="9"/>
  <c r="K148" i="9" s="1"/>
  <c r="Y150" i="1"/>
  <c r="A149" i="9"/>
  <c r="Y150" i="3"/>
  <c r="B149" i="9"/>
  <c r="M149" i="9" l="1"/>
  <c r="O148" i="9"/>
  <c r="Q149" i="9"/>
  <c r="N149" i="9"/>
  <c r="R149" i="9"/>
  <c r="L149" i="9"/>
  <c r="I149" i="9"/>
  <c r="P148" i="9"/>
  <c r="Y150" i="5"/>
  <c r="D149" i="9"/>
  <c r="K149" i="9" s="1"/>
  <c r="Y151" i="6"/>
  <c r="E150" i="9"/>
  <c r="L150" i="9" s="1"/>
  <c r="C149" i="9"/>
  <c r="J149" i="9" s="1"/>
  <c r="Y150" i="4"/>
  <c r="Y151" i="7"/>
  <c r="F150" i="9"/>
  <c r="M150" i="9" s="1"/>
  <c r="Y151" i="1"/>
  <c r="A150" i="9"/>
  <c r="Y151" i="3"/>
  <c r="B150" i="9"/>
  <c r="I150" i="9" s="1"/>
  <c r="Q150" i="9" l="1"/>
  <c r="R150" i="9"/>
  <c r="N150" i="9"/>
  <c r="O149" i="9"/>
  <c r="P149" i="9"/>
  <c r="Y152" i="7"/>
  <c r="F151" i="9"/>
  <c r="Y152" i="6"/>
  <c r="E151" i="9"/>
  <c r="C150" i="9"/>
  <c r="J150" i="9" s="1"/>
  <c r="Y151" i="4"/>
  <c r="Y151" i="5"/>
  <c r="D150" i="9"/>
  <c r="K150" i="9" s="1"/>
  <c r="Y152" i="1"/>
  <c r="A151" i="9"/>
  <c r="Y152" i="3"/>
  <c r="B151" i="9"/>
  <c r="I151" i="9" l="1"/>
  <c r="L151" i="9"/>
  <c r="P150" i="9"/>
  <c r="N151" i="9"/>
  <c r="R151" i="9"/>
  <c r="Q151" i="9"/>
  <c r="M151" i="9"/>
  <c r="O150" i="9"/>
  <c r="Y152" i="5"/>
  <c r="D151" i="9"/>
  <c r="K151" i="9" s="1"/>
  <c r="Y153" i="6"/>
  <c r="E152" i="9"/>
  <c r="C151" i="9"/>
  <c r="J151" i="9" s="1"/>
  <c r="Y152" i="4"/>
  <c r="Y153" i="7"/>
  <c r="F152" i="9"/>
  <c r="Y153" i="1"/>
  <c r="A152" i="9"/>
  <c r="Y153" i="3"/>
  <c r="B152" i="9"/>
  <c r="Q152" i="9" l="1"/>
  <c r="N152" i="9"/>
  <c r="R152" i="9"/>
  <c r="O152" i="9"/>
  <c r="P151" i="9"/>
  <c r="L152" i="9"/>
  <c r="I152" i="9"/>
  <c r="M152" i="9"/>
  <c r="O151" i="9"/>
  <c r="Y154" i="7"/>
  <c r="F153" i="9"/>
  <c r="Y154" i="6"/>
  <c r="E153" i="9"/>
  <c r="C152" i="9"/>
  <c r="J152" i="9" s="1"/>
  <c r="Y153" i="4"/>
  <c r="Y153" i="5"/>
  <c r="D152" i="9"/>
  <c r="K152" i="9" s="1"/>
  <c r="Y154" i="1"/>
  <c r="A153" i="9"/>
  <c r="Y154" i="3"/>
  <c r="B153" i="9"/>
  <c r="M153" i="9" l="1"/>
  <c r="Q153" i="9"/>
  <c r="N153" i="9"/>
  <c r="R153" i="9"/>
  <c r="L153" i="9"/>
  <c r="I153" i="9"/>
  <c r="P152" i="9"/>
  <c r="Y154" i="5"/>
  <c r="D153" i="9"/>
  <c r="K153" i="9" s="1"/>
  <c r="Y155" i="6"/>
  <c r="E154" i="9"/>
  <c r="L154" i="9" s="1"/>
  <c r="C153" i="9"/>
  <c r="J153" i="9" s="1"/>
  <c r="Y154" i="4"/>
  <c r="Y155" i="7"/>
  <c r="F154" i="9"/>
  <c r="M154" i="9" s="1"/>
  <c r="Y155" i="1"/>
  <c r="A154" i="9"/>
  <c r="Y155" i="3"/>
  <c r="B154" i="9"/>
  <c r="I154" i="9" s="1"/>
  <c r="Q154" i="9" l="1"/>
  <c r="N154" i="9"/>
  <c r="R154" i="9"/>
  <c r="O153" i="9"/>
  <c r="P153" i="9"/>
  <c r="Y156" i="7"/>
  <c r="F155" i="9"/>
  <c r="Y156" i="6"/>
  <c r="E155" i="9"/>
  <c r="C154" i="9"/>
  <c r="J154" i="9" s="1"/>
  <c r="Y155" i="4"/>
  <c r="Y155" i="5"/>
  <c r="D154" i="9"/>
  <c r="K154" i="9" s="1"/>
  <c r="Y156" i="1"/>
  <c r="A155" i="9"/>
  <c r="Y156" i="3"/>
  <c r="B155" i="9"/>
  <c r="I155" i="9" l="1"/>
  <c r="L155" i="9"/>
  <c r="P154" i="9"/>
  <c r="N155" i="9"/>
  <c r="R155" i="9"/>
  <c r="Q155" i="9"/>
  <c r="M155" i="9"/>
  <c r="O154" i="9"/>
  <c r="Y156" i="5"/>
  <c r="D155" i="9"/>
  <c r="K155" i="9" s="1"/>
  <c r="Y157" i="6"/>
  <c r="E156" i="9"/>
  <c r="L156" i="9" s="1"/>
  <c r="C155" i="9"/>
  <c r="J155" i="9" s="1"/>
  <c r="Y156" i="4"/>
  <c r="Y157" i="7"/>
  <c r="F156" i="9"/>
  <c r="M156" i="9" s="1"/>
  <c r="Y157" i="1"/>
  <c r="A156" i="9"/>
  <c r="Y157" i="3"/>
  <c r="B156" i="9"/>
  <c r="I156" i="9" s="1"/>
  <c r="O155" i="9" l="1"/>
  <c r="Q156" i="9"/>
  <c r="N156" i="9"/>
  <c r="R156" i="9"/>
  <c r="P155" i="9"/>
  <c r="Y158" i="7"/>
  <c r="F157" i="9"/>
  <c r="Y158" i="6"/>
  <c r="E157" i="9"/>
  <c r="C156" i="9"/>
  <c r="J156" i="9" s="1"/>
  <c r="Y157" i="4"/>
  <c r="Y157" i="5"/>
  <c r="D156" i="9"/>
  <c r="K156" i="9" s="1"/>
  <c r="Y158" i="1"/>
  <c r="A157" i="9"/>
  <c r="Y158" i="3"/>
  <c r="B157" i="9"/>
  <c r="O156" i="9" l="1"/>
  <c r="Q157" i="9"/>
  <c r="N157" i="9"/>
  <c r="R157" i="9"/>
  <c r="M157" i="9"/>
  <c r="I157" i="9"/>
  <c r="L157" i="9"/>
  <c r="P156" i="9"/>
  <c r="Y158" i="5"/>
  <c r="D157" i="9"/>
  <c r="K157" i="9" s="1"/>
  <c r="Y159" i="6"/>
  <c r="E158" i="9"/>
  <c r="C157" i="9"/>
  <c r="J157" i="9" s="1"/>
  <c r="Y158" i="4"/>
  <c r="Y159" i="7"/>
  <c r="F158" i="9"/>
  <c r="Y159" i="1"/>
  <c r="A158" i="9"/>
  <c r="Y159" i="3"/>
  <c r="B158" i="9"/>
  <c r="Q158" i="9" l="1"/>
  <c r="N158" i="9"/>
  <c r="R158" i="9"/>
  <c r="I158" i="9"/>
  <c r="M158" i="9"/>
  <c r="L158" i="9"/>
  <c r="O157" i="9"/>
  <c r="P157" i="9"/>
  <c r="Y160" i="7"/>
  <c r="F159" i="9"/>
  <c r="Y160" i="6"/>
  <c r="E159" i="9"/>
  <c r="C158" i="9"/>
  <c r="J158" i="9" s="1"/>
  <c r="Y159" i="4"/>
  <c r="Y159" i="5"/>
  <c r="D158" i="9"/>
  <c r="K158" i="9" s="1"/>
  <c r="Y160" i="1"/>
  <c r="A159" i="9"/>
  <c r="Y160" i="3"/>
  <c r="B159" i="9"/>
  <c r="M159" i="9" l="1"/>
  <c r="N159" i="9"/>
  <c r="R159" i="9"/>
  <c r="P159" i="9"/>
  <c r="Q159" i="9"/>
  <c r="P158" i="9"/>
  <c r="I159" i="9"/>
  <c r="L159" i="9"/>
  <c r="O158" i="9"/>
  <c r="Y160" i="5"/>
  <c r="D159" i="9"/>
  <c r="K159" i="9" s="1"/>
  <c r="Y161" i="6"/>
  <c r="E160" i="9"/>
  <c r="C159" i="9"/>
  <c r="J159" i="9" s="1"/>
  <c r="Y160" i="4"/>
  <c r="Y161" i="7"/>
  <c r="F160" i="9"/>
  <c r="Y161" i="1"/>
  <c r="A160" i="9"/>
  <c r="Y161" i="3"/>
  <c r="B160" i="9"/>
  <c r="O159" i="9" l="1"/>
  <c r="Q160" i="9"/>
  <c r="N160" i="9"/>
  <c r="R160" i="9"/>
  <c r="I160" i="9"/>
  <c r="M160" i="9"/>
  <c r="L160" i="9"/>
  <c r="Y162" i="7"/>
  <c r="F161" i="9"/>
  <c r="Y162" i="6"/>
  <c r="E161" i="9"/>
  <c r="C160" i="9"/>
  <c r="J160" i="9" s="1"/>
  <c r="Y161" i="4"/>
  <c r="Y161" i="5"/>
  <c r="D160" i="9"/>
  <c r="K160" i="9" s="1"/>
  <c r="Y162" i="1"/>
  <c r="A161" i="9"/>
  <c r="Y162" i="3"/>
  <c r="B161" i="9"/>
  <c r="I161" i="9" s="1"/>
  <c r="O160" i="9" l="1"/>
  <c r="M161" i="9"/>
  <c r="Q161" i="9"/>
  <c r="N161" i="9"/>
  <c r="R161" i="9"/>
  <c r="P160" i="9"/>
  <c r="L161" i="9"/>
  <c r="Y162" i="5"/>
  <c r="D161" i="9"/>
  <c r="K161" i="9" s="1"/>
  <c r="Y163" i="6"/>
  <c r="E162" i="9"/>
  <c r="L162" i="9" s="1"/>
  <c r="C161" i="9"/>
  <c r="J161" i="9" s="1"/>
  <c r="Y162" i="4"/>
  <c r="Y163" i="7"/>
  <c r="F162" i="9"/>
  <c r="M162" i="9" s="1"/>
  <c r="Y163" i="1"/>
  <c r="A162" i="9"/>
  <c r="Y163" i="3"/>
  <c r="B162" i="9"/>
  <c r="I162" i="9" s="1"/>
  <c r="Q162" i="9" l="1"/>
  <c r="N162" i="9"/>
  <c r="R162" i="9"/>
  <c r="O161" i="9"/>
  <c r="P161" i="9"/>
  <c r="Y164" i="6"/>
  <c r="E163" i="9"/>
  <c r="C162" i="9"/>
  <c r="J162" i="9" s="1"/>
  <c r="Y163" i="4"/>
  <c r="Y164" i="7"/>
  <c r="F163" i="9"/>
  <c r="Y163" i="5"/>
  <c r="D162" i="9"/>
  <c r="K162" i="9" s="1"/>
  <c r="Y164" i="1"/>
  <c r="A163" i="9"/>
  <c r="Y164" i="3"/>
  <c r="B163" i="9"/>
  <c r="I163" i="9" l="1"/>
  <c r="P162" i="9"/>
  <c r="N163" i="9"/>
  <c r="R163" i="9"/>
  <c r="Q163" i="9"/>
  <c r="M163" i="9"/>
  <c r="L163" i="9"/>
  <c r="O162" i="9"/>
  <c r="C163" i="9"/>
  <c r="J163" i="9" s="1"/>
  <c r="Y164" i="4"/>
  <c r="Y164" i="5"/>
  <c r="D163" i="9"/>
  <c r="K163" i="9" s="1"/>
  <c r="Y165" i="7"/>
  <c r="F164" i="9"/>
  <c r="M164" i="9" s="1"/>
  <c r="Y165" i="6"/>
  <c r="E164" i="9"/>
  <c r="Y165" i="1"/>
  <c r="A164" i="9"/>
  <c r="Y165" i="3"/>
  <c r="B164" i="9"/>
  <c r="O163" i="9" l="1"/>
  <c r="Q164" i="9"/>
  <c r="N164" i="9"/>
  <c r="R164" i="9"/>
  <c r="I164" i="9"/>
  <c r="L164" i="9"/>
  <c r="P163" i="9"/>
  <c r="Y166" i="6"/>
  <c r="E165" i="9"/>
  <c r="Y165" i="5"/>
  <c r="D164" i="9"/>
  <c r="K164" i="9" s="1"/>
  <c r="C164" i="9"/>
  <c r="J164" i="9" s="1"/>
  <c r="Y165" i="4"/>
  <c r="Y166" i="7"/>
  <c r="F165" i="9"/>
  <c r="M165" i="9" s="1"/>
  <c r="Y166" i="1"/>
  <c r="A165" i="9"/>
  <c r="Y166" i="3"/>
  <c r="B165" i="9"/>
  <c r="I165" i="9" s="1"/>
  <c r="O164" i="9" l="1"/>
  <c r="Q165" i="9"/>
  <c r="N165" i="9"/>
  <c r="R165" i="9"/>
  <c r="L165" i="9"/>
  <c r="P164" i="9"/>
  <c r="Y167" i="7"/>
  <c r="F166" i="9"/>
  <c r="Y166" i="5"/>
  <c r="D165" i="9"/>
  <c r="K165" i="9" s="1"/>
  <c r="C165" i="9"/>
  <c r="J165" i="9" s="1"/>
  <c r="Y166" i="4"/>
  <c r="Y167" i="6"/>
  <c r="E166" i="9"/>
  <c r="Y167" i="1"/>
  <c r="A166" i="9"/>
  <c r="Y167" i="3"/>
  <c r="B166" i="9"/>
  <c r="I166" i="9" l="1"/>
  <c r="L166" i="9"/>
  <c r="Q166" i="9"/>
  <c r="R166" i="9"/>
  <c r="N166" i="9"/>
  <c r="M166" i="9"/>
  <c r="O165" i="9"/>
  <c r="P165" i="9"/>
  <c r="Y168" i="6"/>
  <c r="E167" i="9"/>
  <c r="Y167" i="5"/>
  <c r="D166" i="9"/>
  <c r="K166" i="9" s="1"/>
  <c r="C166" i="9"/>
  <c r="J166" i="9" s="1"/>
  <c r="Y167" i="4"/>
  <c r="Y168" i="7"/>
  <c r="F167" i="9"/>
  <c r="M167" i="9" s="1"/>
  <c r="Y168" i="1"/>
  <c r="A167" i="9"/>
  <c r="Y168" i="3"/>
  <c r="B167" i="9"/>
  <c r="I167" i="9" s="1"/>
  <c r="N167" i="9" l="1"/>
  <c r="R167" i="9"/>
  <c r="Q167" i="9"/>
  <c r="L167" i="9"/>
  <c r="P166" i="9"/>
  <c r="O166" i="9"/>
  <c r="Y168" i="5"/>
  <c r="D167" i="9"/>
  <c r="K167" i="9" s="1"/>
  <c r="C167" i="9"/>
  <c r="J167" i="9" s="1"/>
  <c r="Y168" i="4"/>
  <c r="Y169" i="7"/>
  <c r="F168" i="9"/>
  <c r="Y169" i="6"/>
  <c r="E168" i="9"/>
  <c r="Y169" i="1"/>
  <c r="A168" i="9"/>
  <c r="Y169" i="3"/>
  <c r="B168" i="9"/>
  <c r="L168" i="9" l="1"/>
  <c r="I168" i="9"/>
  <c r="P167" i="9"/>
  <c r="M168" i="9"/>
  <c r="O167" i="9"/>
  <c r="Q168" i="9"/>
  <c r="N168" i="9"/>
  <c r="R168" i="9"/>
  <c r="C168" i="9"/>
  <c r="J168" i="9" s="1"/>
  <c r="Y169" i="4"/>
  <c r="Y170" i="6"/>
  <c r="E169" i="9"/>
  <c r="Y170" i="7"/>
  <c r="F169" i="9"/>
  <c r="Y169" i="5"/>
  <c r="D168" i="9"/>
  <c r="K168" i="9" s="1"/>
  <c r="Y170" i="1"/>
  <c r="A169" i="9"/>
  <c r="Y170" i="3"/>
  <c r="B169" i="9"/>
  <c r="M169" i="9" l="1"/>
  <c r="Q169" i="9"/>
  <c r="N169" i="9"/>
  <c r="R169" i="9"/>
  <c r="L169" i="9"/>
  <c r="I169" i="9"/>
  <c r="P168" i="9"/>
  <c r="O168" i="9"/>
  <c r="Y171" i="6"/>
  <c r="E170" i="9"/>
  <c r="C169" i="9"/>
  <c r="J169" i="9" s="1"/>
  <c r="Y170" i="4"/>
  <c r="Y170" i="5"/>
  <c r="D169" i="9"/>
  <c r="K169" i="9" s="1"/>
  <c r="Y171" i="7"/>
  <c r="F170" i="9"/>
  <c r="Y171" i="1"/>
  <c r="A170" i="9"/>
  <c r="Y171" i="3"/>
  <c r="B170" i="9"/>
  <c r="L170" i="9" l="1"/>
  <c r="Q170" i="9"/>
  <c r="N170" i="9"/>
  <c r="R170" i="9"/>
  <c r="I170" i="9"/>
  <c r="M170" i="9"/>
  <c r="O169" i="9"/>
  <c r="P169" i="9"/>
  <c r="C170" i="9"/>
  <c r="J170" i="9" s="1"/>
  <c r="Y171" i="4"/>
  <c r="Y172" i="7"/>
  <c r="F171" i="9"/>
  <c r="Y171" i="5"/>
  <c r="D170" i="9"/>
  <c r="K170" i="9" s="1"/>
  <c r="Y172" i="6"/>
  <c r="E171" i="9"/>
  <c r="Y172" i="1"/>
  <c r="A171" i="9"/>
  <c r="Y172" i="3"/>
  <c r="B171" i="9"/>
  <c r="P170" i="9" l="1"/>
  <c r="I171" i="9"/>
  <c r="M171" i="9"/>
  <c r="O170" i="9"/>
  <c r="N171" i="9"/>
  <c r="R171" i="9"/>
  <c r="Q171" i="9"/>
  <c r="L171" i="9"/>
  <c r="Y173" i="6"/>
  <c r="E172" i="9"/>
  <c r="Y173" i="7"/>
  <c r="F172" i="9"/>
  <c r="C171" i="9"/>
  <c r="J171" i="9" s="1"/>
  <c r="Y172" i="4"/>
  <c r="Y172" i="5"/>
  <c r="D171" i="9"/>
  <c r="K171" i="9" s="1"/>
  <c r="Y173" i="1"/>
  <c r="A172" i="9"/>
  <c r="Y173" i="3"/>
  <c r="B172" i="9"/>
  <c r="L172" i="9" l="1"/>
  <c r="P171" i="9"/>
  <c r="Q172" i="9"/>
  <c r="N172" i="9"/>
  <c r="R172" i="9"/>
  <c r="O171" i="9"/>
  <c r="I172" i="9"/>
  <c r="M172" i="9"/>
  <c r="Y173" i="5"/>
  <c r="D172" i="9"/>
  <c r="K172" i="9" s="1"/>
  <c r="C172" i="9"/>
  <c r="J172" i="9" s="1"/>
  <c r="Y173" i="4"/>
  <c r="Y174" i="7"/>
  <c r="F173" i="9"/>
  <c r="Y174" i="6"/>
  <c r="E173" i="9"/>
  <c r="Y174" i="1"/>
  <c r="A173" i="9"/>
  <c r="Y174" i="3"/>
  <c r="B173" i="9"/>
  <c r="O172" i="9" l="1"/>
  <c r="I173" i="9"/>
  <c r="L173" i="9"/>
  <c r="Q173" i="9"/>
  <c r="N173" i="9"/>
  <c r="R173" i="9"/>
  <c r="M173" i="9"/>
  <c r="P172" i="9"/>
  <c r="C173" i="9"/>
  <c r="J173" i="9" s="1"/>
  <c r="Y174" i="4"/>
  <c r="Y175" i="6"/>
  <c r="E174" i="9"/>
  <c r="L174" i="9" s="1"/>
  <c r="Y175" i="7"/>
  <c r="F174" i="9"/>
  <c r="Y174" i="5"/>
  <c r="D173" i="9"/>
  <c r="K173" i="9" s="1"/>
  <c r="Y175" i="1"/>
  <c r="A174" i="9"/>
  <c r="Y175" i="3"/>
  <c r="B174" i="9"/>
  <c r="I174" i="9" s="1"/>
  <c r="O173" i="9" l="1"/>
  <c r="Q174" i="9"/>
  <c r="R174" i="9"/>
  <c r="N174" i="9"/>
  <c r="M174" i="9"/>
  <c r="P173" i="9"/>
  <c r="Y175" i="5"/>
  <c r="D174" i="9"/>
  <c r="K174" i="9" s="1"/>
  <c r="C174" i="9"/>
  <c r="J174" i="9" s="1"/>
  <c r="Y175" i="4"/>
  <c r="Y176" i="6"/>
  <c r="E175" i="9"/>
  <c r="Y176" i="7"/>
  <c r="F175" i="9"/>
  <c r="Y176" i="1"/>
  <c r="A175" i="9"/>
  <c r="Y176" i="3"/>
  <c r="B175" i="9"/>
  <c r="I175" i="9" l="1"/>
  <c r="M175" i="9"/>
  <c r="P174" i="9"/>
  <c r="O174" i="9"/>
  <c r="Q175" i="9"/>
  <c r="N175" i="9"/>
  <c r="R175" i="9"/>
  <c r="L175" i="9"/>
  <c r="C175" i="9"/>
  <c r="J175" i="9" s="1"/>
  <c r="Y176" i="4"/>
  <c r="Y177" i="7"/>
  <c r="F176" i="9"/>
  <c r="M176" i="9" s="1"/>
  <c r="Y177" i="6"/>
  <c r="E176" i="9"/>
  <c r="Y176" i="5"/>
  <c r="D175" i="9"/>
  <c r="K175" i="9" s="1"/>
  <c r="Y177" i="1"/>
  <c r="A176" i="9"/>
  <c r="Y177" i="3"/>
  <c r="B176" i="9"/>
  <c r="I176" i="9" s="1"/>
  <c r="O175" i="9" l="1"/>
  <c r="P176" i="9"/>
  <c r="Q176" i="9"/>
  <c r="R176" i="9"/>
  <c r="N176" i="9"/>
  <c r="L176" i="9"/>
  <c r="P175" i="9"/>
  <c r="Y177" i="5"/>
  <c r="D176" i="9"/>
  <c r="K176" i="9" s="1"/>
  <c r="Y178" i="7"/>
  <c r="F177" i="9"/>
  <c r="M177" i="9" s="1"/>
  <c r="C176" i="9"/>
  <c r="J176" i="9" s="1"/>
  <c r="Y177" i="4"/>
  <c r="Y178" i="6"/>
  <c r="E177" i="9"/>
  <c r="L177" i="9" s="1"/>
  <c r="Y178" i="1"/>
  <c r="A177" i="9"/>
  <c r="Y178" i="3"/>
  <c r="B177" i="9"/>
  <c r="I177" i="9" s="1"/>
  <c r="N177" i="9" l="1"/>
  <c r="R177" i="9"/>
  <c r="Q177" i="9"/>
  <c r="O176" i="9"/>
  <c r="Y179" i="6"/>
  <c r="E178" i="9"/>
  <c r="Y179" i="7"/>
  <c r="F178" i="9"/>
  <c r="C177" i="9"/>
  <c r="J177" i="9" s="1"/>
  <c r="Y178" i="4"/>
  <c r="Y178" i="5"/>
  <c r="D177" i="9"/>
  <c r="K177" i="9" s="1"/>
  <c r="Y179" i="1"/>
  <c r="A178" i="9"/>
  <c r="Y179" i="3"/>
  <c r="B178" i="9"/>
  <c r="P177" i="9" l="1"/>
  <c r="L178" i="9"/>
  <c r="O177" i="9"/>
  <c r="I178" i="9"/>
  <c r="Q178" i="9"/>
  <c r="N178" i="9"/>
  <c r="R178" i="9"/>
  <c r="M178" i="9"/>
  <c r="Y179" i="5"/>
  <c r="D178" i="9"/>
  <c r="K178" i="9" s="1"/>
  <c r="Y180" i="7"/>
  <c r="F179" i="9"/>
  <c r="C178" i="9"/>
  <c r="J178" i="9" s="1"/>
  <c r="Y179" i="4"/>
  <c r="Y180" i="6"/>
  <c r="E179" i="9"/>
  <c r="Y180" i="1"/>
  <c r="A179" i="9"/>
  <c r="Y180" i="3"/>
  <c r="B179" i="9"/>
  <c r="O178" i="9" l="1"/>
  <c r="P178" i="9"/>
  <c r="Q179" i="9"/>
  <c r="N179" i="9"/>
  <c r="R179" i="9"/>
  <c r="I179" i="9"/>
  <c r="L179" i="9"/>
  <c r="M179" i="9"/>
  <c r="Y181" i="6"/>
  <c r="E180" i="9"/>
  <c r="Y181" i="7"/>
  <c r="F180" i="9"/>
  <c r="M180" i="9" s="1"/>
  <c r="C179" i="9"/>
  <c r="J179" i="9" s="1"/>
  <c r="Y180" i="4"/>
  <c r="Y180" i="5"/>
  <c r="D179" i="9"/>
  <c r="K179" i="9" s="1"/>
  <c r="Y181" i="1"/>
  <c r="A180" i="9"/>
  <c r="Y181" i="3"/>
  <c r="B180" i="9"/>
  <c r="I180" i="9" s="1"/>
  <c r="Q180" i="9" l="1"/>
  <c r="N180" i="9"/>
  <c r="R180" i="9"/>
  <c r="L180" i="9"/>
  <c r="O179" i="9"/>
  <c r="P179" i="9"/>
  <c r="Y181" i="5"/>
  <c r="D180" i="9"/>
  <c r="K180" i="9" s="1"/>
  <c r="Y182" i="7"/>
  <c r="F181" i="9"/>
  <c r="C180" i="9"/>
  <c r="J180" i="9" s="1"/>
  <c r="Y181" i="4"/>
  <c r="Y182" i="6"/>
  <c r="E181" i="9"/>
  <c r="Y182" i="1"/>
  <c r="A181" i="9"/>
  <c r="Y182" i="3"/>
  <c r="B181" i="9"/>
  <c r="M181" i="9" l="1"/>
  <c r="I181" i="9"/>
  <c r="L181" i="9"/>
  <c r="P180" i="9"/>
  <c r="N181" i="9"/>
  <c r="R181" i="9"/>
  <c r="Q181" i="9"/>
  <c r="O180" i="9"/>
  <c r="Y183" i="6"/>
  <c r="E182" i="9"/>
  <c r="Y183" i="7"/>
  <c r="F182" i="9"/>
  <c r="M182" i="9" s="1"/>
  <c r="C181" i="9"/>
  <c r="J181" i="9" s="1"/>
  <c r="Y182" i="4"/>
  <c r="Y182" i="5"/>
  <c r="D181" i="9"/>
  <c r="K181" i="9" s="1"/>
  <c r="Y183" i="1"/>
  <c r="A182" i="9"/>
  <c r="Y183" i="3"/>
  <c r="B182" i="9"/>
  <c r="I182" i="9" s="1"/>
  <c r="O181" i="9" l="1"/>
  <c r="Q182" i="9"/>
  <c r="N182" i="9"/>
  <c r="R182" i="9"/>
  <c r="L182" i="9"/>
  <c r="P181" i="9"/>
  <c r="Y183" i="5"/>
  <c r="D182" i="9"/>
  <c r="K182" i="9" s="1"/>
  <c r="Y184" i="7"/>
  <c r="F183" i="9"/>
  <c r="C182" i="9"/>
  <c r="J182" i="9" s="1"/>
  <c r="Y183" i="4"/>
  <c r="Y184" i="6"/>
  <c r="E183" i="9"/>
  <c r="Y184" i="1"/>
  <c r="A183" i="9"/>
  <c r="Y184" i="3"/>
  <c r="B183" i="9"/>
  <c r="L183" i="9" l="1"/>
  <c r="I183" i="9"/>
  <c r="M183" i="9"/>
  <c r="Q183" i="9"/>
  <c r="N183" i="9"/>
  <c r="R183" i="9"/>
  <c r="P182" i="9"/>
  <c r="O182" i="9"/>
  <c r="Y185" i="6"/>
  <c r="E184" i="9"/>
  <c r="Y185" i="7"/>
  <c r="F184" i="9"/>
  <c r="M184" i="9" s="1"/>
  <c r="C183" i="9"/>
  <c r="J183" i="9" s="1"/>
  <c r="Y184" i="4"/>
  <c r="Y184" i="5"/>
  <c r="D183" i="9"/>
  <c r="K183" i="9" s="1"/>
  <c r="Y185" i="1"/>
  <c r="A184" i="9"/>
  <c r="Y185" i="3"/>
  <c r="B184" i="9"/>
  <c r="I184" i="9" s="1"/>
  <c r="Q184" i="9" l="1"/>
  <c r="N184" i="9"/>
  <c r="R184" i="9"/>
  <c r="L184" i="9"/>
  <c r="O183" i="9"/>
  <c r="P183" i="9"/>
  <c r="Y186" i="7"/>
  <c r="F185" i="9"/>
  <c r="Y185" i="5"/>
  <c r="D184" i="9"/>
  <c r="K184" i="9" s="1"/>
  <c r="C184" i="9"/>
  <c r="J184" i="9" s="1"/>
  <c r="Y185" i="4"/>
  <c r="Y186" i="6"/>
  <c r="E185" i="9"/>
  <c r="Y186" i="1"/>
  <c r="A185" i="9"/>
  <c r="Y186" i="3"/>
  <c r="B185" i="9"/>
  <c r="I185" i="9" l="1"/>
  <c r="L185" i="9"/>
  <c r="P184" i="9"/>
  <c r="N185" i="9"/>
  <c r="R185" i="9"/>
  <c r="Q185" i="9"/>
  <c r="M185" i="9"/>
  <c r="O184" i="9"/>
  <c r="Y186" i="5"/>
  <c r="D185" i="9"/>
  <c r="K185" i="9" s="1"/>
  <c r="Y187" i="6"/>
  <c r="E186" i="9"/>
  <c r="C185" i="9"/>
  <c r="J185" i="9" s="1"/>
  <c r="Y186" i="4"/>
  <c r="Y187" i="7"/>
  <c r="F186" i="9"/>
  <c r="Y187" i="1"/>
  <c r="A186" i="9"/>
  <c r="Y187" i="3"/>
  <c r="B186" i="9"/>
  <c r="O185" i="9" l="1"/>
  <c r="I186" i="9"/>
  <c r="M186" i="9"/>
  <c r="L186" i="9"/>
  <c r="Q186" i="9"/>
  <c r="N186" i="9"/>
  <c r="R186" i="9"/>
  <c r="P185" i="9"/>
  <c r="Y188" i="6"/>
  <c r="E187" i="9"/>
  <c r="C186" i="9"/>
  <c r="J186" i="9" s="1"/>
  <c r="Y187" i="4"/>
  <c r="Y188" i="7"/>
  <c r="F187" i="9"/>
  <c r="Y187" i="5"/>
  <c r="D186" i="9"/>
  <c r="K186" i="9" s="1"/>
  <c r="Y188" i="1"/>
  <c r="A187" i="9"/>
  <c r="Y188" i="3"/>
  <c r="B187" i="9"/>
  <c r="O186" i="9" l="1"/>
  <c r="Q187" i="9"/>
  <c r="N187" i="9"/>
  <c r="R187" i="9"/>
  <c r="L187" i="9"/>
  <c r="I187" i="9"/>
  <c r="M187" i="9"/>
  <c r="P186" i="9"/>
  <c r="C187" i="9"/>
  <c r="J187" i="9" s="1"/>
  <c r="Y188" i="4"/>
  <c r="Y188" i="5"/>
  <c r="D187" i="9"/>
  <c r="K187" i="9" s="1"/>
  <c r="Y189" i="7"/>
  <c r="F188" i="9"/>
  <c r="Y189" i="6"/>
  <c r="E188" i="9"/>
  <c r="Y189" i="1"/>
  <c r="A188" i="9"/>
  <c r="Y189" i="3"/>
  <c r="B188" i="9"/>
  <c r="M188" i="9" l="1"/>
  <c r="Q188" i="9"/>
  <c r="N188" i="9"/>
  <c r="R188" i="9"/>
  <c r="I188" i="9"/>
  <c r="L188" i="9"/>
  <c r="O187" i="9"/>
  <c r="P187" i="9"/>
  <c r="Y190" i="6"/>
  <c r="E189" i="9"/>
  <c r="Y189" i="5"/>
  <c r="D188" i="9"/>
  <c r="K188" i="9" s="1"/>
  <c r="C188" i="9"/>
  <c r="J188" i="9" s="1"/>
  <c r="Y189" i="4"/>
  <c r="Y190" i="7"/>
  <c r="F189" i="9"/>
  <c r="Y190" i="1"/>
  <c r="A189" i="9"/>
  <c r="Y190" i="3"/>
  <c r="B189" i="9"/>
  <c r="P188" i="9" l="1"/>
  <c r="N189" i="9"/>
  <c r="R189" i="9"/>
  <c r="O189" i="9"/>
  <c r="Q189" i="9"/>
  <c r="L189" i="9"/>
  <c r="I189" i="9"/>
  <c r="O188" i="9"/>
  <c r="M189" i="9"/>
  <c r="Y191" i="7"/>
  <c r="F190" i="9"/>
  <c r="Y190" i="5"/>
  <c r="D189" i="9"/>
  <c r="K189" i="9" s="1"/>
  <c r="C189" i="9"/>
  <c r="J189" i="9" s="1"/>
  <c r="Y190" i="4"/>
  <c r="Y191" i="6"/>
  <c r="E190" i="9"/>
  <c r="Y191" i="1"/>
  <c r="A190" i="9"/>
  <c r="Y191" i="3"/>
  <c r="B190" i="9"/>
  <c r="P189" i="9" l="1"/>
  <c r="M190" i="9"/>
  <c r="Q190" i="9"/>
  <c r="N190" i="9"/>
  <c r="R190" i="9"/>
  <c r="I190" i="9"/>
  <c r="L190" i="9"/>
  <c r="Y192" i="6"/>
  <c r="E191" i="9"/>
  <c r="Y191" i="5"/>
  <c r="D190" i="9"/>
  <c r="K190" i="9" s="1"/>
  <c r="C190" i="9"/>
  <c r="J190" i="9" s="1"/>
  <c r="Y191" i="4"/>
  <c r="Y192" i="7"/>
  <c r="F191" i="9"/>
  <c r="M191" i="9" s="1"/>
  <c r="Y192" i="1"/>
  <c r="A191" i="9"/>
  <c r="Y192" i="3"/>
  <c r="B191" i="9"/>
  <c r="I191" i="9" s="1"/>
  <c r="Q191" i="9" l="1"/>
  <c r="N191" i="9"/>
  <c r="R191" i="9"/>
  <c r="L191" i="9"/>
  <c r="P190" i="9"/>
  <c r="O190" i="9"/>
  <c r="Y192" i="5"/>
  <c r="D191" i="9"/>
  <c r="K191" i="9" s="1"/>
  <c r="C191" i="9"/>
  <c r="J191" i="9" s="1"/>
  <c r="Y192" i="4"/>
  <c r="Y193" i="7"/>
  <c r="F192" i="9"/>
  <c r="Y193" i="6"/>
  <c r="E192" i="9"/>
  <c r="Y193" i="1"/>
  <c r="A192" i="9"/>
  <c r="Y193" i="3"/>
  <c r="B192" i="9"/>
  <c r="I192" i="9" l="1"/>
  <c r="L192" i="9"/>
  <c r="M192" i="9"/>
  <c r="Q192" i="9"/>
  <c r="R192" i="9"/>
  <c r="N192" i="9"/>
  <c r="O191" i="9"/>
  <c r="P191" i="9"/>
  <c r="C192" i="9"/>
  <c r="J192" i="9" s="1"/>
  <c r="Y193" i="4"/>
  <c r="Y194" i="6"/>
  <c r="E193" i="9"/>
  <c r="L193" i="9" s="1"/>
  <c r="Y194" i="7"/>
  <c r="F193" i="9"/>
  <c r="Y193" i="5"/>
  <c r="D192" i="9"/>
  <c r="K192" i="9" s="1"/>
  <c r="Y194" i="1"/>
  <c r="A193" i="9"/>
  <c r="Y194" i="3"/>
  <c r="B193" i="9"/>
  <c r="I193" i="9" s="1"/>
  <c r="P192" i="9" l="1"/>
  <c r="N193" i="9"/>
  <c r="R193" i="9"/>
  <c r="Q193" i="9"/>
  <c r="M193" i="9"/>
  <c r="O192" i="9"/>
  <c r="Y194" i="5"/>
  <c r="D193" i="9"/>
  <c r="K193" i="9" s="1"/>
  <c r="Y195" i="6"/>
  <c r="E194" i="9"/>
  <c r="C193" i="9"/>
  <c r="J193" i="9" s="1"/>
  <c r="Y194" i="4"/>
  <c r="Y195" i="7"/>
  <c r="F194" i="9"/>
  <c r="Y195" i="1"/>
  <c r="A194" i="9"/>
  <c r="Y195" i="3"/>
  <c r="B194" i="9"/>
  <c r="O193" i="9" l="1"/>
  <c r="I194" i="9"/>
  <c r="M194" i="9"/>
  <c r="L194" i="9"/>
  <c r="Q194" i="9"/>
  <c r="N194" i="9"/>
  <c r="R194" i="9"/>
  <c r="P193" i="9"/>
  <c r="Y196" i="7"/>
  <c r="F195" i="9"/>
  <c r="Y196" i="6"/>
  <c r="E195" i="9"/>
  <c r="C194" i="9"/>
  <c r="J194" i="9" s="1"/>
  <c r="Y195" i="4"/>
  <c r="Y195" i="5"/>
  <c r="D194" i="9"/>
  <c r="K194" i="9" s="1"/>
  <c r="Y196" i="1"/>
  <c r="A195" i="9"/>
  <c r="Y196" i="3"/>
  <c r="B195" i="9"/>
  <c r="M195" i="9" l="1"/>
  <c r="O194" i="9"/>
  <c r="Q195" i="9"/>
  <c r="N195" i="9"/>
  <c r="R195" i="9"/>
  <c r="L195" i="9"/>
  <c r="I195" i="9"/>
  <c r="P194" i="9"/>
  <c r="Y197" i="6"/>
  <c r="E196" i="9"/>
  <c r="C195" i="9"/>
  <c r="J195" i="9" s="1"/>
  <c r="Y196" i="4"/>
  <c r="Y196" i="5"/>
  <c r="D195" i="9"/>
  <c r="K195" i="9" s="1"/>
  <c r="Y197" i="7"/>
  <c r="F196" i="9"/>
  <c r="Y197" i="1"/>
  <c r="A196" i="9"/>
  <c r="Y197" i="3"/>
  <c r="B196" i="9"/>
  <c r="O195" i="9" l="1"/>
  <c r="L196" i="9"/>
  <c r="P195" i="9"/>
  <c r="M196" i="9"/>
  <c r="Q196" i="9"/>
  <c r="N196" i="9"/>
  <c r="R196" i="9"/>
  <c r="I196" i="9"/>
  <c r="C196" i="9"/>
  <c r="J196" i="9" s="1"/>
  <c r="Y197" i="4"/>
  <c r="Y198" i="7"/>
  <c r="F197" i="9"/>
  <c r="Y197" i="5"/>
  <c r="D196" i="9"/>
  <c r="K196" i="9" s="1"/>
  <c r="Y198" i="6"/>
  <c r="E197" i="9"/>
  <c r="Y198" i="1"/>
  <c r="A197" i="9"/>
  <c r="Y198" i="3"/>
  <c r="B197" i="9"/>
  <c r="O196" i="9" l="1"/>
  <c r="N197" i="9"/>
  <c r="R197" i="9"/>
  <c r="O197" i="9"/>
  <c r="Q197" i="9"/>
  <c r="I197" i="9"/>
  <c r="L197" i="9"/>
  <c r="M197" i="9"/>
  <c r="P196" i="9"/>
  <c r="Y199" i="6"/>
  <c r="E198" i="9"/>
  <c r="Y199" i="7"/>
  <c r="F198" i="9"/>
  <c r="C197" i="9"/>
  <c r="J197" i="9" s="1"/>
  <c r="Y198" i="4"/>
  <c r="Y198" i="5"/>
  <c r="D197" i="9"/>
  <c r="K197" i="9" s="1"/>
  <c r="Y199" i="1"/>
  <c r="A198" i="9"/>
  <c r="Y199" i="3"/>
  <c r="B198" i="9"/>
  <c r="P197" i="9" l="1"/>
  <c r="L198" i="9"/>
  <c r="Q198" i="9"/>
  <c r="N198" i="9"/>
  <c r="R198" i="9"/>
  <c r="I198" i="9"/>
  <c r="M198" i="9"/>
  <c r="Y199" i="5"/>
  <c r="D198" i="9"/>
  <c r="K198" i="9" s="1"/>
  <c r="Y200" i="7"/>
  <c r="F199" i="9"/>
  <c r="C198" i="9"/>
  <c r="J198" i="9" s="1"/>
  <c r="Y199" i="4"/>
  <c r="Y200" i="6"/>
  <c r="E199" i="9"/>
  <c r="Y200" i="1"/>
  <c r="A199" i="9"/>
  <c r="Y200" i="3"/>
  <c r="B199" i="9"/>
  <c r="L199" i="9" l="1"/>
  <c r="M199" i="9"/>
  <c r="I199" i="9"/>
  <c r="P198" i="9"/>
  <c r="Q199" i="9"/>
  <c r="N199" i="9"/>
  <c r="R199" i="9"/>
  <c r="O198" i="9"/>
  <c r="Y201" i="6"/>
  <c r="E200" i="9"/>
  <c r="Y201" i="7"/>
  <c r="F200" i="9"/>
  <c r="M200" i="9" s="1"/>
  <c r="C199" i="9"/>
  <c r="J199" i="9" s="1"/>
  <c r="Y200" i="4"/>
  <c r="Y200" i="5"/>
  <c r="D199" i="9"/>
  <c r="K199" i="9" s="1"/>
  <c r="Y201" i="1"/>
  <c r="A200" i="9"/>
  <c r="Y201" i="3"/>
  <c r="B200" i="9"/>
  <c r="I200" i="9" s="1"/>
  <c r="P199" i="9" l="1"/>
  <c r="O199" i="9"/>
  <c r="Q200" i="9"/>
  <c r="N200" i="9"/>
  <c r="R200" i="9"/>
  <c r="L200" i="9"/>
  <c r="Y202" i="7"/>
  <c r="F201" i="9"/>
  <c r="C200" i="9"/>
  <c r="J200" i="9" s="1"/>
  <c r="Y201" i="4"/>
  <c r="Y201" i="5"/>
  <c r="D200" i="9"/>
  <c r="K200" i="9" s="1"/>
  <c r="Y202" i="6"/>
  <c r="E201" i="9"/>
  <c r="Y202" i="1"/>
  <c r="A201" i="9"/>
  <c r="Y202" i="3"/>
  <c r="B201" i="9"/>
  <c r="I201" i="9" l="1"/>
  <c r="P200" i="9"/>
  <c r="L201" i="9"/>
  <c r="O200" i="9"/>
  <c r="M201" i="9"/>
  <c r="N201" i="9"/>
  <c r="R201" i="9"/>
  <c r="P201" i="9"/>
  <c r="Q201" i="9"/>
  <c r="C201" i="9"/>
  <c r="J201" i="9" s="1"/>
  <c r="Y202" i="4"/>
  <c r="Y203" i="6"/>
  <c r="E202" i="9"/>
  <c r="L202" i="9" s="1"/>
  <c r="Y202" i="5"/>
  <c r="D201" i="9"/>
  <c r="K201" i="9" s="1"/>
  <c r="Y203" i="7"/>
  <c r="F202" i="9"/>
  <c r="M202" i="9" s="1"/>
  <c r="Y203" i="1"/>
  <c r="A202" i="9"/>
  <c r="Y203" i="3"/>
  <c r="B202" i="9"/>
  <c r="I202" i="9" s="1"/>
  <c r="Q202" i="9" l="1"/>
  <c r="N202" i="9"/>
  <c r="R202" i="9"/>
  <c r="O201" i="9"/>
  <c r="Y204" i="7"/>
  <c r="F203" i="9"/>
  <c r="C202" i="9"/>
  <c r="J202" i="9" s="1"/>
  <c r="Y203" i="4"/>
  <c r="Y204" i="6"/>
  <c r="E203" i="9"/>
  <c r="Y203" i="5"/>
  <c r="D202" i="9"/>
  <c r="K202" i="9" s="1"/>
  <c r="Y204" i="1"/>
  <c r="A203" i="9"/>
  <c r="Y204" i="3"/>
  <c r="B203" i="9"/>
  <c r="O202" i="9" l="1"/>
  <c r="L203" i="9"/>
  <c r="M203" i="9"/>
  <c r="Q203" i="9"/>
  <c r="N203" i="9"/>
  <c r="R203" i="9"/>
  <c r="I203" i="9"/>
  <c r="P202" i="9"/>
  <c r="C203" i="9"/>
  <c r="J203" i="9" s="1"/>
  <c r="Y204" i="4"/>
  <c r="Y204" i="5"/>
  <c r="D203" i="9"/>
  <c r="K203" i="9" s="1"/>
  <c r="Y205" i="6"/>
  <c r="E204" i="9"/>
  <c r="Y205" i="7"/>
  <c r="F204" i="9"/>
  <c r="M204" i="9" s="1"/>
  <c r="Y205" i="1"/>
  <c r="A204" i="9"/>
  <c r="Y205" i="3"/>
  <c r="B204" i="9"/>
  <c r="I204" i="9" s="1"/>
  <c r="Q204" i="9" l="1"/>
  <c r="N204" i="9"/>
  <c r="R204" i="9"/>
  <c r="L204" i="9"/>
  <c r="O203" i="9"/>
  <c r="P203" i="9"/>
  <c r="Y206" i="7"/>
  <c r="F205" i="9"/>
  <c r="Y205" i="5"/>
  <c r="D204" i="9"/>
  <c r="K204" i="9" s="1"/>
  <c r="C204" i="9"/>
  <c r="J204" i="9" s="1"/>
  <c r="Y205" i="4"/>
  <c r="Y206" i="6"/>
  <c r="E205" i="9"/>
  <c r="Y206" i="1"/>
  <c r="A205" i="9"/>
  <c r="Y206" i="3"/>
  <c r="B205" i="9"/>
  <c r="I205" i="9" l="1"/>
  <c r="L205" i="9"/>
  <c r="P204" i="9"/>
  <c r="N205" i="9"/>
  <c r="R205" i="9"/>
  <c r="Q205" i="9"/>
  <c r="M205" i="9"/>
  <c r="O204" i="9"/>
  <c r="Y206" i="5"/>
  <c r="D205" i="9"/>
  <c r="K205" i="9" s="1"/>
  <c r="C205" i="9"/>
  <c r="J205" i="9" s="1"/>
  <c r="Y206" i="4"/>
  <c r="Y207" i="6"/>
  <c r="E206" i="9"/>
  <c r="Y207" i="7"/>
  <c r="F206" i="9"/>
  <c r="M206" i="9" s="1"/>
  <c r="Y207" i="1"/>
  <c r="A206" i="9"/>
  <c r="Y207" i="3"/>
  <c r="B206" i="9"/>
  <c r="I206" i="9" s="1"/>
  <c r="L206" i="9" l="1"/>
  <c r="O205" i="9"/>
  <c r="Q206" i="9"/>
  <c r="N206" i="9"/>
  <c r="R206" i="9"/>
  <c r="P205" i="9"/>
  <c r="C206" i="9"/>
  <c r="J206" i="9" s="1"/>
  <c r="Y207" i="4"/>
  <c r="Y208" i="7"/>
  <c r="F207" i="9"/>
  <c r="Y208" i="6"/>
  <c r="E207" i="9"/>
  <c r="Y207" i="5"/>
  <c r="D206" i="9"/>
  <c r="K206" i="9" s="1"/>
  <c r="Y208" i="1"/>
  <c r="A207" i="9"/>
  <c r="Y208" i="3"/>
  <c r="B207" i="9"/>
  <c r="O206" i="9" l="1"/>
  <c r="Q207" i="9"/>
  <c r="N207" i="9"/>
  <c r="R207" i="9"/>
  <c r="L207" i="9"/>
  <c r="I207" i="9"/>
  <c r="M207" i="9"/>
  <c r="P206" i="9"/>
  <c r="Y209" i="7"/>
  <c r="F208" i="9"/>
  <c r="Y208" i="5"/>
  <c r="D207" i="9"/>
  <c r="K207" i="9" s="1"/>
  <c r="C207" i="9"/>
  <c r="J207" i="9" s="1"/>
  <c r="Y208" i="4"/>
  <c r="Y209" i="6"/>
  <c r="E208" i="9"/>
  <c r="Y209" i="1"/>
  <c r="A208" i="9"/>
  <c r="Y209" i="3"/>
  <c r="B208" i="9"/>
  <c r="Q208" i="9" l="1"/>
  <c r="R208" i="9"/>
  <c r="N208" i="9"/>
  <c r="M208" i="9"/>
  <c r="I208" i="9"/>
  <c r="L208" i="9"/>
  <c r="O207" i="9"/>
  <c r="P207" i="9"/>
  <c r="Y210" i="6"/>
  <c r="E209" i="9"/>
  <c r="Y209" i="5"/>
  <c r="D208" i="9"/>
  <c r="K208" i="9" s="1"/>
  <c r="C208" i="9"/>
  <c r="J208" i="9" s="1"/>
  <c r="Y209" i="4"/>
  <c r="Y210" i="7"/>
  <c r="F209" i="9"/>
  <c r="Y210" i="1"/>
  <c r="A209" i="9"/>
  <c r="Y210" i="3"/>
  <c r="B209" i="9"/>
  <c r="P208" i="9" l="1"/>
  <c r="L209" i="9"/>
  <c r="N209" i="9"/>
  <c r="R209" i="9"/>
  <c r="Q209" i="9"/>
  <c r="I209" i="9"/>
  <c r="M209" i="9"/>
  <c r="O208" i="9"/>
  <c r="Y211" i="7"/>
  <c r="F210" i="9"/>
  <c r="Y210" i="5"/>
  <c r="D209" i="9"/>
  <c r="K209" i="9" s="1"/>
  <c r="C209" i="9"/>
  <c r="J209" i="9" s="1"/>
  <c r="Y210" i="4"/>
  <c r="Y211" i="6"/>
  <c r="E210" i="9"/>
  <c r="Y211" i="1"/>
  <c r="A210" i="9"/>
  <c r="Y211" i="3"/>
  <c r="B210" i="9"/>
  <c r="M210" i="9" l="1"/>
  <c r="O209" i="9"/>
  <c r="Q210" i="9"/>
  <c r="N210" i="9"/>
  <c r="R210" i="9"/>
  <c r="I210" i="9"/>
  <c r="L210" i="9"/>
  <c r="P209" i="9"/>
  <c r="Y212" i="6"/>
  <c r="E211" i="9"/>
  <c r="Y211" i="5"/>
  <c r="D210" i="9"/>
  <c r="K210" i="9" s="1"/>
  <c r="C210" i="9"/>
  <c r="J210" i="9" s="1"/>
  <c r="Y211" i="4"/>
  <c r="Y212" i="7"/>
  <c r="F211" i="9"/>
  <c r="M211" i="9" s="1"/>
  <c r="Y212" i="1"/>
  <c r="A211" i="9"/>
  <c r="Y212" i="3"/>
  <c r="B211" i="9"/>
  <c r="I211" i="9" s="1"/>
  <c r="O210" i="9" l="1"/>
  <c r="L211" i="9"/>
  <c r="Q211" i="9"/>
  <c r="N211" i="9"/>
  <c r="R211" i="9"/>
  <c r="P210" i="9"/>
  <c r="Y213" i="7"/>
  <c r="F212" i="9"/>
  <c r="Y212" i="5"/>
  <c r="D211" i="9"/>
  <c r="K211" i="9" s="1"/>
  <c r="C211" i="9"/>
  <c r="J211" i="9" s="1"/>
  <c r="Y212" i="4"/>
  <c r="Y213" i="6"/>
  <c r="E212" i="9"/>
  <c r="Y213" i="1"/>
  <c r="A212" i="9"/>
  <c r="Y213" i="3"/>
  <c r="B212" i="9"/>
  <c r="L212" i="9" l="1"/>
  <c r="I212" i="9"/>
  <c r="O211" i="9"/>
  <c r="P211" i="9"/>
  <c r="Q212" i="9"/>
  <c r="N212" i="9"/>
  <c r="R212" i="9"/>
  <c r="M212" i="9"/>
  <c r="Y214" i="6"/>
  <c r="E213" i="9"/>
  <c r="Y213" i="5"/>
  <c r="D212" i="9"/>
  <c r="K212" i="9" s="1"/>
  <c r="C212" i="9"/>
  <c r="J212" i="9" s="1"/>
  <c r="Y213" i="4"/>
  <c r="Y214" i="7"/>
  <c r="F213" i="9"/>
  <c r="Y214" i="1"/>
  <c r="A213" i="9"/>
  <c r="Y214" i="3"/>
  <c r="B213" i="9"/>
  <c r="I213" i="9" l="1"/>
  <c r="M213" i="9"/>
  <c r="O212" i="9"/>
  <c r="P212" i="9"/>
  <c r="N213" i="9"/>
  <c r="R213" i="9"/>
  <c r="Q213" i="9"/>
  <c r="L213" i="9"/>
  <c r="Y215" i="7"/>
  <c r="F214" i="9"/>
  <c r="Y214" i="5"/>
  <c r="D213" i="9"/>
  <c r="K213" i="9" s="1"/>
  <c r="C213" i="9"/>
  <c r="J213" i="9" s="1"/>
  <c r="Y214" i="4"/>
  <c r="Y215" i="6"/>
  <c r="E214" i="9"/>
  <c r="L214" i="9" s="1"/>
  <c r="Y215" i="1"/>
  <c r="A214" i="9"/>
  <c r="Y215" i="3"/>
  <c r="B214" i="9"/>
  <c r="I214" i="9" s="1"/>
  <c r="O213" i="9" l="1"/>
  <c r="Q214" i="9"/>
  <c r="N214" i="9"/>
  <c r="R214" i="9"/>
  <c r="M214" i="9"/>
  <c r="P213" i="9"/>
  <c r="Y216" i="6"/>
  <c r="E215" i="9"/>
  <c r="Y215" i="5"/>
  <c r="D214" i="9"/>
  <c r="K214" i="9" s="1"/>
  <c r="C214" i="9"/>
  <c r="J214" i="9" s="1"/>
  <c r="Y215" i="4"/>
  <c r="Y216" i="7"/>
  <c r="F215" i="9"/>
  <c r="Y216" i="1"/>
  <c r="A215" i="9"/>
  <c r="Y216" i="3"/>
  <c r="B215" i="9"/>
  <c r="M215" i="9" l="1"/>
  <c r="I215" i="9"/>
  <c r="Q215" i="9"/>
  <c r="N215" i="9"/>
  <c r="R215" i="9"/>
  <c r="L215" i="9"/>
  <c r="P214" i="9"/>
  <c r="O214" i="9"/>
  <c r="Y217" i="7"/>
  <c r="F216" i="9"/>
  <c r="Y216" i="5"/>
  <c r="D215" i="9"/>
  <c r="K215" i="9" s="1"/>
  <c r="C215" i="9"/>
  <c r="J215" i="9" s="1"/>
  <c r="Y216" i="4"/>
  <c r="Y217" i="6"/>
  <c r="E216" i="9"/>
  <c r="L216" i="9" s="1"/>
  <c r="Y217" i="1"/>
  <c r="A216" i="9"/>
  <c r="Y217" i="3"/>
  <c r="B216" i="9"/>
  <c r="I216" i="9" s="1"/>
  <c r="Q216" i="9" l="1"/>
  <c r="N216" i="9"/>
  <c r="R216" i="9"/>
  <c r="M216" i="9"/>
  <c r="O215" i="9"/>
  <c r="P215" i="9"/>
  <c r="Y218" i="6"/>
  <c r="E217" i="9"/>
  <c r="Y217" i="5"/>
  <c r="D216" i="9"/>
  <c r="K216" i="9" s="1"/>
  <c r="C216" i="9"/>
  <c r="J216" i="9" s="1"/>
  <c r="Y217" i="4"/>
  <c r="Y218" i="7"/>
  <c r="F217" i="9"/>
  <c r="Y218" i="1"/>
  <c r="A217" i="9"/>
  <c r="Y218" i="3"/>
  <c r="B217" i="9"/>
  <c r="I217" i="9" l="1"/>
  <c r="M217" i="9"/>
  <c r="N217" i="9"/>
  <c r="R217" i="9"/>
  <c r="O217" i="9"/>
  <c r="Q217" i="9"/>
  <c r="P216" i="9"/>
  <c r="L217" i="9"/>
  <c r="O216" i="9"/>
  <c r="Y219" i="7"/>
  <c r="F218" i="9"/>
  <c r="Y218" i="5"/>
  <c r="D217" i="9"/>
  <c r="K217" i="9" s="1"/>
  <c r="C217" i="9"/>
  <c r="J217" i="9" s="1"/>
  <c r="Y218" i="4"/>
  <c r="Y219" i="6"/>
  <c r="E218" i="9"/>
  <c r="L218" i="9" s="1"/>
  <c r="Y219" i="1"/>
  <c r="A218" i="9"/>
  <c r="Y219" i="3"/>
  <c r="B218" i="9"/>
  <c r="I218" i="9" s="1"/>
  <c r="Q218" i="9" l="1"/>
  <c r="N218" i="9"/>
  <c r="R218" i="9"/>
  <c r="M218" i="9"/>
  <c r="P217" i="9"/>
  <c r="Y220" i="6"/>
  <c r="E219" i="9"/>
  <c r="Y219" i="5"/>
  <c r="D218" i="9"/>
  <c r="K218" i="9" s="1"/>
  <c r="C218" i="9"/>
  <c r="J218" i="9" s="1"/>
  <c r="Y219" i="4"/>
  <c r="Y220" i="7"/>
  <c r="F219" i="9"/>
  <c r="Y220" i="1"/>
  <c r="A219" i="9"/>
  <c r="Y220" i="3"/>
  <c r="B219" i="9"/>
  <c r="I219" i="9" l="1"/>
  <c r="M219" i="9"/>
  <c r="O218" i="9"/>
  <c r="Q219" i="9"/>
  <c r="N219" i="9"/>
  <c r="R219" i="9"/>
  <c r="L219" i="9"/>
  <c r="P218" i="9"/>
  <c r="Y221" i="7"/>
  <c r="F220" i="9"/>
  <c r="Y220" i="5"/>
  <c r="D219" i="9"/>
  <c r="K219" i="9" s="1"/>
  <c r="C219" i="9"/>
  <c r="J219" i="9" s="1"/>
  <c r="Y220" i="4"/>
  <c r="Y221" i="6"/>
  <c r="E220" i="9"/>
  <c r="L220" i="9" s="1"/>
  <c r="Y221" i="1"/>
  <c r="A220" i="9"/>
  <c r="Y221" i="3"/>
  <c r="B220" i="9"/>
  <c r="I220" i="9" s="1"/>
  <c r="O219" i="9" l="1"/>
  <c r="P219" i="9"/>
  <c r="Q220" i="9"/>
  <c r="N220" i="9"/>
  <c r="R220" i="9"/>
  <c r="M220" i="9"/>
  <c r="Y222" i="6"/>
  <c r="E221" i="9"/>
  <c r="Y221" i="5"/>
  <c r="D220" i="9"/>
  <c r="K220" i="9" s="1"/>
  <c r="C220" i="9"/>
  <c r="J220" i="9" s="1"/>
  <c r="Y221" i="4"/>
  <c r="Y222" i="7"/>
  <c r="F221" i="9"/>
  <c r="Y222" i="1"/>
  <c r="A221" i="9"/>
  <c r="Y222" i="3"/>
  <c r="B221" i="9"/>
  <c r="I221" i="9" l="1"/>
  <c r="M221" i="9"/>
  <c r="P220" i="9"/>
  <c r="O220" i="9"/>
  <c r="N221" i="9"/>
  <c r="R221" i="9"/>
  <c r="Q221" i="9"/>
  <c r="L221" i="9"/>
  <c r="Y223" i="7"/>
  <c r="F222" i="9"/>
  <c r="Y222" i="5"/>
  <c r="D221" i="9"/>
  <c r="K221" i="9" s="1"/>
  <c r="C221" i="9"/>
  <c r="J221" i="9" s="1"/>
  <c r="Y222" i="4"/>
  <c r="Y223" i="6"/>
  <c r="E222" i="9"/>
  <c r="L222" i="9" s="1"/>
  <c r="Y223" i="1"/>
  <c r="A222" i="9"/>
  <c r="Y223" i="3"/>
  <c r="B222" i="9"/>
  <c r="I222" i="9" s="1"/>
  <c r="Q222" i="9" l="1"/>
  <c r="N222" i="9"/>
  <c r="R222" i="9"/>
  <c r="M222" i="9"/>
  <c r="P221" i="9"/>
  <c r="O221" i="9"/>
  <c r="Y224" i="6"/>
  <c r="E223" i="9"/>
  <c r="Y223" i="5"/>
  <c r="D222" i="9"/>
  <c r="K222" i="9" s="1"/>
  <c r="C222" i="9"/>
  <c r="J222" i="9" s="1"/>
  <c r="Y223" i="4"/>
  <c r="Y224" i="7"/>
  <c r="F223" i="9"/>
  <c r="Y224" i="1"/>
  <c r="A223" i="9"/>
  <c r="Y224" i="3"/>
  <c r="B223" i="9"/>
  <c r="L223" i="9" l="1"/>
  <c r="I223" i="9"/>
  <c r="O222" i="9"/>
  <c r="M223" i="9"/>
  <c r="Q223" i="9"/>
  <c r="N223" i="9"/>
  <c r="R223" i="9"/>
  <c r="P222" i="9"/>
  <c r="Y225" i="7"/>
  <c r="F224" i="9"/>
  <c r="Y224" i="5"/>
  <c r="D223" i="9"/>
  <c r="K223" i="9" s="1"/>
  <c r="C223" i="9"/>
  <c r="J223" i="9" s="1"/>
  <c r="Y224" i="4"/>
  <c r="Y225" i="6"/>
  <c r="E224" i="9"/>
  <c r="Y225" i="1"/>
  <c r="A224" i="9"/>
  <c r="Y225" i="3"/>
  <c r="B224" i="9"/>
  <c r="M224" i="9" l="1"/>
  <c r="I224" i="9"/>
  <c r="Q224" i="9"/>
  <c r="R224" i="9"/>
  <c r="N224" i="9"/>
  <c r="L224" i="9"/>
  <c r="O223" i="9"/>
  <c r="P223" i="9"/>
  <c r="Y226" i="6"/>
  <c r="E225" i="9"/>
  <c r="Y225" i="5"/>
  <c r="D224" i="9"/>
  <c r="K224" i="9" s="1"/>
  <c r="C224" i="9"/>
  <c r="J224" i="9" s="1"/>
  <c r="Y225" i="4"/>
  <c r="Y226" i="7"/>
  <c r="F225" i="9"/>
  <c r="Y226" i="1"/>
  <c r="A225" i="9"/>
  <c r="Y226" i="3"/>
  <c r="B225" i="9"/>
  <c r="P224" i="9" l="1"/>
  <c r="L225" i="9"/>
  <c r="N225" i="9"/>
  <c r="R225" i="9"/>
  <c r="Q225" i="9"/>
  <c r="O224" i="9"/>
  <c r="I225" i="9"/>
  <c r="M225" i="9"/>
  <c r="Y227" i="7"/>
  <c r="F226" i="9"/>
  <c r="Y226" i="5"/>
  <c r="D225" i="9"/>
  <c r="K225" i="9" s="1"/>
  <c r="C225" i="9"/>
  <c r="J225" i="9" s="1"/>
  <c r="Y226" i="4"/>
  <c r="Y227" i="6"/>
  <c r="E226" i="9"/>
  <c r="Y227" i="1"/>
  <c r="A226" i="9"/>
  <c r="Y227" i="3"/>
  <c r="B226" i="9"/>
  <c r="O225" i="9" l="1"/>
  <c r="M226" i="9"/>
  <c r="Q226" i="9"/>
  <c r="N226" i="9"/>
  <c r="R226" i="9"/>
  <c r="I226" i="9"/>
  <c r="L226" i="9"/>
  <c r="P225" i="9"/>
  <c r="Y228" i="6"/>
  <c r="E227" i="9"/>
  <c r="Y227" i="5"/>
  <c r="D226" i="9"/>
  <c r="K226" i="9" s="1"/>
  <c r="C226" i="9"/>
  <c r="J226" i="9" s="1"/>
  <c r="Y227" i="4"/>
  <c r="Y228" i="7"/>
  <c r="F227" i="9"/>
  <c r="Y228" i="1"/>
  <c r="A227" i="9"/>
  <c r="Y228" i="3"/>
  <c r="B227" i="9"/>
  <c r="P226" i="9" l="1"/>
  <c r="Q227" i="9"/>
  <c r="N227" i="9"/>
  <c r="R227" i="9"/>
  <c r="L227" i="9"/>
  <c r="I227" i="9"/>
  <c r="M227" i="9"/>
  <c r="O226" i="9"/>
  <c r="Y229" i="7"/>
  <c r="F228" i="9"/>
  <c r="Y228" i="5"/>
  <c r="D227" i="9"/>
  <c r="K227" i="9" s="1"/>
  <c r="C227" i="9"/>
  <c r="J227" i="9" s="1"/>
  <c r="Y228" i="4"/>
  <c r="Y229" i="6"/>
  <c r="E228" i="9"/>
  <c r="Y229" i="1"/>
  <c r="A228" i="9"/>
  <c r="Y229" i="3"/>
  <c r="B228" i="9"/>
  <c r="Q228" i="9" l="1"/>
  <c r="N228" i="9"/>
  <c r="R228" i="9"/>
  <c r="M228" i="9"/>
  <c r="I228" i="9"/>
  <c r="L228" i="9"/>
  <c r="O227" i="9"/>
  <c r="P227" i="9"/>
  <c r="Y230" i="6"/>
  <c r="E229" i="9"/>
  <c r="Y229" i="5"/>
  <c r="D228" i="9"/>
  <c r="K228" i="9" s="1"/>
  <c r="C228" i="9"/>
  <c r="J228" i="9" s="1"/>
  <c r="Y229" i="4"/>
  <c r="Y230" i="7"/>
  <c r="F229" i="9"/>
  <c r="Y230" i="1"/>
  <c r="A229" i="9"/>
  <c r="Y230" i="3"/>
  <c r="B229" i="9"/>
  <c r="N229" i="9" l="1"/>
  <c r="R229" i="9"/>
  <c r="Q229" i="9"/>
  <c r="L229" i="9"/>
  <c r="M229" i="9"/>
  <c r="P228" i="9"/>
  <c r="I229" i="9"/>
  <c r="O228" i="9"/>
  <c r="Y230" i="5"/>
  <c r="D229" i="9"/>
  <c r="K229" i="9" s="1"/>
  <c r="Y231" i="7"/>
  <c r="F230" i="9"/>
  <c r="C229" i="9"/>
  <c r="J229" i="9" s="1"/>
  <c r="Y230" i="4"/>
  <c r="Y231" i="6"/>
  <c r="E230" i="9"/>
  <c r="Y231" i="1"/>
  <c r="A230" i="9"/>
  <c r="Y231" i="3"/>
  <c r="B230" i="9"/>
  <c r="O229" i="9" l="1"/>
  <c r="Q230" i="9"/>
  <c r="N230" i="9"/>
  <c r="R230" i="9"/>
  <c r="L230" i="9"/>
  <c r="P229" i="9"/>
  <c r="I230" i="9"/>
  <c r="M230" i="9"/>
  <c r="Y232" i="6"/>
  <c r="E231" i="9"/>
  <c r="Y232" i="7"/>
  <c r="F231" i="9"/>
  <c r="C230" i="9"/>
  <c r="J230" i="9" s="1"/>
  <c r="Y231" i="4"/>
  <c r="Y231" i="5"/>
  <c r="D230" i="9"/>
  <c r="K230" i="9" s="1"/>
  <c r="Y232" i="1"/>
  <c r="A231" i="9"/>
  <c r="Y232" i="3"/>
  <c r="B231" i="9"/>
  <c r="L231" i="9" l="1"/>
  <c r="Q231" i="9"/>
  <c r="N231" i="9"/>
  <c r="R231" i="9"/>
  <c r="I231" i="9"/>
  <c r="P230" i="9"/>
  <c r="M231" i="9"/>
  <c r="O230" i="9"/>
  <c r="Y232" i="5"/>
  <c r="D231" i="9"/>
  <c r="K231" i="9" s="1"/>
  <c r="Y233" i="7"/>
  <c r="F232" i="9"/>
  <c r="C231" i="9"/>
  <c r="J231" i="9" s="1"/>
  <c r="Y232" i="4"/>
  <c r="Y233" i="6"/>
  <c r="E232" i="9"/>
  <c r="Y233" i="1"/>
  <c r="A232" i="9"/>
  <c r="Y233" i="3"/>
  <c r="B232" i="9"/>
  <c r="Q232" i="9" l="1"/>
  <c r="N232" i="9"/>
  <c r="R232" i="9"/>
  <c r="I232" i="9"/>
  <c r="L232" i="9"/>
  <c r="M232" i="9"/>
  <c r="O231" i="9"/>
  <c r="P231" i="9"/>
  <c r="Y234" i="6"/>
  <c r="E233" i="9"/>
  <c r="Y234" i="7"/>
  <c r="F233" i="9"/>
  <c r="C232" i="9"/>
  <c r="J232" i="9" s="1"/>
  <c r="Y233" i="4"/>
  <c r="Y233" i="5"/>
  <c r="D232" i="9"/>
  <c r="K232" i="9" s="1"/>
  <c r="Y234" i="1"/>
  <c r="A233" i="9"/>
  <c r="Y234" i="3"/>
  <c r="B233" i="9"/>
  <c r="L233" i="9" l="1"/>
  <c r="N233" i="9"/>
  <c r="R233" i="9"/>
  <c r="Q233" i="9"/>
  <c r="I233" i="9"/>
  <c r="M233" i="9"/>
  <c r="P232" i="9"/>
  <c r="O232" i="9"/>
  <c r="Y234" i="5"/>
  <c r="D233" i="9"/>
  <c r="K233" i="9" s="1"/>
  <c r="Y235" i="7"/>
  <c r="F234" i="9"/>
  <c r="C233" i="9"/>
  <c r="J233" i="9" s="1"/>
  <c r="Y234" i="4"/>
  <c r="Y235" i="6"/>
  <c r="E234" i="9"/>
  <c r="Y235" i="1"/>
  <c r="A234" i="9"/>
  <c r="Y235" i="3"/>
  <c r="B234" i="9"/>
  <c r="P233" i="9" l="1"/>
  <c r="O233" i="9"/>
  <c r="Q234" i="9"/>
  <c r="N234" i="9"/>
  <c r="R234" i="9"/>
  <c r="I234" i="9"/>
  <c r="L234" i="9"/>
  <c r="M234" i="9"/>
  <c r="Y236" i="6"/>
  <c r="E235" i="9"/>
  <c r="Y236" i="7"/>
  <c r="F235" i="9"/>
  <c r="C234" i="9"/>
  <c r="J234" i="9" s="1"/>
  <c r="Y235" i="4"/>
  <c r="Y235" i="5"/>
  <c r="D234" i="9"/>
  <c r="K234" i="9" s="1"/>
  <c r="Y236" i="1"/>
  <c r="A235" i="9"/>
  <c r="Y236" i="3"/>
  <c r="B235" i="9"/>
  <c r="P234" i="9" l="1"/>
  <c r="Q235" i="9"/>
  <c r="N235" i="9"/>
  <c r="R235" i="9"/>
  <c r="L235" i="9"/>
  <c r="I235" i="9"/>
  <c r="M235" i="9"/>
  <c r="O234" i="9"/>
  <c r="Y236" i="5"/>
  <c r="D235" i="9"/>
  <c r="K235" i="9" s="1"/>
  <c r="Y237" i="7"/>
  <c r="F236" i="9"/>
  <c r="C235" i="9"/>
  <c r="J235" i="9" s="1"/>
  <c r="Y236" i="4"/>
  <c r="Y237" i="6"/>
  <c r="E236" i="9"/>
  <c r="Y237" i="1"/>
  <c r="A236" i="9"/>
  <c r="Y237" i="3"/>
  <c r="B236" i="9"/>
  <c r="Q236" i="9" l="1"/>
  <c r="N236" i="9"/>
  <c r="R236" i="9"/>
  <c r="I236" i="9"/>
  <c r="L236" i="9"/>
  <c r="M236" i="9"/>
  <c r="O235" i="9"/>
  <c r="P235" i="9"/>
  <c r="Y238" i="6"/>
  <c r="E237" i="9"/>
  <c r="Y238" i="7"/>
  <c r="F237" i="9"/>
  <c r="C236" i="9"/>
  <c r="J236" i="9" s="1"/>
  <c r="Y237" i="4"/>
  <c r="Y237" i="5"/>
  <c r="D236" i="9"/>
  <c r="K236" i="9" s="1"/>
  <c r="Y238" i="1"/>
  <c r="A237" i="9"/>
  <c r="Y238" i="3"/>
  <c r="B237" i="9"/>
  <c r="N237" i="9" l="1"/>
  <c r="R237" i="9"/>
  <c r="Q237" i="9"/>
  <c r="L237" i="9"/>
  <c r="P236" i="9"/>
  <c r="I237" i="9"/>
  <c r="M237" i="9"/>
  <c r="O236" i="9"/>
  <c r="Y239" i="7"/>
  <c r="F238" i="9"/>
  <c r="C237" i="9"/>
  <c r="J237" i="9" s="1"/>
  <c r="Y238" i="4"/>
  <c r="Y238" i="5"/>
  <c r="D237" i="9"/>
  <c r="K237" i="9" s="1"/>
  <c r="Y239" i="6"/>
  <c r="E238" i="9"/>
  <c r="Y239" i="1"/>
  <c r="A238" i="9"/>
  <c r="Y239" i="3"/>
  <c r="B238" i="9"/>
  <c r="O237" i="9" l="1"/>
  <c r="M238" i="9"/>
  <c r="P237" i="9"/>
  <c r="L238" i="9"/>
  <c r="Q238" i="9"/>
  <c r="N238" i="9"/>
  <c r="R238" i="9"/>
  <c r="P238" i="9"/>
  <c r="I238" i="9"/>
  <c r="Y240" i="6"/>
  <c r="E239" i="9"/>
  <c r="C238" i="9"/>
  <c r="J238" i="9" s="1"/>
  <c r="Y239" i="4"/>
  <c r="Y239" i="5"/>
  <c r="D238" i="9"/>
  <c r="K238" i="9" s="1"/>
  <c r="Y240" i="7"/>
  <c r="F239" i="9"/>
  <c r="Y240" i="1"/>
  <c r="A239" i="9"/>
  <c r="Y240" i="3"/>
  <c r="B239" i="9"/>
  <c r="L239" i="9" l="1"/>
  <c r="O238" i="9"/>
  <c r="Q239" i="9"/>
  <c r="N239" i="9"/>
  <c r="R239" i="9"/>
  <c r="I239" i="9"/>
  <c r="M239" i="9"/>
  <c r="Y241" i="7"/>
  <c r="F240" i="9"/>
  <c r="C239" i="9"/>
  <c r="J239" i="9" s="1"/>
  <c r="Y240" i="4"/>
  <c r="Y240" i="5"/>
  <c r="D239" i="9"/>
  <c r="K239" i="9" s="1"/>
  <c r="Y241" i="6"/>
  <c r="E240" i="9"/>
  <c r="Y241" i="1"/>
  <c r="A240" i="9"/>
  <c r="Y241" i="3"/>
  <c r="B240" i="9"/>
  <c r="I240" i="9" l="1"/>
  <c r="L240" i="9"/>
  <c r="P239" i="9"/>
  <c r="Q240" i="9"/>
  <c r="R240" i="9"/>
  <c r="N240" i="9"/>
  <c r="M240" i="9"/>
  <c r="O239" i="9"/>
  <c r="Y242" i="6"/>
  <c r="E241" i="9"/>
  <c r="C240" i="9"/>
  <c r="J240" i="9" s="1"/>
  <c r="Y241" i="4"/>
  <c r="Y241" i="5"/>
  <c r="D240" i="9"/>
  <c r="K240" i="9" s="1"/>
  <c r="Y242" i="7"/>
  <c r="F241" i="9"/>
  <c r="M241" i="9" s="1"/>
  <c r="Y242" i="1"/>
  <c r="A241" i="9"/>
  <c r="Y242" i="3"/>
  <c r="B241" i="9"/>
  <c r="I241" i="9" s="1"/>
  <c r="P240" i="9" l="1"/>
  <c r="O240" i="9"/>
  <c r="N241" i="9"/>
  <c r="R241" i="9"/>
  <c r="Q241" i="9"/>
  <c r="L241" i="9"/>
  <c r="C241" i="9"/>
  <c r="J241" i="9" s="1"/>
  <c r="Y242" i="4"/>
  <c r="Y243" i="7"/>
  <c r="F242" i="9"/>
  <c r="Y242" i="5"/>
  <c r="D241" i="9"/>
  <c r="K241" i="9" s="1"/>
  <c r="Y243" i="6"/>
  <c r="E242" i="9"/>
  <c r="Y243" i="1"/>
  <c r="A242" i="9"/>
  <c r="Y243" i="3"/>
  <c r="B242" i="9"/>
  <c r="I242" i="9" l="1"/>
  <c r="L242" i="9"/>
  <c r="M242" i="9"/>
  <c r="Q242" i="9"/>
  <c r="N242" i="9"/>
  <c r="R242" i="9"/>
  <c r="P241" i="9"/>
  <c r="O241" i="9"/>
  <c r="Y244" i="7"/>
  <c r="F243" i="9"/>
  <c r="C242" i="9"/>
  <c r="J242" i="9" s="1"/>
  <c r="Y243" i="4"/>
  <c r="Y244" i="6"/>
  <c r="E243" i="9"/>
  <c r="Y243" i="5"/>
  <c r="D242" i="9"/>
  <c r="K242" i="9" s="1"/>
  <c r="Y244" i="1"/>
  <c r="A243" i="9"/>
  <c r="Y244" i="3"/>
  <c r="B243" i="9"/>
  <c r="I243" i="9" s="1"/>
  <c r="O242" i="9" l="1"/>
  <c r="Q243" i="9"/>
  <c r="N243" i="9"/>
  <c r="R243" i="9"/>
  <c r="L243" i="9"/>
  <c r="M243" i="9"/>
  <c r="P242" i="9"/>
  <c r="C243" i="9"/>
  <c r="J243" i="9" s="1"/>
  <c r="Y244" i="4"/>
  <c r="Y244" i="5"/>
  <c r="D243" i="9"/>
  <c r="K243" i="9" s="1"/>
  <c r="Y245" i="6"/>
  <c r="E244" i="9"/>
  <c r="Y245" i="7"/>
  <c r="F244" i="9"/>
  <c r="M244" i="9" s="1"/>
  <c r="Y245" i="1"/>
  <c r="A244" i="9"/>
  <c r="Y245" i="3"/>
  <c r="B244" i="9"/>
  <c r="I244" i="9" s="1"/>
  <c r="Q244" i="9" l="1"/>
  <c r="N244" i="9"/>
  <c r="R244" i="9"/>
  <c r="L244" i="9"/>
  <c r="O243" i="9"/>
  <c r="P243" i="9"/>
  <c r="Y246" i="7"/>
  <c r="F245" i="9"/>
  <c r="Y245" i="5"/>
  <c r="D244" i="9"/>
  <c r="K244" i="9" s="1"/>
  <c r="C244" i="9"/>
  <c r="J244" i="9" s="1"/>
  <c r="Y245" i="4"/>
  <c r="Y246" i="6"/>
  <c r="E245" i="9"/>
  <c r="Y246" i="1"/>
  <c r="A245" i="9"/>
  <c r="Y246" i="3"/>
  <c r="B245" i="9"/>
  <c r="L245" i="9" l="1"/>
  <c r="I245" i="9"/>
  <c r="P244" i="9"/>
  <c r="N245" i="9"/>
  <c r="R245" i="9"/>
  <c r="Q245" i="9"/>
  <c r="M245" i="9"/>
  <c r="O244" i="9"/>
  <c r="Y247" i="6"/>
  <c r="E246" i="9"/>
  <c r="Y246" i="5"/>
  <c r="D245" i="9"/>
  <c r="K245" i="9" s="1"/>
  <c r="C245" i="9"/>
  <c r="J245" i="9" s="1"/>
  <c r="Y246" i="4"/>
  <c r="Y247" i="7"/>
  <c r="F246" i="9"/>
  <c r="Y247" i="1"/>
  <c r="A246" i="9"/>
  <c r="Y247" i="3"/>
  <c r="B246" i="9"/>
  <c r="L246" i="9" l="1"/>
  <c r="O245" i="9"/>
  <c r="I246" i="9"/>
  <c r="M246" i="9"/>
  <c r="Q246" i="9"/>
  <c r="N246" i="9"/>
  <c r="R246" i="9"/>
  <c r="O246" i="9"/>
  <c r="P245" i="9"/>
  <c r="Y248" i="7"/>
  <c r="F247" i="9"/>
  <c r="M247" i="9" s="1"/>
  <c r="Y247" i="5"/>
  <c r="D246" i="9"/>
  <c r="K246" i="9" s="1"/>
  <c r="C246" i="9"/>
  <c r="J246" i="9" s="1"/>
  <c r="Y247" i="4"/>
  <c r="Y248" i="6"/>
  <c r="E247" i="9"/>
  <c r="Y248" i="1"/>
  <c r="A247" i="9"/>
  <c r="Y248" i="3"/>
  <c r="B247" i="9"/>
  <c r="Q247" i="9" l="1"/>
  <c r="N247" i="9"/>
  <c r="R247" i="9"/>
  <c r="L247" i="9"/>
  <c r="I247" i="9"/>
  <c r="P246" i="9"/>
  <c r="Y249" i="6"/>
  <c r="E248" i="9"/>
  <c r="Y248" i="5"/>
  <c r="D247" i="9"/>
  <c r="K247" i="9" s="1"/>
  <c r="C247" i="9"/>
  <c r="J247" i="9" s="1"/>
  <c r="Y248" i="4"/>
  <c r="Y249" i="7"/>
  <c r="F248" i="9"/>
  <c r="Y249" i="1"/>
  <c r="A248" i="9"/>
  <c r="Y249" i="3"/>
  <c r="B248" i="9"/>
  <c r="I248" i="9" l="1"/>
  <c r="M248" i="9"/>
  <c r="Q248" i="9"/>
  <c r="N248" i="9"/>
  <c r="R248" i="9"/>
  <c r="L248" i="9"/>
  <c r="O247" i="9"/>
  <c r="P247" i="9"/>
  <c r="Y250" i="7"/>
  <c r="F249" i="9"/>
  <c r="Y249" i="5"/>
  <c r="D248" i="9"/>
  <c r="K248" i="9" s="1"/>
  <c r="C248" i="9"/>
  <c r="J248" i="9" s="1"/>
  <c r="Y249" i="4"/>
  <c r="Y250" i="6"/>
  <c r="E249" i="9"/>
  <c r="L249" i="9" s="1"/>
  <c r="Y250" i="1"/>
  <c r="A249" i="9"/>
  <c r="Y250" i="3"/>
  <c r="B249" i="9"/>
  <c r="I249" i="9" s="1"/>
  <c r="P248" i="9" l="1"/>
  <c r="N249" i="9"/>
  <c r="R249" i="9"/>
  <c r="Q249" i="9"/>
  <c r="M249" i="9"/>
  <c r="O248" i="9"/>
  <c r="Y250" i="5"/>
  <c r="D249" i="9"/>
  <c r="K249" i="9" s="1"/>
  <c r="Y251" i="6"/>
  <c r="E250" i="9"/>
  <c r="C249" i="9"/>
  <c r="J249" i="9" s="1"/>
  <c r="Y250" i="4"/>
  <c r="Y251" i="7"/>
  <c r="F250" i="9"/>
  <c r="Y251" i="1"/>
  <c r="A250" i="9"/>
  <c r="Y251" i="3"/>
  <c r="B250" i="9"/>
  <c r="M250" i="9" l="1"/>
  <c r="I250" i="9"/>
  <c r="L250" i="9"/>
  <c r="O249" i="9"/>
  <c r="Q250" i="9"/>
  <c r="N250" i="9"/>
  <c r="R250" i="9"/>
  <c r="P249" i="9"/>
  <c r="Y252" i="7"/>
  <c r="F251" i="9"/>
  <c r="Y252" i="6"/>
  <c r="E251" i="9"/>
  <c r="C250" i="9"/>
  <c r="J250" i="9" s="1"/>
  <c r="Y251" i="4"/>
  <c r="Y251" i="5"/>
  <c r="D250" i="9"/>
  <c r="K250" i="9" s="1"/>
  <c r="Y252" i="1"/>
  <c r="A251" i="9"/>
  <c r="Y252" i="3"/>
  <c r="B251" i="9"/>
  <c r="M251" i="9" l="1"/>
  <c r="O250" i="9"/>
  <c r="Q251" i="9"/>
  <c r="N251" i="9"/>
  <c r="R251" i="9"/>
  <c r="I251" i="9"/>
  <c r="L251" i="9"/>
  <c r="P250" i="9"/>
  <c r="D251" i="9"/>
  <c r="K251" i="9" s="1"/>
  <c r="Y252" i="5"/>
  <c r="Y253" i="6"/>
  <c r="E252" i="9"/>
  <c r="L252" i="9" s="1"/>
  <c r="C251" i="9"/>
  <c r="J251" i="9" s="1"/>
  <c r="Y252" i="4"/>
  <c r="Y253" i="7"/>
  <c r="F252" i="9"/>
  <c r="M252" i="9" s="1"/>
  <c r="Y253" i="1"/>
  <c r="A252" i="9"/>
  <c r="Y253" i="3"/>
  <c r="B252" i="9"/>
  <c r="I252" i="9" s="1"/>
  <c r="Q252" i="9" l="1"/>
  <c r="N252" i="9"/>
  <c r="R252" i="9"/>
  <c r="O251" i="9"/>
  <c r="P251" i="9"/>
  <c r="Y254" i="6"/>
  <c r="E253" i="9"/>
  <c r="C252" i="9"/>
  <c r="J252" i="9" s="1"/>
  <c r="Y253" i="4"/>
  <c r="Y253" i="5"/>
  <c r="D252" i="9"/>
  <c r="K252" i="9" s="1"/>
  <c r="Y254" i="7"/>
  <c r="F253" i="9"/>
  <c r="Y254" i="1"/>
  <c r="A253" i="9"/>
  <c r="Y254" i="3"/>
  <c r="B253" i="9"/>
  <c r="I253" i="9" l="1"/>
  <c r="M253" i="9"/>
  <c r="P252" i="9"/>
  <c r="N253" i="9"/>
  <c r="R253" i="9"/>
  <c r="P253" i="9"/>
  <c r="Q253" i="9"/>
  <c r="L253" i="9"/>
  <c r="O252" i="9"/>
  <c r="C253" i="9"/>
  <c r="J253" i="9" s="1"/>
  <c r="Y254" i="4"/>
  <c r="Y254" i="5"/>
  <c r="D253" i="9"/>
  <c r="K253" i="9" s="1"/>
  <c r="Y255" i="7"/>
  <c r="F254" i="9"/>
  <c r="Y255" i="6"/>
  <c r="E254" i="9"/>
  <c r="Y255" i="1"/>
  <c r="A254" i="9"/>
  <c r="Y255" i="3"/>
  <c r="B254" i="9"/>
  <c r="I254" i="9" l="1"/>
  <c r="L254" i="9"/>
  <c r="O253" i="9"/>
  <c r="Q254" i="9"/>
  <c r="N254" i="9"/>
  <c r="R254" i="9"/>
  <c r="M254" i="9"/>
  <c r="Y256" i="6"/>
  <c r="E255" i="9"/>
  <c r="D254" i="9"/>
  <c r="K254" i="9" s="1"/>
  <c r="Y255" i="5"/>
  <c r="Y255" i="4"/>
  <c r="C254" i="9"/>
  <c r="J254" i="9" s="1"/>
  <c r="Y256" i="7"/>
  <c r="F255" i="9"/>
  <c r="Y256" i="1"/>
  <c r="A255" i="9"/>
  <c r="Y256" i="3"/>
  <c r="B255" i="9"/>
  <c r="I255" i="9" l="1"/>
  <c r="M255" i="9"/>
  <c r="P254" i="9"/>
  <c r="Q255" i="9"/>
  <c r="N255" i="9"/>
  <c r="R255" i="9"/>
  <c r="O255" i="9"/>
  <c r="L255" i="9"/>
  <c r="O254" i="9"/>
  <c r="Y256" i="5"/>
  <c r="D255" i="9"/>
  <c r="K255" i="9" s="1"/>
  <c r="Y257" i="7"/>
  <c r="F256" i="9"/>
  <c r="C255" i="9"/>
  <c r="J255" i="9" s="1"/>
  <c r="Y256" i="4"/>
  <c r="Y257" i="6"/>
  <c r="E256" i="9"/>
  <c r="Y257" i="1"/>
  <c r="A256" i="9"/>
  <c r="Y257" i="3"/>
  <c r="B256" i="9"/>
  <c r="I256" i="9" s="1"/>
  <c r="L256" i="9" l="1"/>
  <c r="M256" i="9"/>
  <c r="P255" i="9"/>
  <c r="O256" i="9"/>
  <c r="Q256" i="9"/>
  <c r="R256" i="9"/>
  <c r="N256" i="9"/>
  <c r="Y258" i="7"/>
  <c r="F257" i="9"/>
  <c r="C256" i="9"/>
  <c r="J256" i="9" s="1"/>
  <c r="Y257" i="4"/>
  <c r="Y258" i="6"/>
  <c r="E257" i="9"/>
  <c r="L257" i="9" s="1"/>
  <c r="Y257" i="5"/>
  <c r="D256" i="9"/>
  <c r="K256" i="9" s="1"/>
  <c r="Y258" i="1"/>
  <c r="A257" i="9"/>
  <c r="Y258" i="3"/>
  <c r="B257" i="9"/>
  <c r="M257" i="9" l="1"/>
  <c r="P256" i="9"/>
  <c r="N257" i="9"/>
  <c r="R257" i="9"/>
  <c r="P257" i="9"/>
  <c r="Q257" i="9"/>
  <c r="I257" i="9"/>
  <c r="C257" i="9"/>
  <c r="J257" i="9" s="1"/>
  <c r="Y258" i="4"/>
  <c r="Y258" i="5"/>
  <c r="D257" i="9"/>
  <c r="K257" i="9" s="1"/>
  <c r="Y259" i="6"/>
  <c r="E258" i="9"/>
  <c r="Y259" i="7"/>
  <c r="F258" i="9"/>
  <c r="Y259" i="1"/>
  <c r="A258" i="9"/>
  <c r="Y259" i="3"/>
  <c r="B258" i="9"/>
  <c r="L258" i="9" l="1"/>
  <c r="O257" i="9"/>
  <c r="M258" i="9"/>
  <c r="Q258" i="9"/>
  <c r="N258" i="9"/>
  <c r="R258" i="9"/>
  <c r="O258" i="9"/>
  <c r="P258" i="9"/>
  <c r="I258" i="9"/>
  <c r="Y259" i="5"/>
  <c r="D258" i="9"/>
  <c r="K258" i="9" s="1"/>
  <c r="Y260" i="7"/>
  <c r="F259" i="9"/>
  <c r="C258" i="9"/>
  <c r="J258" i="9" s="1"/>
  <c r="Y259" i="4"/>
  <c r="Y260" i="6"/>
  <c r="E259" i="9"/>
  <c r="Y260" i="1"/>
  <c r="A259" i="9"/>
  <c r="Y260" i="3"/>
  <c r="B259" i="9"/>
  <c r="I259" i="9" l="1"/>
  <c r="L259" i="9"/>
  <c r="M259" i="9"/>
  <c r="Q259" i="9"/>
  <c r="N259" i="9"/>
  <c r="R259" i="9"/>
  <c r="Y261" i="7"/>
  <c r="F260" i="9"/>
  <c r="C259" i="9"/>
  <c r="J259" i="9" s="1"/>
  <c r="Y260" i="4"/>
  <c r="Y261" i="6"/>
  <c r="E260" i="9"/>
  <c r="Y260" i="5"/>
  <c r="D259" i="9"/>
  <c r="K259" i="9" s="1"/>
  <c r="Y261" i="1"/>
  <c r="A260" i="9"/>
  <c r="Y261" i="3"/>
  <c r="B260" i="9"/>
  <c r="L260" i="9" l="1"/>
  <c r="M260" i="9"/>
  <c r="P260" i="9"/>
  <c r="Q260" i="9"/>
  <c r="N260" i="9"/>
  <c r="R260" i="9"/>
  <c r="I260" i="9"/>
  <c r="O259" i="9"/>
  <c r="P259" i="9"/>
  <c r="C260" i="9"/>
  <c r="J260" i="9" s="1"/>
  <c r="Y261" i="4"/>
  <c r="Y261" i="5"/>
  <c r="D260" i="9"/>
  <c r="K260" i="9" s="1"/>
  <c r="Y262" i="6"/>
  <c r="E261" i="9"/>
  <c r="Y262" i="7"/>
  <c r="F261" i="9"/>
  <c r="Y262" i="1"/>
  <c r="A261" i="9"/>
  <c r="Y262" i="3"/>
  <c r="B261" i="9"/>
  <c r="L261" i="9" l="1"/>
  <c r="O260" i="9"/>
  <c r="N261" i="9"/>
  <c r="R261" i="9"/>
  <c r="Q261" i="9"/>
  <c r="I261" i="9"/>
  <c r="M261" i="9"/>
  <c r="Y263" i="7"/>
  <c r="F262" i="9"/>
  <c r="Y262" i="5"/>
  <c r="D261" i="9"/>
  <c r="K261" i="9" s="1"/>
  <c r="C261" i="9"/>
  <c r="J261" i="9" s="1"/>
  <c r="Y262" i="4"/>
  <c r="Y263" i="6"/>
  <c r="E262" i="9"/>
  <c r="L262" i="9" s="1"/>
  <c r="Y263" i="1"/>
  <c r="A262" i="9"/>
  <c r="Y263" i="3"/>
  <c r="B262" i="9"/>
  <c r="I262" i="9" s="1"/>
  <c r="P261" i="9" l="1"/>
  <c r="O261" i="9"/>
  <c r="Q262" i="9"/>
  <c r="N262" i="9"/>
  <c r="R262" i="9"/>
  <c r="M262" i="9"/>
  <c r="Y264" i="6"/>
  <c r="E263" i="9"/>
  <c r="Y263" i="5"/>
  <c r="D262" i="9"/>
  <c r="K262" i="9" s="1"/>
  <c r="C262" i="9"/>
  <c r="J262" i="9" s="1"/>
  <c r="Y263" i="4"/>
  <c r="Y264" i="7"/>
  <c r="F263" i="9"/>
  <c r="Y264" i="1"/>
  <c r="A263" i="9"/>
  <c r="Y264" i="3"/>
  <c r="B263" i="9"/>
  <c r="M263" i="9" l="1"/>
  <c r="I263" i="9"/>
  <c r="P262" i="9"/>
  <c r="Q263" i="9"/>
  <c r="N263" i="9"/>
  <c r="R263" i="9"/>
  <c r="L263" i="9"/>
  <c r="O262" i="9"/>
  <c r="Y265" i="7"/>
  <c r="F264" i="9"/>
  <c r="Y264" i="5"/>
  <c r="D263" i="9"/>
  <c r="K263" i="9" s="1"/>
  <c r="C263" i="9"/>
  <c r="J263" i="9" s="1"/>
  <c r="Y264" i="4"/>
  <c r="Y265" i="6"/>
  <c r="E264" i="9"/>
  <c r="Y265" i="1"/>
  <c r="A264" i="9"/>
  <c r="Y265" i="3"/>
  <c r="B264" i="9"/>
  <c r="O263" i="9" l="1"/>
  <c r="I264" i="9"/>
  <c r="L264" i="9"/>
  <c r="Q264" i="9"/>
  <c r="N264" i="9"/>
  <c r="R264" i="9"/>
  <c r="M264" i="9"/>
  <c r="P263" i="9"/>
  <c r="Y265" i="5"/>
  <c r="D264" i="9"/>
  <c r="K264" i="9" s="1"/>
  <c r="Y266" i="6"/>
  <c r="E265" i="9"/>
  <c r="C264" i="9"/>
  <c r="J264" i="9" s="1"/>
  <c r="Y265" i="4"/>
  <c r="Y266" i="7"/>
  <c r="F265" i="9"/>
  <c r="Y266" i="1"/>
  <c r="A265" i="9"/>
  <c r="Y266" i="3"/>
  <c r="B265" i="9"/>
  <c r="P264" i="9" l="1"/>
  <c r="I265" i="9"/>
  <c r="M265" i="9"/>
  <c r="L265" i="9"/>
  <c r="N265" i="9"/>
  <c r="R265" i="9"/>
  <c r="P265" i="9"/>
  <c r="Q265" i="9"/>
  <c r="O264" i="9"/>
  <c r="Y267" i="7"/>
  <c r="F266" i="9"/>
  <c r="Y267" i="6"/>
  <c r="E266" i="9"/>
  <c r="C265" i="9"/>
  <c r="J265" i="9" s="1"/>
  <c r="Y266" i="4"/>
  <c r="Y266" i="5"/>
  <c r="D265" i="9"/>
  <c r="K265" i="9" s="1"/>
  <c r="Y267" i="1"/>
  <c r="A266" i="9"/>
  <c r="Y267" i="3"/>
  <c r="B266" i="9"/>
  <c r="Q266" i="9" l="1"/>
  <c r="N266" i="9"/>
  <c r="R266" i="9"/>
  <c r="O266" i="9"/>
  <c r="O265" i="9"/>
  <c r="M266" i="9"/>
  <c r="I266" i="9"/>
  <c r="L266" i="9"/>
  <c r="Y268" i="6"/>
  <c r="E267" i="9"/>
  <c r="Y267" i="5"/>
  <c r="D266" i="9"/>
  <c r="K266" i="9" s="1"/>
  <c r="C266" i="9"/>
  <c r="J266" i="9" s="1"/>
  <c r="Y267" i="4"/>
  <c r="Y268" i="7"/>
  <c r="F267" i="9"/>
  <c r="Y268" i="1"/>
  <c r="A267" i="9"/>
  <c r="Y268" i="3"/>
  <c r="B267" i="9"/>
  <c r="L267" i="9" l="1"/>
  <c r="Q267" i="9"/>
  <c r="N267" i="9"/>
  <c r="R267" i="9"/>
  <c r="I267" i="9"/>
  <c r="M267" i="9"/>
  <c r="P266" i="9"/>
  <c r="Y269" i="7"/>
  <c r="F268" i="9"/>
  <c r="Y268" i="5"/>
  <c r="D267" i="9"/>
  <c r="K267" i="9" s="1"/>
  <c r="C267" i="9"/>
  <c r="J267" i="9" s="1"/>
  <c r="Y268" i="4"/>
  <c r="Y269" i="6"/>
  <c r="E268" i="9"/>
  <c r="Y269" i="1"/>
  <c r="A268" i="9"/>
  <c r="Y269" i="3"/>
  <c r="B268" i="9"/>
  <c r="P267" i="9" l="1"/>
  <c r="M268" i="9"/>
  <c r="O267" i="9"/>
  <c r="P268" i="9"/>
  <c r="Q268" i="9"/>
  <c r="N268" i="9"/>
  <c r="R268" i="9"/>
  <c r="I268" i="9"/>
  <c r="L268" i="9"/>
  <c r="Y270" i="6"/>
  <c r="E269" i="9"/>
  <c r="Y269" i="5"/>
  <c r="D268" i="9"/>
  <c r="K268" i="9" s="1"/>
  <c r="C268" i="9"/>
  <c r="J268" i="9" s="1"/>
  <c r="Y269" i="4"/>
  <c r="Y270" i="7"/>
  <c r="F269" i="9"/>
  <c r="Y270" i="1"/>
  <c r="A269" i="9"/>
  <c r="Y270" i="3"/>
  <c r="B269" i="9"/>
  <c r="O268" i="9" l="1"/>
  <c r="L269" i="9"/>
  <c r="N269" i="9"/>
  <c r="R269" i="9"/>
  <c r="Q269" i="9"/>
  <c r="I269" i="9"/>
  <c r="M269" i="9"/>
  <c r="Y271" i="7"/>
  <c r="F270" i="9"/>
  <c r="Y270" i="5"/>
  <c r="D269" i="9"/>
  <c r="K269" i="9" s="1"/>
  <c r="C269" i="9"/>
  <c r="J269" i="9" s="1"/>
  <c r="Y270" i="4"/>
  <c r="Y271" i="6"/>
  <c r="E270" i="9"/>
  <c r="L270" i="9" s="1"/>
  <c r="Y271" i="1"/>
  <c r="A270" i="9"/>
  <c r="Y271" i="3"/>
  <c r="B270" i="9"/>
  <c r="I270" i="9" s="1"/>
  <c r="M270" i="9" l="1"/>
  <c r="O269" i="9"/>
  <c r="Q270" i="9"/>
  <c r="N270" i="9"/>
  <c r="R270" i="9"/>
  <c r="P269" i="9"/>
  <c r="Y272" i="6"/>
  <c r="E271" i="9"/>
  <c r="Y271" i="5"/>
  <c r="D270" i="9"/>
  <c r="K270" i="9" s="1"/>
  <c r="C270" i="9"/>
  <c r="J270" i="9" s="1"/>
  <c r="Y271" i="4"/>
  <c r="Y272" i="7"/>
  <c r="F271" i="9"/>
  <c r="Y272" i="1"/>
  <c r="A271" i="9"/>
  <c r="Y272" i="3"/>
  <c r="B271" i="9"/>
  <c r="O270" i="9" l="1"/>
  <c r="L271" i="9"/>
  <c r="Q271" i="9"/>
  <c r="N271" i="9"/>
  <c r="R271" i="9"/>
  <c r="I271" i="9"/>
  <c r="M271" i="9"/>
  <c r="P270" i="9"/>
  <c r="Y272" i="5"/>
  <c r="D271" i="9"/>
  <c r="K271" i="9" s="1"/>
  <c r="Y273" i="7"/>
  <c r="F272" i="9"/>
  <c r="M272" i="9" s="1"/>
  <c r="C271" i="9"/>
  <c r="J271" i="9" s="1"/>
  <c r="Y272" i="4"/>
  <c r="Y273" i="6"/>
  <c r="E272" i="9"/>
  <c r="L272" i="9" s="1"/>
  <c r="Y273" i="1"/>
  <c r="A272" i="9"/>
  <c r="Y273" i="3"/>
  <c r="B272" i="9"/>
  <c r="I272" i="9" s="1"/>
  <c r="Q272" i="9" l="1"/>
  <c r="R272" i="9"/>
  <c r="N272" i="9"/>
  <c r="O271" i="9"/>
  <c r="P271" i="9"/>
  <c r="Y274" i="6"/>
  <c r="E273" i="9"/>
  <c r="Y274" i="7"/>
  <c r="F273" i="9"/>
  <c r="C272" i="9"/>
  <c r="J272" i="9" s="1"/>
  <c r="Y273" i="4"/>
  <c r="Y273" i="5"/>
  <c r="D272" i="9"/>
  <c r="K272" i="9" s="1"/>
  <c r="Y274" i="1"/>
  <c r="A273" i="9"/>
  <c r="Y274" i="3"/>
  <c r="B273" i="9"/>
  <c r="I273" i="9" l="1"/>
  <c r="M273" i="9"/>
  <c r="P272" i="9"/>
  <c r="N273" i="9"/>
  <c r="R273" i="9"/>
  <c r="Q273" i="9"/>
  <c r="L273" i="9"/>
  <c r="O272" i="9"/>
  <c r="Y274" i="5"/>
  <c r="D273" i="9"/>
  <c r="K273" i="9" s="1"/>
  <c r="Y275" i="7"/>
  <c r="F274" i="9"/>
  <c r="C273" i="9"/>
  <c r="J273" i="9" s="1"/>
  <c r="Y274" i="4"/>
  <c r="Y275" i="6"/>
  <c r="E274" i="9"/>
  <c r="Y275" i="1"/>
  <c r="A274" i="9"/>
  <c r="Y275" i="3"/>
  <c r="B274" i="9"/>
  <c r="O273" i="9" l="1"/>
  <c r="I274" i="9"/>
  <c r="L274" i="9"/>
  <c r="M274" i="9"/>
  <c r="Q274" i="9"/>
  <c r="N274" i="9"/>
  <c r="R274" i="9"/>
  <c r="O274" i="9"/>
  <c r="P273" i="9"/>
  <c r="Y276" i="6"/>
  <c r="E275" i="9"/>
  <c r="Y276" i="7"/>
  <c r="F275" i="9"/>
  <c r="C274" i="9"/>
  <c r="J274" i="9" s="1"/>
  <c r="Y275" i="4"/>
  <c r="Y275" i="5"/>
  <c r="D274" i="9"/>
  <c r="K274" i="9" s="1"/>
  <c r="Y276" i="1"/>
  <c r="A275" i="9"/>
  <c r="Y276" i="3"/>
  <c r="B275" i="9"/>
  <c r="L275" i="9" l="1"/>
  <c r="Q275" i="9"/>
  <c r="N275" i="9"/>
  <c r="R275" i="9"/>
  <c r="I275" i="9"/>
  <c r="M275" i="9"/>
  <c r="P274" i="9"/>
  <c r="Y276" i="5"/>
  <c r="D275" i="9"/>
  <c r="K275" i="9" s="1"/>
  <c r="Y277" i="7"/>
  <c r="F276" i="9"/>
  <c r="C275" i="9"/>
  <c r="J275" i="9" s="1"/>
  <c r="Y276" i="4"/>
  <c r="Y277" i="6"/>
  <c r="E276" i="9"/>
  <c r="Y277" i="1"/>
  <c r="A276" i="9"/>
  <c r="Y277" i="3"/>
  <c r="B276" i="9"/>
  <c r="I276" i="9" s="1"/>
  <c r="L276" i="9" l="1"/>
  <c r="M276" i="9"/>
  <c r="Q276" i="9"/>
  <c r="N276" i="9"/>
  <c r="R276" i="9"/>
  <c r="O275" i="9"/>
  <c r="P275" i="9"/>
  <c r="Y278" i="6"/>
  <c r="E277" i="9"/>
  <c r="Y278" i="7"/>
  <c r="F277" i="9"/>
  <c r="C276" i="9"/>
  <c r="J276" i="9" s="1"/>
  <c r="Y277" i="4"/>
  <c r="Y277" i="5"/>
  <c r="D276" i="9"/>
  <c r="K276" i="9" s="1"/>
  <c r="Y278" i="1"/>
  <c r="A277" i="9"/>
  <c r="Y278" i="3"/>
  <c r="B277" i="9"/>
  <c r="I277" i="9" l="1"/>
  <c r="M277" i="9"/>
  <c r="P276" i="9"/>
  <c r="N277" i="9"/>
  <c r="R277" i="9"/>
  <c r="Q277" i="9"/>
  <c r="L277" i="9"/>
  <c r="O276" i="9"/>
  <c r="Y278" i="5"/>
  <c r="D277" i="9"/>
  <c r="K277" i="9" s="1"/>
  <c r="Y279" i="7"/>
  <c r="F278" i="9"/>
  <c r="C277" i="9"/>
  <c r="J277" i="9" s="1"/>
  <c r="Y278" i="4"/>
  <c r="Y279" i="6"/>
  <c r="E278" i="9"/>
  <c r="Y279" i="1"/>
  <c r="A278" i="9"/>
  <c r="Y279" i="3"/>
  <c r="B278" i="9"/>
  <c r="O277" i="9" l="1"/>
  <c r="I278" i="9"/>
  <c r="L278" i="9"/>
  <c r="M278" i="9"/>
  <c r="Q278" i="9"/>
  <c r="N278" i="9"/>
  <c r="R278" i="9"/>
  <c r="O278" i="9"/>
  <c r="P277" i="9"/>
  <c r="Y280" i="6"/>
  <c r="E279" i="9"/>
  <c r="Y280" i="7"/>
  <c r="F279" i="9"/>
  <c r="C278" i="9"/>
  <c r="J278" i="9" s="1"/>
  <c r="Y279" i="4"/>
  <c r="Y279" i="5"/>
  <c r="D278" i="9"/>
  <c r="K278" i="9" s="1"/>
  <c r="Y280" i="1"/>
  <c r="A279" i="9"/>
  <c r="Y280" i="3"/>
  <c r="B279" i="9"/>
  <c r="Q279" i="9" l="1"/>
  <c r="N279" i="9"/>
  <c r="R279" i="9"/>
  <c r="L279" i="9"/>
  <c r="I279" i="9"/>
  <c r="M279" i="9"/>
  <c r="P278" i="9"/>
  <c r="Y280" i="5"/>
  <c r="D279" i="9"/>
  <c r="K279" i="9" s="1"/>
  <c r="Y281" i="7"/>
  <c r="F280" i="9"/>
  <c r="C279" i="9"/>
  <c r="J279" i="9" s="1"/>
  <c r="Y280" i="4"/>
  <c r="Y281" i="6"/>
  <c r="E280" i="9"/>
  <c r="Y281" i="1"/>
  <c r="A280" i="9"/>
  <c r="Y281" i="3"/>
  <c r="B280" i="9"/>
  <c r="Q280" i="9" l="1"/>
  <c r="N280" i="9"/>
  <c r="R280" i="9"/>
  <c r="I280" i="9"/>
  <c r="L280" i="9"/>
  <c r="M280" i="9"/>
  <c r="O279" i="9"/>
  <c r="P279" i="9"/>
  <c r="Y282" i="6"/>
  <c r="E281" i="9"/>
  <c r="Y282" i="7"/>
  <c r="F281" i="9"/>
  <c r="C280" i="9"/>
  <c r="J280" i="9" s="1"/>
  <c r="Y281" i="4"/>
  <c r="Y281" i="5"/>
  <c r="D280" i="9"/>
  <c r="K280" i="9" s="1"/>
  <c r="Y282" i="1"/>
  <c r="A281" i="9"/>
  <c r="Y282" i="3"/>
  <c r="B281" i="9"/>
  <c r="L281" i="9" l="1"/>
  <c r="N281" i="9"/>
  <c r="R281" i="9"/>
  <c r="O281" i="9"/>
  <c r="Q281" i="9"/>
  <c r="I281" i="9"/>
  <c r="M281" i="9"/>
  <c r="P280" i="9"/>
  <c r="O280" i="9"/>
  <c r="Y282" i="5"/>
  <c r="D281" i="9"/>
  <c r="K281" i="9" s="1"/>
  <c r="Y283" i="7"/>
  <c r="F282" i="9"/>
  <c r="C281" i="9"/>
  <c r="J281" i="9" s="1"/>
  <c r="Y282" i="4"/>
  <c r="Y283" i="6"/>
  <c r="E282" i="9"/>
  <c r="Y283" i="1"/>
  <c r="A282" i="9"/>
  <c r="Y283" i="3"/>
  <c r="B282" i="9"/>
  <c r="I282" i="9" l="1"/>
  <c r="Q282" i="9"/>
  <c r="N282" i="9"/>
  <c r="R282" i="9"/>
  <c r="P282" i="9"/>
  <c r="L282" i="9"/>
  <c r="M282" i="9"/>
  <c r="P281" i="9"/>
  <c r="Y284" i="6"/>
  <c r="E283" i="9"/>
  <c r="Y284" i="7"/>
  <c r="F283" i="9"/>
  <c r="C282" i="9"/>
  <c r="J282" i="9" s="1"/>
  <c r="Y283" i="4"/>
  <c r="Y283" i="5"/>
  <c r="D282" i="9"/>
  <c r="K282" i="9" s="1"/>
  <c r="Y284" i="1"/>
  <c r="A283" i="9"/>
  <c r="Y284" i="3"/>
  <c r="B283" i="9"/>
  <c r="L283" i="9" l="1"/>
  <c r="Q283" i="9"/>
  <c r="N283" i="9"/>
  <c r="R283" i="9"/>
  <c r="I283" i="9"/>
  <c r="M283" i="9"/>
  <c r="O282" i="9"/>
  <c r="Y284" i="5"/>
  <c r="D283" i="9"/>
  <c r="K283" i="9" s="1"/>
  <c r="Y285" i="7"/>
  <c r="F284" i="9"/>
  <c r="C283" i="9"/>
  <c r="J283" i="9" s="1"/>
  <c r="Y284" i="4"/>
  <c r="Y285" i="6"/>
  <c r="E284" i="9"/>
  <c r="Y285" i="1"/>
  <c r="A284" i="9"/>
  <c r="Y285" i="3"/>
  <c r="B284" i="9"/>
  <c r="Q284" i="9" l="1"/>
  <c r="N284" i="9"/>
  <c r="R284" i="9"/>
  <c r="O283" i="9"/>
  <c r="P283" i="9"/>
  <c r="I284" i="9"/>
  <c r="L284" i="9"/>
  <c r="M284" i="9"/>
  <c r="Y286" i="6"/>
  <c r="E285" i="9"/>
  <c r="Y286" i="7"/>
  <c r="F285" i="9"/>
  <c r="C284" i="9"/>
  <c r="J284" i="9" s="1"/>
  <c r="Y285" i="4"/>
  <c r="Y285" i="5"/>
  <c r="D284" i="9"/>
  <c r="K284" i="9" s="1"/>
  <c r="Y286" i="1"/>
  <c r="A285" i="9"/>
  <c r="Y286" i="3"/>
  <c r="B285" i="9"/>
  <c r="L285" i="9" l="1"/>
  <c r="N285" i="9"/>
  <c r="R285" i="9"/>
  <c r="O285" i="9"/>
  <c r="Q285" i="9"/>
  <c r="P284" i="9"/>
  <c r="I285" i="9"/>
  <c r="M285" i="9"/>
  <c r="O284" i="9"/>
  <c r="Y286" i="5"/>
  <c r="D285" i="9"/>
  <c r="K285" i="9" s="1"/>
  <c r="Y287" i="7"/>
  <c r="F286" i="9"/>
  <c r="C285" i="9"/>
  <c r="J285" i="9" s="1"/>
  <c r="Y286" i="4"/>
  <c r="Y287" i="6"/>
  <c r="E286" i="9"/>
  <c r="Y287" i="1"/>
  <c r="A286" i="9"/>
  <c r="Y287" i="3"/>
  <c r="B286" i="9"/>
  <c r="P285" i="9" l="1"/>
  <c r="Q286" i="9"/>
  <c r="N286" i="9"/>
  <c r="R286" i="9"/>
  <c r="I286" i="9"/>
  <c r="L286" i="9"/>
  <c r="M286" i="9"/>
  <c r="Y288" i="6"/>
  <c r="E287" i="9"/>
  <c r="Y288" i="7"/>
  <c r="F287" i="9"/>
  <c r="M287" i="9" s="1"/>
  <c r="C286" i="9"/>
  <c r="J286" i="9" s="1"/>
  <c r="Y287" i="4"/>
  <c r="Y287" i="5"/>
  <c r="D286" i="9"/>
  <c r="K286" i="9" s="1"/>
  <c r="Y288" i="1"/>
  <c r="A287" i="9"/>
  <c r="Y288" i="3"/>
  <c r="B287" i="9"/>
  <c r="I287" i="9" s="1"/>
  <c r="O286" i="9" l="1"/>
  <c r="Q287" i="9"/>
  <c r="N287" i="9"/>
  <c r="R287" i="9"/>
  <c r="L287" i="9"/>
  <c r="P286" i="9"/>
  <c r="Y288" i="5"/>
  <c r="D287" i="9"/>
  <c r="K287" i="9" s="1"/>
  <c r="Y289" i="7"/>
  <c r="F288" i="9"/>
  <c r="C287" i="9"/>
  <c r="J287" i="9" s="1"/>
  <c r="Y288" i="4"/>
  <c r="Y289" i="6"/>
  <c r="E288" i="9"/>
  <c r="Y289" i="1"/>
  <c r="A288" i="9"/>
  <c r="Y289" i="3"/>
  <c r="B288" i="9"/>
  <c r="I288" i="9" l="1"/>
  <c r="L288" i="9"/>
  <c r="M288" i="9"/>
  <c r="Q288" i="9"/>
  <c r="R288" i="9"/>
  <c r="N288" i="9"/>
  <c r="O287" i="9"/>
  <c r="P287" i="9"/>
  <c r="Y290" i="6"/>
  <c r="E289" i="9"/>
  <c r="Y290" i="7"/>
  <c r="F289" i="9"/>
  <c r="M289" i="9" s="1"/>
  <c r="C288" i="9"/>
  <c r="J288" i="9" s="1"/>
  <c r="Y289" i="4"/>
  <c r="Y289" i="5"/>
  <c r="D288" i="9"/>
  <c r="K288" i="9" s="1"/>
  <c r="Y290" i="1"/>
  <c r="A289" i="9"/>
  <c r="Y290" i="3"/>
  <c r="B289" i="9"/>
  <c r="I289" i="9" s="1"/>
  <c r="P288" i="9" l="1"/>
  <c r="N289" i="9"/>
  <c r="R289" i="9"/>
  <c r="Q289" i="9"/>
  <c r="L289" i="9"/>
  <c r="O288" i="9"/>
  <c r="Y290" i="5"/>
  <c r="D289" i="9"/>
  <c r="K289" i="9" s="1"/>
  <c r="Y291" i="7"/>
  <c r="F290" i="9"/>
  <c r="C289" i="9"/>
  <c r="J289" i="9" s="1"/>
  <c r="Y290" i="4"/>
  <c r="Y291" i="6"/>
  <c r="E290" i="9"/>
  <c r="Y291" i="1"/>
  <c r="A290" i="9"/>
  <c r="Y291" i="3"/>
  <c r="B290" i="9"/>
  <c r="O289" i="9" l="1"/>
  <c r="L290" i="9"/>
  <c r="I290" i="9"/>
  <c r="M290" i="9"/>
  <c r="Q290" i="9"/>
  <c r="N290" i="9"/>
  <c r="R290" i="9"/>
  <c r="P289" i="9"/>
  <c r="Y292" i="6"/>
  <c r="E291" i="9"/>
  <c r="Y292" i="7"/>
  <c r="F291" i="9"/>
  <c r="C290" i="9"/>
  <c r="J290" i="9" s="1"/>
  <c r="Y291" i="4"/>
  <c r="Y291" i="5"/>
  <c r="D290" i="9"/>
  <c r="K290" i="9" s="1"/>
  <c r="Y292" i="1"/>
  <c r="A291" i="9"/>
  <c r="Y292" i="3"/>
  <c r="B291" i="9"/>
  <c r="Q291" i="9" l="1"/>
  <c r="N291" i="9"/>
  <c r="R291" i="9"/>
  <c r="L291" i="9"/>
  <c r="I291" i="9"/>
  <c r="M291" i="9"/>
  <c r="O290" i="9"/>
  <c r="P290" i="9"/>
  <c r="Y292" i="5"/>
  <c r="D291" i="9"/>
  <c r="K291" i="9" s="1"/>
  <c r="Y293" i="7"/>
  <c r="F292" i="9"/>
  <c r="C291" i="9"/>
  <c r="J291" i="9" s="1"/>
  <c r="Y292" i="4"/>
  <c r="Y293" i="6"/>
  <c r="E292" i="9"/>
  <c r="Y293" i="1"/>
  <c r="A292" i="9"/>
  <c r="Y293" i="3"/>
  <c r="B292" i="9"/>
  <c r="M292" i="9" l="1"/>
  <c r="Q292" i="9"/>
  <c r="N292" i="9"/>
  <c r="R292" i="9"/>
  <c r="I292" i="9"/>
  <c r="L292" i="9"/>
  <c r="O291" i="9"/>
  <c r="P291" i="9"/>
  <c r="Y294" i="6"/>
  <c r="E293" i="9"/>
  <c r="Y294" i="7"/>
  <c r="F293" i="9"/>
  <c r="C292" i="9"/>
  <c r="J292" i="9" s="1"/>
  <c r="Y293" i="4"/>
  <c r="Y293" i="5"/>
  <c r="D292" i="9"/>
  <c r="K292" i="9" s="1"/>
  <c r="Y294" i="1"/>
  <c r="A293" i="9"/>
  <c r="Y294" i="3"/>
  <c r="B293" i="9"/>
  <c r="P292" i="9" l="1"/>
  <c r="L293" i="9"/>
  <c r="I293" i="9"/>
  <c r="M293" i="9"/>
  <c r="O292" i="9"/>
  <c r="Q293" i="9"/>
  <c r="N293" i="9"/>
  <c r="R293" i="9"/>
  <c r="Y295" i="7"/>
  <c r="F294" i="9"/>
  <c r="Y294" i="5"/>
  <c r="D293" i="9"/>
  <c r="K293" i="9" s="1"/>
  <c r="C293" i="9"/>
  <c r="J293" i="9" s="1"/>
  <c r="Y294" i="4"/>
  <c r="Y295" i="6"/>
  <c r="E294" i="9"/>
  <c r="Y295" i="1"/>
  <c r="A294" i="9"/>
  <c r="Y295" i="3"/>
  <c r="B294" i="9"/>
  <c r="Q294" i="9" l="1"/>
  <c r="R294" i="9"/>
  <c r="N294" i="9"/>
  <c r="M294" i="9"/>
  <c r="I294" i="9"/>
  <c r="L294" i="9"/>
  <c r="O293" i="9"/>
  <c r="P293" i="9"/>
  <c r="Y296" i="6"/>
  <c r="E295" i="9"/>
  <c r="Y295" i="5"/>
  <c r="D294" i="9"/>
  <c r="K294" i="9" s="1"/>
  <c r="C294" i="9"/>
  <c r="J294" i="9" s="1"/>
  <c r="Y295" i="4"/>
  <c r="Y296" i="7"/>
  <c r="F295" i="9"/>
  <c r="Y296" i="1"/>
  <c r="A295" i="9"/>
  <c r="Y296" i="3"/>
  <c r="B295" i="9"/>
  <c r="I295" i="9" s="1"/>
  <c r="N295" i="9" l="1"/>
  <c r="R295" i="9"/>
  <c r="Q295" i="9"/>
  <c r="L295" i="9"/>
  <c r="M295" i="9"/>
  <c r="P294" i="9"/>
  <c r="O294" i="9"/>
  <c r="Y297" i="7"/>
  <c r="F296" i="9"/>
  <c r="Y296" i="5"/>
  <c r="D295" i="9"/>
  <c r="K295" i="9" s="1"/>
  <c r="C295" i="9"/>
  <c r="J295" i="9" s="1"/>
  <c r="Y296" i="4"/>
  <c r="Y297" i="6"/>
  <c r="E296" i="9"/>
  <c r="Y297" i="1"/>
  <c r="A296" i="9"/>
  <c r="Y297" i="3"/>
  <c r="B296" i="9"/>
  <c r="P295" i="9" l="1"/>
  <c r="O295" i="9"/>
  <c r="M296" i="9"/>
  <c r="Q296" i="9"/>
  <c r="N296" i="9"/>
  <c r="R296" i="9"/>
  <c r="I296" i="9"/>
  <c r="L296" i="9"/>
  <c r="Y298" i="6"/>
  <c r="E297" i="9"/>
  <c r="Y297" i="5"/>
  <c r="D296" i="9"/>
  <c r="K296" i="9" s="1"/>
  <c r="C296" i="9"/>
  <c r="J296" i="9" s="1"/>
  <c r="Y297" i="4"/>
  <c r="Y298" i="7"/>
  <c r="F297" i="9"/>
  <c r="Y298" i="1"/>
  <c r="A297" i="9"/>
  <c r="Y298" i="3"/>
  <c r="B297" i="9"/>
  <c r="I297" i="9" l="1"/>
  <c r="M297" i="9"/>
  <c r="Q297" i="9"/>
  <c r="N297" i="9"/>
  <c r="R297" i="9"/>
  <c r="L297" i="9"/>
  <c r="P296" i="9"/>
  <c r="O296" i="9"/>
  <c r="Y298" i="5"/>
  <c r="D297" i="9"/>
  <c r="K297" i="9" s="1"/>
  <c r="Y299" i="7"/>
  <c r="F298" i="9"/>
  <c r="M298" i="9" s="1"/>
  <c r="C297" i="9"/>
  <c r="J297" i="9" s="1"/>
  <c r="Y298" i="4"/>
  <c r="Y299" i="6"/>
  <c r="E298" i="9"/>
  <c r="L298" i="9" s="1"/>
  <c r="Y299" i="1"/>
  <c r="A298" i="9"/>
  <c r="Y299" i="3"/>
  <c r="B298" i="9"/>
  <c r="I298" i="9" s="1"/>
  <c r="Q298" i="9" l="1"/>
  <c r="N298" i="9"/>
  <c r="R298" i="9"/>
  <c r="O297" i="9"/>
  <c r="P297" i="9"/>
  <c r="Y300" i="6"/>
  <c r="E299" i="9"/>
  <c r="Y300" i="7"/>
  <c r="F299" i="9"/>
  <c r="C298" i="9"/>
  <c r="J298" i="9" s="1"/>
  <c r="Y299" i="4"/>
  <c r="Y299" i="5"/>
  <c r="D298" i="9"/>
  <c r="K298" i="9" s="1"/>
  <c r="Y300" i="1"/>
  <c r="A299" i="9"/>
  <c r="Y300" i="3"/>
  <c r="B299" i="9"/>
  <c r="I299" i="9" l="1"/>
  <c r="M299" i="9"/>
  <c r="P298" i="9"/>
  <c r="N299" i="9"/>
  <c r="R299" i="9"/>
  <c r="Q299" i="9"/>
  <c r="L299" i="9"/>
  <c r="O298" i="9"/>
  <c r="Y301" i="7"/>
  <c r="F300" i="9"/>
  <c r="Y300" i="5"/>
  <c r="D299" i="9"/>
  <c r="K299" i="9" s="1"/>
  <c r="C299" i="9"/>
  <c r="J299" i="9" s="1"/>
  <c r="Y300" i="4"/>
  <c r="Y301" i="6"/>
  <c r="E300" i="9"/>
  <c r="Y301" i="1"/>
  <c r="A300" i="9"/>
  <c r="Y301" i="3"/>
  <c r="B300" i="9"/>
  <c r="O299" i="9" l="1"/>
  <c r="I300" i="9"/>
  <c r="L300" i="9"/>
  <c r="Q300" i="9"/>
  <c r="N300" i="9"/>
  <c r="R300" i="9"/>
  <c r="M300" i="9"/>
  <c r="P299" i="9"/>
  <c r="Y302" i="6"/>
  <c r="E301" i="9"/>
  <c r="Y301" i="5"/>
  <c r="D300" i="9"/>
  <c r="K300" i="9" s="1"/>
  <c r="C300" i="9"/>
  <c r="J300" i="9" s="1"/>
  <c r="Y301" i="4"/>
  <c r="Y302" i="7"/>
  <c r="F301" i="9"/>
  <c r="Y302" i="1"/>
  <c r="A301" i="9"/>
  <c r="Y302" i="3"/>
  <c r="B301" i="9"/>
  <c r="I301" i="9" l="1"/>
  <c r="M301" i="9"/>
  <c r="O300" i="9"/>
  <c r="Q301" i="9"/>
  <c r="N301" i="9"/>
  <c r="R301" i="9"/>
  <c r="L301" i="9"/>
  <c r="P300" i="9"/>
  <c r="Y303" i="7"/>
  <c r="F302" i="9"/>
  <c r="Y302" i="5"/>
  <c r="D301" i="9"/>
  <c r="K301" i="9" s="1"/>
  <c r="C301" i="9"/>
  <c r="J301" i="9" s="1"/>
  <c r="Y302" i="4"/>
  <c r="Y303" i="6"/>
  <c r="E302" i="9"/>
  <c r="L302" i="9" s="1"/>
  <c r="Y303" i="1"/>
  <c r="A302" i="9"/>
  <c r="Y303" i="3"/>
  <c r="B302" i="9"/>
  <c r="I302" i="9" s="1"/>
  <c r="O301" i="9" l="1"/>
  <c r="Q302" i="9"/>
  <c r="N302" i="9"/>
  <c r="R302" i="9"/>
  <c r="P301" i="9"/>
  <c r="M302" i="9"/>
  <c r="Y303" i="5"/>
  <c r="D302" i="9"/>
  <c r="K302" i="9" s="1"/>
  <c r="C302" i="9"/>
  <c r="J302" i="9" s="1"/>
  <c r="Y303" i="4"/>
  <c r="Y304" i="6"/>
  <c r="E303" i="9"/>
  <c r="Y304" i="7"/>
  <c r="F303" i="9"/>
  <c r="Y304" i="1"/>
  <c r="A303" i="9"/>
  <c r="Y304" i="3"/>
  <c r="B303" i="9"/>
  <c r="I303" i="9" l="1"/>
  <c r="M303" i="9"/>
  <c r="P302" i="9"/>
  <c r="N303" i="9"/>
  <c r="R303" i="9"/>
  <c r="Q303" i="9"/>
  <c r="L303" i="9"/>
  <c r="O302" i="9"/>
  <c r="C303" i="9"/>
  <c r="J303" i="9" s="1"/>
  <c r="Y304" i="4"/>
  <c r="Y305" i="7"/>
  <c r="F304" i="9"/>
  <c r="M304" i="9" s="1"/>
  <c r="Y305" i="6"/>
  <c r="E304" i="9"/>
  <c r="Y304" i="5"/>
  <c r="D303" i="9"/>
  <c r="K303" i="9" s="1"/>
  <c r="Y305" i="1"/>
  <c r="A304" i="9"/>
  <c r="Y305" i="3"/>
  <c r="B304" i="9"/>
  <c r="I304" i="9" s="1"/>
  <c r="P303" i="9" l="1"/>
  <c r="O303" i="9"/>
  <c r="Q304" i="9"/>
  <c r="N304" i="9"/>
  <c r="R304" i="9"/>
  <c r="L304" i="9"/>
  <c r="Y305" i="5"/>
  <c r="D304" i="9"/>
  <c r="K304" i="9" s="1"/>
  <c r="Y306" i="7"/>
  <c r="F305" i="9"/>
  <c r="M305" i="9" s="1"/>
  <c r="C304" i="9"/>
  <c r="J304" i="9" s="1"/>
  <c r="Y305" i="4"/>
  <c r="Y306" i="6"/>
  <c r="E305" i="9"/>
  <c r="L305" i="9" s="1"/>
  <c r="Y306" i="1"/>
  <c r="A305" i="9"/>
  <c r="Y306" i="3"/>
  <c r="B305" i="9"/>
  <c r="I305" i="9" s="1"/>
  <c r="P304" i="9" l="1"/>
  <c r="Q305" i="9"/>
  <c r="N305" i="9"/>
  <c r="R305" i="9"/>
  <c r="O304" i="9"/>
  <c r="Y307" i="6"/>
  <c r="E306" i="9"/>
  <c r="Y307" i="7"/>
  <c r="F306" i="9"/>
  <c r="C305" i="9"/>
  <c r="J305" i="9" s="1"/>
  <c r="Y306" i="4"/>
  <c r="Y306" i="5"/>
  <c r="D305" i="9"/>
  <c r="K305" i="9" s="1"/>
  <c r="Y307" i="1"/>
  <c r="A306" i="9"/>
  <c r="Y307" i="3"/>
  <c r="B306" i="9"/>
  <c r="L306" i="9" l="1"/>
  <c r="Q306" i="9"/>
  <c r="N306" i="9"/>
  <c r="R306" i="9"/>
  <c r="I306" i="9"/>
  <c r="M306" i="9"/>
  <c r="O305" i="9"/>
  <c r="P305" i="9"/>
  <c r="Y308" i="7"/>
  <c r="F307" i="9"/>
  <c r="C306" i="9"/>
  <c r="J306" i="9" s="1"/>
  <c r="Y307" i="4"/>
  <c r="Y307" i="5"/>
  <c r="D306" i="9"/>
  <c r="K306" i="9" s="1"/>
  <c r="Y308" i="6"/>
  <c r="E307" i="9"/>
  <c r="Y308" i="1"/>
  <c r="A307" i="9"/>
  <c r="Y308" i="3"/>
  <c r="B307" i="9"/>
  <c r="N307" i="9" l="1"/>
  <c r="R307" i="9"/>
  <c r="Q307" i="9"/>
  <c r="P306" i="9"/>
  <c r="M307" i="9"/>
  <c r="I307" i="9"/>
  <c r="L307" i="9"/>
  <c r="O306" i="9"/>
  <c r="C307" i="9"/>
  <c r="J307" i="9" s="1"/>
  <c r="Y308" i="4"/>
  <c r="Y309" i="6"/>
  <c r="E308" i="9"/>
  <c r="Y308" i="5"/>
  <c r="D307" i="9"/>
  <c r="K307" i="9" s="1"/>
  <c r="Y309" i="7"/>
  <c r="F308" i="9"/>
  <c r="Y309" i="1"/>
  <c r="A308" i="9"/>
  <c r="Y309" i="3"/>
  <c r="B308" i="9"/>
  <c r="P307" i="9" l="1"/>
  <c r="O307" i="9"/>
  <c r="Q308" i="9"/>
  <c r="N308" i="9"/>
  <c r="R308" i="9"/>
  <c r="I308" i="9"/>
  <c r="M308" i="9"/>
  <c r="L308" i="9"/>
  <c r="Y310" i="7"/>
  <c r="F309" i="9"/>
  <c r="Y310" i="6"/>
  <c r="E309" i="9"/>
  <c r="C308" i="9"/>
  <c r="J308" i="9" s="1"/>
  <c r="Y309" i="4"/>
  <c r="Y309" i="5"/>
  <c r="D308" i="9"/>
  <c r="K308" i="9" s="1"/>
  <c r="Y310" i="1"/>
  <c r="A309" i="9"/>
  <c r="Y310" i="3"/>
  <c r="B309" i="9"/>
  <c r="P308" i="9" l="1"/>
  <c r="Q309" i="9"/>
  <c r="N309" i="9"/>
  <c r="R309" i="9"/>
  <c r="M309" i="9"/>
  <c r="I309" i="9"/>
  <c r="L309" i="9"/>
  <c r="O308" i="9"/>
  <c r="Y310" i="5"/>
  <c r="D309" i="9"/>
  <c r="K309" i="9" s="1"/>
  <c r="Y311" i="6"/>
  <c r="E310" i="9"/>
  <c r="C309" i="9"/>
  <c r="J309" i="9" s="1"/>
  <c r="Y310" i="4"/>
  <c r="Y311" i="7"/>
  <c r="F310" i="9"/>
  <c r="Y311" i="1"/>
  <c r="A310" i="9"/>
  <c r="Y311" i="3"/>
  <c r="B310" i="9"/>
  <c r="M310" i="9" l="1"/>
  <c r="P309" i="9"/>
  <c r="Q310" i="9"/>
  <c r="R310" i="9"/>
  <c r="N310" i="9"/>
  <c r="I310" i="9"/>
  <c r="L310" i="9"/>
  <c r="O309" i="9"/>
  <c r="Y312" i="7"/>
  <c r="F311" i="9"/>
  <c r="Y312" i="6"/>
  <c r="E311" i="9"/>
  <c r="C310" i="9"/>
  <c r="J310" i="9" s="1"/>
  <c r="Y311" i="4"/>
  <c r="Y311" i="5"/>
  <c r="D310" i="9"/>
  <c r="K310" i="9" s="1"/>
  <c r="Y312" i="1"/>
  <c r="A311" i="9"/>
  <c r="Y312" i="3"/>
  <c r="B311" i="9"/>
  <c r="P310" i="9" l="1"/>
  <c r="M311" i="9"/>
  <c r="O310" i="9"/>
  <c r="N311" i="9"/>
  <c r="R311" i="9"/>
  <c r="Q311" i="9"/>
  <c r="I311" i="9"/>
  <c r="L311" i="9"/>
  <c r="Y312" i="5"/>
  <c r="D311" i="9"/>
  <c r="K311" i="9" s="1"/>
  <c r="Y313" i="6"/>
  <c r="E312" i="9"/>
  <c r="L312" i="9" s="1"/>
  <c r="C311" i="9"/>
  <c r="J311" i="9" s="1"/>
  <c r="Y312" i="4"/>
  <c r="Y313" i="7"/>
  <c r="F312" i="9"/>
  <c r="M312" i="9" s="1"/>
  <c r="Y313" i="1"/>
  <c r="A312" i="9"/>
  <c r="Y313" i="3"/>
  <c r="B312" i="9"/>
  <c r="I312" i="9" s="1"/>
  <c r="O311" i="9" l="1"/>
  <c r="Q312" i="9"/>
  <c r="N312" i="9"/>
  <c r="R312" i="9"/>
  <c r="P311" i="9"/>
  <c r="Y314" i="7"/>
  <c r="F313" i="9"/>
  <c r="Y314" i="6"/>
  <c r="E313" i="9"/>
  <c r="C312" i="9"/>
  <c r="J312" i="9" s="1"/>
  <c r="Y313" i="4"/>
  <c r="Y313" i="5"/>
  <c r="D312" i="9"/>
  <c r="K312" i="9" s="1"/>
  <c r="Y314" i="1"/>
  <c r="A313" i="9"/>
  <c r="Y314" i="3"/>
  <c r="B313" i="9"/>
  <c r="O312" i="9" l="1"/>
  <c r="M313" i="9"/>
  <c r="I313" i="9"/>
  <c r="Q313" i="9"/>
  <c r="N313" i="9"/>
  <c r="R313" i="9"/>
  <c r="L313" i="9"/>
  <c r="P312" i="9"/>
  <c r="Y314" i="5"/>
  <c r="D313" i="9"/>
  <c r="K313" i="9" s="1"/>
  <c r="Y315" i="6"/>
  <c r="E314" i="9"/>
  <c r="C313" i="9"/>
  <c r="J313" i="9" s="1"/>
  <c r="Y314" i="4"/>
  <c r="Y315" i="7"/>
  <c r="F314" i="9"/>
  <c r="Y315" i="1"/>
  <c r="A314" i="9"/>
  <c r="Y315" i="3"/>
  <c r="B314" i="9"/>
  <c r="O313" i="9" l="1"/>
  <c r="P313" i="9"/>
  <c r="P314" i="9"/>
  <c r="Q314" i="9"/>
  <c r="N314" i="9"/>
  <c r="R314" i="9"/>
  <c r="I314" i="9"/>
  <c r="M314" i="9"/>
  <c r="L314" i="9"/>
  <c r="Y316" i="7"/>
  <c r="F315" i="9"/>
  <c r="Y316" i="6"/>
  <c r="E315" i="9"/>
  <c r="C314" i="9"/>
  <c r="J314" i="9" s="1"/>
  <c r="Y315" i="4"/>
  <c r="Y315" i="5"/>
  <c r="D314" i="9"/>
  <c r="K314" i="9" s="1"/>
  <c r="Y316" i="1"/>
  <c r="A315" i="9"/>
  <c r="Y316" i="3"/>
  <c r="B315" i="9"/>
  <c r="M315" i="9" l="1"/>
  <c r="O314" i="9"/>
  <c r="N315" i="9"/>
  <c r="R315" i="9"/>
  <c r="Q315" i="9"/>
  <c r="L315" i="9"/>
  <c r="I315" i="9"/>
  <c r="Y316" i="5"/>
  <c r="D315" i="9"/>
  <c r="K315" i="9" s="1"/>
  <c r="Y317" i="6"/>
  <c r="E316" i="9"/>
  <c r="C315" i="9"/>
  <c r="J315" i="9" s="1"/>
  <c r="Y316" i="4"/>
  <c r="Y317" i="7"/>
  <c r="F316" i="9"/>
  <c r="Y317" i="1"/>
  <c r="A316" i="9"/>
  <c r="Y317" i="3"/>
  <c r="B316" i="9"/>
  <c r="Q316" i="9" l="1"/>
  <c r="N316" i="9"/>
  <c r="R316" i="9"/>
  <c r="O316" i="9"/>
  <c r="P315" i="9"/>
  <c r="I316" i="9"/>
  <c r="M316" i="9"/>
  <c r="L316" i="9"/>
  <c r="O315" i="9"/>
  <c r="Y318" i="7"/>
  <c r="F317" i="9"/>
  <c r="Y318" i="6"/>
  <c r="E317" i="9"/>
  <c r="C316" i="9"/>
  <c r="J316" i="9" s="1"/>
  <c r="Y317" i="4"/>
  <c r="Y317" i="5"/>
  <c r="D316" i="9"/>
  <c r="K316" i="9" s="1"/>
  <c r="Y318" i="1"/>
  <c r="A317" i="9"/>
  <c r="Y318" i="3"/>
  <c r="B317" i="9"/>
  <c r="Q317" i="9" l="1"/>
  <c r="N317" i="9"/>
  <c r="R317" i="9"/>
  <c r="I317" i="9"/>
  <c r="M317" i="9"/>
  <c r="L317" i="9"/>
  <c r="P316" i="9"/>
  <c r="Y318" i="5"/>
  <c r="D317" i="9"/>
  <c r="K317" i="9" s="1"/>
  <c r="Y319" i="6"/>
  <c r="E318" i="9"/>
  <c r="C317" i="9"/>
  <c r="J317" i="9" s="1"/>
  <c r="Y318" i="4"/>
  <c r="Y319" i="7"/>
  <c r="F318" i="9"/>
  <c r="Y319" i="1"/>
  <c r="A318" i="9"/>
  <c r="Y319" i="3"/>
  <c r="B318" i="9"/>
  <c r="Q318" i="9" l="1"/>
  <c r="N318" i="9"/>
  <c r="R318" i="9"/>
  <c r="I318" i="9"/>
  <c r="M318" i="9"/>
  <c r="L318" i="9"/>
  <c r="O317" i="9"/>
  <c r="P317" i="9"/>
  <c r="Y320" i="7"/>
  <c r="F319" i="9"/>
  <c r="Y320" i="6"/>
  <c r="E319" i="9"/>
  <c r="C318" i="9"/>
  <c r="J318" i="9" s="1"/>
  <c r="Y319" i="4"/>
  <c r="Y319" i="5"/>
  <c r="D318" i="9"/>
  <c r="K318" i="9" s="1"/>
  <c r="Y320" i="1"/>
  <c r="A319" i="9"/>
  <c r="Y320" i="3"/>
  <c r="B319" i="9"/>
  <c r="N319" i="9" l="1"/>
  <c r="R319" i="9"/>
  <c r="Q319" i="9"/>
  <c r="M319" i="9"/>
  <c r="I319" i="9"/>
  <c r="L319" i="9"/>
  <c r="P318" i="9"/>
  <c r="O318" i="9"/>
  <c r="Y320" i="5"/>
  <c r="D319" i="9"/>
  <c r="K319" i="9" s="1"/>
  <c r="Y321" i="6"/>
  <c r="E320" i="9"/>
  <c r="C319" i="9"/>
  <c r="J319" i="9" s="1"/>
  <c r="Y320" i="4"/>
  <c r="Y321" i="7"/>
  <c r="F320" i="9"/>
  <c r="Y321" i="1"/>
  <c r="A320" i="9"/>
  <c r="Y321" i="3"/>
  <c r="B320" i="9"/>
  <c r="Q320" i="9" l="1"/>
  <c r="N320" i="9"/>
  <c r="R320" i="9"/>
  <c r="O320" i="9"/>
  <c r="O319" i="9"/>
  <c r="I320" i="9"/>
  <c r="L320" i="9"/>
  <c r="P319" i="9"/>
  <c r="M320" i="9"/>
  <c r="Y322" i="7"/>
  <c r="F321" i="9"/>
  <c r="Y322" i="6"/>
  <c r="E321" i="9"/>
  <c r="C320" i="9"/>
  <c r="J320" i="9" s="1"/>
  <c r="Y321" i="4"/>
  <c r="Y321" i="5"/>
  <c r="D320" i="9"/>
  <c r="K320" i="9" s="1"/>
  <c r="Y322" i="1"/>
  <c r="A321" i="9"/>
  <c r="Y322" i="3"/>
  <c r="B321" i="9"/>
  <c r="Q321" i="9" l="1"/>
  <c r="N321" i="9"/>
  <c r="R321" i="9"/>
  <c r="M321" i="9"/>
  <c r="I321" i="9"/>
  <c r="L321" i="9"/>
  <c r="P320" i="9"/>
  <c r="Y322" i="5"/>
  <c r="D321" i="9"/>
  <c r="K321" i="9" s="1"/>
  <c r="Y323" i="6"/>
  <c r="E322" i="9"/>
  <c r="C321" i="9"/>
  <c r="J321" i="9" s="1"/>
  <c r="Y322" i="4"/>
  <c r="Y323" i="7"/>
  <c r="F322" i="9"/>
  <c r="Y323" i="1"/>
  <c r="A322" i="9"/>
  <c r="Y323" i="3"/>
  <c r="B322" i="9"/>
  <c r="Q322" i="9" l="1"/>
  <c r="N322" i="9"/>
  <c r="R322" i="9"/>
  <c r="I322" i="9"/>
  <c r="M322" i="9"/>
  <c r="L322" i="9"/>
  <c r="O321" i="9"/>
  <c r="P321" i="9"/>
  <c r="Y324" i="7"/>
  <c r="F323" i="9"/>
  <c r="Y324" i="6"/>
  <c r="E323" i="9"/>
  <c r="C322" i="9"/>
  <c r="J322" i="9" s="1"/>
  <c r="Y323" i="4"/>
  <c r="Y323" i="5"/>
  <c r="D322" i="9"/>
  <c r="K322" i="9" s="1"/>
  <c r="Y324" i="1"/>
  <c r="A323" i="9"/>
  <c r="Y324" i="3"/>
  <c r="B323" i="9"/>
  <c r="M323" i="9" l="1"/>
  <c r="P322" i="9"/>
  <c r="N323" i="9"/>
  <c r="R323" i="9"/>
  <c r="Q323" i="9"/>
  <c r="I323" i="9"/>
  <c r="L323" i="9"/>
  <c r="O322" i="9"/>
  <c r="Y324" i="5"/>
  <c r="D323" i="9"/>
  <c r="K323" i="9" s="1"/>
  <c r="Y325" i="6"/>
  <c r="E324" i="9"/>
  <c r="C323" i="9"/>
  <c r="J323" i="9" s="1"/>
  <c r="Y324" i="4"/>
  <c r="Y325" i="7"/>
  <c r="F324" i="9"/>
  <c r="Y325" i="1"/>
  <c r="A324" i="9"/>
  <c r="Y325" i="3"/>
  <c r="B324" i="9"/>
  <c r="M324" i="9" l="1"/>
  <c r="Q324" i="9"/>
  <c r="N324" i="9"/>
  <c r="R324" i="9"/>
  <c r="I324" i="9"/>
  <c r="L324" i="9"/>
  <c r="P323" i="9"/>
  <c r="O323" i="9"/>
  <c r="Y326" i="7"/>
  <c r="F325" i="9"/>
  <c r="Y326" i="6"/>
  <c r="E325" i="9"/>
  <c r="C324" i="9"/>
  <c r="J324" i="9" s="1"/>
  <c r="Y325" i="4"/>
  <c r="Y325" i="5"/>
  <c r="D324" i="9"/>
  <c r="K324" i="9" s="1"/>
  <c r="Y326" i="1"/>
  <c r="A325" i="9"/>
  <c r="Y326" i="3"/>
  <c r="B325" i="9"/>
  <c r="P324" i="9" l="1"/>
  <c r="Q325" i="9"/>
  <c r="N325" i="9"/>
  <c r="R325" i="9"/>
  <c r="M325" i="9"/>
  <c r="I325" i="9"/>
  <c r="L325" i="9"/>
  <c r="O324" i="9"/>
  <c r="Y326" i="5"/>
  <c r="D325" i="9"/>
  <c r="K325" i="9" s="1"/>
  <c r="Y327" i="6"/>
  <c r="E326" i="9"/>
  <c r="C325" i="9"/>
  <c r="J325" i="9" s="1"/>
  <c r="Y326" i="4"/>
  <c r="Y327" i="7"/>
  <c r="F326" i="9"/>
  <c r="Y327" i="1"/>
  <c r="A326" i="9"/>
  <c r="Y327" i="3"/>
  <c r="B326" i="9"/>
  <c r="Q326" i="9" l="1"/>
  <c r="R326" i="9"/>
  <c r="N326" i="9"/>
  <c r="I326" i="9"/>
  <c r="M326" i="9"/>
  <c r="L326" i="9"/>
  <c r="O325" i="9"/>
  <c r="P325" i="9"/>
  <c r="Y328" i="7"/>
  <c r="F327" i="9"/>
  <c r="Y328" i="6"/>
  <c r="E327" i="9"/>
  <c r="C326" i="9"/>
  <c r="J326" i="9" s="1"/>
  <c r="Y327" i="4"/>
  <c r="Y327" i="5"/>
  <c r="D326" i="9"/>
  <c r="K326" i="9" s="1"/>
  <c r="Y328" i="1"/>
  <c r="A327" i="9"/>
  <c r="Y328" i="3"/>
  <c r="B327" i="9"/>
  <c r="M327" i="9" l="1"/>
  <c r="P326" i="9"/>
  <c r="N327" i="9"/>
  <c r="R327" i="9"/>
  <c r="Q327" i="9"/>
  <c r="I327" i="9"/>
  <c r="L327" i="9"/>
  <c r="O326" i="9"/>
  <c r="Y328" i="5"/>
  <c r="D327" i="9"/>
  <c r="K327" i="9" s="1"/>
  <c r="Y329" i="6"/>
  <c r="E328" i="9"/>
  <c r="C327" i="9"/>
  <c r="J327" i="9" s="1"/>
  <c r="Y328" i="4"/>
  <c r="Y329" i="7"/>
  <c r="F328" i="9"/>
  <c r="Y329" i="1"/>
  <c r="A328" i="9"/>
  <c r="Y329" i="3"/>
  <c r="B328" i="9"/>
  <c r="O327" i="9" l="1"/>
  <c r="Q328" i="9"/>
  <c r="N328" i="9"/>
  <c r="R328" i="9"/>
  <c r="I328" i="9"/>
  <c r="M328" i="9"/>
  <c r="L328" i="9"/>
  <c r="P327" i="9"/>
  <c r="Y330" i="7"/>
  <c r="F329" i="9"/>
  <c r="Y330" i="6"/>
  <c r="E329" i="9"/>
  <c r="C328" i="9"/>
  <c r="J328" i="9" s="1"/>
  <c r="Y329" i="4"/>
  <c r="Y329" i="5"/>
  <c r="D328" i="9"/>
  <c r="K328" i="9" s="1"/>
  <c r="Y330" i="1"/>
  <c r="A329" i="9"/>
  <c r="Y330" i="3"/>
  <c r="B329" i="9"/>
  <c r="O328" i="9" l="1"/>
  <c r="Q329" i="9"/>
  <c r="N329" i="9"/>
  <c r="R329" i="9"/>
  <c r="M329" i="9"/>
  <c r="I329" i="9"/>
  <c r="L329" i="9"/>
  <c r="P328" i="9"/>
  <c r="Y330" i="5"/>
  <c r="D329" i="9"/>
  <c r="K329" i="9" s="1"/>
  <c r="Y331" i="6"/>
  <c r="E330" i="9"/>
  <c r="C329" i="9"/>
  <c r="J329" i="9" s="1"/>
  <c r="Y330" i="4"/>
  <c r="Y331" i="7"/>
  <c r="F330" i="9"/>
  <c r="Y331" i="1"/>
  <c r="A330" i="9"/>
  <c r="Y331" i="3"/>
  <c r="B330" i="9"/>
  <c r="Q330" i="9" l="1"/>
  <c r="N330" i="9"/>
  <c r="R330" i="9"/>
  <c r="I330" i="9"/>
  <c r="M330" i="9"/>
  <c r="L330" i="9"/>
  <c r="O329" i="9"/>
  <c r="P329" i="9"/>
  <c r="Y332" i="6"/>
  <c r="E331" i="9"/>
  <c r="Y332" i="7"/>
  <c r="F331" i="9"/>
  <c r="C330" i="9"/>
  <c r="J330" i="9" s="1"/>
  <c r="Y331" i="4"/>
  <c r="Y331" i="5"/>
  <c r="D330" i="9"/>
  <c r="K330" i="9" s="1"/>
  <c r="Y332" i="1"/>
  <c r="A331" i="9"/>
  <c r="Y332" i="3"/>
  <c r="B331" i="9"/>
  <c r="P330" i="9" l="1"/>
  <c r="L331" i="9"/>
  <c r="N331" i="9"/>
  <c r="R331" i="9"/>
  <c r="O331" i="9"/>
  <c r="Q331" i="9"/>
  <c r="I331" i="9"/>
  <c r="M331" i="9"/>
  <c r="O330" i="9"/>
  <c r="Y333" i="7"/>
  <c r="F332" i="9"/>
  <c r="Y332" i="5"/>
  <c r="D331" i="9"/>
  <c r="K331" i="9" s="1"/>
  <c r="C331" i="9"/>
  <c r="J331" i="9" s="1"/>
  <c r="Y332" i="4"/>
  <c r="Y333" i="6"/>
  <c r="E332" i="9"/>
  <c r="Y333" i="1"/>
  <c r="A332" i="9"/>
  <c r="Y333" i="3"/>
  <c r="B332" i="9"/>
  <c r="M332" i="9" l="1"/>
  <c r="Q332" i="9"/>
  <c r="N332" i="9"/>
  <c r="R332" i="9"/>
  <c r="I332" i="9"/>
  <c r="L332" i="9"/>
  <c r="P331" i="9"/>
  <c r="Y333" i="5"/>
  <c r="D332" i="9"/>
  <c r="K332" i="9" s="1"/>
  <c r="Y334" i="6"/>
  <c r="E333" i="9"/>
  <c r="L333" i="9" s="1"/>
  <c r="C332" i="9"/>
  <c r="J332" i="9" s="1"/>
  <c r="Y333" i="4"/>
  <c r="Y334" i="7"/>
  <c r="F333" i="9"/>
  <c r="M333" i="9" s="1"/>
  <c r="Y334" i="1"/>
  <c r="A333" i="9"/>
  <c r="Y334" i="3"/>
  <c r="B333" i="9"/>
  <c r="I333" i="9" s="1"/>
  <c r="O332" i="9" l="1"/>
  <c r="Q333" i="9"/>
  <c r="N333" i="9"/>
  <c r="R333" i="9"/>
  <c r="P332" i="9"/>
  <c r="Y335" i="7"/>
  <c r="F334" i="9"/>
  <c r="Y335" i="6"/>
  <c r="E334" i="9"/>
  <c r="C333" i="9"/>
  <c r="J333" i="9" s="1"/>
  <c r="Y334" i="4"/>
  <c r="Y334" i="5"/>
  <c r="D333" i="9"/>
  <c r="K333" i="9" s="1"/>
  <c r="Y335" i="1"/>
  <c r="A334" i="9"/>
  <c r="Y335" i="3"/>
  <c r="B334" i="9"/>
  <c r="M334" i="9" l="1"/>
  <c r="Q334" i="9"/>
  <c r="N334" i="9"/>
  <c r="R334" i="9"/>
  <c r="I334" i="9"/>
  <c r="L334" i="9"/>
  <c r="O333" i="9"/>
  <c r="P333" i="9"/>
  <c r="Y335" i="5"/>
  <c r="D334" i="9"/>
  <c r="K334" i="9" s="1"/>
  <c r="C334" i="9"/>
  <c r="J334" i="9" s="1"/>
  <c r="Y335" i="4"/>
  <c r="Y336" i="6"/>
  <c r="E335" i="9"/>
  <c r="Y336" i="7"/>
  <c r="F335" i="9"/>
  <c r="Y336" i="1"/>
  <c r="A335" i="9"/>
  <c r="Y336" i="3"/>
  <c r="B335" i="9"/>
  <c r="O334" i="9" l="1"/>
  <c r="L335" i="9"/>
  <c r="P334" i="9"/>
  <c r="N335" i="9"/>
  <c r="R335" i="9"/>
  <c r="Q335" i="9"/>
  <c r="I335" i="9"/>
  <c r="M335" i="9"/>
  <c r="C335" i="9"/>
  <c r="J335" i="9" s="1"/>
  <c r="Y336" i="4"/>
  <c r="Y337" i="7"/>
  <c r="F336" i="9"/>
  <c r="M336" i="9" s="1"/>
  <c r="Y337" i="6"/>
  <c r="E336" i="9"/>
  <c r="Y336" i="5"/>
  <c r="D335" i="9"/>
  <c r="K335" i="9" s="1"/>
  <c r="Y337" i="1"/>
  <c r="A336" i="9"/>
  <c r="Y337" i="3"/>
  <c r="B336" i="9"/>
  <c r="I336" i="9" s="1"/>
  <c r="L336" i="9" l="1"/>
  <c r="O335" i="9"/>
  <c r="Q336" i="9"/>
  <c r="N336" i="9"/>
  <c r="R336" i="9"/>
  <c r="P335" i="9"/>
  <c r="Y337" i="5"/>
  <c r="D336" i="9"/>
  <c r="K336" i="9" s="1"/>
  <c r="Y338" i="7"/>
  <c r="F337" i="9"/>
  <c r="C336" i="9"/>
  <c r="J336" i="9" s="1"/>
  <c r="Y337" i="4"/>
  <c r="Y338" i="6"/>
  <c r="E337" i="9"/>
  <c r="Y338" i="1"/>
  <c r="A337" i="9"/>
  <c r="Y338" i="3"/>
  <c r="B337" i="9"/>
  <c r="O336" i="9" l="1"/>
  <c r="Q337" i="9"/>
  <c r="N337" i="9"/>
  <c r="R337" i="9"/>
  <c r="L337" i="9"/>
  <c r="I337" i="9"/>
  <c r="M337" i="9"/>
  <c r="P336" i="9"/>
  <c r="Y339" i="6"/>
  <c r="E338" i="9"/>
  <c r="Y339" i="7"/>
  <c r="F338" i="9"/>
  <c r="C337" i="9"/>
  <c r="J337" i="9" s="1"/>
  <c r="Y338" i="4"/>
  <c r="Y338" i="5"/>
  <c r="D337" i="9"/>
  <c r="K337" i="9" s="1"/>
  <c r="Y339" i="1"/>
  <c r="A338" i="9"/>
  <c r="Y339" i="3"/>
  <c r="B338" i="9"/>
  <c r="Q338" i="9" l="1"/>
  <c r="N338" i="9"/>
  <c r="R338" i="9"/>
  <c r="L338" i="9"/>
  <c r="I338" i="9"/>
  <c r="M338" i="9"/>
  <c r="O337" i="9"/>
  <c r="P337" i="9"/>
  <c r="Y339" i="5"/>
  <c r="D338" i="9"/>
  <c r="K338" i="9" s="1"/>
  <c r="Y340" i="7"/>
  <c r="F339" i="9"/>
  <c r="C338" i="9"/>
  <c r="J338" i="9" s="1"/>
  <c r="Y339" i="4"/>
  <c r="Y340" i="6"/>
  <c r="E339" i="9"/>
  <c r="Y340" i="1"/>
  <c r="A339" i="9"/>
  <c r="Y340" i="3"/>
  <c r="B339" i="9"/>
  <c r="L339" i="9" l="1"/>
  <c r="P338" i="9"/>
  <c r="N339" i="9"/>
  <c r="R339" i="9"/>
  <c r="Q339" i="9"/>
  <c r="I339" i="9"/>
  <c r="M339" i="9"/>
  <c r="O338" i="9"/>
  <c r="Y341" i="6"/>
  <c r="E340" i="9"/>
  <c r="Y341" i="7"/>
  <c r="F340" i="9"/>
  <c r="C339" i="9"/>
  <c r="J339" i="9" s="1"/>
  <c r="Y340" i="4"/>
  <c r="Y340" i="5"/>
  <c r="D339" i="9"/>
  <c r="K339" i="9" s="1"/>
  <c r="Y341" i="1"/>
  <c r="A340" i="9"/>
  <c r="Y341" i="3"/>
  <c r="B340" i="9"/>
  <c r="L340" i="9" l="1"/>
  <c r="M340" i="9"/>
  <c r="P339" i="9"/>
  <c r="Q340" i="9"/>
  <c r="N340" i="9"/>
  <c r="R340" i="9"/>
  <c r="I340" i="9"/>
  <c r="O339" i="9"/>
  <c r="Y341" i="5"/>
  <c r="D340" i="9"/>
  <c r="K340" i="9" s="1"/>
  <c r="Y342" i="7"/>
  <c r="F341" i="9"/>
  <c r="C340" i="9"/>
  <c r="J340" i="9" s="1"/>
  <c r="Y341" i="4"/>
  <c r="Y342" i="6"/>
  <c r="E341" i="9"/>
  <c r="Y342" i="1"/>
  <c r="A341" i="9"/>
  <c r="Y342" i="3"/>
  <c r="B341" i="9"/>
  <c r="P340" i="9" l="1"/>
  <c r="L341" i="9"/>
  <c r="M341" i="9"/>
  <c r="P341" i="9"/>
  <c r="Q341" i="9"/>
  <c r="N341" i="9"/>
  <c r="R341" i="9"/>
  <c r="O340" i="9"/>
  <c r="I341" i="9"/>
  <c r="Y343" i="7"/>
  <c r="F342" i="9"/>
  <c r="C341" i="9"/>
  <c r="J341" i="9" s="1"/>
  <c r="Y342" i="4"/>
  <c r="Y343" i="6"/>
  <c r="E342" i="9"/>
  <c r="Y342" i="5"/>
  <c r="D341" i="9"/>
  <c r="K341" i="9" s="1"/>
  <c r="Y343" i="1"/>
  <c r="A342" i="9"/>
  <c r="Y343" i="3"/>
  <c r="B342" i="9"/>
  <c r="L342" i="9" l="1"/>
  <c r="O341" i="9"/>
  <c r="M342" i="9"/>
  <c r="Q342" i="9"/>
  <c r="R342" i="9"/>
  <c r="N342" i="9"/>
  <c r="I342" i="9"/>
  <c r="C342" i="9"/>
  <c r="J342" i="9" s="1"/>
  <c r="Y343" i="4"/>
  <c r="Y343" i="5"/>
  <c r="D342" i="9"/>
  <c r="K342" i="9" s="1"/>
  <c r="Y344" i="6"/>
  <c r="E343" i="9"/>
  <c r="Y344" i="7"/>
  <c r="F343" i="9"/>
  <c r="Y344" i="1"/>
  <c r="A343" i="9"/>
  <c r="Y344" i="3"/>
  <c r="B343" i="9"/>
  <c r="I343" i="9" l="1"/>
  <c r="M343" i="9"/>
  <c r="O342" i="9"/>
  <c r="P342" i="9"/>
  <c r="N343" i="9"/>
  <c r="R343" i="9"/>
  <c r="Q343" i="9"/>
  <c r="L343" i="9"/>
  <c r="Y345" i="7"/>
  <c r="F344" i="9"/>
  <c r="Y344" i="5"/>
  <c r="D343" i="9"/>
  <c r="K343" i="9" s="1"/>
  <c r="C343" i="9"/>
  <c r="J343" i="9" s="1"/>
  <c r="Y344" i="4"/>
  <c r="Y345" i="6"/>
  <c r="E344" i="9"/>
  <c r="L344" i="9" s="1"/>
  <c r="Y345" i="1"/>
  <c r="A344" i="9"/>
  <c r="Y345" i="3"/>
  <c r="B344" i="9"/>
  <c r="I344" i="9" s="1"/>
  <c r="Q344" i="9" l="1"/>
  <c r="N344" i="9"/>
  <c r="R344" i="9"/>
  <c r="M344" i="9"/>
  <c r="P343" i="9"/>
  <c r="O343" i="9"/>
  <c r="Y346" i="6"/>
  <c r="E345" i="9"/>
  <c r="Y345" i="5"/>
  <c r="D344" i="9"/>
  <c r="K344" i="9" s="1"/>
  <c r="C344" i="9"/>
  <c r="J344" i="9" s="1"/>
  <c r="Y345" i="4"/>
  <c r="Y346" i="7"/>
  <c r="F345" i="9"/>
  <c r="Y346" i="1"/>
  <c r="A345" i="9"/>
  <c r="Y346" i="3"/>
  <c r="B345" i="9"/>
  <c r="O344" i="9" l="1"/>
  <c r="M345" i="9"/>
  <c r="I345" i="9"/>
  <c r="L345" i="9"/>
  <c r="Q345" i="9"/>
  <c r="N345" i="9"/>
  <c r="R345" i="9"/>
  <c r="P344" i="9"/>
  <c r="Y347" i="7"/>
  <c r="F346" i="9"/>
  <c r="Y346" i="5"/>
  <c r="D345" i="9"/>
  <c r="K345" i="9" s="1"/>
  <c r="C345" i="9"/>
  <c r="J345" i="9" s="1"/>
  <c r="Y346" i="4"/>
  <c r="Y347" i="6"/>
  <c r="E346" i="9"/>
  <c r="L346" i="9" s="1"/>
  <c r="Y347" i="1"/>
  <c r="A346" i="9"/>
  <c r="Y347" i="3"/>
  <c r="B346" i="9"/>
  <c r="I346" i="9" s="1"/>
  <c r="O345" i="9" l="1"/>
  <c r="P345" i="9"/>
  <c r="Q346" i="9"/>
  <c r="N346" i="9"/>
  <c r="R346" i="9"/>
  <c r="M346" i="9"/>
  <c r="Y348" i="6"/>
  <c r="E347" i="9"/>
  <c r="Y347" i="5"/>
  <c r="D346" i="9"/>
  <c r="K346" i="9" s="1"/>
  <c r="C346" i="9"/>
  <c r="J346" i="9" s="1"/>
  <c r="Y347" i="4"/>
  <c r="Y348" i="7"/>
  <c r="F347" i="9"/>
  <c r="Y348" i="1"/>
  <c r="A347" i="9"/>
  <c r="Y348" i="3"/>
  <c r="B347" i="9"/>
  <c r="M347" i="9" l="1"/>
  <c r="I347" i="9"/>
  <c r="O346" i="9"/>
  <c r="P346" i="9"/>
  <c r="N347" i="9"/>
  <c r="R347" i="9"/>
  <c r="Q347" i="9"/>
  <c r="L347" i="9"/>
  <c r="Y349" i="7"/>
  <c r="F348" i="9"/>
  <c r="Y348" i="5"/>
  <c r="D347" i="9"/>
  <c r="K347" i="9" s="1"/>
  <c r="C347" i="9"/>
  <c r="J347" i="9" s="1"/>
  <c r="Y348" i="4"/>
  <c r="Y349" i="6"/>
  <c r="E348" i="9"/>
  <c r="Y349" i="1"/>
  <c r="A348" i="9"/>
  <c r="Y349" i="3"/>
  <c r="B348" i="9"/>
  <c r="I348" i="9" l="1"/>
  <c r="L348" i="9"/>
  <c r="O347" i="9"/>
  <c r="Q348" i="9"/>
  <c r="N348" i="9"/>
  <c r="R348" i="9"/>
  <c r="M348" i="9"/>
  <c r="P347" i="9"/>
  <c r="Y350" i="6"/>
  <c r="E349" i="9"/>
  <c r="Y349" i="5"/>
  <c r="D348" i="9"/>
  <c r="K348" i="9" s="1"/>
  <c r="C348" i="9"/>
  <c r="J348" i="9" s="1"/>
  <c r="Y349" i="4"/>
  <c r="Y350" i="7"/>
  <c r="F349" i="9"/>
  <c r="M349" i="9" s="1"/>
  <c r="Y350" i="1"/>
  <c r="A349" i="9"/>
  <c r="Y350" i="3"/>
  <c r="B349" i="9"/>
  <c r="I349" i="9" s="1"/>
  <c r="Q349" i="9" l="1"/>
  <c r="N349" i="9"/>
  <c r="R349" i="9"/>
  <c r="L349" i="9"/>
  <c r="P348" i="9"/>
  <c r="O348" i="9"/>
  <c r="Y351" i="7"/>
  <c r="F350" i="9"/>
  <c r="Y350" i="5"/>
  <c r="D349" i="9"/>
  <c r="K349" i="9" s="1"/>
  <c r="C349" i="9"/>
  <c r="J349" i="9" s="1"/>
  <c r="Y350" i="4"/>
  <c r="Y351" i="6"/>
  <c r="E350" i="9"/>
  <c r="Y351" i="1"/>
  <c r="A350" i="9"/>
  <c r="Y351" i="3"/>
  <c r="B350" i="9"/>
  <c r="I350" i="9" l="1"/>
  <c r="L350" i="9"/>
  <c r="Q350" i="9"/>
  <c r="N350" i="9"/>
  <c r="R350" i="9"/>
  <c r="M350" i="9"/>
  <c r="O349" i="9"/>
  <c r="P349" i="9"/>
  <c r="Y352" i="6"/>
  <c r="E351" i="9"/>
  <c r="Y351" i="5"/>
  <c r="D350" i="9"/>
  <c r="K350" i="9" s="1"/>
  <c r="C350" i="9"/>
  <c r="J350" i="9" s="1"/>
  <c r="Y351" i="4"/>
  <c r="Y352" i="7"/>
  <c r="F351" i="9"/>
  <c r="M351" i="9" s="1"/>
  <c r="Y352" i="1"/>
  <c r="A351" i="9"/>
  <c r="Y352" i="3"/>
  <c r="B351" i="9"/>
  <c r="I351" i="9" s="1"/>
  <c r="L351" i="9" l="1"/>
  <c r="P350" i="9"/>
  <c r="N351" i="9"/>
  <c r="R351" i="9"/>
  <c r="Q351" i="9"/>
  <c r="O350" i="9"/>
  <c r="Y353" i="7"/>
  <c r="F352" i="9"/>
  <c r="Y352" i="5"/>
  <c r="D351" i="9"/>
  <c r="K351" i="9" s="1"/>
  <c r="C351" i="9"/>
  <c r="J351" i="9" s="1"/>
  <c r="Y352" i="4"/>
  <c r="Y353" i="6"/>
  <c r="E352" i="9"/>
  <c r="Y353" i="1"/>
  <c r="A352" i="9"/>
  <c r="Y353" i="3"/>
  <c r="B352" i="9"/>
  <c r="I352" i="9" l="1"/>
  <c r="L352" i="9"/>
  <c r="Q352" i="9"/>
  <c r="N352" i="9"/>
  <c r="R352" i="9"/>
  <c r="M352" i="9"/>
  <c r="P351" i="9"/>
  <c r="O351" i="9"/>
  <c r="Y354" i="6"/>
  <c r="E353" i="9"/>
  <c r="Y353" i="5"/>
  <c r="D352" i="9"/>
  <c r="K352" i="9" s="1"/>
  <c r="C352" i="9"/>
  <c r="J352" i="9" s="1"/>
  <c r="Y353" i="4"/>
  <c r="Y354" i="7"/>
  <c r="F353" i="9"/>
  <c r="Y354" i="1"/>
  <c r="A353" i="9"/>
  <c r="Y354" i="3"/>
  <c r="B353" i="9"/>
  <c r="O352" i="9" l="1"/>
  <c r="I353" i="9"/>
  <c r="M353" i="9"/>
  <c r="Q353" i="9"/>
  <c r="N353" i="9"/>
  <c r="R353" i="9"/>
  <c r="L353" i="9"/>
  <c r="P352" i="9"/>
  <c r="Y354" i="5"/>
  <c r="D353" i="9"/>
  <c r="K353" i="9" s="1"/>
  <c r="Y355" i="7"/>
  <c r="F354" i="9"/>
  <c r="M354" i="9" s="1"/>
  <c r="C353" i="9"/>
  <c r="J353" i="9" s="1"/>
  <c r="Y354" i="4"/>
  <c r="Y355" i="6"/>
  <c r="E354" i="9"/>
  <c r="L354" i="9" s="1"/>
  <c r="Y355" i="1"/>
  <c r="A354" i="9"/>
  <c r="Y355" i="3"/>
  <c r="B354" i="9"/>
  <c r="I354" i="9" s="1"/>
  <c r="Q354" i="9" l="1"/>
  <c r="N354" i="9"/>
  <c r="R354" i="9"/>
  <c r="O353" i="9"/>
  <c r="P353" i="9"/>
  <c r="Y356" i="7"/>
  <c r="F355" i="9"/>
  <c r="Y356" i="6"/>
  <c r="E355" i="9"/>
  <c r="C354" i="9"/>
  <c r="J354" i="9" s="1"/>
  <c r="Y355" i="4"/>
  <c r="Y355" i="5"/>
  <c r="D354" i="9"/>
  <c r="K354" i="9" s="1"/>
  <c r="Y356" i="1"/>
  <c r="A355" i="9"/>
  <c r="Y356" i="3"/>
  <c r="B355" i="9"/>
  <c r="I355" i="9" s="1"/>
  <c r="L355" i="9" l="1"/>
  <c r="P354" i="9"/>
  <c r="N355" i="9"/>
  <c r="R355" i="9"/>
  <c r="Q355" i="9"/>
  <c r="M355" i="9"/>
  <c r="O354" i="9"/>
  <c r="Y356" i="5"/>
  <c r="D355" i="9"/>
  <c r="K355" i="9" s="1"/>
  <c r="Y357" i="6"/>
  <c r="E356" i="9"/>
  <c r="L356" i="9" s="1"/>
  <c r="C355" i="9"/>
  <c r="J355" i="9" s="1"/>
  <c r="Y356" i="4"/>
  <c r="Y357" i="7"/>
  <c r="F356" i="9"/>
  <c r="M356" i="9" s="1"/>
  <c r="Y357" i="1"/>
  <c r="A356" i="9"/>
  <c r="Y357" i="3"/>
  <c r="B356" i="9"/>
  <c r="I356" i="9" s="1"/>
  <c r="O355" i="9" l="1"/>
  <c r="Q356" i="9"/>
  <c r="N356" i="9"/>
  <c r="R356" i="9"/>
  <c r="P355" i="9"/>
  <c r="Y358" i="7"/>
  <c r="F357" i="9"/>
  <c r="Y358" i="6"/>
  <c r="E357" i="9"/>
  <c r="C356" i="9"/>
  <c r="J356" i="9" s="1"/>
  <c r="Y357" i="4"/>
  <c r="Y357" i="5"/>
  <c r="D356" i="9"/>
  <c r="K356" i="9" s="1"/>
  <c r="Y358" i="1"/>
  <c r="A357" i="9"/>
  <c r="Y358" i="3"/>
  <c r="B357" i="9"/>
  <c r="O356" i="9" l="1"/>
  <c r="Q357" i="9"/>
  <c r="N357" i="9"/>
  <c r="R357" i="9"/>
  <c r="L357" i="9"/>
  <c r="M357" i="9"/>
  <c r="I357" i="9"/>
  <c r="P356" i="9"/>
  <c r="Y358" i="5"/>
  <c r="D357" i="9"/>
  <c r="K357" i="9" s="1"/>
  <c r="Y359" i="6"/>
  <c r="E358" i="9"/>
  <c r="C357" i="9"/>
  <c r="J357" i="9" s="1"/>
  <c r="Y358" i="4"/>
  <c r="Y359" i="7"/>
  <c r="F358" i="9"/>
  <c r="Y359" i="1"/>
  <c r="A358" i="9"/>
  <c r="Y359" i="3"/>
  <c r="B358" i="9"/>
  <c r="Q358" i="9" l="1"/>
  <c r="R358" i="9"/>
  <c r="N358" i="9"/>
  <c r="I358" i="9"/>
  <c r="M358" i="9"/>
  <c r="L358" i="9"/>
  <c r="O357" i="9"/>
  <c r="P357" i="9"/>
  <c r="Y360" i="6"/>
  <c r="E359" i="9"/>
  <c r="C358" i="9"/>
  <c r="J358" i="9" s="1"/>
  <c r="Y359" i="4"/>
  <c r="Y360" i="7"/>
  <c r="F359" i="9"/>
  <c r="Y359" i="5"/>
  <c r="D358" i="9"/>
  <c r="K358" i="9" s="1"/>
  <c r="Y360" i="1"/>
  <c r="A359" i="9"/>
  <c r="Y360" i="3"/>
  <c r="B359" i="9"/>
  <c r="N359" i="9" l="1"/>
  <c r="R359" i="9"/>
  <c r="Q359" i="9"/>
  <c r="L359" i="9"/>
  <c r="I359" i="9"/>
  <c r="P358" i="9"/>
  <c r="M359" i="9"/>
  <c r="O358" i="9"/>
  <c r="C359" i="9"/>
  <c r="J359" i="9" s="1"/>
  <c r="Y360" i="4"/>
  <c r="Y360" i="5"/>
  <c r="D359" i="9"/>
  <c r="K359" i="9" s="1"/>
  <c r="Y361" i="7"/>
  <c r="F360" i="9"/>
  <c r="Y361" i="6"/>
  <c r="E360" i="9"/>
  <c r="Y361" i="1"/>
  <c r="A360" i="9"/>
  <c r="Y361" i="3"/>
  <c r="B360" i="9"/>
  <c r="P359" i="9" l="1"/>
  <c r="Q360" i="9"/>
  <c r="N360" i="9"/>
  <c r="R360" i="9"/>
  <c r="M360" i="9"/>
  <c r="O359" i="9"/>
  <c r="L360" i="9"/>
  <c r="I360" i="9"/>
  <c r="Y362" i="6"/>
  <c r="E361" i="9"/>
  <c r="Y361" i="5"/>
  <c r="D360" i="9"/>
  <c r="K360" i="9" s="1"/>
  <c r="C360" i="9"/>
  <c r="J360" i="9" s="1"/>
  <c r="Y361" i="4"/>
  <c r="Y362" i="7"/>
  <c r="F361" i="9"/>
  <c r="Y362" i="1"/>
  <c r="A361" i="9"/>
  <c r="Y362" i="3"/>
  <c r="B361" i="9"/>
  <c r="L361" i="9" l="1"/>
  <c r="O360" i="9"/>
  <c r="Q361" i="9"/>
  <c r="N361" i="9"/>
  <c r="R361" i="9"/>
  <c r="I361" i="9"/>
  <c r="M361" i="9"/>
  <c r="P360" i="9"/>
  <c r="Y363" i="7"/>
  <c r="F362" i="9"/>
  <c r="Y362" i="5"/>
  <c r="D361" i="9"/>
  <c r="K361" i="9" s="1"/>
  <c r="C361" i="9"/>
  <c r="J361" i="9" s="1"/>
  <c r="Y362" i="4"/>
  <c r="Y363" i="6"/>
  <c r="E362" i="9"/>
  <c r="L362" i="9" s="1"/>
  <c r="Y363" i="1"/>
  <c r="A362" i="9"/>
  <c r="Y363" i="3"/>
  <c r="B362" i="9"/>
  <c r="I362" i="9" s="1"/>
  <c r="Q362" i="9" l="1"/>
  <c r="N362" i="9"/>
  <c r="R362" i="9"/>
  <c r="M362" i="9"/>
  <c r="O361" i="9"/>
  <c r="P361" i="9"/>
  <c r="Y364" i="6"/>
  <c r="E363" i="9"/>
  <c r="Y363" i="5"/>
  <c r="D362" i="9"/>
  <c r="K362" i="9" s="1"/>
  <c r="C362" i="9"/>
  <c r="J362" i="9" s="1"/>
  <c r="Y363" i="4"/>
  <c r="Y364" i="7"/>
  <c r="F363" i="9"/>
  <c r="Y364" i="1"/>
  <c r="A363" i="9"/>
  <c r="Y364" i="3"/>
  <c r="B363" i="9"/>
  <c r="M363" i="9" l="1"/>
  <c r="I363" i="9"/>
  <c r="N363" i="9"/>
  <c r="R363" i="9"/>
  <c r="Q363" i="9"/>
  <c r="L363" i="9"/>
  <c r="P362" i="9"/>
  <c r="O362" i="9"/>
  <c r="Y365" i="7"/>
  <c r="F364" i="9"/>
  <c r="Y364" i="5"/>
  <c r="D363" i="9"/>
  <c r="K363" i="9" s="1"/>
  <c r="C363" i="9"/>
  <c r="J363" i="9" s="1"/>
  <c r="Y364" i="4"/>
  <c r="Y365" i="6"/>
  <c r="E364" i="9"/>
  <c r="Y365" i="1"/>
  <c r="A364" i="9"/>
  <c r="Y365" i="3"/>
  <c r="B364" i="9"/>
  <c r="I364" i="9" l="1"/>
  <c r="L364" i="9"/>
  <c r="O363" i="9"/>
  <c r="P363" i="9"/>
  <c r="M364" i="9"/>
  <c r="Q364" i="9"/>
  <c r="N364" i="9"/>
  <c r="R364" i="9"/>
  <c r="Y366" i="6"/>
  <c r="E365" i="9"/>
  <c r="Y365" i="5"/>
  <c r="D364" i="9"/>
  <c r="K364" i="9" s="1"/>
  <c r="C364" i="9"/>
  <c r="J364" i="9" s="1"/>
  <c r="Y365" i="4"/>
  <c r="Y366" i="7"/>
  <c r="F365" i="9"/>
  <c r="M365" i="9" s="1"/>
  <c r="Y366" i="1"/>
  <c r="A365" i="9"/>
  <c r="Y366" i="3"/>
  <c r="B365" i="9"/>
  <c r="I365" i="9" s="1"/>
  <c r="P364" i="9" l="1"/>
  <c r="O364" i="9"/>
  <c r="Q365" i="9"/>
  <c r="N365" i="9"/>
  <c r="R365" i="9"/>
  <c r="L365" i="9"/>
  <c r="Y367" i="7"/>
  <c r="F366" i="9"/>
  <c r="Y366" i="5"/>
  <c r="D365" i="9"/>
  <c r="K365" i="9" s="1"/>
  <c r="C365" i="9"/>
  <c r="J365" i="9" s="1"/>
  <c r="Y366" i="4"/>
  <c r="Y367" i="6"/>
  <c r="E366" i="9"/>
  <c r="Y367" i="1"/>
  <c r="A366" i="9"/>
  <c r="Y367" i="3"/>
  <c r="B366" i="9"/>
  <c r="I366" i="9" l="1"/>
  <c r="L366" i="9"/>
  <c r="O365" i="9"/>
  <c r="Q366" i="9"/>
  <c r="N366" i="9"/>
  <c r="R366" i="9"/>
  <c r="M366" i="9"/>
  <c r="P365" i="9"/>
  <c r="Y368" i="6"/>
  <c r="E367" i="9"/>
  <c r="Y367" i="5"/>
  <c r="D366" i="9"/>
  <c r="K366" i="9" s="1"/>
  <c r="C366" i="9"/>
  <c r="J366" i="9" s="1"/>
  <c r="Y367" i="4"/>
  <c r="Y368" i="7"/>
  <c r="F367" i="9"/>
  <c r="M367" i="9" s="1"/>
  <c r="Y368" i="1"/>
  <c r="A367" i="9"/>
  <c r="Y368" i="3"/>
  <c r="B367" i="9"/>
  <c r="I367" i="9" s="1"/>
  <c r="P366" i="9" l="1"/>
  <c r="N367" i="9"/>
  <c r="R367" i="9"/>
  <c r="Q367" i="9"/>
  <c r="L367" i="9"/>
  <c r="O366" i="9"/>
  <c r="Y369" i="7"/>
  <c r="F368" i="9"/>
  <c r="Y368" i="5"/>
  <c r="D367" i="9"/>
  <c r="K367" i="9" s="1"/>
  <c r="C367" i="9"/>
  <c r="J367" i="9" s="1"/>
  <c r="Y368" i="4"/>
  <c r="Y369" i="6"/>
  <c r="E368" i="9"/>
  <c r="Y369" i="1"/>
  <c r="A368" i="9"/>
  <c r="Y369" i="3"/>
  <c r="B368" i="9"/>
  <c r="O367" i="9" l="1"/>
  <c r="L368" i="9"/>
  <c r="I368" i="9"/>
  <c r="Q368" i="9"/>
  <c r="N368" i="9"/>
  <c r="R368" i="9"/>
  <c r="M368" i="9"/>
  <c r="P367" i="9"/>
  <c r="Y370" i="6"/>
  <c r="E369" i="9"/>
  <c r="Y369" i="5"/>
  <c r="D368" i="9"/>
  <c r="K368" i="9" s="1"/>
  <c r="C368" i="9"/>
  <c r="J368" i="9" s="1"/>
  <c r="Y369" i="4"/>
  <c r="Y370" i="7"/>
  <c r="F369" i="9"/>
  <c r="M369" i="9" s="1"/>
  <c r="Y370" i="1"/>
  <c r="A369" i="9"/>
  <c r="Y370" i="3"/>
  <c r="B369" i="9"/>
  <c r="I369" i="9" s="1"/>
  <c r="O368" i="9" l="1"/>
  <c r="Q369" i="9"/>
  <c r="N369" i="9"/>
  <c r="R369" i="9"/>
  <c r="L369" i="9"/>
  <c r="P368" i="9"/>
  <c r="Y371" i="7"/>
  <c r="F370" i="9"/>
  <c r="Y370" i="5"/>
  <c r="D369" i="9"/>
  <c r="K369" i="9" s="1"/>
  <c r="C369" i="9"/>
  <c r="J369" i="9" s="1"/>
  <c r="Y370" i="4"/>
  <c r="Y371" i="6"/>
  <c r="E370" i="9"/>
  <c r="Y371" i="1"/>
  <c r="A370" i="9"/>
  <c r="Y371" i="3"/>
  <c r="B370" i="9"/>
  <c r="O369" i="9" l="1"/>
  <c r="I370" i="9"/>
  <c r="L370" i="9"/>
  <c r="M370" i="9"/>
  <c r="P369" i="9"/>
  <c r="Q370" i="9"/>
  <c r="N370" i="9"/>
  <c r="R370" i="9"/>
  <c r="Y372" i="6"/>
  <c r="E371" i="9"/>
  <c r="Y371" i="5"/>
  <c r="D370" i="9"/>
  <c r="K370" i="9" s="1"/>
  <c r="C370" i="9"/>
  <c r="J370" i="9" s="1"/>
  <c r="Y371" i="4"/>
  <c r="Y372" i="7"/>
  <c r="F371" i="9"/>
  <c r="M371" i="9" s="1"/>
  <c r="Y372" i="1"/>
  <c r="A371" i="9"/>
  <c r="Y372" i="3"/>
  <c r="B371" i="9"/>
  <c r="I371" i="9" s="1"/>
  <c r="P370" i="9" l="1"/>
  <c r="O370" i="9"/>
  <c r="N371" i="9"/>
  <c r="R371" i="9"/>
  <c r="Q371" i="9"/>
  <c r="L371" i="9"/>
  <c r="Y373" i="7"/>
  <c r="F372" i="9"/>
  <c r="Y372" i="5"/>
  <c r="D371" i="9"/>
  <c r="K371" i="9" s="1"/>
  <c r="C371" i="9"/>
  <c r="J371" i="9" s="1"/>
  <c r="Y372" i="4"/>
  <c r="Y373" i="6"/>
  <c r="E372" i="9"/>
  <c r="Y373" i="1"/>
  <c r="A372" i="9"/>
  <c r="Y373" i="3"/>
  <c r="B372" i="9"/>
  <c r="I372" i="9" l="1"/>
  <c r="L372" i="9"/>
  <c r="O371" i="9"/>
  <c r="Q372" i="9"/>
  <c r="N372" i="9"/>
  <c r="R372" i="9"/>
  <c r="M372" i="9"/>
  <c r="P371" i="9"/>
  <c r="Y374" i="6"/>
  <c r="E373" i="9"/>
  <c r="Y373" i="5"/>
  <c r="D372" i="9"/>
  <c r="K372" i="9" s="1"/>
  <c r="C372" i="9"/>
  <c r="J372" i="9" s="1"/>
  <c r="Y373" i="4"/>
  <c r="Y374" i="7"/>
  <c r="F373" i="9"/>
  <c r="M373" i="9" s="1"/>
  <c r="Y374" i="1"/>
  <c r="A373" i="9"/>
  <c r="Y374" i="3"/>
  <c r="B373" i="9"/>
  <c r="I373" i="9" s="1"/>
  <c r="Q373" i="9" l="1"/>
  <c r="N373" i="9"/>
  <c r="R373" i="9"/>
  <c r="L373" i="9"/>
  <c r="P372" i="9"/>
  <c r="O372" i="9"/>
  <c r="Y375" i="7"/>
  <c r="F374" i="9"/>
  <c r="Y374" i="5"/>
  <c r="D373" i="9"/>
  <c r="K373" i="9" s="1"/>
  <c r="C373" i="9"/>
  <c r="J373" i="9" s="1"/>
  <c r="Y374" i="4"/>
  <c r="Y375" i="6"/>
  <c r="E374" i="9"/>
  <c r="Y375" i="1"/>
  <c r="A374" i="9"/>
  <c r="Y375" i="3"/>
  <c r="B374" i="9"/>
  <c r="I374" i="9" l="1"/>
  <c r="L374" i="9"/>
  <c r="Q374" i="9"/>
  <c r="R374" i="9"/>
  <c r="N374" i="9"/>
  <c r="M374" i="9"/>
  <c r="O373" i="9"/>
  <c r="P373" i="9"/>
  <c r="Y376" i="6"/>
  <c r="E375" i="9"/>
  <c r="Y375" i="5"/>
  <c r="D374" i="9"/>
  <c r="K374" i="9" s="1"/>
  <c r="C374" i="9"/>
  <c r="J374" i="9" s="1"/>
  <c r="Y375" i="4"/>
  <c r="Y376" i="7"/>
  <c r="F375" i="9"/>
  <c r="M375" i="9" s="1"/>
  <c r="Y376" i="1"/>
  <c r="A375" i="9"/>
  <c r="Y376" i="3"/>
  <c r="B375" i="9"/>
  <c r="I375" i="9" s="1"/>
  <c r="L375" i="9" l="1"/>
  <c r="P374" i="9"/>
  <c r="N375" i="9"/>
  <c r="R375" i="9"/>
  <c r="Q375" i="9"/>
  <c r="O374" i="9"/>
  <c r="Y376" i="5"/>
  <c r="D375" i="9"/>
  <c r="K375" i="9" s="1"/>
  <c r="C375" i="9"/>
  <c r="J375" i="9" s="1"/>
  <c r="Y376" i="4"/>
  <c r="Y377" i="7"/>
  <c r="F376" i="9"/>
  <c r="Y377" i="6"/>
  <c r="E376" i="9"/>
  <c r="Y377" i="1"/>
  <c r="A376" i="9"/>
  <c r="Y377" i="3"/>
  <c r="B376" i="9"/>
  <c r="O375" i="9" l="1"/>
  <c r="L376" i="9"/>
  <c r="I376" i="9"/>
  <c r="Q376" i="9"/>
  <c r="N376" i="9"/>
  <c r="R376" i="9"/>
  <c r="M376" i="9"/>
  <c r="P375" i="9"/>
  <c r="C376" i="9"/>
  <c r="J376" i="9" s="1"/>
  <c r="Y377" i="4"/>
  <c r="Y378" i="6"/>
  <c r="E377" i="9"/>
  <c r="Y378" i="7"/>
  <c r="F377" i="9"/>
  <c r="Y377" i="5"/>
  <c r="D376" i="9"/>
  <c r="K376" i="9" s="1"/>
  <c r="Y378" i="1"/>
  <c r="A377" i="9"/>
  <c r="Y378" i="3"/>
  <c r="B377" i="9"/>
  <c r="I377" i="9" l="1"/>
  <c r="L377" i="9"/>
  <c r="O376" i="9"/>
  <c r="Q377" i="9"/>
  <c r="N377" i="9"/>
  <c r="R377" i="9"/>
  <c r="O377" i="9"/>
  <c r="M377" i="9"/>
  <c r="P376" i="9"/>
  <c r="Y379" i="6"/>
  <c r="E378" i="9"/>
  <c r="Y378" i="5"/>
  <c r="D377" i="9"/>
  <c r="K377" i="9" s="1"/>
  <c r="C377" i="9"/>
  <c r="J377" i="9" s="1"/>
  <c r="Y378" i="4"/>
  <c r="Y379" i="7"/>
  <c r="F378" i="9"/>
  <c r="Y379" i="1"/>
  <c r="A378" i="9"/>
  <c r="Y379" i="3"/>
  <c r="B378" i="9"/>
  <c r="I378" i="9" l="1"/>
  <c r="M378" i="9"/>
  <c r="L378" i="9"/>
  <c r="P377" i="9"/>
  <c r="P378" i="9"/>
  <c r="Q378" i="9"/>
  <c r="N378" i="9"/>
  <c r="R378" i="9"/>
  <c r="Y379" i="5"/>
  <c r="D378" i="9"/>
  <c r="K378" i="9" s="1"/>
  <c r="Y380" i="7"/>
  <c r="F379" i="9"/>
  <c r="C378" i="9"/>
  <c r="J378" i="9" s="1"/>
  <c r="Y379" i="4"/>
  <c r="Y380" i="6"/>
  <c r="E379" i="9"/>
  <c r="L379" i="9" s="1"/>
  <c r="Y380" i="1"/>
  <c r="A379" i="9"/>
  <c r="Y380" i="3"/>
  <c r="B379" i="9"/>
  <c r="I379" i="9" s="1"/>
  <c r="M379" i="9" l="1"/>
  <c r="O378" i="9"/>
  <c r="N379" i="9"/>
  <c r="R379" i="9"/>
  <c r="Q379" i="9"/>
  <c r="Y381" i="7"/>
  <c r="F380" i="9"/>
  <c r="Y381" i="6"/>
  <c r="E380" i="9"/>
  <c r="C379" i="9"/>
  <c r="J379" i="9" s="1"/>
  <c r="Y380" i="4"/>
  <c r="Y380" i="5"/>
  <c r="D379" i="9"/>
  <c r="K379" i="9" s="1"/>
  <c r="Y381" i="1"/>
  <c r="A380" i="9"/>
  <c r="Y381" i="3"/>
  <c r="B380" i="9"/>
  <c r="M380" i="9" l="1"/>
  <c r="O379" i="9"/>
  <c r="I380" i="9"/>
  <c r="L380" i="9"/>
  <c r="Q380" i="9"/>
  <c r="N380" i="9"/>
  <c r="R380" i="9"/>
  <c r="O380" i="9"/>
  <c r="P379" i="9"/>
  <c r="Y382" i="6"/>
  <c r="E381" i="9"/>
  <c r="Y381" i="5"/>
  <c r="D380" i="9"/>
  <c r="K380" i="9" s="1"/>
  <c r="C380" i="9"/>
  <c r="J380" i="9" s="1"/>
  <c r="Y381" i="4"/>
  <c r="Y382" i="7"/>
  <c r="F381" i="9"/>
  <c r="Y382" i="1"/>
  <c r="A381" i="9"/>
  <c r="Y382" i="3"/>
  <c r="B381" i="9"/>
  <c r="P380" i="9" l="1"/>
  <c r="L381" i="9"/>
  <c r="Q381" i="9"/>
  <c r="N381" i="9"/>
  <c r="R381" i="9"/>
  <c r="I381" i="9"/>
  <c r="M381" i="9"/>
  <c r="Y383" i="7"/>
  <c r="F382" i="9"/>
  <c r="Y382" i="5"/>
  <c r="D381" i="9"/>
  <c r="K381" i="9" s="1"/>
  <c r="C381" i="9"/>
  <c r="J381" i="9" s="1"/>
  <c r="Y382" i="4"/>
  <c r="Y383" i="6"/>
  <c r="E382" i="9"/>
  <c r="L382" i="9" s="1"/>
  <c r="Y383" i="1"/>
  <c r="A382" i="9"/>
  <c r="Y383" i="3"/>
  <c r="B382" i="9"/>
  <c r="I382" i="9" s="1"/>
  <c r="O381" i="9" l="1"/>
  <c r="M382" i="9"/>
  <c r="P381" i="9"/>
  <c r="P382" i="9"/>
  <c r="Q382" i="9"/>
  <c r="N382" i="9"/>
  <c r="R382" i="9"/>
  <c r="Y384" i="6"/>
  <c r="E383" i="9"/>
  <c r="Y383" i="5"/>
  <c r="D382" i="9"/>
  <c r="K382" i="9" s="1"/>
  <c r="C382" i="9"/>
  <c r="J382" i="9" s="1"/>
  <c r="Y383" i="4"/>
  <c r="Y384" i="7"/>
  <c r="F383" i="9"/>
  <c r="Y384" i="1"/>
  <c r="A383" i="9"/>
  <c r="Y384" i="3"/>
  <c r="B383" i="9"/>
  <c r="M383" i="9" l="1"/>
  <c r="I383" i="9"/>
  <c r="O382" i="9"/>
  <c r="N383" i="9"/>
  <c r="R383" i="9"/>
  <c r="Q383" i="9"/>
  <c r="L383" i="9"/>
  <c r="Y384" i="5"/>
  <c r="D383" i="9"/>
  <c r="K383" i="9" s="1"/>
  <c r="Y385" i="7"/>
  <c r="F384" i="9"/>
  <c r="M384" i="9" s="1"/>
  <c r="C383" i="9"/>
  <c r="J383" i="9" s="1"/>
  <c r="Y384" i="4"/>
  <c r="Y385" i="6"/>
  <c r="E384" i="9"/>
  <c r="L384" i="9" s="1"/>
  <c r="Y385" i="1"/>
  <c r="A384" i="9"/>
  <c r="Y385" i="3"/>
  <c r="B384" i="9"/>
  <c r="I384" i="9" s="1"/>
  <c r="O383" i="9" l="1"/>
  <c r="Q384" i="9"/>
  <c r="N384" i="9"/>
  <c r="R384" i="9"/>
  <c r="P383" i="9"/>
  <c r="Y386" i="7"/>
  <c r="F385" i="9"/>
  <c r="Y386" i="6"/>
  <c r="E385" i="9"/>
  <c r="C384" i="9"/>
  <c r="J384" i="9" s="1"/>
  <c r="Y385" i="4"/>
  <c r="Y385" i="5"/>
  <c r="D384" i="9"/>
  <c r="K384" i="9" s="1"/>
  <c r="Y386" i="1"/>
  <c r="A385" i="9"/>
  <c r="Y386" i="3"/>
  <c r="B385" i="9"/>
  <c r="I385" i="9" l="1"/>
  <c r="L385" i="9"/>
  <c r="P384" i="9"/>
  <c r="Q385" i="9"/>
  <c r="N385" i="9"/>
  <c r="R385" i="9"/>
  <c r="M385" i="9"/>
  <c r="O384" i="9"/>
  <c r="Y386" i="5"/>
  <c r="D385" i="9"/>
  <c r="K385" i="9" s="1"/>
  <c r="Y387" i="6"/>
  <c r="E386" i="9"/>
  <c r="L386" i="9" s="1"/>
  <c r="C385" i="9"/>
  <c r="J385" i="9" s="1"/>
  <c r="Y386" i="4"/>
  <c r="Y387" i="7"/>
  <c r="F386" i="9"/>
  <c r="M386" i="9" s="1"/>
  <c r="Y387" i="1"/>
  <c r="A386" i="9"/>
  <c r="Y387" i="3"/>
  <c r="B386" i="9"/>
  <c r="I386" i="9" s="1"/>
  <c r="Q386" i="9" l="1"/>
  <c r="N386" i="9"/>
  <c r="R386" i="9"/>
  <c r="O385" i="9"/>
  <c r="P385" i="9"/>
  <c r="Y388" i="6"/>
  <c r="E387" i="9"/>
  <c r="Y388" i="7"/>
  <c r="F387" i="9"/>
  <c r="C386" i="9"/>
  <c r="J386" i="9" s="1"/>
  <c r="Y387" i="4"/>
  <c r="Y387" i="5"/>
  <c r="D386" i="9"/>
  <c r="K386" i="9" s="1"/>
  <c r="Y388" i="1"/>
  <c r="A387" i="9"/>
  <c r="Y388" i="3"/>
  <c r="B387" i="9"/>
  <c r="I387" i="9" l="1"/>
  <c r="M387" i="9"/>
  <c r="P386" i="9"/>
  <c r="N387" i="9"/>
  <c r="R387" i="9"/>
  <c r="P387" i="9"/>
  <c r="Q387" i="9"/>
  <c r="L387" i="9"/>
  <c r="O386" i="9"/>
  <c r="Y389" i="7"/>
  <c r="F388" i="9"/>
  <c r="Y388" i="5"/>
  <c r="D387" i="9"/>
  <c r="K387" i="9" s="1"/>
  <c r="C387" i="9"/>
  <c r="J387" i="9" s="1"/>
  <c r="Y388" i="4"/>
  <c r="Y389" i="6"/>
  <c r="E388" i="9"/>
  <c r="Y389" i="1"/>
  <c r="A388" i="9"/>
  <c r="Y389" i="3"/>
  <c r="B388" i="9"/>
  <c r="M388" i="9" l="1"/>
  <c r="Q388" i="9"/>
  <c r="N388" i="9"/>
  <c r="R388" i="9"/>
  <c r="L388" i="9"/>
  <c r="O387" i="9"/>
  <c r="I388" i="9"/>
  <c r="Y390" i="6"/>
  <c r="E389" i="9"/>
  <c r="Y389" i="5"/>
  <c r="D388" i="9"/>
  <c r="K388" i="9" s="1"/>
  <c r="C388" i="9"/>
  <c r="J388" i="9" s="1"/>
  <c r="Y389" i="4"/>
  <c r="Y390" i="7"/>
  <c r="F389" i="9"/>
  <c r="Y390" i="1"/>
  <c r="A389" i="9"/>
  <c r="Y390" i="3"/>
  <c r="B389" i="9"/>
  <c r="P388" i="9" l="1"/>
  <c r="L389" i="9"/>
  <c r="Q389" i="9"/>
  <c r="N389" i="9"/>
  <c r="R389" i="9"/>
  <c r="I389" i="9"/>
  <c r="M389" i="9"/>
  <c r="O388" i="9"/>
  <c r="Y391" i="7"/>
  <c r="F390" i="9"/>
  <c r="Y390" i="5"/>
  <c r="D389" i="9"/>
  <c r="K389" i="9" s="1"/>
  <c r="C389" i="9"/>
  <c r="J389" i="9" s="1"/>
  <c r="Y390" i="4"/>
  <c r="Y391" i="6"/>
  <c r="E390" i="9"/>
  <c r="Y391" i="1"/>
  <c r="A390" i="9"/>
  <c r="Y391" i="3"/>
  <c r="B390" i="9"/>
  <c r="Q390" i="9" l="1"/>
  <c r="R390" i="9"/>
  <c r="N390" i="9"/>
  <c r="M390" i="9"/>
  <c r="O389" i="9"/>
  <c r="P389" i="9"/>
  <c r="I390" i="9"/>
  <c r="L390" i="9"/>
  <c r="Y392" i="6"/>
  <c r="E391" i="9"/>
  <c r="Y391" i="5"/>
  <c r="D390" i="9"/>
  <c r="K390" i="9" s="1"/>
  <c r="C390" i="9"/>
  <c r="J390" i="9" s="1"/>
  <c r="Y391" i="4"/>
  <c r="Y392" i="7"/>
  <c r="F391" i="9"/>
  <c r="Y392" i="1"/>
  <c r="A391" i="9"/>
  <c r="Y392" i="3"/>
  <c r="B391" i="9"/>
  <c r="O390" i="9" l="1"/>
  <c r="L391" i="9"/>
  <c r="N391" i="9"/>
  <c r="R391" i="9"/>
  <c r="Q391" i="9"/>
  <c r="I391" i="9"/>
  <c r="M391" i="9"/>
  <c r="P390" i="9"/>
  <c r="Y393" i="7"/>
  <c r="F392" i="9"/>
  <c r="Y392" i="5"/>
  <c r="D391" i="9"/>
  <c r="K391" i="9" s="1"/>
  <c r="C391" i="9"/>
  <c r="J391" i="9" s="1"/>
  <c r="Y392" i="4"/>
  <c r="Y393" i="6"/>
  <c r="E392" i="9"/>
  <c r="Y393" i="1"/>
  <c r="A392" i="9"/>
  <c r="Y393" i="3"/>
  <c r="B392" i="9"/>
  <c r="I392" i="9" l="1"/>
  <c r="L392" i="9"/>
  <c r="O391" i="9"/>
  <c r="Q392" i="9"/>
  <c r="N392" i="9"/>
  <c r="R392" i="9"/>
  <c r="P392" i="9"/>
  <c r="P391" i="9"/>
  <c r="M392" i="9"/>
  <c r="Y394" i="6"/>
  <c r="E393" i="9"/>
  <c r="Y393" i="5"/>
  <c r="D392" i="9"/>
  <c r="K392" i="9" s="1"/>
  <c r="C392" i="9"/>
  <c r="J392" i="9" s="1"/>
  <c r="Y393" i="4"/>
  <c r="Y394" i="7"/>
  <c r="F393" i="9"/>
  <c r="Y394" i="1"/>
  <c r="A393" i="9"/>
  <c r="Y394" i="3"/>
  <c r="B393" i="9"/>
  <c r="L393" i="9" l="1"/>
  <c r="O392" i="9"/>
  <c r="Q393" i="9"/>
  <c r="N393" i="9"/>
  <c r="R393" i="9"/>
  <c r="I393" i="9"/>
  <c r="M393" i="9"/>
  <c r="Y395" i="7"/>
  <c r="F394" i="9"/>
  <c r="C393" i="9"/>
  <c r="J393" i="9" s="1"/>
  <c r="Y394" i="4"/>
  <c r="Y394" i="5"/>
  <c r="D393" i="9"/>
  <c r="K393" i="9" s="1"/>
  <c r="Y395" i="6"/>
  <c r="E394" i="9"/>
  <c r="Y395" i="1"/>
  <c r="A394" i="9"/>
  <c r="Y395" i="3"/>
  <c r="B394" i="9"/>
  <c r="L394" i="9" l="1"/>
  <c r="I394" i="9"/>
  <c r="Q394" i="9"/>
  <c r="N394" i="9"/>
  <c r="R394" i="9"/>
  <c r="P393" i="9"/>
  <c r="M394" i="9"/>
  <c r="O393" i="9"/>
  <c r="Y396" i="6"/>
  <c r="E395" i="9"/>
  <c r="C394" i="9"/>
  <c r="J394" i="9" s="1"/>
  <c r="Y395" i="4"/>
  <c r="Y395" i="5"/>
  <c r="D394" i="9"/>
  <c r="K394" i="9" s="1"/>
  <c r="Y396" i="7"/>
  <c r="F395" i="9"/>
  <c r="Y396" i="1"/>
  <c r="A395" i="9"/>
  <c r="Y396" i="3"/>
  <c r="B395" i="9"/>
  <c r="M395" i="9" l="1"/>
  <c r="I395" i="9"/>
  <c r="N395" i="9"/>
  <c r="Q395" i="9"/>
  <c r="R395" i="9"/>
  <c r="L395" i="9"/>
  <c r="P394" i="9"/>
  <c r="O394" i="9"/>
  <c r="C395" i="9"/>
  <c r="J395" i="9" s="1"/>
  <c r="Y396" i="4"/>
  <c r="Y397" i="7"/>
  <c r="F396" i="9"/>
  <c r="Y396" i="5"/>
  <c r="D395" i="9"/>
  <c r="K395" i="9" s="1"/>
  <c r="Y397" i="6"/>
  <c r="E396" i="9"/>
  <c r="Y397" i="1"/>
  <c r="A396" i="9"/>
  <c r="Y397" i="3"/>
  <c r="B396" i="9"/>
  <c r="O395" i="9" l="1"/>
  <c r="I396" i="9"/>
  <c r="L396" i="9"/>
  <c r="M396" i="9"/>
  <c r="Q396" i="9"/>
  <c r="N396" i="9"/>
  <c r="R396" i="9"/>
  <c r="P395" i="9"/>
  <c r="Y398" i="7"/>
  <c r="F397" i="9"/>
  <c r="C396" i="9"/>
  <c r="J396" i="9" s="1"/>
  <c r="Y397" i="4"/>
  <c r="Y398" i="6"/>
  <c r="E397" i="9"/>
  <c r="Y397" i="5"/>
  <c r="D396" i="9"/>
  <c r="K396" i="9" s="1"/>
  <c r="Y398" i="1"/>
  <c r="A397" i="9"/>
  <c r="Y398" i="3"/>
  <c r="B397" i="9"/>
  <c r="Q397" i="9" l="1"/>
  <c r="N397" i="9"/>
  <c r="R397" i="9"/>
  <c r="L397" i="9"/>
  <c r="M397" i="9"/>
  <c r="I397" i="9"/>
  <c r="O396" i="9"/>
  <c r="P396" i="9"/>
  <c r="Y398" i="5"/>
  <c r="D397" i="9"/>
  <c r="K397" i="9" s="1"/>
  <c r="C397" i="9"/>
  <c r="J397" i="9" s="1"/>
  <c r="Y398" i="4"/>
  <c r="Y399" i="6"/>
  <c r="E398" i="9"/>
  <c r="Y399" i="7"/>
  <c r="F398" i="9"/>
  <c r="Y399" i="1"/>
  <c r="A398" i="9"/>
  <c r="Y399" i="3"/>
  <c r="B398" i="9"/>
  <c r="L398" i="9" l="1"/>
  <c r="N398" i="9"/>
  <c r="R398" i="9"/>
  <c r="P398" i="9"/>
  <c r="Q398" i="9"/>
  <c r="I398" i="9"/>
  <c r="M398" i="9"/>
  <c r="P397" i="9"/>
  <c r="O397" i="9"/>
  <c r="C398" i="9"/>
  <c r="J398" i="9" s="1"/>
  <c r="Y399" i="4"/>
  <c r="Y400" i="7"/>
  <c r="F399" i="9"/>
  <c r="Y400" i="6"/>
  <c r="E399" i="9"/>
  <c r="Y399" i="5"/>
  <c r="D398" i="9"/>
  <c r="K398" i="9" s="1"/>
  <c r="Y400" i="1"/>
  <c r="A399" i="9"/>
  <c r="Y400" i="3"/>
  <c r="B399" i="9"/>
  <c r="Q399" i="9" l="1"/>
  <c r="N399" i="9"/>
  <c r="R399" i="9"/>
  <c r="L399" i="9"/>
  <c r="O398" i="9"/>
  <c r="I399" i="9"/>
  <c r="M399" i="9"/>
  <c r="Y401" i="7"/>
  <c r="F400" i="9"/>
  <c r="C399" i="9"/>
  <c r="J399" i="9" s="1"/>
  <c r="Y400" i="4"/>
  <c r="Y400" i="5"/>
  <c r="D399" i="9"/>
  <c r="K399" i="9" s="1"/>
  <c r="Y401" i="6"/>
  <c r="E400" i="9"/>
  <c r="Y401" i="1"/>
  <c r="A400" i="9"/>
  <c r="Y401" i="3"/>
  <c r="B400" i="9"/>
  <c r="O399" i="9" l="1"/>
  <c r="Q400" i="9"/>
  <c r="N400" i="9"/>
  <c r="R400" i="9"/>
  <c r="M400" i="9"/>
  <c r="I400" i="9"/>
  <c r="L400" i="9"/>
  <c r="P399" i="9"/>
  <c r="C400" i="9"/>
  <c r="J400" i="9" s="1"/>
  <c r="Y401" i="4"/>
  <c r="Y402" i="6"/>
  <c r="E401" i="9"/>
  <c r="Y401" i="5"/>
  <c r="D400" i="9"/>
  <c r="K400" i="9" s="1"/>
  <c r="Y402" i="7"/>
  <c r="F401" i="9"/>
  <c r="Y402" i="1"/>
  <c r="A401" i="9"/>
  <c r="Y402" i="3"/>
  <c r="B401" i="9"/>
  <c r="Q401" i="9" l="1"/>
  <c r="N401" i="9"/>
  <c r="R401" i="9"/>
  <c r="M401" i="9"/>
  <c r="O400" i="9"/>
  <c r="P400" i="9"/>
  <c r="I401" i="9"/>
  <c r="L401" i="9"/>
  <c r="Y403" i="7"/>
  <c r="F402" i="9"/>
  <c r="C401" i="9"/>
  <c r="J401" i="9" s="1"/>
  <c r="Y402" i="4"/>
  <c r="Y403" i="6"/>
  <c r="E402" i="9"/>
  <c r="Y402" i="5"/>
  <c r="D401" i="9"/>
  <c r="K401" i="9" s="1"/>
  <c r="Y403" i="1"/>
  <c r="A402" i="9"/>
  <c r="Y403" i="3"/>
  <c r="B402" i="9"/>
  <c r="N402" i="9" l="1"/>
  <c r="R402" i="9"/>
  <c r="Q402" i="9"/>
  <c r="M402" i="9"/>
  <c r="L402" i="9"/>
  <c r="I402" i="9"/>
  <c r="P401" i="9"/>
  <c r="O401" i="9"/>
  <c r="C402" i="9"/>
  <c r="J402" i="9" s="1"/>
  <c r="Y403" i="4"/>
  <c r="Y403" i="5"/>
  <c r="D402" i="9"/>
  <c r="K402" i="9" s="1"/>
  <c r="Y404" i="6"/>
  <c r="E403" i="9"/>
  <c r="Y404" i="7"/>
  <c r="F403" i="9"/>
  <c r="Y404" i="1"/>
  <c r="A403" i="9"/>
  <c r="Y404" i="3"/>
  <c r="B403" i="9"/>
  <c r="P402" i="9" l="1"/>
  <c r="O402" i="9"/>
  <c r="L403" i="9"/>
  <c r="M403" i="9"/>
  <c r="Q403" i="9"/>
  <c r="N403" i="9"/>
  <c r="R403" i="9"/>
  <c r="P403" i="9"/>
  <c r="I403" i="9"/>
  <c r="Y405" i="7"/>
  <c r="F404" i="9"/>
  <c r="C403" i="9"/>
  <c r="J403" i="9" s="1"/>
  <c r="Y404" i="4"/>
  <c r="Y404" i="5"/>
  <c r="D403" i="9"/>
  <c r="K403" i="9" s="1"/>
  <c r="Y405" i="6"/>
  <c r="E404" i="9"/>
  <c r="L404" i="9" s="1"/>
  <c r="Y405" i="1"/>
  <c r="A404" i="9"/>
  <c r="Y405" i="3"/>
  <c r="B404" i="9"/>
  <c r="I404" i="9" s="1"/>
  <c r="Q404" i="9" l="1"/>
  <c r="N404" i="9"/>
  <c r="R404" i="9"/>
  <c r="M404" i="9"/>
  <c r="O403" i="9"/>
  <c r="C404" i="9"/>
  <c r="J404" i="9" s="1"/>
  <c r="Y405" i="4"/>
  <c r="Y406" i="6"/>
  <c r="E405" i="9"/>
  <c r="Y405" i="5"/>
  <c r="D404" i="9"/>
  <c r="K404" i="9" s="1"/>
  <c r="Y406" i="7"/>
  <c r="F405" i="9"/>
  <c r="Y406" i="1"/>
  <c r="A405" i="9"/>
  <c r="Y406" i="3"/>
  <c r="B405" i="9"/>
  <c r="I405" i="9" l="1"/>
  <c r="M405" i="9"/>
  <c r="L405" i="9"/>
  <c r="Q405" i="9"/>
  <c r="N405" i="9"/>
  <c r="R405" i="9"/>
  <c r="O404" i="9"/>
  <c r="P404" i="9"/>
  <c r="Y407" i="6"/>
  <c r="E406" i="9"/>
  <c r="C405" i="9"/>
  <c r="J405" i="9" s="1"/>
  <c r="Y406" i="4"/>
  <c r="Y407" i="7"/>
  <c r="F406" i="9"/>
  <c r="Y406" i="5"/>
  <c r="D405" i="9"/>
  <c r="K405" i="9" s="1"/>
  <c r="Y407" i="1"/>
  <c r="A406" i="9"/>
  <c r="Y407" i="3"/>
  <c r="B406" i="9"/>
  <c r="O405" i="9" l="1"/>
  <c r="I406" i="9"/>
  <c r="P405" i="9"/>
  <c r="N406" i="9"/>
  <c r="R406" i="9"/>
  <c r="Q406" i="9"/>
  <c r="M406" i="9"/>
  <c r="L406" i="9"/>
  <c r="C406" i="9"/>
  <c r="J406" i="9" s="1"/>
  <c r="Y407" i="4"/>
  <c r="Y407" i="5"/>
  <c r="D406" i="9"/>
  <c r="K406" i="9" s="1"/>
  <c r="Y408" i="7"/>
  <c r="F407" i="9"/>
  <c r="Y408" i="6"/>
  <c r="E407" i="9"/>
  <c r="Y408" i="1"/>
  <c r="A407" i="9"/>
  <c r="Y408" i="3"/>
  <c r="B407" i="9"/>
  <c r="M407" i="9" l="1"/>
  <c r="O406" i="9"/>
  <c r="I407" i="9"/>
  <c r="L407" i="9"/>
  <c r="Q407" i="9"/>
  <c r="N407" i="9"/>
  <c r="R407" i="9"/>
  <c r="P406" i="9"/>
  <c r="Y409" i="6"/>
  <c r="E408" i="9"/>
  <c r="Y408" i="5"/>
  <c r="D407" i="9"/>
  <c r="K407" i="9" s="1"/>
  <c r="C407" i="9"/>
  <c r="J407" i="9" s="1"/>
  <c r="Y408" i="4"/>
  <c r="Y409" i="7"/>
  <c r="F408" i="9"/>
  <c r="Y409" i="1"/>
  <c r="A408" i="9"/>
  <c r="Y409" i="3"/>
  <c r="B408" i="9"/>
  <c r="L408" i="9" l="1"/>
  <c r="O407" i="9"/>
  <c r="I408" i="9"/>
  <c r="P408" i="9"/>
  <c r="Q408" i="9"/>
  <c r="N408" i="9"/>
  <c r="R408" i="9"/>
  <c r="M408" i="9"/>
  <c r="P407" i="9"/>
  <c r="D408" i="9"/>
  <c r="K408" i="9" s="1"/>
  <c r="Y409" i="5"/>
  <c r="C408" i="9"/>
  <c r="J408" i="9" s="1"/>
  <c r="Y409" i="4"/>
  <c r="Y410" i="7"/>
  <c r="F409" i="9"/>
  <c r="Y410" i="6"/>
  <c r="E409" i="9"/>
  <c r="Y410" i="1"/>
  <c r="A409" i="9"/>
  <c r="Y410" i="3"/>
  <c r="B409" i="9"/>
  <c r="Q409" i="9" l="1"/>
  <c r="R409" i="9"/>
  <c r="N409" i="9"/>
  <c r="M409" i="9"/>
  <c r="O408" i="9"/>
  <c r="I409" i="9"/>
  <c r="L409" i="9"/>
  <c r="Y410" i="5"/>
  <c r="D409" i="9"/>
  <c r="K409" i="9" s="1"/>
  <c r="C409" i="9"/>
  <c r="J409" i="9" s="1"/>
  <c r="Y410" i="4"/>
  <c r="Y411" i="6"/>
  <c r="E410" i="9"/>
  <c r="Y411" i="7"/>
  <c r="F410" i="9"/>
  <c r="Y411" i="1"/>
  <c r="A410" i="9"/>
  <c r="Y411" i="3"/>
  <c r="B410" i="9"/>
  <c r="N410" i="9" l="1"/>
  <c r="R410" i="9"/>
  <c r="P410" i="9"/>
  <c r="Q410" i="9"/>
  <c r="P409" i="9"/>
  <c r="L410" i="9"/>
  <c r="I410" i="9"/>
  <c r="M410" i="9"/>
  <c r="O409" i="9"/>
  <c r="Y412" i="7"/>
  <c r="F411" i="9"/>
  <c r="M411" i="9" s="1"/>
  <c r="C410" i="9"/>
  <c r="J410" i="9" s="1"/>
  <c r="Y411" i="4"/>
  <c r="Y412" i="6"/>
  <c r="E411" i="9"/>
  <c r="L411" i="9" s="1"/>
  <c r="Y411" i="5"/>
  <c r="D410" i="9"/>
  <c r="K410" i="9" s="1"/>
  <c r="Y412" i="1"/>
  <c r="A411" i="9"/>
  <c r="Y412" i="3"/>
  <c r="B411" i="9"/>
  <c r="O410" i="9" l="1"/>
  <c r="Q411" i="9"/>
  <c r="N411" i="9"/>
  <c r="R411" i="9"/>
  <c r="O411" i="9"/>
  <c r="I411" i="9"/>
  <c r="C411" i="9"/>
  <c r="J411" i="9" s="1"/>
  <c r="Y412" i="4"/>
  <c r="Y412" i="5"/>
  <c r="D411" i="9"/>
  <c r="K411" i="9" s="1"/>
  <c r="Y413" i="6"/>
  <c r="E412" i="9"/>
  <c r="L412" i="9" s="1"/>
  <c r="Y413" i="7"/>
  <c r="F412" i="9"/>
  <c r="Y413" i="1"/>
  <c r="A412" i="9"/>
  <c r="Y413" i="3"/>
  <c r="B412" i="9"/>
  <c r="Q412" i="9" l="1"/>
  <c r="N412" i="9"/>
  <c r="R412" i="9"/>
  <c r="I412" i="9"/>
  <c r="M412" i="9"/>
  <c r="P411" i="9"/>
  <c r="Y414" i="7"/>
  <c r="F413" i="9"/>
  <c r="Y413" i="5"/>
  <c r="D412" i="9"/>
  <c r="K412" i="9" s="1"/>
  <c r="C412" i="9"/>
  <c r="J412" i="9" s="1"/>
  <c r="Y413" i="4"/>
  <c r="Y414" i="6"/>
  <c r="E413" i="9"/>
  <c r="Y414" i="1"/>
  <c r="A413" i="9"/>
  <c r="Y414" i="3"/>
  <c r="B413" i="9"/>
  <c r="I413" i="9" l="1"/>
  <c r="L413" i="9"/>
  <c r="Q413" i="9"/>
  <c r="N413" i="9"/>
  <c r="R413" i="9"/>
  <c r="M413" i="9"/>
  <c r="O412" i="9"/>
  <c r="P412" i="9"/>
  <c r="Y415" i="6"/>
  <c r="E414" i="9"/>
  <c r="Y414" i="5"/>
  <c r="D413" i="9"/>
  <c r="K413" i="9" s="1"/>
  <c r="C413" i="9"/>
  <c r="J413" i="9" s="1"/>
  <c r="Y414" i="4"/>
  <c r="Y415" i="7"/>
  <c r="F414" i="9"/>
  <c r="M414" i="9" s="1"/>
  <c r="Y415" i="1"/>
  <c r="A414" i="9"/>
  <c r="Y415" i="3"/>
  <c r="B414" i="9"/>
  <c r="I414" i="9" s="1"/>
  <c r="N414" i="9" l="1"/>
  <c r="R414" i="9"/>
  <c r="Q414" i="9"/>
  <c r="L414" i="9"/>
  <c r="P413" i="9"/>
  <c r="O413" i="9"/>
  <c r="Y416" i="7"/>
  <c r="F415" i="9"/>
  <c r="Y415" i="5"/>
  <c r="D414" i="9"/>
  <c r="K414" i="9" s="1"/>
  <c r="C414" i="9"/>
  <c r="J414" i="9" s="1"/>
  <c r="Y415" i="4"/>
  <c r="Y416" i="6"/>
  <c r="E415" i="9"/>
  <c r="Y416" i="1"/>
  <c r="A415" i="9"/>
  <c r="Y416" i="3"/>
  <c r="B415" i="9"/>
  <c r="I415" i="9" l="1"/>
  <c r="O414" i="9"/>
  <c r="L415" i="9"/>
  <c r="M415" i="9"/>
  <c r="P414" i="9"/>
  <c r="Q415" i="9"/>
  <c r="N415" i="9"/>
  <c r="R415" i="9"/>
  <c r="Y417" i="6"/>
  <c r="E416" i="9"/>
  <c r="Y416" i="5"/>
  <c r="D415" i="9"/>
  <c r="K415" i="9" s="1"/>
  <c r="C415" i="9"/>
  <c r="J415" i="9" s="1"/>
  <c r="Y416" i="4"/>
  <c r="Y417" i="7"/>
  <c r="F416" i="9"/>
  <c r="Y417" i="1"/>
  <c r="A416" i="9"/>
  <c r="Y417" i="3"/>
  <c r="B416" i="9"/>
  <c r="I416" i="9" l="1"/>
  <c r="O415" i="9"/>
  <c r="Q416" i="9"/>
  <c r="N416" i="9"/>
  <c r="R416" i="9"/>
  <c r="L416" i="9"/>
  <c r="M416" i="9"/>
  <c r="P415" i="9"/>
  <c r="Y417" i="5"/>
  <c r="D416" i="9"/>
  <c r="K416" i="9" s="1"/>
  <c r="C416" i="9"/>
  <c r="J416" i="9" s="1"/>
  <c r="Y417" i="4"/>
  <c r="Y418" i="7"/>
  <c r="F417" i="9"/>
  <c r="Y418" i="6"/>
  <c r="E417" i="9"/>
  <c r="L417" i="9" s="1"/>
  <c r="Y418" i="1"/>
  <c r="A417" i="9"/>
  <c r="Y418" i="3"/>
  <c r="B417" i="9"/>
  <c r="I417" i="9" s="1"/>
  <c r="Q417" i="9" l="1"/>
  <c r="N417" i="9"/>
  <c r="R417" i="9"/>
  <c r="M417" i="9"/>
  <c r="O416" i="9"/>
  <c r="P416" i="9"/>
  <c r="C417" i="9"/>
  <c r="J417" i="9" s="1"/>
  <c r="Y418" i="4"/>
  <c r="Y419" i="6"/>
  <c r="E418" i="9"/>
  <c r="Y419" i="7"/>
  <c r="F418" i="9"/>
  <c r="Y418" i="5"/>
  <c r="D417" i="9"/>
  <c r="K417" i="9" s="1"/>
  <c r="Y419" i="1"/>
  <c r="A418" i="9"/>
  <c r="Y419" i="3"/>
  <c r="B418" i="9"/>
  <c r="I418" i="9" l="1"/>
  <c r="L418" i="9"/>
  <c r="N418" i="9"/>
  <c r="R418" i="9"/>
  <c r="Q418" i="9"/>
  <c r="M418" i="9"/>
  <c r="P417" i="9"/>
  <c r="O417" i="9"/>
  <c r="Y419" i="5"/>
  <c r="D418" i="9"/>
  <c r="K418" i="9" s="1"/>
  <c r="Y420" i="6"/>
  <c r="E419" i="9"/>
  <c r="C418" i="9"/>
  <c r="J418" i="9" s="1"/>
  <c r="Y419" i="4"/>
  <c r="Y420" i="7"/>
  <c r="F419" i="9"/>
  <c r="Y420" i="1"/>
  <c r="A419" i="9"/>
  <c r="Y420" i="3"/>
  <c r="B419" i="9"/>
  <c r="I419" i="9" s="1"/>
  <c r="M419" i="9" l="1"/>
  <c r="L419" i="9"/>
  <c r="P418" i="9"/>
  <c r="O418" i="9"/>
  <c r="Q419" i="9"/>
  <c r="N419" i="9"/>
  <c r="R419" i="9"/>
  <c r="Y421" i="7"/>
  <c r="F420" i="9"/>
  <c r="Y421" i="6"/>
  <c r="E420" i="9"/>
  <c r="C419" i="9"/>
  <c r="J419" i="9" s="1"/>
  <c r="Y420" i="4"/>
  <c r="Y420" i="5"/>
  <c r="D419" i="9"/>
  <c r="K419" i="9" s="1"/>
  <c r="Y421" i="1"/>
  <c r="A420" i="9"/>
  <c r="Y421" i="3"/>
  <c r="B420" i="9"/>
  <c r="M420" i="9" l="1"/>
  <c r="Q420" i="9"/>
  <c r="N420" i="9"/>
  <c r="R420" i="9"/>
  <c r="L420" i="9"/>
  <c r="P419" i="9"/>
  <c r="I420" i="9"/>
  <c r="O419" i="9"/>
  <c r="Y421" i="5"/>
  <c r="D420" i="9"/>
  <c r="K420" i="9" s="1"/>
  <c r="Y422" i="6"/>
  <c r="E421" i="9"/>
  <c r="C420" i="9"/>
  <c r="J420" i="9" s="1"/>
  <c r="Y421" i="4"/>
  <c r="Y422" i="7"/>
  <c r="F421" i="9"/>
  <c r="Y422" i="1"/>
  <c r="A421" i="9"/>
  <c r="Y422" i="3"/>
  <c r="B421" i="9"/>
  <c r="Q421" i="9" l="1"/>
  <c r="N421" i="9"/>
  <c r="R421" i="9"/>
  <c r="I421" i="9"/>
  <c r="M421" i="9"/>
  <c r="L421" i="9"/>
  <c r="O420" i="9"/>
  <c r="P420" i="9"/>
  <c r="Y423" i="7"/>
  <c r="F422" i="9"/>
  <c r="Y423" i="6"/>
  <c r="E422" i="9"/>
  <c r="C421" i="9"/>
  <c r="J421" i="9" s="1"/>
  <c r="Y422" i="4"/>
  <c r="Y422" i="5"/>
  <c r="D421" i="9"/>
  <c r="K421" i="9" s="1"/>
  <c r="Y423" i="1"/>
  <c r="A422" i="9"/>
  <c r="Y423" i="3"/>
  <c r="B422" i="9"/>
  <c r="I422" i="9" s="1"/>
  <c r="N422" i="9" l="1"/>
  <c r="R422" i="9"/>
  <c r="Q422" i="9"/>
  <c r="M422" i="9"/>
  <c r="P421" i="9"/>
  <c r="L422" i="9"/>
  <c r="O421" i="9"/>
  <c r="Y424" i="6"/>
  <c r="E423" i="9"/>
  <c r="C422" i="9"/>
  <c r="J422" i="9" s="1"/>
  <c r="Y423" i="4"/>
  <c r="Y423" i="5"/>
  <c r="D422" i="9"/>
  <c r="K422" i="9" s="1"/>
  <c r="Y424" i="7"/>
  <c r="F423" i="9"/>
  <c r="Y424" i="1"/>
  <c r="A423" i="9"/>
  <c r="Y424" i="3"/>
  <c r="B423" i="9"/>
  <c r="M423" i="9" l="1"/>
  <c r="I423" i="9"/>
  <c r="P422" i="9"/>
  <c r="Q423" i="9"/>
  <c r="N423" i="9"/>
  <c r="R423" i="9"/>
  <c r="L423" i="9"/>
  <c r="O422" i="9"/>
  <c r="C423" i="9"/>
  <c r="J423" i="9" s="1"/>
  <c r="Y424" i="4"/>
  <c r="Y425" i="7"/>
  <c r="F424" i="9"/>
  <c r="Y424" i="5"/>
  <c r="D423" i="9"/>
  <c r="K423" i="9" s="1"/>
  <c r="Y425" i="6"/>
  <c r="E424" i="9"/>
  <c r="Y425" i="1"/>
  <c r="A424" i="9"/>
  <c r="Y425" i="3"/>
  <c r="B424" i="9"/>
  <c r="Q424" i="9" l="1"/>
  <c r="N424" i="9"/>
  <c r="R424" i="9"/>
  <c r="P423" i="9"/>
  <c r="O423" i="9"/>
  <c r="I424" i="9"/>
  <c r="L424" i="9"/>
  <c r="M424" i="9"/>
  <c r="Y426" i="6"/>
  <c r="E425" i="9"/>
  <c r="Y426" i="7"/>
  <c r="F425" i="9"/>
  <c r="C424" i="9"/>
  <c r="J424" i="9" s="1"/>
  <c r="Y425" i="4"/>
  <c r="Y425" i="5"/>
  <c r="D424" i="9"/>
  <c r="K424" i="9" s="1"/>
  <c r="Y426" i="1"/>
  <c r="A425" i="9"/>
  <c r="Y426" i="3"/>
  <c r="B425" i="9"/>
  <c r="L425" i="9" l="1"/>
  <c r="Q425" i="9"/>
  <c r="R425" i="9"/>
  <c r="N425" i="9"/>
  <c r="I425" i="9"/>
  <c r="M425" i="9"/>
  <c r="O424" i="9"/>
  <c r="P424" i="9"/>
  <c r="Y427" i="7"/>
  <c r="F426" i="9"/>
  <c r="Y426" i="5"/>
  <c r="D425" i="9"/>
  <c r="K425" i="9" s="1"/>
  <c r="C425" i="9"/>
  <c r="J425" i="9" s="1"/>
  <c r="Y426" i="4"/>
  <c r="Y427" i="6"/>
  <c r="E426" i="9"/>
  <c r="Y427" i="1"/>
  <c r="A426" i="9"/>
  <c r="Y427" i="3"/>
  <c r="B426" i="9"/>
  <c r="P425" i="9" l="1"/>
  <c r="M426" i="9"/>
  <c r="N426" i="9"/>
  <c r="R426" i="9"/>
  <c r="Q426" i="9"/>
  <c r="I426" i="9"/>
  <c r="L426" i="9"/>
  <c r="O425" i="9"/>
  <c r="Y428" i="6"/>
  <c r="E427" i="9"/>
  <c r="Y427" i="5"/>
  <c r="D426" i="9"/>
  <c r="K426" i="9" s="1"/>
  <c r="C426" i="9"/>
  <c r="J426" i="9" s="1"/>
  <c r="Y427" i="4"/>
  <c r="Y428" i="7"/>
  <c r="F427" i="9"/>
  <c r="Y428" i="1"/>
  <c r="A427" i="9"/>
  <c r="Y428" i="3"/>
  <c r="B427" i="9"/>
  <c r="O426" i="9" l="1"/>
  <c r="Q427" i="9"/>
  <c r="N427" i="9"/>
  <c r="R427" i="9"/>
  <c r="L427" i="9"/>
  <c r="I427" i="9"/>
  <c r="M427" i="9"/>
  <c r="P426" i="9"/>
  <c r="Y429" i="7"/>
  <c r="F428" i="9"/>
  <c r="Y428" i="5"/>
  <c r="D427" i="9"/>
  <c r="K427" i="9" s="1"/>
  <c r="C427" i="9"/>
  <c r="J427" i="9" s="1"/>
  <c r="Y428" i="4"/>
  <c r="Y429" i="6"/>
  <c r="E428" i="9"/>
  <c r="Y429" i="1"/>
  <c r="A428" i="9"/>
  <c r="Y429" i="3"/>
  <c r="B428" i="9"/>
  <c r="I428" i="9" s="1"/>
  <c r="O427" i="9" l="1"/>
  <c r="Q428" i="9"/>
  <c r="N428" i="9"/>
  <c r="R428" i="9"/>
  <c r="M428" i="9"/>
  <c r="L428" i="9"/>
  <c r="P427" i="9"/>
  <c r="Y429" i="5"/>
  <c r="D428" i="9"/>
  <c r="K428" i="9" s="1"/>
  <c r="Y430" i="6"/>
  <c r="E429" i="9"/>
  <c r="C428" i="9"/>
  <c r="J428" i="9" s="1"/>
  <c r="Y429" i="4"/>
  <c r="Y430" i="7"/>
  <c r="F429" i="9"/>
  <c r="Y430" i="1"/>
  <c r="A429" i="9"/>
  <c r="Y430" i="3"/>
  <c r="B429" i="9"/>
  <c r="I429" i="9" s="1"/>
  <c r="P428" i="9" l="1"/>
  <c r="O428" i="9"/>
  <c r="M429" i="9"/>
  <c r="L429" i="9"/>
  <c r="Q429" i="9"/>
  <c r="N429" i="9"/>
  <c r="R429" i="9"/>
  <c r="Y431" i="6"/>
  <c r="E430" i="9"/>
  <c r="Y431" i="7"/>
  <c r="F430" i="9"/>
  <c r="C429" i="9"/>
  <c r="J429" i="9" s="1"/>
  <c r="Y430" i="4"/>
  <c r="Y430" i="5"/>
  <c r="D429" i="9"/>
  <c r="K429" i="9" s="1"/>
  <c r="Y431" i="1"/>
  <c r="A430" i="9"/>
  <c r="Y431" i="3"/>
  <c r="B430" i="9"/>
  <c r="I430" i="9" s="1"/>
  <c r="O429" i="9" l="1"/>
  <c r="M430" i="9"/>
  <c r="L430" i="9"/>
  <c r="N430" i="9"/>
  <c r="R430" i="9"/>
  <c r="Q430" i="9"/>
  <c r="P429" i="9"/>
  <c r="Y431" i="5"/>
  <c r="D430" i="9"/>
  <c r="K430" i="9" s="1"/>
  <c r="Y432" i="7"/>
  <c r="F431" i="9"/>
  <c r="C430" i="9"/>
  <c r="J430" i="9" s="1"/>
  <c r="Y431" i="4"/>
  <c r="Y432" i="6"/>
  <c r="E431" i="9"/>
  <c r="Y432" i="1"/>
  <c r="A431" i="9"/>
  <c r="Y432" i="3"/>
  <c r="B431" i="9"/>
  <c r="I431" i="9" s="1"/>
  <c r="M431" i="9" l="1"/>
  <c r="L431" i="9"/>
  <c r="Q431" i="9"/>
  <c r="N431" i="9"/>
  <c r="R431" i="9"/>
  <c r="P430" i="9"/>
  <c r="O430" i="9"/>
  <c r="Y433" i="6"/>
  <c r="E432" i="9"/>
  <c r="Y433" i="7"/>
  <c r="F432" i="9"/>
  <c r="C431" i="9"/>
  <c r="J431" i="9" s="1"/>
  <c r="Y432" i="4"/>
  <c r="Y432" i="5"/>
  <c r="D431" i="9"/>
  <c r="K431" i="9" s="1"/>
  <c r="Y433" i="1"/>
  <c r="A432" i="9"/>
  <c r="Y433" i="3"/>
  <c r="B432" i="9"/>
  <c r="I432" i="9" s="1"/>
  <c r="M432" i="9" l="1"/>
  <c r="O431" i="9"/>
  <c r="Q432" i="9"/>
  <c r="N432" i="9"/>
  <c r="R432" i="9"/>
  <c r="L432" i="9"/>
  <c r="P431" i="9"/>
  <c r="Y433" i="5"/>
  <c r="D432" i="9"/>
  <c r="K432" i="9" s="1"/>
  <c r="Y434" i="7"/>
  <c r="F433" i="9"/>
  <c r="C432" i="9"/>
  <c r="J432" i="9" s="1"/>
  <c r="Y433" i="4"/>
  <c r="Y434" i="6"/>
  <c r="E433" i="9"/>
  <c r="Y434" i="1"/>
  <c r="A433" i="9"/>
  <c r="Y434" i="3"/>
  <c r="B433" i="9"/>
  <c r="L433" i="9" l="1"/>
  <c r="M433" i="9"/>
  <c r="I433" i="9"/>
  <c r="O433" i="9"/>
  <c r="Q433" i="9"/>
  <c r="N433" i="9"/>
  <c r="R433" i="9"/>
  <c r="O432" i="9"/>
  <c r="P432" i="9"/>
  <c r="Y435" i="6"/>
  <c r="E434" i="9"/>
  <c r="Y435" i="7"/>
  <c r="F434" i="9"/>
  <c r="C433" i="9"/>
  <c r="J433" i="9" s="1"/>
  <c r="Y434" i="4"/>
  <c r="Y434" i="5"/>
  <c r="D433" i="9"/>
  <c r="K433" i="9" s="1"/>
  <c r="Y435" i="1"/>
  <c r="A434" i="9"/>
  <c r="Y435" i="3"/>
  <c r="B434" i="9"/>
  <c r="L434" i="9" l="1"/>
  <c r="N434" i="9"/>
  <c r="R434" i="9"/>
  <c r="Q434" i="9"/>
  <c r="I434" i="9"/>
  <c r="M434" i="9"/>
  <c r="P433" i="9"/>
  <c r="Y436" i="7"/>
  <c r="F435" i="9"/>
  <c r="Y435" i="5"/>
  <c r="D434" i="9"/>
  <c r="K434" i="9" s="1"/>
  <c r="C434" i="9"/>
  <c r="J434" i="9" s="1"/>
  <c r="Y435" i="4"/>
  <c r="Y436" i="6"/>
  <c r="E435" i="9"/>
  <c r="Y436" i="1"/>
  <c r="A435" i="9"/>
  <c r="Y436" i="3"/>
  <c r="B435" i="9"/>
  <c r="O434" i="9" l="1"/>
  <c r="Q435" i="9"/>
  <c r="N435" i="9"/>
  <c r="R435" i="9"/>
  <c r="M435" i="9"/>
  <c r="I435" i="9"/>
  <c r="L435" i="9"/>
  <c r="P434" i="9"/>
  <c r="Y437" i="6"/>
  <c r="E436" i="9"/>
  <c r="Y436" i="5"/>
  <c r="D435" i="9"/>
  <c r="K435" i="9" s="1"/>
  <c r="C435" i="9"/>
  <c r="J435" i="9" s="1"/>
  <c r="Y436" i="4"/>
  <c r="Y437" i="7"/>
  <c r="F436" i="9"/>
  <c r="M436" i="9" s="1"/>
  <c r="Y437" i="1"/>
  <c r="A436" i="9"/>
  <c r="Y437" i="3"/>
  <c r="B436" i="9"/>
  <c r="I436" i="9" s="1"/>
  <c r="Q436" i="9" l="1"/>
  <c r="N436" i="9"/>
  <c r="R436" i="9"/>
  <c r="L436" i="9"/>
  <c r="P435" i="9"/>
  <c r="O435" i="9"/>
  <c r="Y438" i="7"/>
  <c r="F437" i="9"/>
  <c r="Y437" i="5"/>
  <c r="D436" i="9"/>
  <c r="K436" i="9" s="1"/>
  <c r="C436" i="9"/>
  <c r="J436" i="9" s="1"/>
  <c r="Y437" i="4"/>
  <c r="Y438" i="6"/>
  <c r="E437" i="9"/>
  <c r="Y438" i="1"/>
  <c r="A437" i="9"/>
  <c r="Y438" i="3"/>
  <c r="B437" i="9"/>
  <c r="I437" i="9" l="1"/>
  <c r="L437" i="9"/>
  <c r="Q437" i="9"/>
  <c r="N437" i="9"/>
  <c r="R437" i="9"/>
  <c r="M437" i="9"/>
  <c r="O436" i="9"/>
  <c r="P436" i="9"/>
  <c r="Y438" i="5"/>
  <c r="D437" i="9"/>
  <c r="K437" i="9" s="1"/>
  <c r="Y439" i="6"/>
  <c r="E438" i="9"/>
  <c r="L438" i="9" s="1"/>
  <c r="C437" i="9"/>
  <c r="J437" i="9" s="1"/>
  <c r="Y438" i="4"/>
  <c r="Y439" i="7"/>
  <c r="F438" i="9"/>
  <c r="M438" i="9" s="1"/>
  <c r="Y439" i="1"/>
  <c r="A438" i="9"/>
  <c r="Y439" i="3"/>
  <c r="B438" i="9"/>
  <c r="I438" i="9" s="1"/>
  <c r="N438" i="9" l="1"/>
  <c r="R438" i="9"/>
  <c r="Q438" i="9"/>
  <c r="P437" i="9"/>
  <c r="O437" i="9"/>
  <c r="Y440" i="7"/>
  <c r="F439" i="9"/>
  <c r="Y440" i="6"/>
  <c r="E439" i="9"/>
  <c r="C438" i="9"/>
  <c r="J438" i="9" s="1"/>
  <c r="Y439" i="4"/>
  <c r="Y439" i="5"/>
  <c r="D438" i="9"/>
  <c r="K438" i="9" s="1"/>
  <c r="Y440" i="1"/>
  <c r="A439" i="9"/>
  <c r="Y440" i="3"/>
  <c r="B439" i="9"/>
  <c r="Q439" i="9" l="1"/>
  <c r="N439" i="9"/>
  <c r="R439" i="9"/>
  <c r="O439" i="9"/>
  <c r="P438" i="9"/>
  <c r="M439" i="9"/>
  <c r="I439" i="9"/>
  <c r="L439" i="9"/>
  <c r="O438" i="9"/>
  <c r="Y440" i="5"/>
  <c r="D439" i="9"/>
  <c r="K439" i="9" s="1"/>
  <c r="Y441" i="6"/>
  <c r="E440" i="9"/>
  <c r="C439" i="9"/>
  <c r="J439" i="9" s="1"/>
  <c r="Y440" i="4"/>
  <c r="Y441" i="7"/>
  <c r="F440" i="9"/>
  <c r="Y441" i="1"/>
  <c r="A440" i="9"/>
  <c r="Y441" i="3"/>
  <c r="B440" i="9"/>
  <c r="I440" i="9" l="1"/>
  <c r="Q440" i="9"/>
  <c r="N440" i="9"/>
  <c r="R440" i="9"/>
  <c r="O440" i="9"/>
  <c r="M440" i="9"/>
  <c r="L440" i="9"/>
  <c r="P439" i="9"/>
  <c r="Y442" i="6"/>
  <c r="E441" i="9"/>
  <c r="Y441" i="4"/>
  <c r="C440" i="9"/>
  <c r="J440" i="9" s="1"/>
  <c r="Y442" i="7"/>
  <c r="F441" i="9"/>
  <c r="Y441" i="5"/>
  <c r="D440" i="9"/>
  <c r="K440" i="9" s="1"/>
  <c r="Y442" i="1"/>
  <c r="A441" i="9"/>
  <c r="Y442" i="3"/>
  <c r="B441" i="9"/>
  <c r="I441" i="9" l="1"/>
  <c r="P440" i="9"/>
  <c r="Q441" i="9"/>
  <c r="R441" i="9"/>
  <c r="N441" i="9"/>
  <c r="M441" i="9"/>
  <c r="L441" i="9"/>
  <c r="C441" i="9"/>
  <c r="J441" i="9" s="1"/>
  <c r="Y442" i="4"/>
  <c r="Y442" i="5"/>
  <c r="D441" i="9"/>
  <c r="K441" i="9" s="1"/>
  <c r="Y443" i="7"/>
  <c r="F442" i="9"/>
  <c r="Y443" i="6"/>
  <c r="E442" i="9"/>
  <c r="Y443" i="1"/>
  <c r="A442" i="9"/>
  <c r="Y443" i="3"/>
  <c r="B442" i="9"/>
  <c r="O441" i="9" l="1"/>
  <c r="P441" i="9"/>
  <c r="M442" i="9"/>
  <c r="I442" i="9"/>
  <c r="L442" i="9"/>
  <c r="N442" i="9"/>
  <c r="R442" i="9"/>
  <c r="O442" i="9"/>
  <c r="Q442" i="9"/>
  <c r="C442" i="9"/>
  <c r="J442" i="9" s="1"/>
  <c r="Y443" i="4"/>
  <c r="Y444" i="6"/>
  <c r="E443" i="9"/>
  <c r="Y443" i="5"/>
  <c r="D442" i="9"/>
  <c r="K442" i="9" s="1"/>
  <c r="Y444" i="7"/>
  <c r="F443" i="9"/>
  <c r="M443" i="9" s="1"/>
  <c r="Y444" i="1"/>
  <c r="A443" i="9"/>
  <c r="Y444" i="3"/>
  <c r="B443" i="9"/>
  <c r="I443" i="9" s="1"/>
  <c r="L443" i="9" l="1"/>
  <c r="P442" i="9"/>
  <c r="Q443" i="9"/>
  <c r="N443" i="9"/>
  <c r="R443" i="9"/>
  <c r="Y445" i="7"/>
  <c r="F444" i="9"/>
  <c r="Y445" i="6"/>
  <c r="E444" i="9"/>
  <c r="C443" i="9"/>
  <c r="J443" i="9" s="1"/>
  <c r="Y444" i="4"/>
  <c r="Y444" i="5"/>
  <c r="D443" i="9"/>
  <c r="K443" i="9" s="1"/>
  <c r="Y445" i="1"/>
  <c r="A444" i="9"/>
  <c r="Y445" i="3"/>
  <c r="B444" i="9"/>
  <c r="M444" i="9" l="1"/>
  <c r="Q444" i="9"/>
  <c r="N444" i="9"/>
  <c r="R444" i="9"/>
  <c r="L444" i="9"/>
  <c r="P443" i="9"/>
  <c r="I444" i="9"/>
  <c r="O443" i="9"/>
  <c r="Y445" i="5"/>
  <c r="D444" i="9"/>
  <c r="K444" i="9" s="1"/>
  <c r="Y446" i="6"/>
  <c r="E445" i="9"/>
  <c r="C444" i="9"/>
  <c r="J444" i="9" s="1"/>
  <c r="Y445" i="4"/>
  <c r="Y446" i="7"/>
  <c r="F445" i="9"/>
  <c r="Y446" i="1"/>
  <c r="A445" i="9"/>
  <c r="Y446" i="3"/>
  <c r="B445" i="9"/>
  <c r="I445" i="9" l="1"/>
  <c r="L445" i="9"/>
  <c r="O444" i="9"/>
  <c r="P444" i="9"/>
  <c r="M445" i="9"/>
  <c r="Q445" i="9"/>
  <c r="N445" i="9"/>
  <c r="R445" i="9"/>
  <c r="Y447" i="6"/>
  <c r="E446" i="9"/>
  <c r="Y447" i="7"/>
  <c r="F446" i="9"/>
  <c r="C445" i="9"/>
  <c r="J445" i="9" s="1"/>
  <c r="Y446" i="4"/>
  <c r="Y446" i="5"/>
  <c r="D445" i="9"/>
  <c r="K445" i="9" s="1"/>
  <c r="Y447" i="1"/>
  <c r="A446" i="9"/>
  <c r="Y447" i="3"/>
  <c r="B446" i="9"/>
  <c r="O445" i="9" l="1"/>
  <c r="I446" i="9"/>
  <c r="M446" i="9"/>
  <c r="N446" i="9"/>
  <c r="R446" i="9"/>
  <c r="Q446" i="9"/>
  <c r="L446" i="9"/>
  <c r="P445" i="9"/>
  <c r="Y447" i="5"/>
  <c r="D446" i="9"/>
  <c r="K446" i="9" s="1"/>
  <c r="Y448" i="7"/>
  <c r="F447" i="9"/>
  <c r="C446" i="9"/>
  <c r="J446" i="9" s="1"/>
  <c r="Y447" i="4"/>
  <c r="Y448" i="6"/>
  <c r="E447" i="9"/>
  <c r="Y448" i="1"/>
  <c r="A447" i="9"/>
  <c r="Y448" i="3"/>
  <c r="B447" i="9"/>
  <c r="P446" i="9" l="1"/>
  <c r="I447" i="9"/>
  <c r="L447" i="9"/>
  <c r="M447" i="9"/>
  <c r="O446" i="9"/>
  <c r="Q447" i="9"/>
  <c r="N447" i="9"/>
  <c r="R447" i="9"/>
  <c r="Y449" i="7"/>
  <c r="F448" i="9"/>
  <c r="Y449" i="6"/>
  <c r="E448" i="9"/>
  <c r="C447" i="9"/>
  <c r="J447" i="9" s="1"/>
  <c r="Y448" i="4"/>
  <c r="Y448" i="5"/>
  <c r="D447" i="9"/>
  <c r="K447" i="9" s="1"/>
  <c r="Y449" i="1"/>
  <c r="A448" i="9"/>
  <c r="Y449" i="3"/>
  <c r="B448" i="9"/>
  <c r="M448" i="9" l="1"/>
  <c r="I448" i="9"/>
  <c r="L448" i="9"/>
  <c r="P447" i="9"/>
  <c r="Q448" i="9"/>
  <c r="N448" i="9"/>
  <c r="R448" i="9"/>
  <c r="O447" i="9"/>
  <c r="Y449" i="5"/>
  <c r="D448" i="9"/>
  <c r="K448" i="9" s="1"/>
  <c r="Y450" i="6"/>
  <c r="E449" i="9"/>
  <c r="C448" i="9"/>
  <c r="J448" i="9" s="1"/>
  <c r="Y449" i="4"/>
  <c r="Y450" i="7"/>
  <c r="F449" i="9"/>
  <c r="Y450" i="1"/>
  <c r="A449" i="9"/>
  <c r="Y450" i="3"/>
  <c r="B449" i="9"/>
  <c r="P448" i="9" l="1"/>
  <c r="O448" i="9"/>
  <c r="Q449" i="9"/>
  <c r="N449" i="9"/>
  <c r="R449" i="9"/>
  <c r="I449" i="9"/>
  <c r="M449" i="9"/>
  <c r="L449" i="9"/>
  <c r="Y451" i="7"/>
  <c r="F450" i="9"/>
  <c r="Y451" i="6"/>
  <c r="E450" i="9"/>
  <c r="C449" i="9"/>
  <c r="J449" i="9" s="1"/>
  <c r="Y450" i="4"/>
  <c r="Y450" i="5"/>
  <c r="D449" i="9"/>
  <c r="K449" i="9" s="1"/>
  <c r="Y451" i="1"/>
  <c r="A450" i="9"/>
  <c r="Y451" i="3"/>
  <c r="B450" i="9"/>
  <c r="N450" i="9" l="1"/>
  <c r="R450" i="9"/>
  <c r="Q450" i="9"/>
  <c r="M450" i="9"/>
  <c r="P449" i="9"/>
  <c r="O449" i="9"/>
  <c r="I450" i="9"/>
  <c r="L450" i="9"/>
  <c r="Y451" i="5"/>
  <c r="D450" i="9"/>
  <c r="K450" i="9" s="1"/>
  <c r="Y452" i="6"/>
  <c r="E452" i="9" s="1"/>
  <c r="L452" i="9" s="1"/>
  <c r="E451" i="9"/>
  <c r="L451" i="9" s="1"/>
  <c r="C450" i="9"/>
  <c r="J450" i="9" s="1"/>
  <c r="Y451" i="4"/>
  <c r="Y452" i="7"/>
  <c r="F452" i="9" s="1"/>
  <c r="M452" i="9" s="1"/>
  <c r="F451" i="9"/>
  <c r="M451" i="9" s="1"/>
  <c r="Y452" i="1"/>
  <c r="A452" i="9" s="1"/>
  <c r="A451" i="9"/>
  <c r="Y452" i="3"/>
  <c r="B452" i="9" s="1"/>
  <c r="I452" i="9" s="1"/>
  <c r="B451" i="9"/>
  <c r="I451" i="9" s="1"/>
  <c r="P450" i="9" l="1"/>
  <c r="Q451" i="9"/>
  <c r="N451" i="9"/>
  <c r="R451" i="9"/>
  <c r="Q452" i="9"/>
  <c r="N452" i="9"/>
  <c r="R452" i="9"/>
  <c r="O450" i="9"/>
  <c r="C451" i="9"/>
  <c r="J451" i="9" s="1"/>
  <c r="Y452" i="4"/>
  <c r="C452" i="9" s="1"/>
  <c r="J452" i="9" s="1"/>
  <c r="Y452" i="5"/>
  <c r="D452" i="9" s="1"/>
  <c r="K452" i="9" s="1"/>
  <c r="D451" i="9"/>
  <c r="K451" i="9" s="1"/>
  <c r="P451" i="9" l="1"/>
  <c r="O452" i="9"/>
  <c r="P452" i="9"/>
  <c r="O451" i="9"/>
  <c r="AK55" i="8" l="1"/>
  <c r="AH55" i="8"/>
  <c r="AJ55" i="8"/>
  <c r="AI55" i="8"/>
  <c r="AF55" i="8"/>
  <c r="AG55" i="8"/>
  <c r="AK59" i="8"/>
  <c r="AG59" i="8"/>
  <c r="AI59" i="8"/>
  <c r="AJ59" i="8"/>
  <c r="AH59" i="8"/>
  <c r="AF59" i="8"/>
  <c r="AK63" i="8"/>
  <c r="AJ63" i="8"/>
  <c r="AH63" i="8"/>
  <c r="AG63" i="8"/>
  <c r="AF63" i="8"/>
  <c r="AI63" i="8"/>
  <c r="AI67" i="8"/>
  <c r="AK67" i="8"/>
  <c r="AJ67" i="8"/>
  <c r="AG67" i="8"/>
  <c r="AF67" i="8"/>
  <c r="AH67" i="8"/>
  <c r="AI71" i="8"/>
  <c r="AH71" i="8"/>
  <c r="AF71" i="8"/>
  <c r="AG71" i="8"/>
  <c r="AJ71" i="8"/>
  <c r="AK71" i="8"/>
  <c r="AK75" i="8"/>
  <c r="AG75" i="8"/>
  <c r="AH75" i="8"/>
  <c r="AF75" i="8"/>
  <c r="AJ75" i="8"/>
  <c r="AI75" i="8"/>
  <c r="AK79" i="8"/>
  <c r="AG79" i="8"/>
  <c r="AJ79" i="8"/>
  <c r="AF79" i="8"/>
  <c r="AH79" i="8"/>
  <c r="AI79" i="8"/>
  <c r="AH83" i="8"/>
  <c r="AJ83" i="8"/>
  <c r="AI83" i="8"/>
  <c r="AK83" i="8"/>
  <c r="AG83" i="8"/>
  <c r="AF83" i="8"/>
  <c r="AK87" i="8"/>
  <c r="AF87" i="8"/>
  <c r="AJ87" i="8"/>
  <c r="AI87" i="8"/>
  <c r="AG87" i="8"/>
  <c r="AH87" i="8"/>
  <c r="AJ91" i="8"/>
  <c r="AH91" i="8"/>
  <c r="AI91" i="8"/>
  <c r="AK91" i="8"/>
  <c r="AG91" i="8"/>
  <c r="AF91" i="8"/>
  <c r="AK95" i="8"/>
  <c r="AH95" i="8"/>
  <c r="AI95" i="8"/>
  <c r="AG95" i="8"/>
  <c r="AJ95" i="8"/>
  <c r="AF95" i="8"/>
  <c r="AK99" i="8"/>
  <c r="AI99" i="8"/>
  <c r="AJ99" i="8"/>
  <c r="AF99" i="8"/>
  <c r="AH99" i="8"/>
  <c r="AG99" i="8"/>
  <c r="AI103" i="8"/>
  <c r="AH103" i="8"/>
  <c r="AF103" i="8"/>
  <c r="AG103" i="8"/>
  <c r="AJ103" i="8"/>
  <c r="AK103" i="8"/>
  <c r="AG107" i="8"/>
  <c r="AJ107" i="8"/>
  <c r="AF107" i="8"/>
  <c r="AK107" i="8"/>
  <c r="AH107" i="8"/>
  <c r="AI107" i="8"/>
  <c r="AK111" i="8"/>
  <c r="AI111" i="8"/>
  <c r="AF111" i="8"/>
  <c r="AG111" i="8"/>
  <c r="AH111" i="8"/>
  <c r="AJ111" i="8"/>
  <c r="AJ115" i="8"/>
  <c r="AF115" i="8"/>
  <c r="AK115" i="8"/>
  <c r="AG115" i="8"/>
  <c r="AH115" i="8"/>
  <c r="AI115" i="8"/>
  <c r="AJ119" i="8"/>
  <c r="AH119" i="8"/>
  <c r="AF119" i="8"/>
  <c r="AK119" i="8"/>
  <c r="AG119" i="8"/>
  <c r="AI119" i="8"/>
  <c r="AK123" i="8"/>
  <c r="AF123" i="8"/>
  <c r="AG123" i="8"/>
  <c r="AH123" i="8"/>
  <c r="AI123" i="8"/>
  <c r="AJ123" i="8"/>
  <c r="AK127" i="8"/>
  <c r="AI127" i="8"/>
  <c r="AG127" i="8"/>
  <c r="AF127" i="8"/>
  <c r="AH127" i="8"/>
  <c r="AJ127" i="8"/>
  <c r="AJ131" i="8"/>
  <c r="AH131" i="8"/>
  <c r="AF131" i="8"/>
  <c r="AI131" i="8"/>
  <c r="AG131" i="8"/>
  <c r="AK131" i="8"/>
  <c r="AG135" i="8"/>
  <c r="AH135" i="8"/>
  <c r="AF135" i="8"/>
  <c r="AI135" i="8"/>
  <c r="AK135" i="8"/>
  <c r="AJ135" i="8"/>
  <c r="AI139" i="8"/>
  <c r="AH139" i="8"/>
  <c r="AK139" i="8"/>
  <c r="AJ139" i="8"/>
  <c r="AF139" i="8"/>
  <c r="AG139" i="8"/>
  <c r="AK143" i="8"/>
  <c r="AJ143" i="8"/>
  <c r="AG143" i="8"/>
  <c r="AI143" i="8"/>
  <c r="AH143" i="8"/>
  <c r="AF143" i="8"/>
  <c r="AI147" i="8"/>
  <c r="AJ147" i="8"/>
  <c r="AH147" i="8"/>
  <c r="AF147" i="8"/>
  <c r="AK147" i="8"/>
  <c r="AG147" i="8"/>
  <c r="AK151" i="8"/>
  <c r="AH151" i="8"/>
  <c r="AJ151" i="8"/>
  <c r="AG151" i="8"/>
  <c r="AF151" i="8"/>
  <c r="AI151" i="8"/>
  <c r="AJ155" i="8"/>
  <c r="AK155" i="8"/>
  <c r="AI155" i="8"/>
  <c r="AH155" i="8"/>
  <c r="AF155" i="8"/>
  <c r="AG155" i="8"/>
  <c r="AK159" i="8"/>
  <c r="AH159" i="8"/>
  <c r="AI159" i="8"/>
  <c r="AF159" i="8"/>
  <c r="AG159" i="8"/>
  <c r="AJ159" i="8"/>
  <c r="AK163" i="8"/>
  <c r="AF163" i="8"/>
  <c r="AJ163" i="8"/>
  <c r="AI163" i="8"/>
  <c r="AH163" i="8"/>
  <c r="AG163" i="8"/>
  <c r="AI167" i="8"/>
  <c r="AH167" i="8"/>
  <c r="AF167" i="8"/>
  <c r="AG167" i="8"/>
  <c r="AJ167" i="8"/>
  <c r="AK167" i="8"/>
  <c r="AG171" i="8"/>
  <c r="AJ171" i="8"/>
  <c r="AF171" i="8"/>
  <c r="AH171" i="8"/>
  <c r="AI171" i="8"/>
  <c r="AK171" i="8"/>
  <c r="AJ57" i="8"/>
  <c r="AH57" i="8"/>
  <c r="AG57" i="8"/>
  <c r="AF57" i="8"/>
  <c r="AI57" i="8"/>
  <c r="AK57" i="8"/>
  <c r="AI62" i="8"/>
  <c r="AG62" i="8"/>
  <c r="AH62" i="8"/>
  <c r="AK62" i="8"/>
  <c r="AF62" i="8"/>
  <c r="AJ62" i="8"/>
  <c r="AG68" i="8"/>
  <c r="AK68" i="8"/>
  <c r="AH68" i="8"/>
  <c r="AF68" i="8"/>
  <c r="AJ68" i="8"/>
  <c r="AI68" i="8"/>
  <c r="AJ73" i="8"/>
  <c r="AK73" i="8"/>
  <c r="AF73" i="8"/>
  <c r="AH73" i="8"/>
  <c r="AG73" i="8"/>
  <c r="AI73" i="8"/>
  <c r="AJ78" i="8"/>
  <c r="AF78" i="8"/>
  <c r="AH78" i="8"/>
  <c r="AK78" i="8"/>
  <c r="AI78" i="8"/>
  <c r="AG78" i="8"/>
  <c r="AI84" i="8"/>
  <c r="AJ84" i="8"/>
  <c r="AK84" i="8"/>
  <c r="AH84" i="8"/>
  <c r="AG84" i="8"/>
  <c r="AF84" i="8"/>
  <c r="AF89" i="8"/>
  <c r="AK89" i="8"/>
  <c r="AH89" i="8"/>
  <c r="AG89" i="8"/>
  <c r="AI89" i="8"/>
  <c r="AJ89" i="8"/>
  <c r="AG94" i="8"/>
  <c r="AK94" i="8"/>
  <c r="AJ94" i="8"/>
  <c r="AH94" i="8"/>
  <c r="AF94" i="8"/>
  <c r="AI94" i="8"/>
  <c r="AJ100" i="8"/>
  <c r="AF100" i="8"/>
  <c r="AK100" i="8"/>
  <c r="AH100" i="8"/>
  <c r="AG100" i="8"/>
  <c r="AI100" i="8"/>
  <c r="AK105" i="8"/>
  <c r="AI105" i="8"/>
  <c r="AG105" i="8"/>
  <c r="AF105" i="8"/>
  <c r="AH105" i="8"/>
  <c r="AJ105" i="8"/>
  <c r="AH110" i="8"/>
  <c r="AG110" i="8"/>
  <c r="AK110" i="8"/>
  <c r="AF110" i="8"/>
  <c r="AJ110" i="8"/>
  <c r="AI110" i="8"/>
  <c r="AH116" i="8"/>
  <c r="AG116" i="8"/>
  <c r="AK116" i="8"/>
  <c r="AJ116" i="8"/>
  <c r="AI116" i="8"/>
  <c r="AF116" i="8"/>
  <c r="AJ56" i="8"/>
  <c r="AG56" i="8"/>
  <c r="AH56" i="8"/>
  <c r="AK56" i="8"/>
  <c r="AF56" i="8"/>
  <c r="AI56" i="8"/>
  <c r="AG60" i="8"/>
  <c r="AJ60" i="8"/>
  <c r="AH60" i="8"/>
  <c r="AI60" i="8"/>
  <c r="AK60" i="8"/>
  <c r="AF60" i="8"/>
  <c r="AK64" i="8"/>
  <c r="AG64" i="8"/>
  <c r="AF64" i="8"/>
  <c r="AI64" i="8"/>
  <c r="AH64" i="8"/>
  <c r="AJ64" i="8"/>
  <c r="AK72" i="8"/>
  <c r="AJ72" i="8"/>
  <c r="AH72" i="8"/>
  <c r="AI72" i="8"/>
  <c r="AG72" i="8"/>
  <c r="AF72" i="8"/>
  <c r="AK76" i="8"/>
  <c r="AH76" i="8"/>
  <c r="AI76" i="8"/>
  <c r="AG76" i="8"/>
  <c r="AF76" i="8"/>
  <c r="AJ76" i="8"/>
  <c r="AH80" i="8"/>
  <c r="AK80" i="8"/>
  <c r="AF80" i="8"/>
  <c r="AG80" i="8"/>
  <c r="AJ80" i="8"/>
  <c r="AI80" i="8"/>
  <c r="AK88" i="8"/>
  <c r="AJ88" i="8"/>
  <c r="AG88" i="8"/>
  <c r="AH88" i="8"/>
  <c r="AI88" i="8"/>
  <c r="AF88" i="8"/>
  <c r="AK92" i="8"/>
  <c r="AJ92" i="8"/>
  <c r="AG92" i="8"/>
  <c r="AH92" i="8"/>
  <c r="AI92" i="8"/>
  <c r="AF92" i="8"/>
  <c r="AI96" i="8"/>
  <c r="AK96" i="8"/>
  <c r="AH96" i="8"/>
  <c r="AJ96" i="8"/>
  <c r="AF96" i="8"/>
  <c r="AG96" i="8"/>
  <c r="AJ104" i="8"/>
  <c r="AH104" i="8"/>
  <c r="AK104" i="8"/>
  <c r="AF104" i="8"/>
  <c r="AG104" i="8"/>
  <c r="AI104" i="8"/>
  <c r="AK108" i="8"/>
  <c r="AG108" i="8"/>
  <c r="AJ108" i="8"/>
  <c r="AH108" i="8"/>
  <c r="AF108" i="8"/>
  <c r="AI108" i="8"/>
  <c r="AK112" i="8"/>
  <c r="AI112" i="8"/>
  <c r="AG112" i="8"/>
  <c r="AF112" i="8"/>
  <c r="AJ112" i="8"/>
  <c r="AH112" i="8"/>
  <c r="AK120" i="8"/>
  <c r="AG120" i="8"/>
  <c r="AF120" i="8"/>
  <c r="AJ120" i="8"/>
  <c r="AH120" i="8"/>
  <c r="AI120" i="8"/>
  <c r="AH124" i="8"/>
  <c r="AK124" i="8"/>
  <c r="AJ124" i="8"/>
  <c r="AI124" i="8"/>
  <c r="AF124" i="8"/>
  <c r="AG124" i="8"/>
  <c r="AK128" i="8"/>
  <c r="AI128" i="8"/>
  <c r="AG128" i="8"/>
  <c r="AH128" i="8"/>
  <c r="AJ128" i="8"/>
  <c r="AF128" i="8"/>
  <c r="AF132" i="8"/>
  <c r="AG132" i="8"/>
  <c r="AI132" i="8"/>
  <c r="AK132" i="8"/>
  <c r="AH132" i="8"/>
  <c r="AJ132" i="8"/>
  <c r="AK136" i="8"/>
  <c r="AI136" i="8"/>
  <c r="AJ136" i="8"/>
  <c r="AG136" i="8"/>
  <c r="AH136" i="8"/>
  <c r="AF136" i="8"/>
  <c r="AF140" i="8"/>
  <c r="AH140" i="8"/>
  <c r="AI140" i="8"/>
  <c r="AK140" i="8"/>
  <c r="AG140" i="8"/>
  <c r="AJ140" i="8"/>
  <c r="AG144" i="8"/>
  <c r="AJ144" i="8"/>
  <c r="AI144" i="8"/>
  <c r="AK144" i="8"/>
  <c r="AF144" i="8"/>
  <c r="AH144" i="8"/>
  <c r="AF148" i="8"/>
  <c r="AI148" i="8"/>
  <c r="AG148" i="8"/>
  <c r="AH148" i="8"/>
  <c r="AJ148" i="8"/>
  <c r="AK148" i="8"/>
  <c r="AI152" i="8"/>
  <c r="AF152" i="8"/>
  <c r="AK152" i="8"/>
  <c r="AJ152" i="8"/>
  <c r="AG152" i="8"/>
  <c r="AH152" i="8"/>
  <c r="AH156" i="8"/>
  <c r="AG156" i="8"/>
  <c r="AJ156" i="8"/>
  <c r="AI156" i="8"/>
  <c r="AK156" i="8"/>
  <c r="AF156" i="8"/>
  <c r="AJ160" i="8"/>
  <c r="AH160" i="8"/>
  <c r="AF160" i="8"/>
  <c r="AI160" i="8"/>
  <c r="AK160" i="8"/>
  <c r="AG160" i="8"/>
  <c r="AF164" i="8"/>
  <c r="AI164" i="8"/>
  <c r="AJ164" i="8"/>
  <c r="AG164" i="8"/>
  <c r="AH164" i="8"/>
  <c r="AK164" i="8"/>
  <c r="AK168" i="8"/>
  <c r="AH168" i="8"/>
  <c r="AG168" i="8"/>
  <c r="AF168" i="8"/>
  <c r="AI168" i="8"/>
  <c r="AJ168" i="8"/>
  <c r="AI172" i="8"/>
  <c r="AG172" i="8"/>
  <c r="AK172" i="8"/>
  <c r="AJ172" i="8"/>
  <c r="AF172" i="8"/>
  <c r="AH172" i="8"/>
  <c r="AH58" i="8"/>
  <c r="AJ58" i="8"/>
  <c r="AK58" i="8"/>
  <c r="AG58" i="8"/>
  <c r="AI58" i="8"/>
  <c r="AF58" i="8"/>
  <c r="AG69" i="8"/>
  <c r="AI69" i="8"/>
  <c r="AF69" i="8"/>
  <c r="AK69" i="8"/>
  <c r="AJ69" i="8"/>
  <c r="AH69" i="8"/>
  <c r="AH74" i="8"/>
  <c r="AF74" i="8"/>
  <c r="AJ74" i="8"/>
  <c r="AI74" i="8"/>
  <c r="AG74" i="8"/>
  <c r="AK74" i="8"/>
  <c r="AK85" i="8"/>
  <c r="AH85" i="8"/>
  <c r="AJ85" i="8"/>
  <c r="AI85" i="8"/>
  <c r="AF85" i="8"/>
  <c r="AG85" i="8"/>
  <c r="AK90" i="8"/>
  <c r="AI90" i="8"/>
  <c r="AJ90" i="8"/>
  <c r="AG90" i="8"/>
  <c r="AH90" i="8"/>
  <c r="AF90" i="8"/>
  <c r="AI101" i="8"/>
  <c r="AK101" i="8"/>
  <c r="AF101" i="8"/>
  <c r="AH101" i="8"/>
  <c r="AG101" i="8"/>
  <c r="AJ101" i="8"/>
  <c r="AG106" i="8"/>
  <c r="AJ106" i="8"/>
  <c r="AI106" i="8"/>
  <c r="AK106" i="8"/>
  <c r="AF106" i="8"/>
  <c r="AH106" i="8"/>
  <c r="AK117" i="8"/>
  <c r="AG117" i="8"/>
  <c r="AF117" i="8"/>
  <c r="AI117" i="8"/>
  <c r="AJ117" i="8"/>
  <c r="AH117" i="8"/>
  <c r="AH61" i="8"/>
  <c r="AK61" i="8"/>
  <c r="AJ61" i="8"/>
  <c r="AG61" i="8"/>
  <c r="AI61" i="8"/>
  <c r="AF61" i="8"/>
  <c r="AJ65" i="8"/>
  <c r="AI65" i="8"/>
  <c r="AH65" i="8"/>
  <c r="AK65" i="8"/>
  <c r="AF65" i="8"/>
  <c r="AG65" i="8"/>
  <c r="AH77" i="8"/>
  <c r="AG77" i="8"/>
  <c r="AJ77" i="8"/>
  <c r="AI77" i="8"/>
  <c r="AF77" i="8"/>
  <c r="AK77" i="8"/>
  <c r="AK81" i="8"/>
  <c r="AG81" i="8"/>
  <c r="AH81" i="8"/>
  <c r="AJ81" i="8"/>
  <c r="AI81" i="8"/>
  <c r="AF81" i="8"/>
  <c r="AH93" i="8"/>
  <c r="AG93" i="8"/>
  <c r="AJ93" i="8"/>
  <c r="AI93" i="8"/>
  <c r="AF93" i="8"/>
  <c r="AK93" i="8"/>
  <c r="AJ97" i="8"/>
  <c r="AH97" i="8"/>
  <c r="AI97" i="8"/>
  <c r="AK97" i="8"/>
  <c r="AG97" i="8"/>
  <c r="AF97" i="8"/>
  <c r="AH109" i="8"/>
  <c r="AG109" i="8"/>
  <c r="AJ109" i="8"/>
  <c r="AF109" i="8"/>
  <c r="AK109" i="8"/>
  <c r="AI109" i="8"/>
  <c r="AK113" i="8"/>
  <c r="AH113" i="8"/>
  <c r="AJ113" i="8"/>
  <c r="AF113" i="8"/>
  <c r="AG113" i="8"/>
  <c r="AI113" i="8"/>
  <c r="AI121" i="8"/>
  <c r="AG121" i="8"/>
  <c r="AF121" i="8"/>
  <c r="AH121" i="8"/>
  <c r="AK121" i="8"/>
  <c r="AJ121" i="8"/>
  <c r="AH125" i="8"/>
  <c r="AK125" i="8"/>
  <c r="AG125" i="8"/>
  <c r="AI125" i="8"/>
  <c r="AF125" i="8"/>
  <c r="AJ125" i="8"/>
  <c r="AG133" i="8"/>
  <c r="AH133" i="8"/>
  <c r="AJ133" i="8"/>
  <c r="AF133" i="8"/>
  <c r="AK133" i="8"/>
  <c r="AI133" i="8"/>
  <c r="AK141" i="8"/>
  <c r="AI141" i="8"/>
  <c r="AJ141" i="8"/>
  <c r="AF141" i="8"/>
  <c r="AH141" i="8"/>
  <c r="AG141" i="8"/>
  <c r="AJ149" i="8"/>
  <c r="AH149" i="8"/>
  <c r="AG149" i="8"/>
  <c r="AF149" i="8"/>
  <c r="AK149" i="8"/>
  <c r="AI149" i="8"/>
  <c r="AH157" i="8"/>
  <c r="AK157" i="8"/>
  <c r="AI157" i="8"/>
  <c r="AJ157" i="8"/>
  <c r="AG157" i="8"/>
  <c r="AF157" i="8"/>
  <c r="AH165" i="8"/>
  <c r="AJ165" i="8"/>
  <c r="AG165" i="8"/>
  <c r="AK165" i="8"/>
  <c r="AI165" i="8"/>
  <c r="AF165" i="8"/>
  <c r="AF54" i="8"/>
  <c r="AJ54" i="8"/>
  <c r="AI54" i="8"/>
  <c r="AK54" i="8"/>
  <c r="AG54" i="8"/>
  <c r="AH54" i="8"/>
  <c r="AK86" i="8"/>
  <c r="AH86" i="8"/>
  <c r="AF86" i="8"/>
  <c r="AI86" i="8"/>
  <c r="AJ86" i="8"/>
  <c r="AG86" i="8"/>
  <c r="AK118" i="8"/>
  <c r="AJ118" i="8"/>
  <c r="AI118" i="8"/>
  <c r="AF118" i="8"/>
  <c r="AH118" i="8"/>
  <c r="AG118" i="8"/>
  <c r="AK129" i="8"/>
  <c r="AH129" i="8"/>
  <c r="AJ129" i="8"/>
  <c r="AF129" i="8"/>
  <c r="AI129" i="8"/>
  <c r="AG129" i="8"/>
  <c r="AH134" i="8"/>
  <c r="AG134" i="8"/>
  <c r="AF134" i="8"/>
  <c r="AK134" i="8"/>
  <c r="AJ134" i="8"/>
  <c r="AI134" i="8"/>
  <c r="AI145" i="8"/>
  <c r="AH145" i="8"/>
  <c r="AJ145" i="8"/>
  <c r="AF145" i="8"/>
  <c r="AG145" i="8"/>
  <c r="AK145" i="8"/>
  <c r="AH150" i="8"/>
  <c r="AJ150" i="8"/>
  <c r="AF150" i="8"/>
  <c r="AG150" i="8"/>
  <c r="AI150" i="8"/>
  <c r="AK150" i="8"/>
  <c r="AK161" i="8"/>
  <c r="AF161" i="8"/>
  <c r="AG161" i="8"/>
  <c r="AJ161" i="8"/>
  <c r="AI161" i="8"/>
  <c r="AH161" i="8"/>
  <c r="AK166" i="8"/>
  <c r="AH166" i="8"/>
  <c r="AG166" i="8"/>
  <c r="AI166" i="8"/>
  <c r="AF166" i="8"/>
  <c r="AJ166" i="8"/>
  <c r="AI122" i="8"/>
  <c r="AK122" i="8"/>
  <c r="AJ122" i="8"/>
  <c r="AF122" i="8"/>
  <c r="AG122" i="8"/>
  <c r="AH122" i="8"/>
  <c r="AK138" i="8"/>
  <c r="AI138" i="8"/>
  <c r="AG138" i="8"/>
  <c r="AF138" i="8"/>
  <c r="AH138" i="8"/>
  <c r="AJ138" i="8"/>
  <c r="AI154" i="8"/>
  <c r="AF154" i="8"/>
  <c r="AK154" i="8"/>
  <c r="AJ154" i="8"/>
  <c r="AH154" i="8"/>
  <c r="AG154" i="8"/>
  <c r="AI170" i="8"/>
  <c r="AH170" i="8"/>
  <c r="AF170" i="8"/>
  <c r="AG170" i="8"/>
  <c r="AJ170" i="8"/>
  <c r="AK170" i="8"/>
  <c r="AF126" i="8"/>
  <c r="AG126" i="8"/>
  <c r="AJ126" i="8"/>
  <c r="AK126" i="8"/>
  <c r="AH126" i="8"/>
  <c r="AI126" i="8"/>
  <c r="AK137" i="8"/>
  <c r="AH137" i="8"/>
  <c r="AF137" i="8"/>
  <c r="AG137" i="8"/>
  <c r="AJ137" i="8"/>
  <c r="AI137" i="8"/>
  <c r="AJ142" i="8"/>
  <c r="AF142" i="8"/>
  <c r="AG142" i="8"/>
  <c r="AI142" i="8"/>
  <c r="AK142" i="8"/>
  <c r="AH142" i="8"/>
  <c r="AI153" i="8"/>
  <c r="AH153" i="8"/>
  <c r="AF153" i="8"/>
  <c r="AJ153" i="8"/>
  <c r="AK153" i="8"/>
  <c r="AG153" i="8"/>
  <c r="AJ158" i="8"/>
  <c r="AI158" i="8"/>
  <c r="AF158" i="8"/>
  <c r="AK158" i="8"/>
  <c r="AH158" i="8"/>
  <c r="AG158" i="8"/>
  <c r="AJ169" i="8"/>
  <c r="AH169" i="8"/>
  <c r="AF169" i="8"/>
  <c r="AK169" i="8"/>
  <c r="AI169" i="8"/>
  <c r="AG169" i="8"/>
  <c r="AF66" i="8"/>
  <c r="AG66" i="8"/>
  <c r="AK66" i="8"/>
  <c r="AI66" i="8"/>
  <c r="AJ66" i="8"/>
  <c r="AH66" i="8"/>
  <c r="AG82" i="8"/>
  <c r="AF82" i="8"/>
  <c r="AJ82" i="8"/>
  <c r="AI82" i="8"/>
  <c r="AK82" i="8"/>
  <c r="AH82" i="8"/>
  <c r="AJ98" i="8"/>
  <c r="AG98" i="8"/>
  <c r="AK98" i="8"/>
  <c r="AH98" i="8"/>
  <c r="AI98" i="8"/>
  <c r="AF98" i="8"/>
  <c r="AJ114" i="8"/>
  <c r="AK114" i="8"/>
  <c r="AF114" i="8"/>
  <c r="AH114" i="8"/>
  <c r="AG114" i="8"/>
  <c r="AI114" i="8"/>
  <c r="AJ130" i="8"/>
  <c r="AG130" i="8"/>
  <c r="AK130" i="8"/>
  <c r="AF130" i="8"/>
  <c r="AI130" i="8"/>
  <c r="AH130" i="8"/>
  <c r="AI146" i="8"/>
  <c r="AK146" i="8"/>
  <c r="AG146" i="8"/>
  <c r="AH146" i="8"/>
  <c r="AJ146" i="8"/>
  <c r="AF146" i="8"/>
  <c r="AJ162" i="8"/>
  <c r="AK162" i="8"/>
  <c r="AH162" i="8"/>
  <c r="AF162" i="8"/>
  <c r="AG162" i="8"/>
  <c r="AI162" i="8"/>
  <c r="AJ70" i="8"/>
  <c r="AG70" i="8"/>
  <c r="AH70" i="8"/>
  <c r="AF70" i="8"/>
  <c r="AK70" i="8"/>
  <c r="AI70" i="8"/>
  <c r="AK102" i="8"/>
  <c r="AJ102" i="8"/>
  <c r="AG102" i="8"/>
  <c r="AF102" i="8"/>
  <c r="AH102" i="8"/>
  <c r="AI102" i="8"/>
  <c r="AJ53" i="8"/>
  <c r="AI53" i="8"/>
  <c r="AK53" i="8"/>
  <c r="AF53" i="8"/>
  <c r="AH53" i="8"/>
  <c r="AG53" i="8"/>
  <c r="AG46" i="8" l="1"/>
  <c r="AI46" i="8"/>
  <c r="AJ46" i="8"/>
  <c r="AF46" i="8"/>
  <c r="AH46" i="8"/>
  <c r="AK46" i="8"/>
</calcChain>
</file>

<file path=xl/sharedStrings.xml><?xml version="1.0" encoding="utf-8"?>
<sst xmlns="http://schemas.openxmlformats.org/spreadsheetml/2006/main" count="239" uniqueCount="60">
  <si>
    <t>frame</t>
  </si>
  <si>
    <t>X</t>
  </si>
  <si>
    <t>Y</t>
  </si>
  <si>
    <t>Z</t>
  </si>
  <si>
    <t>vel_X</t>
  </si>
  <si>
    <t>vel_Y</t>
  </si>
  <si>
    <t>vel_Z</t>
  </si>
  <si>
    <t>angvel_X</t>
  </si>
  <si>
    <t>angvel_Y</t>
  </si>
  <si>
    <t>angvel_Z</t>
  </si>
  <si>
    <t>quart_X</t>
  </si>
  <si>
    <t>quart_Y</t>
  </si>
  <si>
    <t>quart_Z</t>
  </si>
  <si>
    <t>quart_W</t>
  </si>
  <si>
    <t>Steer</t>
  </si>
  <si>
    <t>bHandbrake</t>
  </si>
  <si>
    <t>bActivateBoost</t>
  </si>
  <si>
    <t>bHoldingBoost</t>
  </si>
  <si>
    <t>Throttle</t>
  </si>
  <si>
    <t>angvel_total</t>
  </si>
  <si>
    <t>Octane</t>
  </si>
  <si>
    <t>Hybrid</t>
  </si>
  <si>
    <t>Dominus</t>
  </si>
  <si>
    <t>Plank</t>
  </si>
  <si>
    <t>Batmobile</t>
  </si>
  <si>
    <t>Breakout</t>
  </si>
  <si>
    <t>% Hybrid</t>
  </si>
  <si>
    <t>% Dominus</t>
  </si>
  <si>
    <t>% Plank</t>
  </si>
  <si>
    <t>% Batmobile</t>
  </si>
  <si>
    <t>% Breakout</t>
  </si>
  <si>
    <t>Yaw</t>
  </si>
  <si>
    <t>Pitch</t>
  </si>
  <si>
    <t>Roll</t>
  </si>
  <si>
    <t>Degrees turned</t>
  </si>
  <si>
    <t>Degree change</t>
  </si>
  <si>
    <t>° Hybrid</t>
  </si>
  <si>
    <t>° Dominus</t>
  </si>
  <si>
    <t>° Plank</t>
  </si>
  <si>
    <t>° Batmobile</t>
  </si>
  <si>
    <t>° Breakout</t>
  </si>
  <si>
    <t>vel_total</t>
  </si>
  <si>
    <t xml:space="preserve">                                                </t>
  </si>
  <si>
    <t>Break vs. Plank</t>
  </si>
  <si>
    <t>coherent not snappy</t>
  </si>
  <si>
    <t>people</t>
  </si>
  <si>
    <t>average</t>
  </si>
  <si>
    <t>Column1</t>
  </si>
  <si>
    <t>A</t>
  </si>
  <si>
    <t>B</t>
  </si>
  <si>
    <t>C</t>
  </si>
  <si>
    <t>m</t>
  </si>
  <si>
    <t>adjusted</t>
  </si>
  <si>
    <t>%</t>
  </si>
  <si>
    <t>mean</t>
  </si>
  <si>
    <t>std.dev</t>
  </si>
  <si>
    <t>Column2</t>
  </si>
  <si>
    <t>Tick</t>
  </si>
  <si>
    <t>Influence</t>
  </si>
  <si>
    <t>° Octane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</si>
</sst>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0.000"/>
    <numFmt numFmtId="166" formatCode="0.0000"/>
    <numFmt numFmtId="167" formatCode="0.0"/>
    <numFmt numFmtId="168" formatCode="0.00000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Arial Unicode MS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2" fontId="0" fillId="0" borderId="0" xfId="0" applyNumberFormat="1"/>
    <xf numFmtId="164" fontId="0" fillId="0" borderId="0" xfId="1" applyNumberFormat="1" applyFont="1"/>
    <xf numFmtId="2" fontId="0" fillId="0" borderId="0" xfId="1" applyNumberFormat="1" applyFont="1"/>
    <xf numFmtId="165" fontId="0" fillId="0" borderId="0" xfId="0" applyNumberFormat="1"/>
    <xf numFmtId="0" fontId="0" fillId="0" borderId="0" xfId="0" applyNumberFormat="1"/>
    <xf numFmtId="1" fontId="0" fillId="0" borderId="0" xfId="0" applyNumberFormat="1"/>
    <xf numFmtId="2" fontId="18" fillId="0" borderId="0" xfId="0" applyNumberFormat="1" applyFont="1" applyAlignment="1">
      <alignment vertical="center"/>
    </xf>
    <xf numFmtId="166" fontId="0" fillId="0" borderId="0" xfId="0" applyNumberFormat="1"/>
    <xf numFmtId="166" fontId="0" fillId="0" borderId="10" xfId="0" applyNumberFormat="1" applyFont="1" applyBorder="1"/>
    <xf numFmtId="166" fontId="18" fillId="0" borderId="0" xfId="0" applyNumberFormat="1" applyFont="1" applyAlignment="1">
      <alignment vertical="center"/>
    </xf>
    <xf numFmtId="9" fontId="0" fillId="0" borderId="0" xfId="1" applyFont="1"/>
    <xf numFmtId="1" fontId="18" fillId="0" borderId="0" xfId="0" applyNumberFormat="1" applyFont="1" applyAlignment="1">
      <alignment vertical="center"/>
    </xf>
    <xf numFmtId="167" fontId="0" fillId="0" borderId="0" xfId="0" applyNumberFormat="1"/>
    <xf numFmtId="168" fontId="0" fillId="0" borderId="0" xfId="0" applyNumberFormat="1"/>
    <xf numFmtId="9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177"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" formatCode="0"/>
    </dxf>
    <dxf>
      <numFmt numFmtId="2" formatCode="0.00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2" formatCode="0.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66" formatCode="0.0000"/>
    </dxf>
    <dxf>
      <numFmt numFmtId="13" formatCode="0%"/>
    </dxf>
    <dxf>
      <numFmt numFmtId="1" formatCode="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65" formatCode="0.000"/>
    </dxf>
    <dxf>
      <numFmt numFmtId="1" formatCode="0"/>
    </dxf>
    <dxf>
      <numFmt numFmtId="2" formatCode="0.00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4" formatCode="0.0%"/>
    </dxf>
    <dxf>
      <numFmt numFmtId="167" formatCode="0.0"/>
    </dxf>
    <dxf>
      <numFmt numFmtId="167" formatCode="0.0"/>
    </dxf>
    <dxf>
      <numFmt numFmtId="167" formatCode="0.0"/>
    </dxf>
    <dxf>
      <numFmt numFmtId="167" formatCode="0.0"/>
    </dxf>
    <dxf>
      <numFmt numFmtId="167" formatCode="0.0"/>
    </dxf>
    <dxf>
      <numFmt numFmtId="167" formatCode="0.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colors>
    <mruColors>
      <color rgb="FFFF49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0"/>
          <c:tx>
            <c:v>Hybrid</c:v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hybrid!$B$2:$B$400</c:f>
              <c:numCache>
                <c:formatCode>General</c:formatCode>
                <c:ptCount val="399"/>
                <c:pt idx="0">
                  <c:v>865.169983</c:v>
                </c:pt>
                <c:pt idx="1">
                  <c:v>855.30999799999995</c:v>
                </c:pt>
                <c:pt idx="2">
                  <c:v>845.44995100000006</c:v>
                </c:pt>
                <c:pt idx="3">
                  <c:v>835.589966</c:v>
                </c:pt>
                <c:pt idx="4">
                  <c:v>825.72997999999995</c:v>
                </c:pt>
                <c:pt idx="5">
                  <c:v>815.86999500000002</c:v>
                </c:pt>
                <c:pt idx="6">
                  <c:v>806.01000999999997</c:v>
                </c:pt>
                <c:pt idx="7">
                  <c:v>796.14996299999996</c:v>
                </c:pt>
                <c:pt idx="8">
                  <c:v>786.28997800000002</c:v>
                </c:pt>
                <c:pt idx="9">
                  <c:v>776.42999299999997</c:v>
                </c:pt>
                <c:pt idx="10">
                  <c:v>766.57000700000003</c:v>
                </c:pt>
                <c:pt idx="11">
                  <c:v>756.70996100000002</c:v>
                </c:pt>
                <c:pt idx="12">
                  <c:v>746.84997599999997</c:v>
                </c:pt>
                <c:pt idx="13">
                  <c:v>736.98999000000003</c:v>
                </c:pt>
                <c:pt idx="14">
                  <c:v>727.13000499999998</c:v>
                </c:pt>
                <c:pt idx="15">
                  <c:v>717.26995799999997</c:v>
                </c:pt>
                <c:pt idx="16">
                  <c:v>707.40997300000004</c:v>
                </c:pt>
                <c:pt idx="17">
                  <c:v>697.54998799999998</c:v>
                </c:pt>
                <c:pt idx="18">
                  <c:v>687.69000200000005</c:v>
                </c:pt>
                <c:pt idx="19">
                  <c:v>677.82995600000004</c:v>
                </c:pt>
                <c:pt idx="20">
                  <c:v>667.96997099999999</c:v>
                </c:pt>
                <c:pt idx="21">
                  <c:v>658.10998500000005</c:v>
                </c:pt>
                <c:pt idx="22">
                  <c:v>648.25</c:v>
                </c:pt>
                <c:pt idx="23">
                  <c:v>638.39001499999995</c:v>
                </c:pt>
                <c:pt idx="24">
                  <c:v>628.52996800000005</c:v>
                </c:pt>
                <c:pt idx="25">
                  <c:v>618.669983</c:v>
                </c:pt>
                <c:pt idx="26">
                  <c:v>608.80999799999995</c:v>
                </c:pt>
                <c:pt idx="27">
                  <c:v>598.95001200000002</c:v>
                </c:pt>
                <c:pt idx="28">
                  <c:v>589.089966</c:v>
                </c:pt>
                <c:pt idx="29">
                  <c:v>579.22997999999995</c:v>
                </c:pt>
                <c:pt idx="30">
                  <c:v>569.36999500000002</c:v>
                </c:pt>
                <c:pt idx="31">
                  <c:v>559.51000999999997</c:v>
                </c:pt>
                <c:pt idx="32">
                  <c:v>549.64996299999996</c:v>
                </c:pt>
                <c:pt idx="33">
                  <c:v>539.78997800000002</c:v>
                </c:pt>
                <c:pt idx="34">
                  <c:v>529.92999299999997</c:v>
                </c:pt>
                <c:pt idx="35">
                  <c:v>520.07000700000003</c:v>
                </c:pt>
                <c:pt idx="36">
                  <c:v>510.209991</c:v>
                </c:pt>
                <c:pt idx="37">
                  <c:v>500.34997600000003</c:v>
                </c:pt>
                <c:pt idx="38">
                  <c:v>490.48998999999998</c:v>
                </c:pt>
                <c:pt idx="39">
                  <c:v>480.629974</c:v>
                </c:pt>
                <c:pt idx="40">
                  <c:v>470.76998900000001</c:v>
                </c:pt>
                <c:pt idx="41">
                  <c:v>460.91000400000001</c:v>
                </c:pt>
                <c:pt idx="42">
                  <c:v>451.04998799999998</c:v>
                </c:pt>
                <c:pt idx="43">
                  <c:v>441.19000199999999</c:v>
                </c:pt>
                <c:pt idx="44">
                  <c:v>431.32998700000002</c:v>
                </c:pt>
                <c:pt idx="45">
                  <c:v>421.47000100000002</c:v>
                </c:pt>
                <c:pt idx="46">
                  <c:v>411.60998499999999</c:v>
                </c:pt>
                <c:pt idx="47">
                  <c:v>401.75</c:v>
                </c:pt>
                <c:pt idx="48">
                  <c:v>391.88998400000003</c:v>
                </c:pt>
                <c:pt idx="49">
                  <c:v>382.02999899999998</c:v>
                </c:pt>
                <c:pt idx="50">
                  <c:v>372.169983</c:v>
                </c:pt>
                <c:pt idx="51">
                  <c:v>362.30999800000001</c:v>
                </c:pt>
                <c:pt idx="52">
                  <c:v>352.36999500000002</c:v>
                </c:pt>
                <c:pt idx="53">
                  <c:v>342.35998499999999</c:v>
                </c:pt>
                <c:pt idx="54">
                  <c:v>332.28997800000002</c:v>
                </c:pt>
                <c:pt idx="55">
                  <c:v>322.14999399999999</c:v>
                </c:pt>
                <c:pt idx="56">
                  <c:v>311.92999300000002</c:v>
                </c:pt>
                <c:pt idx="57">
                  <c:v>301.61999500000002</c:v>
                </c:pt>
                <c:pt idx="58">
                  <c:v>291.209991</c:v>
                </c:pt>
                <c:pt idx="59">
                  <c:v>280.69998199999998</c:v>
                </c:pt>
                <c:pt idx="60">
                  <c:v>270.07000699999998</c:v>
                </c:pt>
                <c:pt idx="61">
                  <c:v>259.30999800000001</c:v>
                </c:pt>
                <c:pt idx="62">
                  <c:v>248.409988</c:v>
                </c:pt>
                <c:pt idx="63">
                  <c:v>237.36000100000001</c:v>
                </c:pt>
                <c:pt idx="64">
                  <c:v>226.159988</c:v>
                </c:pt>
                <c:pt idx="65">
                  <c:v>214.78999300000001</c:v>
                </c:pt>
                <c:pt idx="66">
                  <c:v>203.25</c:v>
                </c:pt>
                <c:pt idx="67">
                  <c:v>191.53999300000001</c:v>
                </c:pt>
                <c:pt idx="68">
                  <c:v>179.64999399999999</c:v>
                </c:pt>
                <c:pt idx="69">
                  <c:v>167.56999200000001</c:v>
                </c:pt>
                <c:pt idx="70">
                  <c:v>155.300003</c:v>
                </c:pt>
                <c:pt idx="71">
                  <c:v>142.83999600000001</c:v>
                </c:pt>
                <c:pt idx="72">
                  <c:v>130.179993</c:v>
                </c:pt>
                <c:pt idx="73">
                  <c:v>117.329994</c:v>
                </c:pt>
                <c:pt idx="74">
                  <c:v>104.279999</c:v>
                </c:pt>
                <c:pt idx="75">
                  <c:v>91.029999000000004</c:v>
                </c:pt>
                <c:pt idx="76">
                  <c:v>77.580001999999993</c:v>
                </c:pt>
                <c:pt idx="77">
                  <c:v>63.93</c:v>
                </c:pt>
                <c:pt idx="78">
                  <c:v>50.079998000000003</c:v>
                </c:pt>
                <c:pt idx="79">
                  <c:v>36.029998999999997</c:v>
                </c:pt>
                <c:pt idx="80">
                  <c:v>21.779999</c:v>
                </c:pt>
                <c:pt idx="81">
                  <c:v>7.34</c:v>
                </c:pt>
                <c:pt idx="82">
                  <c:v>-7.3</c:v>
                </c:pt>
                <c:pt idx="83">
                  <c:v>-22.129999000000002</c:v>
                </c:pt>
                <c:pt idx="84">
                  <c:v>-37.149997999999997</c:v>
                </c:pt>
                <c:pt idx="85">
                  <c:v>-52.360000999999997</c:v>
                </c:pt>
                <c:pt idx="86">
                  <c:v>-67.760002</c:v>
                </c:pt>
                <c:pt idx="87">
                  <c:v>-83.339995999999999</c:v>
                </c:pt>
                <c:pt idx="88">
                  <c:v>-99.099997999999999</c:v>
                </c:pt>
                <c:pt idx="89">
                  <c:v>-115.029999</c:v>
                </c:pt>
                <c:pt idx="90">
                  <c:v>-131.13999899999999</c:v>
                </c:pt>
                <c:pt idx="91">
                  <c:v>-147.41000399999999</c:v>
                </c:pt>
                <c:pt idx="92">
                  <c:v>-163.84999099999999</c:v>
                </c:pt>
                <c:pt idx="93">
                  <c:v>-180.449997</c:v>
                </c:pt>
                <c:pt idx="94">
                  <c:v>-197.209991</c:v>
                </c:pt>
                <c:pt idx="95">
                  <c:v>-214.11999499999999</c:v>
                </c:pt>
                <c:pt idx="96">
                  <c:v>-231.179993</c:v>
                </c:pt>
                <c:pt idx="97">
                  <c:v>-248.37998999999999</c:v>
                </c:pt>
                <c:pt idx="98">
                  <c:v>-265.72000100000002</c:v>
                </c:pt>
                <c:pt idx="99">
                  <c:v>-283.19998199999998</c:v>
                </c:pt>
                <c:pt idx="100">
                  <c:v>-300.80999800000001</c:v>
                </c:pt>
                <c:pt idx="101">
                  <c:v>-318.54998799999998</c:v>
                </c:pt>
                <c:pt idx="102">
                  <c:v>-336.41000400000001</c:v>
                </c:pt>
                <c:pt idx="103">
                  <c:v>-354.38998400000003</c:v>
                </c:pt>
                <c:pt idx="104">
                  <c:v>-372.47998000000001</c:v>
                </c:pt>
                <c:pt idx="105">
                  <c:v>-390.669983</c:v>
                </c:pt>
                <c:pt idx="106">
                  <c:v>-408.97000100000002</c:v>
                </c:pt>
                <c:pt idx="107">
                  <c:v>-427.35998499999999</c:v>
                </c:pt>
                <c:pt idx="108">
                  <c:v>-445.83999599999999</c:v>
                </c:pt>
                <c:pt idx="109">
                  <c:v>-464.41000400000001</c:v>
                </c:pt>
                <c:pt idx="110">
                  <c:v>-483.05999800000001</c:v>
                </c:pt>
                <c:pt idx="111">
                  <c:v>-501.78997800000002</c:v>
                </c:pt>
                <c:pt idx="112">
                  <c:v>-520.589966</c:v>
                </c:pt>
                <c:pt idx="113">
                  <c:v>-539.45996100000002</c:v>
                </c:pt>
                <c:pt idx="114">
                  <c:v>-558.39001499999995</c:v>
                </c:pt>
                <c:pt idx="115">
                  <c:v>-577.36999500000002</c:v>
                </c:pt>
                <c:pt idx="116">
                  <c:v>-596.39996299999996</c:v>
                </c:pt>
                <c:pt idx="117">
                  <c:v>-615.47997999999995</c:v>
                </c:pt>
                <c:pt idx="118">
                  <c:v>-634.589966</c:v>
                </c:pt>
                <c:pt idx="119">
                  <c:v>-653.73999000000003</c:v>
                </c:pt>
                <c:pt idx="120">
                  <c:v>-672.919983</c:v>
                </c:pt>
                <c:pt idx="121">
                  <c:v>-692.11999500000002</c:v>
                </c:pt>
                <c:pt idx="122">
                  <c:v>-711.339966</c:v>
                </c:pt>
                <c:pt idx="123">
                  <c:v>-730.57000700000003</c:v>
                </c:pt>
                <c:pt idx="124">
                  <c:v>-749.79998799999998</c:v>
                </c:pt>
                <c:pt idx="125">
                  <c:v>-769.02996800000005</c:v>
                </c:pt>
                <c:pt idx="126">
                  <c:v>-788.26000999999997</c:v>
                </c:pt>
                <c:pt idx="127">
                  <c:v>-807.47997999999995</c:v>
                </c:pt>
                <c:pt idx="128">
                  <c:v>-826.67999299999997</c:v>
                </c:pt>
                <c:pt idx="129">
                  <c:v>-845.85998500000005</c:v>
                </c:pt>
                <c:pt idx="130">
                  <c:v>-865.01995799999997</c:v>
                </c:pt>
                <c:pt idx="131">
                  <c:v>-884.13995399999999</c:v>
                </c:pt>
                <c:pt idx="132">
                  <c:v>-903.22997999999995</c:v>
                </c:pt>
                <c:pt idx="133">
                  <c:v>-922.26995799999997</c:v>
                </c:pt>
                <c:pt idx="134">
                  <c:v>-941.25994900000001</c:v>
                </c:pt>
                <c:pt idx="135">
                  <c:v>-960.19995100000006</c:v>
                </c:pt>
                <c:pt idx="136">
                  <c:v>-979.07995600000004</c:v>
                </c:pt>
                <c:pt idx="137">
                  <c:v>-997.89996299999996</c:v>
                </c:pt>
                <c:pt idx="138">
                  <c:v>-1016.649963</c:v>
                </c:pt>
                <c:pt idx="139">
                  <c:v>-1035.3199460000001</c:v>
                </c:pt>
                <c:pt idx="140">
                  <c:v>-1053.910034</c:v>
                </c:pt>
                <c:pt idx="141">
                  <c:v>-1072.410034</c:v>
                </c:pt>
                <c:pt idx="142">
                  <c:v>-1090.8199460000001</c:v>
                </c:pt>
                <c:pt idx="143">
                  <c:v>-1109.1400149999999</c:v>
                </c:pt>
                <c:pt idx="144">
                  <c:v>-1127.349976</c:v>
                </c:pt>
                <c:pt idx="145">
                  <c:v>-1145.459961</c:v>
                </c:pt>
                <c:pt idx="146">
                  <c:v>-1163.4499510000001</c:v>
                </c:pt>
                <c:pt idx="147">
                  <c:v>-1181.329956</c:v>
                </c:pt>
                <c:pt idx="148">
                  <c:v>-1199.079956</c:v>
                </c:pt>
                <c:pt idx="149">
                  <c:v>-1216.709961</c:v>
                </c:pt>
                <c:pt idx="150">
                  <c:v>-1234.1999510000001</c:v>
                </c:pt>
                <c:pt idx="151">
                  <c:v>-1251.559937</c:v>
                </c:pt>
                <c:pt idx="152">
                  <c:v>-1268.7700199999999</c:v>
                </c:pt>
                <c:pt idx="153">
                  <c:v>-1285.839966</c:v>
                </c:pt>
                <c:pt idx="154">
                  <c:v>-1302.75</c:v>
                </c:pt>
                <c:pt idx="155">
                  <c:v>-1319.51001</c:v>
                </c:pt>
                <c:pt idx="156">
                  <c:v>-1336.099976</c:v>
                </c:pt>
                <c:pt idx="157">
                  <c:v>-1352.530029</c:v>
                </c:pt>
                <c:pt idx="158">
                  <c:v>-1368.780029</c:v>
                </c:pt>
                <c:pt idx="159">
                  <c:v>-1384.8599850000001</c:v>
                </c:pt>
                <c:pt idx="160">
                  <c:v>-1400.76001</c:v>
                </c:pt>
                <c:pt idx="161">
                  <c:v>-1416.469971</c:v>
                </c:pt>
                <c:pt idx="162">
                  <c:v>-1431.98999</c:v>
                </c:pt>
                <c:pt idx="163">
                  <c:v>-1447.3199460000001</c:v>
                </c:pt>
                <c:pt idx="164">
                  <c:v>-1462.4499510000001</c:v>
                </c:pt>
                <c:pt idx="165">
                  <c:v>-1477.380005</c:v>
                </c:pt>
                <c:pt idx="166">
                  <c:v>-1492.099976</c:v>
                </c:pt>
                <c:pt idx="167">
                  <c:v>-1506.6099850000001</c:v>
                </c:pt>
                <c:pt idx="168">
                  <c:v>-1520.900024</c:v>
                </c:pt>
                <c:pt idx="169">
                  <c:v>-1534.969971</c:v>
                </c:pt>
                <c:pt idx="170">
                  <c:v>-1548.8199460000001</c:v>
                </c:pt>
                <c:pt idx="171">
                  <c:v>-1562.4399410000001</c:v>
                </c:pt>
                <c:pt idx="172">
                  <c:v>-1575.829956</c:v>
                </c:pt>
                <c:pt idx="173">
                  <c:v>-1588.9799800000001</c:v>
                </c:pt>
                <c:pt idx="174">
                  <c:v>-1601.8900149999999</c:v>
                </c:pt>
                <c:pt idx="175">
                  <c:v>-1614.559937</c:v>
                </c:pt>
                <c:pt idx="176">
                  <c:v>-1626.9799800000001</c:v>
                </c:pt>
                <c:pt idx="177">
                  <c:v>-1639.1499020000001</c:v>
                </c:pt>
                <c:pt idx="178">
                  <c:v>-1651.0699460000001</c:v>
                </c:pt>
                <c:pt idx="179">
                  <c:v>-1662.7299800000001</c:v>
                </c:pt>
                <c:pt idx="180">
                  <c:v>-1674.130005</c:v>
                </c:pt>
                <c:pt idx="181">
                  <c:v>-1685.2700199999999</c:v>
                </c:pt>
                <c:pt idx="182">
                  <c:v>-1696.1400149999999</c:v>
                </c:pt>
                <c:pt idx="183">
                  <c:v>-1706.73999</c:v>
                </c:pt>
                <c:pt idx="184">
                  <c:v>-1717.0699460000001</c:v>
                </c:pt>
                <c:pt idx="185">
                  <c:v>-1727.119995</c:v>
                </c:pt>
                <c:pt idx="186">
                  <c:v>-1736.8900149999999</c:v>
                </c:pt>
                <c:pt idx="187">
                  <c:v>-1746.380005</c:v>
                </c:pt>
                <c:pt idx="188">
                  <c:v>-1755.589966</c:v>
                </c:pt>
                <c:pt idx="189">
                  <c:v>-1764.51001</c:v>
                </c:pt>
                <c:pt idx="190">
                  <c:v>-1773.1400149999999</c:v>
                </c:pt>
                <c:pt idx="191">
                  <c:v>-1781.4799800000001</c:v>
                </c:pt>
                <c:pt idx="192">
                  <c:v>-1789.5200199999999</c:v>
                </c:pt>
                <c:pt idx="193">
                  <c:v>-1797.2700199999999</c:v>
                </c:pt>
                <c:pt idx="194">
                  <c:v>-1804.719971</c:v>
                </c:pt>
                <c:pt idx="195">
                  <c:v>-1811.869995</c:v>
                </c:pt>
                <c:pt idx="196">
                  <c:v>-1818.709961</c:v>
                </c:pt>
                <c:pt idx="197">
                  <c:v>-1825.25</c:v>
                </c:pt>
                <c:pt idx="198">
                  <c:v>-1831.4799800000001</c:v>
                </c:pt>
                <c:pt idx="199">
                  <c:v>-1837.3999020000001</c:v>
                </c:pt>
                <c:pt idx="200">
                  <c:v>-1843.01001</c:v>
                </c:pt>
                <c:pt idx="201">
                  <c:v>-1848.309937</c:v>
                </c:pt>
                <c:pt idx="202">
                  <c:v>-1853.299927</c:v>
                </c:pt>
                <c:pt idx="203">
                  <c:v>-1857.969971</c:v>
                </c:pt>
                <c:pt idx="204">
                  <c:v>-1862.3199460000001</c:v>
                </c:pt>
                <c:pt idx="205">
                  <c:v>-1866.3599850000001</c:v>
                </c:pt>
                <c:pt idx="206">
                  <c:v>-1870.079956</c:v>
                </c:pt>
                <c:pt idx="207">
                  <c:v>-1873.4799800000001</c:v>
                </c:pt>
                <c:pt idx="208">
                  <c:v>-1876.559937</c:v>
                </c:pt>
                <c:pt idx="209">
                  <c:v>-1879.3199460000001</c:v>
                </c:pt>
                <c:pt idx="210">
                  <c:v>-1881.75</c:v>
                </c:pt>
                <c:pt idx="211">
                  <c:v>-1883.8599850000001</c:v>
                </c:pt>
                <c:pt idx="212">
                  <c:v>-1885.6499020000001</c:v>
                </c:pt>
                <c:pt idx="213">
                  <c:v>-1887.1099850000001</c:v>
                </c:pt>
                <c:pt idx="214">
                  <c:v>-1888.25</c:v>
                </c:pt>
                <c:pt idx="215">
                  <c:v>-1889.059937</c:v>
                </c:pt>
                <c:pt idx="216">
                  <c:v>-1889.549927</c:v>
                </c:pt>
                <c:pt idx="217">
                  <c:v>-1889.709961</c:v>
                </c:pt>
                <c:pt idx="218">
                  <c:v>-1889.549927</c:v>
                </c:pt>
                <c:pt idx="219">
                  <c:v>-1889.059937</c:v>
                </c:pt>
                <c:pt idx="220">
                  <c:v>-1888.25</c:v>
                </c:pt>
                <c:pt idx="221">
                  <c:v>-1887.1099850000001</c:v>
                </c:pt>
                <c:pt idx="222">
                  <c:v>-1885.6499020000001</c:v>
                </c:pt>
                <c:pt idx="223">
                  <c:v>-1883.8599850000001</c:v>
                </c:pt>
                <c:pt idx="224">
                  <c:v>-1881.75</c:v>
                </c:pt>
                <c:pt idx="225">
                  <c:v>-1879.3199460000001</c:v>
                </c:pt>
                <c:pt idx="226">
                  <c:v>-1876.559937</c:v>
                </c:pt>
                <c:pt idx="227">
                  <c:v>-1873.4799800000001</c:v>
                </c:pt>
                <c:pt idx="228">
                  <c:v>-1870.079956</c:v>
                </c:pt>
                <c:pt idx="229">
                  <c:v>-1866.3599850000001</c:v>
                </c:pt>
                <c:pt idx="230">
                  <c:v>-1862.3199460000001</c:v>
                </c:pt>
                <c:pt idx="231">
                  <c:v>-1857.969971</c:v>
                </c:pt>
                <c:pt idx="232">
                  <c:v>-1853.299927</c:v>
                </c:pt>
                <c:pt idx="233">
                  <c:v>-1848.309937</c:v>
                </c:pt>
                <c:pt idx="234">
                  <c:v>-1843.01001</c:v>
                </c:pt>
                <c:pt idx="235">
                  <c:v>-1837.3999020000001</c:v>
                </c:pt>
                <c:pt idx="236">
                  <c:v>-1831.4799800000001</c:v>
                </c:pt>
                <c:pt idx="237">
                  <c:v>-1825.25</c:v>
                </c:pt>
                <c:pt idx="238">
                  <c:v>-1818.709961</c:v>
                </c:pt>
                <c:pt idx="239">
                  <c:v>-1811.869995</c:v>
                </c:pt>
                <c:pt idx="240">
                  <c:v>-1804.719971</c:v>
                </c:pt>
                <c:pt idx="241">
                  <c:v>-1797.2700199999999</c:v>
                </c:pt>
                <c:pt idx="242">
                  <c:v>-1789.5200199999999</c:v>
                </c:pt>
                <c:pt idx="243">
                  <c:v>-1781.4799800000001</c:v>
                </c:pt>
                <c:pt idx="244">
                  <c:v>-1773.1400149999999</c:v>
                </c:pt>
                <c:pt idx="245">
                  <c:v>-1764.51001</c:v>
                </c:pt>
                <c:pt idx="246">
                  <c:v>-1755.589966</c:v>
                </c:pt>
                <c:pt idx="247">
                  <c:v>-1746.380005</c:v>
                </c:pt>
                <c:pt idx="248">
                  <c:v>-1736.8900149999999</c:v>
                </c:pt>
                <c:pt idx="249">
                  <c:v>-1727.119995</c:v>
                </c:pt>
                <c:pt idx="250">
                  <c:v>-1717.0699460000001</c:v>
                </c:pt>
                <c:pt idx="251">
                  <c:v>-1706.73999</c:v>
                </c:pt>
                <c:pt idx="252">
                  <c:v>-1696.1400149999999</c:v>
                </c:pt>
                <c:pt idx="253">
                  <c:v>-1685.2700199999999</c:v>
                </c:pt>
                <c:pt idx="254">
                  <c:v>-1674.130005</c:v>
                </c:pt>
                <c:pt idx="255">
                  <c:v>-1662.7299800000001</c:v>
                </c:pt>
                <c:pt idx="256">
                  <c:v>-1651.0699460000001</c:v>
                </c:pt>
                <c:pt idx="257">
                  <c:v>-1639.1499020000001</c:v>
                </c:pt>
                <c:pt idx="258">
                  <c:v>-1626.9799800000001</c:v>
                </c:pt>
                <c:pt idx="259">
                  <c:v>-1614.559937</c:v>
                </c:pt>
                <c:pt idx="260">
                  <c:v>-1601.8900149999999</c:v>
                </c:pt>
                <c:pt idx="261">
                  <c:v>-1588.9799800000001</c:v>
                </c:pt>
                <c:pt idx="262">
                  <c:v>-1575.829956</c:v>
                </c:pt>
                <c:pt idx="263">
                  <c:v>-1562.4399410000001</c:v>
                </c:pt>
                <c:pt idx="264">
                  <c:v>-1548.8199460000001</c:v>
                </c:pt>
                <c:pt idx="265">
                  <c:v>-1534.969971</c:v>
                </c:pt>
                <c:pt idx="266">
                  <c:v>-1520.900024</c:v>
                </c:pt>
                <c:pt idx="267">
                  <c:v>-1506.6099850000001</c:v>
                </c:pt>
                <c:pt idx="268">
                  <c:v>-1492.099976</c:v>
                </c:pt>
                <c:pt idx="269">
                  <c:v>-1477.380005</c:v>
                </c:pt>
                <c:pt idx="270">
                  <c:v>-1462.4499510000001</c:v>
                </c:pt>
                <c:pt idx="271">
                  <c:v>-1447.3199460000001</c:v>
                </c:pt>
                <c:pt idx="272">
                  <c:v>-1431.98999</c:v>
                </c:pt>
                <c:pt idx="273">
                  <c:v>-1416.469971</c:v>
                </c:pt>
                <c:pt idx="274">
                  <c:v>-1400.76001</c:v>
                </c:pt>
                <c:pt idx="275">
                  <c:v>-1384.8599850000001</c:v>
                </c:pt>
                <c:pt idx="276">
                  <c:v>-1368.780029</c:v>
                </c:pt>
                <c:pt idx="277">
                  <c:v>-1352.530029</c:v>
                </c:pt>
                <c:pt idx="278">
                  <c:v>-1336.099976</c:v>
                </c:pt>
                <c:pt idx="279">
                  <c:v>-1319.51001</c:v>
                </c:pt>
                <c:pt idx="280">
                  <c:v>-1302.75</c:v>
                </c:pt>
                <c:pt idx="281">
                  <c:v>-1285.839966</c:v>
                </c:pt>
                <c:pt idx="282">
                  <c:v>-1268.7700199999999</c:v>
                </c:pt>
                <c:pt idx="283">
                  <c:v>-1251.559937</c:v>
                </c:pt>
                <c:pt idx="284">
                  <c:v>-1234.1999510000001</c:v>
                </c:pt>
                <c:pt idx="285">
                  <c:v>-1216.709961</c:v>
                </c:pt>
                <c:pt idx="286">
                  <c:v>-1199.079956</c:v>
                </c:pt>
                <c:pt idx="287">
                  <c:v>-1181.329956</c:v>
                </c:pt>
                <c:pt idx="288">
                  <c:v>-1163.4499510000001</c:v>
                </c:pt>
                <c:pt idx="289">
                  <c:v>-1145.459961</c:v>
                </c:pt>
                <c:pt idx="290">
                  <c:v>-1127.349976</c:v>
                </c:pt>
                <c:pt idx="291">
                  <c:v>-1109.1400149999999</c:v>
                </c:pt>
                <c:pt idx="292">
                  <c:v>-1090.8199460000001</c:v>
                </c:pt>
                <c:pt idx="293">
                  <c:v>-1072.410034</c:v>
                </c:pt>
                <c:pt idx="294">
                  <c:v>-1053.910034</c:v>
                </c:pt>
                <c:pt idx="295">
                  <c:v>-1035.3199460000001</c:v>
                </c:pt>
                <c:pt idx="296">
                  <c:v>-1016.649963</c:v>
                </c:pt>
                <c:pt idx="297">
                  <c:v>-997.89996299999996</c:v>
                </c:pt>
                <c:pt idx="298">
                  <c:v>-979.07995600000004</c:v>
                </c:pt>
                <c:pt idx="299">
                  <c:v>-960.19995100000006</c:v>
                </c:pt>
                <c:pt idx="300">
                  <c:v>-941.25994900000001</c:v>
                </c:pt>
                <c:pt idx="301">
                  <c:v>-922.26000999999997</c:v>
                </c:pt>
                <c:pt idx="302">
                  <c:v>-903.21997099999999</c:v>
                </c:pt>
                <c:pt idx="303">
                  <c:v>-884.13000499999998</c:v>
                </c:pt>
                <c:pt idx="304">
                  <c:v>-865.01000999999997</c:v>
                </c:pt>
                <c:pt idx="305">
                  <c:v>-845.84997599999997</c:v>
                </c:pt>
                <c:pt idx="306">
                  <c:v>-826.669983</c:v>
                </c:pt>
                <c:pt idx="307">
                  <c:v>-807.46997099999999</c:v>
                </c:pt>
                <c:pt idx="308">
                  <c:v>-788.25</c:v>
                </c:pt>
                <c:pt idx="309">
                  <c:v>-769.01995799999997</c:v>
                </c:pt>
                <c:pt idx="310">
                  <c:v>-749.77996800000005</c:v>
                </c:pt>
                <c:pt idx="311">
                  <c:v>-730.54998799999998</c:v>
                </c:pt>
                <c:pt idx="312">
                  <c:v>-711.32000700000003</c:v>
                </c:pt>
                <c:pt idx="313">
                  <c:v>-692.09997599999997</c:v>
                </c:pt>
                <c:pt idx="314">
                  <c:v>-672.89996299999996</c:v>
                </c:pt>
                <c:pt idx="315">
                  <c:v>-653.71997099999999</c:v>
                </c:pt>
                <c:pt idx="316">
                  <c:v>-634.57000700000003</c:v>
                </c:pt>
                <c:pt idx="317">
                  <c:v>-615.45996100000002</c:v>
                </c:pt>
                <c:pt idx="318">
                  <c:v>-596.39001499999995</c:v>
                </c:pt>
                <c:pt idx="319">
                  <c:v>-577.35998500000005</c:v>
                </c:pt>
                <c:pt idx="320">
                  <c:v>-558.38000499999998</c:v>
                </c:pt>
                <c:pt idx="321">
                  <c:v>-539.45996100000002</c:v>
                </c:pt>
                <c:pt idx="322">
                  <c:v>-520.59997599999997</c:v>
                </c:pt>
                <c:pt idx="323">
                  <c:v>-501.79998799999998</c:v>
                </c:pt>
                <c:pt idx="324">
                  <c:v>-483.07998700000002</c:v>
                </c:pt>
                <c:pt idx="325">
                  <c:v>-464.42999300000002</c:v>
                </c:pt>
                <c:pt idx="326">
                  <c:v>-445.86999500000002</c:v>
                </c:pt>
                <c:pt idx="327">
                  <c:v>-427.38998400000003</c:v>
                </c:pt>
                <c:pt idx="328">
                  <c:v>-409.00997899999999</c:v>
                </c:pt>
                <c:pt idx="329">
                  <c:v>-390.72000100000002</c:v>
                </c:pt>
                <c:pt idx="330">
                  <c:v>-372.53997800000002</c:v>
                </c:pt>
                <c:pt idx="331">
                  <c:v>-354.47000100000002</c:v>
                </c:pt>
                <c:pt idx="332">
                  <c:v>-336.50997899999999</c:v>
                </c:pt>
                <c:pt idx="333">
                  <c:v>-318.669983</c:v>
                </c:pt>
                <c:pt idx="334">
                  <c:v>-300.94998199999998</c:v>
                </c:pt>
                <c:pt idx="335">
                  <c:v>-283.35998499999999</c:v>
                </c:pt>
                <c:pt idx="336">
                  <c:v>-265.91000400000001</c:v>
                </c:pt>
                <c:pt idx="337">
                  <c:v>-248.59999099999999</c:v>
                </c:pt>
                <c:pt idx="338">
                  <c:v>-231.429993</c:v>
                </c:pt>
                <c:pt idx="339">
                  <c:v>-214.409988</c:v>
                </c:pt>
                <c:pt idx="340">
                  <c:v>-197.550003</c:v>
                </c:pt>
                <c:pt idx="341">
                  <c:v>-180.83999600000001</c:v>
                </c:pt>
                <c:pt idx="342">
                  <c:v>-164.300003</c:v>
                </c:pt>
                <c:pt idx="343">
                  <c:v>-147.929993</c:v>
                </c:pt>
                <c:pt idx="344">
                  <c:v>-131.729996</c:v>
                </c:pt>
                <c:pt idx="345">
                  <c:v>-115.709999</c:v>
                </c:pt>
                <c:pt idx="346">
                  <c:v>-99.869995000000003</c:v>
                </c:pt>
                <c:pt idx="347">
                  <c:v>-84.220000999999996</c:v>
                </c:pt>
                <c:pt idx="348">
                  <c:v>-68.760002</c:v>
                </c:pt>
                <c:pt idx="349">
                  <c:v>-53.489998</c:v>
                </c:pt>
                <c:pt idx="350">
                  <c:v>-38.419998</c:v>
                </c:pt>
                <c:pt idx="351">
                  <c:v>-23.559999000000001</c:v>
                </c:pt>
                <c:pt idx="352">
                  <c:v>-8.91</c:v>
                </c:pt>
                <c:pt idx="353">
                  <c:v>5.53</c:v>
                </c:pt>
                <c:pt idx="354">
                  <c:v>19.75</c:v>
                </c:pt>
                <c:pt idx="355">
                  <c:v>33.75</c:v>
                </c:pt>
                <c:pt idx="356">
                  <c:v>47.529998999999997</c:v>
                </c:pt>
                <c:pt idx="357">
                  <c:v>61.079998000000003</c:v>
                </c:pt>
                <c:pt idx="358">
                  <c:v>74.389999000000003</c:v>
                </c:pt>
                <c:pt idx="359">
                  <c:v>87.470000999999996</c:v>
                </c:pt>
                <c:pt idx="360">
                  <c:v>100.30999799999999</c:v>
                </c:pt>
                <c:pt idx="361">
                  <c:v>112.89999400000001</c:v>
                </c:pt>
                <c:pt idx="362">
                  <c:v>125.239998</c:v>
                </c:pt>
                <c:pt idx="363">
                  <c:v>137.33000200000001</c:v>
                </c:pt>
                <c:pt idx="364">
                  <c:v>149.16999799999999</c:v>
                </c:pt>
                <c:pt idx="365">
                  <c:v>160.75</c:v>
                </c:pt>
                <c:pt idx="366">
                  <c:v>172.06999200000001</c:v>
                </c:pt>
                <c:pt idx="367">
                  <c:v>183.11999499999999</c:v>
                </c:pt>
                <c:pt idx="368">
                  <c:v>193.909988</c:v>
                </c:pt>
                <c:pt idx="369">
                  <c:v>204.429993</c:v>
                </c:pt>
                <c:pt idx="370">
                  <c:v>214.66999799999999</c:v>
                </c:pt>
                <c:pt idx="371">
                  <c:v>224.62998999999999</c:v>
                </c:pt>
                <c:pt idx="372">
                  <c:v>234.30999800000001</c:v>
                </c:pt>
                <c:pt idx="373">
                  <c:v>243.709991</c:v>
                </c:pt>
                <c:pt idx="374">
                  <c:v>252.83000200000001</c:v>
                </c:pt>
                <c:pt idx="375">
                  <c:v>261.66000400000001</c:v>
                </c:pt>
                <c:pt idx="376">
                  <c:v>270.19998199999998</c:v>
                </c:pt>
                <c:pt idx="377">
                  <c:v>278.44998199999998</c:v>
                </c:pt>
                <c:pt idx="378">
                  <c:v>286.39999399999999</c:v>
                </c:pt>
                <c:pt idx="379">
                  <c:v>294.04998799999998</c:v>
                </c:pt>
                <c:pt idx="380">
                  <c:v>301.39999399999999</c:v>
                </c:pt>
                <c:pt idx="381">
                  <c:v>308.44998199999998</c:v>
                </c:pt>
                <c:pt idx="382">
                  <c:v>315.19998199999998</c:v>
                </c:pt>
                <c:pt idx="383">
                  <c:v>321.63998400000003</c:v>
                </c:pt>
                <c:pt idx="384">
                  <c:v>327.76998900000001</c:v>
                </c:pt>
                <c:pt idx="385">
                  <c:v>333.60000600000001</c:v>
                </c:pt>
                <c:pt idx="386">
                  <c:v>339.10998499999999</c:v>
                </c:pt>
                <c:pt idx="387">
                  <c:v>344.30999800000001</c:v>
                </c:pt>
                <c:pt idx="388">
                  <c:v>349.19998199999998</c:v>
                </c:pt>
                <c:pt idx="389">
                  <c:v>353.76998900000001</c:v>
                </c:pt>
                <c:pt idx="390">
                  <c:v>358.02999899999998</c:v>
                </c:pt>
                <c:pt idx="391">
                  <c:v>361.97000100000002</c:v>
                </c:pt>
                <c:pt idx="392">
                  <c:v>365.58999599999999</c:v>
                </c:pt>
                <c:pt idx="393">
                  <c:v>368.88998400000003</c:v>
                </c:pt>
                <c:pt idx="394">
                  <c:v>371.86999500000002</c:v>
                </c:pt>
                <c:pt idx="395">
                  <c:v>374.51998900000001</c:v>
                </c:pt>
                <c:pt idx="396">
                  <c:v>376.85000600000001</c:v>
                </c:pt>
                <c:pt idx="397">
                  <c:v>378.85998499999999</c:v>
                </c:pt>
                <c:pt idx="398">
                  <c:v>380.54998799999998</c:v>
                </c:pt>
              </c:numCache>
            </c:numRef>
          </c:xVal>
          <c:yVal>
            <c:numRef>
              <c:f>hybrid!$C$2:$C$400</c:f>
              <c:numCache>
                <c:formatCode>General</c:formatCode>
                <c:ptCount val="399"/>
                <c:pt idx="0">
                  <c:v>1074.369995</c:v>
                </c:pt>
                <c:pt idx="1">
                  <c:v>1090.880005</c:v>
                </c:pt>
                <c:pt idx="2">
                  <c:v>1107.3900149999999</c:v>
                </c:pt>
                <c:pt idx="3">
                  <c:v>1123.900024</c:v>
                </c:pt>
                <c:pt idx="4">
                  <c:v>1140.410034</c:v>
                </c:pt>
                <c:pt idx="5">
                  <c:v>1156.919922</c:v>
                </c:pt>
                <c:pt idx="6">
                  <c:v>1173.429932</c:v>
                </c:pt>
                <c:pt idx="7">
                  <c:v>1189.9399410000001</c:v>
                </c:pt>
                <c:pt idx="8">
                  <c:v>1206.4499510000001</c:v>
                </c:pt>
                <c:pt idx="9">
                  <c:v>1222.959961</c:v>
                </c:pt>
                <c:pt idx="10">
                  <c:v>1239.469971</c:v>
                </c:pt>
                <c:pt idx="11">
                  <c:v>1255.9799800000001</c:v>
                </c:pt>
                <c:pt idx="12">
                  <c:v>1272.48999</c:v>
                </c:pt>
                <c:pt idx="13">
                  <c:v>1289</c:v>
                </c:pt>
                <c:pt idx="14">
                  <c:v>1305.51001</c:v>
                </c:pt>
                <c:pt idx="15">
                  <c:v>1322.0200199999999</c:v>
                </c:pt>
                <c:pt idx="16">
                  <c:v>1338.530029</c:v>
                </c:pt>
                <c:pt idx="17">
                  <c:v>1355.0399170000001</c:v>
                </c:pt>
                <c:pt idx="18">
                  <c:v>1371.549927</c:v>
                </c:pt>
                <c:pt idx="19">
                  <c:v>1388.059937</c:v>
                </c:pt>
                <c:pt idx="20">
                  <c:v>1404.5699460000001</c:v>
                </c:pt>
                <c:pt idx="21">
                  <c:v>1421.079956</c:v>
                </c:pt>
                <c:pt idx="22">
                  <c:v>1437.589966</c:v>
                </c:pt>
                <c:pt idx="23">
                  <c:v>1454.099976</c:v>
                </c:pt>
                <c:pt idx="24">
                  <c:v>1470.6099850000001</c:v>
                </c:pt>
                <c:pt idx="25">
                  <c:v>1487.119995</c:v>
                </c:pt>
                <c:pt idx="26">
                  <c:v>1503.630005</c:v>
                </c:pt>
                <c:pt idx="27">
                  <c:v>1520.1400149999999</c:v>
                </c:pt>
                <c:pt idx="28">
                  <c:v>1536.650024</c:v>
                </c:pt>
                <c:pt idx="29">
                  <c:v>1553.1599120000001</c:v>
                </c:pt>
                <c:pt idx="30">
                  <c:v>1569.669922</c:v>
                </c:pt>
                <c:pt idx="31">
                  <c:v>1586.179932</c:v>
                </c:pt>
                <c:pt idx="32">
                  <c:v>1602.6899410000001</c:v>
                </c:pt>
                <c:pt idx="33">
                  <c:v>1619.1999510000001</c:v>
                </c:pt>
                <c:pt idx="34">
                  <c:v>1635.709961</c:v>
                </c:pt>
                <c:pt idx="35">
                  <c:v>1652.219971</c:v>
                </c:pt>
                <c:pt idx="36">
                  <c:v>1668.7299800000001</c:v>
                </c:pt>
                <c:pt idx="37">
                  <c:v>1685.23999</c:v>
                </c:pt>
                <c:pt idx="38">
                  <c:v>1701.75</c:v>
                </c:pt>
                <c:pt idx="39">
                  <c:v>1718.26001</c:v>
                </c:pt>
                <c:pt idx="40">
                  <c:v>1734.7700199999999</c:v>
                </c:pt>
                <c:pt idx="41">
                  <c:v>1751.2799070000001</c:v>
                </c:pt>
                <c:pt idx="42">
                  <c:v>1767.7899170000001</c:v>
                </c:pt>
                <c:pt idx="43">
                  <c:v>1784.299927</c:v>
                </c:pt>
                <c:pt idx="44">
                  <c:v>1800.809937</c:v>
                </c:pt>
                <c:pt idx="45">
                  <c:v>1817.3199460000001</c:v>
                </c:pt>
                <c:pt idx="46">
                  <c:v>1833.829956</c:v>
                </c:pt>
                <c:pt idx="47">
                  <c:v>1850.339966</c:v>
                </c:pt>
                <c:pt idx="48">
                  <c:v>1866.849976</c:v>
                </c:pt>
                <c:pt idx="49">
                  <c:v>1883.3599850000001</c:v>
                </c:pt>
                <c:pt idx="50">
                  <c:v>1899.869995</c:v>
                </c:pt>
                <c:pt idx="51">
                  <c:v>1916.380005</c:v>
                </c:pt>
                <c:pt idx="52">
                  <c:v>1932.849976</c:v>
                </c:pt>
                <c:pt idx="53">
                  <c:v>1949.2799070000001</c:v>
                </c:pt>
                <c:pt idx="54">
                  <c:v>1965.669922</c:v>
                </c:pt>
                <c:pt idx="55">
                  <c:v>1982.01001</c:v>
                </c:pt>
                <c:pt idx="56">
                  <c:v>1998.309937</c:v>
                </c:pt>
                <c:pt idx="57">
                  <c:v>2014.549927</c:v>
                </c:pt>
                <c:pt idx="58">
                  <c:v>2030.7299800000001</c:v>
                </c:pt>
                <c:pt idx="59">
                  <c:v>2046.839966</c:v>
                </c:pt>
                <c:pt idx="60">
                  <c:v>2062.8698730000001</c:v>
                </c:pt>
                <c:pt idx="61">
                  <c:v>2078.8100589999999</c:v>
                </c:pt>
                <c:pt idx="62">
                  <c:v>2094.6599120000001</c:v>
                </c:pt>
                <c:pt idx="63">
                  <c:v>2110.4099120000001</c:v>
                </c:pt>
                <c:pt idx="64">
                  <c:v>2126.0500489999999</c:v>
                </c:pt>
                <c:pt idx="65">
                  <c:v>2141.570068</c:v>
                </c:pt>
                <c:pt idx="66">
                  <c:v>2156.959961</c:v>
                </c:pt>
                <c:pt idx="67">
                  <c:v>2172.219971</c:v>
                </c:pt>
                <c:pt idx="68">
                  <c:v>2187.3398440000001</c:v>
                </c:pt>
                <c:pt idx="69">
                  <c:v>2202.3100589999999</c:v>
                </c:pt>
                <c:pt idx="70">
                  <c:v>2217.1198730000001</c:v>
                </c:pt>
                <c:pt idx="71">
                  <c:v>2231.7700199999999</c:v>
                </c:pt>
                <c:pt idx="72">
                  <c:v>2246.25</c:v>
                </c:pt>
                <c:pt idx="73">
                  <c:v>2260.5600589999999</c:v>
                </c:pt>
                <c:pt idx="74">
                  <c:v>2274.6899410000001</c:v>
                </c:pt>
                <c:pt idx="75">
                  <c:v>2288.6298830000001</c:v>
                </c:pt>
                <c:pt idx="76">
                  <c:v>2302.3798830000001</c:v>
                </c:pt>
                <c:pt idx="77">
                  <c:v>2315.929932</c:v>
                </c:pt>
                <c:pt idx="78">
                  <c:v>2329.280029</c:v>
                </c:pt>
                <c:pt idx="79">
                  <c:v>2342.419922</c:v>
                </c:pt>
                <c:pt idx="80">
                  <c:v>2355.3398440000001</c:v>
                </c:pt>
                <c:pt idx="81">
                  <c:v>2368.040039</c:v>
                </c:pt>
                <c:pt idx="82">
                  <c:v>2380.5200199999999</c:v>
                </c:pt>
                <c:pt idx="83">
                  <c:v>2392.7700199999999</c:v>
                </c:pt>
                <c:pt idx="84">
                  <c:v>2404.780029</c:v>
                </c:pt>
                <c:pt idx="85">
                  <c:v>2416.5600589999999</c:v>
                </c:pt>
                <c:pt idx="86">
                  <c:v>2428.0898440000001</c:v>
                </c:pt>
                <c:pt idx="87">
                  <c:v>2439.3698730000001</c:v>
                </c:pt>
                <c:pt idx="88">
                  <c:v>2450.3999020000001</c:v>
                </c:pt>
                <c:pt idx="89">
                  <c:v>2461.179932</c:v>
                </c:pt>
                <c:pt idx="90">
                  <c:v>2471.6999510000001</c:v>
                </c:pt>
                <c:pt idx="91">
                  <c:v>2481.9499510000001</c:v>
                </c:pt>
                <c:pt idx="92">
                  <c:v>2491.9399410000001</c:v>
                </c:pt>
                <c:pt idx="93">
                  <c:v>2501.6599120000001</c:v>
                </c:pt>
                <c:pt idx="94">
                  <c:v>2511.0998540000001</c:v>
                </c:pt>
                <c:pt idx="95">
                  <c:v>2520.2700199999999</c:v>
                </c:pt>
                <c:pt idx="96">
                  <c:v>2529.1599120000001</c:v>
                </c:pt>
                <c:pt idx="97">
                  <c:v>2537.76001</c:v>
                </c:pt>
                <c:pt idx="98">
                  <c:v>2546.0798340000001</c:v>
                </c:pt>
                <c:pt idx="99">
                  <c:v>2554.1098630000001</c:v>
                </c:pt>
                <c:pt idx="100">
                  <c:v>2561.8498540000001</c:v>
                </c:pt>
                <c:pt idx="101">
                  <c:v>2569.290039</c:v>
                </c:pt>
                <c:pt idx="102">
                  <c:v>2576.4399410000001</c:v>
                </c:pt>
                <c:pt idx="103">
                  <c:v>2583.290039</c:v>
                </c:pt>
                <c:pt idx="104">
                  <c:v>2589.8398440000001</c:v>
                </c:pt>
                <c:pt idx="105">
                  <c:v>2596.0798340000001</c:v>
                </c:pt>
                <c:pt idx="106">
                  <c:v>2602.0200199999999</c:v>
                </c:pt>
                <c:pt idx="107">
                  <c:v>2607.6499020000001</c:v>
                </c:pt>
                <c:pt idx="108">
                  <c:v>2612.969971</c:v>
                </c:pt>
                <c:pt idx="109">
                  <c:v>2617.9799800000001</c:v>
                </c:pt>
                <c:pt idx="110">
                  <c:v>2622.679932</c:v>
                </c:pt>
                <c:pt idx="111">
                  <c:v>2627.0600589999999</c:v>
                </c:pt>
                <c:pt idx="112">
                  <c:v>2631.1298830000001</c:v>
                </c:pt>
                <c:pt idx="113">
                  <c:v>2634.8798830000001</c:v>
                </c:pt>
                <c:pt idx="114">
                  <c:v>2638.3100589999999</c:v>
                </c:pt>
                <c:pt idx="115">
                  <c:v>2641.419922</c:v>
                </c:pt>
                <c:pt idx="116">
                  <c:v>2644.209961</c:v>
                </c:pt>
                <c:pt idx="117">
                  <c:v>2646.679932</c:v>
                </c:pt>
                <c:pt idx="118">
                  <c:v>2648.8298340000001</c:v>
                </c:pt>
                <c:pt idx="119">
                  <c:v>2650.6599120000001</c:v>
                </c:pt>
                <c:pt idx="120">
                  <c:v>2652.1599120000001</c:v>
                </c:pt>
                <c:pt idx="121">
                  <c:v>2653.3398440000001</c:v>
                </c:pt>
                <c:pt idx="122">
                  <c:v>2654.1999510000001</c:v>
                </c:pt>
                <c:pt idx="123">
                  <c:v>2654.7299800000001</c:v>
                </c:pt>
                <c:pt idx="124">
                  <c:v>2654.9399410000001</c:v>
                </c:pt>
                <c:pt idx="125">
                  <c:v>2654.8198240000002</c:v>
                </c:pt>
                <c:pt idx="126">
                  <c:v>2654.3798830000001</c:v>
                </c:pt>
                <c:pt idx="127">
                  <c:v>2653.6098630000001</c:v>
                </c:pt>
                <c:pt idx="128">
                  <c:v>2652.5200199999999</c:v>
                </c:pt>
                <c:pt idx="129">
                  <c:v>2651.0998540000001</c:v>
                </c:pt>
                <c:pt idx="130">
                  <c:v>2649.3598630000001</c:v>
                </c:pt>
                <c:pt idx="131">
                  <c:v>2647.3000489999999</c:v>
                </c:pt>
                <c:pt idx="132">
                  <c:v>2644.9099120000001</c:v>
                </c:pt>
                <c:pt idx="133">
                  <c:v>2642.1999510000001</c:v>
                </c:pt>
                <c:pt idx="134">
                  <c:v>2639.169922</c:v>
                </c:pt>
                <c:pt idx="135">
                  <c:v>2635.8198240000002</c:v>
                </c:pt>
                <c:pt idx="136">
                  <c:v>2632.1499020000001</c:v>
                </c:pt>
                <c:pt idx="137">
                  <c:v>2628.1599120000001</c:v>
                </c:pt>
                <c:pt idx="138">
                  <c:v>2623.8498540000001</c:v>
                </c:pt>
                <c:pt idx="139">
                  <c:v>2619.2299800000001</c:v>
                </c:pt>
                <c:pt idx="140">
                  <c:v>2614.290039</c:v>
                </c:pt>
                <c:pt idx="141">
                  <c:v>2609.040039</c:v>
                </c:pt>
                <c:pt idx="142">
                  <c:v>2603.4799800000001</c:v>
                </c:pt>
                <c:pt idx="143">
                  <c:v>2597.6098630000001</c:v>
                </c:pt>
                <c:pt idx="144">
                  <c:v>2591.429932</c:v>
                </c:pt>
                <c:pt idx="145">
                  <c:v>2584.9399410000001</c:v>
                </c:pt>
                <c:pt idx="146">
                  <c:v>2578.139893</c:v>
                </c:pt>
                <c:pt idx="147">
                  <c:v>2571.040039</c:v>
                </c:pt>
                <c:pt idx="148">
                  <c:v>2563.639893</c:v>
                </c:pt>
                <c:pt idx="149">
                  <c:v>2555.9399410000001</c:v>
                </c:pt>
                <c:pt idx="150">
                  <c:v>2547.9399410000001</c:v>
                </c:pt>
                <c:pt idx="151">
                  <c:v>2539.6499020000001</c:v>
                </c:pt>
                <c:pt idx="152">
                  <c:v>2531.0698240000002</c:v>
                </c:pt>
                <c:pt idx="153">
                  <c:v>2522.1899410000001</c:v>
                </c:pt>
                <c:pt idx="154">
                  <c:v>2513.030029</c:v>
                </c:pt>
                <c:pt idx="155">
                  <c:v>2503.5798340000001</c:v>
                </c:pt>
                <c:pt idx="156">
                  <c:v>2493.8498540000001</c:v>
                </c:pt>
                <c:pt idx="157">
                  <c:v>2483.8398440000001</c:v>
                </c:pt>
                <c:pt idx="158">
                  <c:v>2473.5500489999999</c:v>
                </c:pt>
                <c:pt idx="159">
                  <c:v>2462.98999</c:v>
                </c:pt>
                <c:pt idx="160">
                  <c:v>2452.1599120000001</c:v>
                </c:pt>
                <c:pt idx="161">
                  <c:v>2441.0600589999999</c:v>
                </c:pt>
                <c:pt idx="162">
                  <c:v>2429.6999510000001</c:v>
                </c:pt>
                <c:pt idx="163">
                  <c:v>2418.0798340000001</c:v>
                </c:pt>
                <c:pt idx="164">
                  <c:v>2406.1999510000001</c:v>
                </c:pt>
                <c:pt idx="165">
                  <c:v>2394.070068</c:v>
                </c:pt>
                <c:pt idx="166">
                  <c:v>2381.6899410000001</c:v>
                </c:pt>
                <c:pt idx="167">
                  <c:v>2369.0600589999999</c:v>
                </c:pt>
                <c:pt idx="168">
                  <c:v>2356.179932</c:v>
                </c:pt>
                <c:pt idx="169">
                  <c:v>2343.0600589999999</c:v>
                </c:pt>
                <c:pt idx="170">
                  <c:v>2329.709961</c:v>
                </c:pt>
                <c:pt idx="171">
                  <c:v>2316.1298830000001</c:v>
                </c:pt>
                <c:pt idx="172">
                  <c:v>2302.320068</c:v>
                </c:pt>
                <c:pt idx="173">
                  <c:v>2288.280029</c:v>
                </c:pt>
                <c:pt idx="174">
                  <c:v>2274.0200199999999</c:v>
                </c:pt>
                <c:pt idx="175">
                  <c:v>2259.5500489999999</c:v>
                </c:pt>
                <c:pt idx="176">
                  <c:v>2244.8598630000001</c:v>
                </c:pt>
                <c:pt idx="177">
                  <c:v>2229.969971</c:v>
                </c:pt>
                <c:pt idx="178">
                  <c:v>2214.8698730000001</c:v>
                </c:pt>
                <c:pt idx="179">
                  <c:v>2199.570068</c:v>
                </c:pt>
                <c:pt idx="180">
                  <c:v>2184.0798340000001</c:v>
                </c:pt>
                <c:pt idx="181">
                  <c:v>2168.3999020000001</c:v>
                </c:pt>
                <c:pt idx="182">
                  <c:v>2152.530029</c:v>
                </c:pt>
                <c:pt idx="183">
                  <c:v>2136.4799800000001</c:v>
                </c:pt>
                <c:pt idx="184">
                  <c:v>2120.25</c:v>
                </c:pt>
                <c:pt idx="185">
                  <c:v>2103.8498540000001</c:v>
                </c:pt>
                <c:pt idx="186">
                  <c:v>2087.280029</c:v>
                </c:pt>
                <c:pt idx="187">
                  <c:v>2070.5500489999999</c:v>
                </c:pt>
                <c:pt idx="188">
                  <c:v>2053.6599120000001</c:v>
                </c:pt>
                <c:pt idx="189">
                  <c:v>2036.619995</c:v>
                </c:pt>
                <c:pt idx="190">
                  <c:v>2019.429932</c:v>
                </c:pt>
                <c:pt idx="191">
                  <c:v>2002.099976</c:v>
                </c:pt>
                <c:pt idx="192">
                  <c:v>1984.630005</c:v>
                </c:pt>
                <c:pt idx="193">
                  <c:v>1967.0198969999999</c:v>
                </c:pt>
                <c:pt idx="194">
                  <c:v>1949.2799070000001</c:v>
                </c:pt>
                <c:pt idx="195">
                  <c:v>1931.419922</c:v>
                </c:pt>
                <c:pt idx="196">
                  <c:v>1913.4399410000001</c:v>
                </c:pt>
                <c:pt idx="197">
                  <c:v>1895.349976</c:v>
                </c:pt>
                <c:pt idx="198">
                  <c:v>1877.1499020000001</c:v>
                </c:pt>
                <c:pt idx="199">
                  <c:v>1858.849976</c:v>
                </c:pt>
                <c:pt idx="200">
                  <c:v>1840.4499510000001</c:v>
                </c:pt>
                <c:pt idx="201">
                  <c:v>1821.959961</c:v>
                </c:pt>
                <c:pt idx="202">
                  <c:v>1803.380005</c:v>
                </c:pt>
                <c:pt idx="203">
                  <c:v>1784.719971</c:v>
                </c:pt>
                <c:pt idx="204">
                  <c:v>1765.9799800000001</c:v>
                </c:pt>
                <c:pt idx="205">
                  <c:v>1747.169922</c:v>
                </c:pt>
                <c:pt idx="206">
                  <c:v>1728.299927</c:v>
                </c:pt>
                <c:pt idx="207">
                  <c:v>1709.369995</c:v>
                </c:pt>
                <c:pt idx="208">
                  <c:v>1690.380005</c:v>
                </c:pt>
                <c:pt idx="209">
                  <c:v>1671.339966</c:v>
                </c:pt>
                <c:pt idx="210">
                  <c:v>1652.26001</c:v>
                </c:pt>
                <c:pt idx="211">
                  <c:v>1633.1400149999999</c:v>
                </c:pt>
                <c:pt idx="212">
                  <c:v>1613.98999</c:v>
                </c:pt>
                <c:pt idx="213">
                  <c:v>1594.809937</c:v>
                </c:pt>
                <c:pt idx="214">
                  <c:v>1575.6099850000001</c:v>
                </c:pt>
                <c:pt idx="215">
                  <c:v>1556.3900149999999</c:v>
                </c:pt>
                <c:pt idx="216">
                  <c:v>1537.1599120000001</c:v>
                </c:pt>
                <c:pt idx="217">
                  <c:v>1517.929932</c:v>
                </c:pt>
                <c:pt idx="218">
                  <c:v>1498.6999510000001</c:v>
                </c:pt>
                <c:pt idx="219">
                  <c:v>1479.469971</c:v>
                </c:pt>
                <c:pt idx="220">
                  <c:v>1460.25</c:v>
                </c:pt>
                <c:pt idx="221">
                  <c:v>1441.049927</c:v>
                </c:pt>
                <c:pt idx="222">
                  <c:v>1421.869995</c:v>
                </c:pt>
                <c:pt idx="223">
                  <c:v>1402.719971</c:v>
                </c:pt>
                <c:pt idx="224">
                  <c:v>1383.599976</c:v>
                </c:pt>
                <c:pt idx="225">
                  <c:v>1364.5200199999999</c:v>
                </c:pt>
                <c:pt idx="226">
                  <c:v>1345.4799800000001</c:v>
                </c:pt>
                <c:pt idx="227">
                  <c:v>1326.48999</c:v>
                </c:pt>
                <c:pt idx="228">
                  <c:v>1307.559937</c:v>
                </c:pt>
                <c:pt idx="229">
                  <c:v>1288.6899410000001</c:v>
                </c:pt>
                <c:pt idx="230">
                  <c:v>1269.880005</c:v>
                </c:pt>
                <c:pt idx="231">
                  <c:v>1251.1400149999999</c:v>
                </c:pt>
                <c:pt idx="232">
                  <c:v>1232.4799800000001</c:v>
                </c:pt>
                <c:pt idx="233">
                  <c:v>1213.900024</c:v>
                </c:pt>
                <c:pt idx="234">
                  <c:v>1195.410034</c:v>
                </c:pt>
                <c:pt idx="235">
                  <c:v>1177.01001</c:v>
                </c:pt>
                <c:pt idx="236">
                  <c:v>1158.709961</c:v>
                </c:pt>
                <c:pt idx="237">
                  <c:v>1140.51001</c:v>
                </c:pt>
                <c:pt idx="238">
                  <c:v>1122.419922</c:v>
                </c:pt>
                <c:pt idx="239">
                  <c:v>1104.4399410000001</c:v>
                </c:pt>
                <c:pt idx="240">
                  <c:v>1086.579956</c:v>
                </c:pt>
                <c:pt idx="241">
                  <c:v>1068.839966</c:v>
                </c:pt>
                <c:pt idx="242">
                  <c:v>1051.2299800000001</c:v>
                </c:pt>
                <c:pt idx="243">
                  <c:v>1033.76001</c:v>
                </c:pt>
                <c:pt idx="244">
                  <c:v>1016.429993</c:v>
                </c:pt>
                <c:pt idx="245">
                  <c:v>999.23999000000003</c:v>
                </c:pt>
                <c:pt idx="246">
                  <c:v>982.19995100000006</c:v>
                </c:pt>
                <c:pt idx="247">
                  <c:v>965.30999799999995</c:v>
                </c:pt>
                <c:pt idx="248">
                  <c:v>948.57995600000004</c:v>
                </c:pt>
                <c:pt idx="249">
                  <c:v>932.00994900000001</c:v>
                </c:pt>
                <c:pt idx="250">
                  <c:v>915.60998500000005</c:v>
                </c:pt>
                <c:pt idx="251">
                  <c:v>899.38000499999998</c:v>
                </c:pt>
                <c:pt idx="252">
                  <c:v>883.32995600000004</c:v>
                </c:pt>
                <c:pt idx="253">
                  <c:v>867.45996100000002</c:v>
                </c:pt>
                <c:pt idx="254">
                  <c:v>851.77996800000005</c:v>
                </c:pt>
                <c:pt idx="255">
                  <c:v>836.28997800000002</c:v>
                </c:pt>
                <c:pt idx="256">
                  <c:v>820.98999000000003</c:v>
                </c:pt>
                <c:pt idx="257">
                  <c:v>805.88995399999999</c:v>
                </c:pt>
                <c:pt idx="258">
                  <c:v>791</c:v>
                </c:pt>
                <c:pt idx="259">
                  <c:v>776.30999799999995</c:v>
                </c:pt>
                <c:pt idx="260">
                  <c:v>761.839966</c:v>
                </c:pt>
                <c:pt idx="261">
                  <c:v>747.57995600000004</c:v>
                </c:pt>
                <c:pt idx="262">
                  <c:v>733.53997800000002</c:v>
                </c:pt>
                <c:pt idx="263">
                  <c:v>719.72997999999995</c:v>
                </c:pt>
                <c:pt idx="264">
                  <c:v>706.14996299999996</c:v>
                </c:pt>
                <c:pt idx="265">
                  <c:v>692.79998799999998</c:v>
                </c:pt>
                <c:pt idx="266">
                  <c:v>679.67999299999997</c:v>
                </c:pt>
                <c:pt idx="267">
                  <c:v>666.79998799999998</c:v>
                </c:pt>
                <c:pt idx="268">
                  <c:v>654.169983</c:v>
                </c:pt>
                <c:pt idx="269">
                  <c:v>641.78997800000002</c:v>
                </c:pt>
                <c:pt idx="270">
                  <c:v>629.65997300000004</c:v>
                </c:pt>
                <c:pt idx="271">
                  <c:v>617.77996800000005</c:v>
                </c:pt>
                <c:pt idx="272">
                  <c:v>606.15997300000004</c:v>
                </c:pt>
                <c:pt idx="273">
                  <c:v>594.79998799999998</c:v>
                </c:pt>
                <c:pt idx="274">
                  <c:v>583.70001200000002</c:v>
                </c:pt>
                <c:pt idx="275">
                  <c:v>572.86999500000002</c:v>
                </c:pt>
                <c:pt idx="276">
                  <c:v>562.30999799999995</c:v>
                </c:pt>
                <c:pt idx="277">
                  <c:v>552.02996800000005</c:v>
                </c:pt>
                <c:pt idx="278">
                  <c:v>542.01995799999997</c:v>
                </c:pt>
                <c:pt idx="279">
                  <c:v>532.28997800000002</c:v>
                </c:pt>
                <c:pt idx="280">
                  <c:v>522.839966</c:v>
                </c:pt>
                <c:pt idx="281">
                  <c:v>513.67999299999997</c:v>
                </c:pt>
                <c:pt idx="282">
                  <c:v>504.80999800000001</c:v>
                </c:pt>
                <c:pt idx="283">
                  <c:v>496.22998000000001</c:v>
                </c:pt>
                <c:pt idx="284">
                  <c:v>487.94000199999999</c:v>
                </c:pt>
                <c:pt idx="285">
                  <c:v>479.94000199999999</c:v>
                </c:pt>
                <c:pt idx="286">
                  <c:v>472.23998999999998</c:v>
                </c:pt>
                <c:pt idx="287">
                  <c:v>464.83999599999999</c:v>
                </c:pt>
                <c:pt idx="288">
                  <c:v>457.73998999999998</c:v>
                </c:pt>
                <c:pt idx="289">
                  <c:v>450.94000199999999</c:v>
                </c:pt>
                <c:pt idx="290">
                  <c:v>444.44998199999998</c:v>
                </c:pt>
                <c:pt idx="291">
                  <c:v>438.26998900000001</c:v>
                </c:pt>
                <c:pt idx="292">
                  <c:v>432.39999399999999</c:v>
                </c:pt>
                <c:pt idx="293">
                  <c:v>426.83999599999999</c:v>
                </c:pt>
                <c:pt idx="294">
                  <c:v>421.58999599999999</c:v>
                </c:pt>
                <c:pt idx="295">
                  <c:v>416.64999399999999</c:v>
                </c:pt>
                <c:pt idx="296">
                  <c:v>412.02999899999998</c:v>
                </c:pt>
                <c:pt idx="297">
                  <c:v>407.72000100000002</c:v>
                </c:pt>
                <c:pt idx="298">
                  <c:v>403.72998000000001</c:v>
                </c:pt>
                <c:pt idx="299">
                  <c:v>400.05999800000001</c:v>
                </c:pt>
                <c:pt idx="300">
                  <c:v>396.709991</c:v>
                </c:pt>
                <c:pt idx="301">
                  <c:v>393.67999300000002</c:v>
                </c:pt>
                <c:pt idx="302">
                  <c:v>390.97000100000002</c:v>
                </c:pt>
                <c:pt idx="303">
                  <c:v>388.58999599999999</c:v>
                </c:pt>
                <c:pt idx="304">
                  <c:v>386.52999899999998</c:v>
                </c:pt>
                <c:pt idx="305">
                  <c:v>384.78997800000002</c:v>
                </c:pt>
                <c:pt idx="306">
                  <c:v>383.38000499999998</c:v>
                </c:pt>
                <c:pt idx="307">
                  <c:v>382.28997800000002</c:v>
                </c:pt>
                <c:pt idx="308">
                  <c:v>381.52999899999998</c:v>
                </c:pt>
                <c:pt idx="309">
                  <c:v>381.08999599999999</c:v>
                </c:pt>
                <c:pt idx="310">
                  <c:v>380.97998000000001</c:v>
                </c:pt>
                <c:pt idx="311">
                  <c:v>381.19000199999999</c:v>
                </c:pt>
                <c:pt idx="312">
                  <c:v>381.72998000000001</c:v>
                </c:pt>
                <c:pt idx="313">
                  <c:v>382.58999599999999</c:v>
                </c:pt>
                <c:pt idx="314">
                  <c:v>383.77999899999998</c:v>
                </c:pt>
                <c:pt idx="315">
                  <c:v>385.28997800000002</c:v>
                </c:pt>
                <c:pt idx="316">
                  <c:v>387.13000499999998</c:v>
                </c:pt>
                <c:pt idx="317">
                  <c:v>389.28997800000002</c:v>
                </c:pt>
                <c:pt idx="318">
                  <c:v>391.76998900000001</c:v>
                </c:pt>
                <c:pt idx="319">
                  <c:v>394.57998700000002</c:v>
                </c:pt>
                <c:pt idx="320">
                  <c:v>397.709991</c:v>
                </c:pt>
                <c:pt idx="321">
                  <c:v>401.16000400000001</c:v>
                </c:pt>
                <c:pt idx="322">
                  <c:v>404.92999300000002</c:v>
                </c:pt>
                <c:pt idx="323">
                  <c:v>409.01998900000001</c:v>
                </c:pt>
                <c:pt idx="324">
                  <c:v>413.419983</c:v>
                </c:pt>
                <c:pt idx="325">
                  <c:v>418.13998400000003</c:v>
                </c:pt>
                <c:pt idx="326">
                  <c:v>423.17999300000002</c:v>
                </c:pt>
                <c:pt idx="327">
                  <c:v>428.52999899999998</c:v>
                </c:pt>
                <c:pt idx="328">
                  <c:v>434.19000199999999</c:v>
                </c:pt>
                <c:pt idx="329">
                  <c:v>440.16000400000001</c:v>
                </c:pt>
                <c:pt idx="330">
                  <c:v>446.44000199999999</c:v>
                </c:pt>
                <c:pt idx="331">
                  <c:v>453.02999899999998</c:v>
                </c:pt>
                <c:pt idx="332">
                  <c:v>459.919983</c:v>
                </c:pt>
                <c:pt idx="333">
                  <c:v>467.10998499999999</c:v>
                </c:pt>
                <c:pt idx="334">
                  <c:v>474.59997600000003</c:v>
                </c:pt>
                <c:pt idx="335">
                  <c:v>482.38998400000003</c:v>
                </c:pt>
                <c:pt idx="336">
                  <c:v>490.47998000000001</c:v>
                </c:pt>
                <c:pt idx="337">
                  <c:v>498.85998499999999</c:v>
                </c:pt>
                <c:pt idx="338">
                  <c:v>507.52999899999998</c:v>
                </c:pt>
                <c:pt idx="339">
                  <c:v>516.48999000000003</c:v>
                </c:pt>
                <c:pt idx="340">
                  <c:v>525.73999000000003</c:v>
                </c:pt>
                <c:pt idx="341">
                  <c:v>535.26995799999997</c:v>
                </c:pt>
                <c:pt idx="342">
                  <c:v>545.089966</c:v>
                </c:pt>
                <c:pt idx="343">
                  <c:v>555.17999299999997</c:v>
                </c:pt>
                <c:pt idx="344">
                  <c:v>565.54998799999998</c:v>
                </c:pt>
                <c:pt idx="345">
                  <c:v>576.19000200000005</c:v>
                </c:pt>
                <c:pt idx="346">
                  <c:v>587.09997599999997</c:v>
                </c:pt>
                <c:pt idx="347">
                  <c:v>598.27996800000005</c:v>
                </c:pt>
                <c:pt idx="348">
                  <c:v>609.71997099999999</c:v>
                </c:pt>
                <c:pt idx="349">
                  <c:v>621.419983</c:v>
                </c:pt>
                <c:pt idx="350">
                  <c:v>633.38000499999998</c:v>
                </c:pt>
                <c:pt idx="351">
                  <c:v>645.589966</c:v>
                </c:pt>
                <c:pt idx="352">
                  <c:v>658.04998799999998</c:v>
                </c:pt>
                <c:pt idx="353">
                  <c:v>670.76000999999997</c:v>
                </c:pt>
                <c:pt idx="354">
                  <c:v>683.70996100000002</c:v>
                </c:pt>
                <c:pt idx="355">
                  <c:v>696.89996299999996</c:v>
                </c:pt>
                <c:pt idx="356">
                  <c:v>710.32000700000003</c:v>
                </c:pt>
                <c:pt idx="357">
                  <c:v>723.97997999999995</c:v>
                </c:pt>
                <c:pt idx="358">
                  <c:v>737.85998500000005</c:v>
                </c:pt>
                <c:pt idx="359">
                  <c:v>751.96997099999999</c:v>
                </c:pt>
                <c:pt idx="360">
                  <c:v>766.29998799999998</c:v>
                </c:pt>
                <c:pt idx="361">
                  <c:v>780.839966</c:v>
                </c:pt>
                <c:pt idx="362">
                  <c:v>795.589966</c:v>
                </c:pt>
                <c:pt idx="363">
                  <c:v>810.54998799999998</c:v>
                </c:pt>
                <c:pt idx="364">
                  <c:v>825.70996100000002</c:v>
                </c:pt>
                <c:pt idx="365">
                  <c:v>841.07000700000003</c:v>
                </c:pt>
                <c:pt idx="366">
                  <c:v>856.61999500000002</c:v>
                </c:pt>
                <c:pt idx="367">
                  <c:v>872.35998500000005</c:v>
                </c:pt>
                <c:pt idx="368">
                  <c:v>888.28997800000002</c:v>
                </c:pt>
                <c:pt idx="369">
                  <c:v>904.39996299999996</c:v>
                </c:pt>
                <c:pt idx="370">
                  <c:v>920.67999299999997</c:v>
                </c:pt>
                <c:pt idx="371">
                  <c:v>937.13000499999998</c:v>
                </c:pt>
                <c:pt idx="372">
                  <c:v>953.75</c:v>
                </c:pt>
                <c:pt idx="373">
                  <c:v>970.52996800000005</c:v>
                </c:pt>
                <c:pt idx="374">
                  <c:v>987.46997099999999</c:v>
                </c:pt>
                <c:pt idx="375">
                  <c:v>1004.559998</c:v>
                </c:pt>
                <c:pt idx="376">
                  <c:v>1021.799988</c:v>
                </c:pt>
                <c:pt idx="377">
                  <c:v>1039.179932</c:v>
                </c:pt>
                <c:pt idx="378">
                  <c:v>1056.6999510000001</c:v>
                </c:pt>
                <c:pt idx="379">
                  <c:v>1074.349976</c:v>
                </c:pt>
                <c:pt idx="380">
                  <c:v>1092.119995</c:v>
                </c:pt>
                <c:pt idx="381">
                  <c:v>1110.0200199999999</c:v>
                </c:pt>
                <c:pt idx="382">
                  <c:v>1128.030029</c:v>
                </c:pt>
                <c:pt idx="383">
                  <c:v>1146.150024</c:v>
                </c:pt>
                <c:pt idx="384">
                  <c:v>1164.380005</c:v>
                </c:pt>
                <c:pt idx="385">
                  <c:v>1182.709961</c:v>
                </c:pt>
                <c:pt idx="386">
                  <c:v>1201.1400149999999</c:v>
                </c:pt>
                <c:pt idx="387">
                  <c:v>1219.6599120000001</c:v>
                </c:pt>
                <c:pt idx="388">
                  <c:v>1238.26001</c:v>
                </c:pt>
                <c:pt idx="389">
                  <c:v>1256.9399410000001</c:v>
                </c:pt>
                <c:pt idx="390">
                  <c:v>1275.6999510000001</c:v>
                </c:pt>
                <c:pt idx="391">
                  <c:v>1294.530029</c:v>
                </c:pt>
                <c:pt idx="392">
                  <c:v>1313.419922</c:v>
                </c:pt>
                <c:pt idx="393">
                  <c:v>1332.369995</c:v>
                </c:pt>
                <c:pt idx="394">
                  <c:v>1351.369995</c:v>
                </c:pt>
                <c:pt idx="395">
                  <c:v>1370.419922</c:v>
                </c:pt>
                <c:pt idx="396">
                  <c:v>1389.51001</c:v>
                </c:pt>
                <c:pt idx="397">
                  <c:v>1408.6400149999999</c:v>
                </c:pt>
                <c:pt idx="398">
                  <c:v>1427.799927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CA-4D16-AA0C-53CFCEC9C1B9}"/>
            </c:ext>
          </c:extLst>
        </c:ser>
        <c:ser>
          <c:idx val="0"/>
          <c:order val="1"/>
          <c:tx>
            <c:v>Octane</c:v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octane!$B$2:$B$400</c:f>
              <c:numCache>
                <c:formatCode>0.00</c:formatCode>
                <c:ptCount val="399"/>
                <c:pt idx="0">
                  <c:v>865.19000200000005</c:v>
                </c:pt>
                <c:pt idx="1">
                  <c:v>855.32995600000004</c:v>
                </c:pt>
                <c:pt idx="2">
                  <c:v>845.46997099999999</c:v>
                </c:pt>
                <c:pt idx="3">
                  <c:v>835.60998500000005</c:v>
                </c:pt>
                <c:pt idx="4">
                  <c:v>825.75</c:v>
                </c:pt>
                <c:pt idx="5">
                  <c:v>815.88995399999999</c:v>
                </c:pt>
                <c:pt idx="6">
                  <c:v>806.02996800000005</c:v>
                </c:pt>
                <c:pt idx="7">
                  <c:v>796.169983</c:v>
                </c:pt>
                <c:pt idx="8">
                  <c:v>786.30999799999995</c:v>
                </c:pt>
                <c:pt idx="9">
                  <c:v>776.45001200000002</c:v>
                </c:pt>
                <c:pt idx="10">
                  <c:v>766.589966</c:v>
                </c:pt>
                <c:pt idx="11">
                  <c:v>756.72997999999995</c:v>
                </c:pt>
                <c:pt idx="12">
                  <c:v>746.86999500000002</c:v>
                </c:pt>
                <c:pt idx="13">
                  <c:v>737.01000999999997</c:v>
                </c:pt>
                <c:pt idx="14">
                  <c:v>727.14996299999996</c:v>
                </c:pt>
                <c:pt idx="15">
                  <c:v>717.28997800000002</c:v>
                </c:pt>
                <c:pt idx="16">
                  <c:v>707.42999299999997</c:v>
                </c:pt>
                <c:pt idx="17">
                  <c:v>697.57000700000003</c:v>
                </c:pt>
                <c:pt idx="18">
                  <c:v>687.70996100000002</c:v>
                </c:pt>
                <c:pt idx="19">
                  <c:v>677.84997599999997</c:v>
                </c:pt>
                <c:pt idx="20">
                  <c:v>667.98999000000003</c:v>
                </c:pt>
                <c:pt idx="21">
                  <c:v>658.13000499999998</c:v>
                </c:pt>
                <c:pt idx="22">
                  <c:v>648.26995799999997</c:v>
                </c:pt>
                <c:pt idx="23">
                  <c:v>638.40997300000004</c:v>
                </c:pt>
                <c:pt idx="24">
                  <c:v>628.54998799999998</c:v>
                </c:pt>
                <c:pt idx="25">
                  <c:v>618.69000200000005</c:v>
                </c:pt>
                <c:pt idx="26">
                  <c:v>608.82995600000004</c:v>
                </c:pt>
                <c:pt idx="27">
                  <c:v>598.96997099999999</c:v>
                </c:pt>
                <c:pt idx="28">
                  <c:v>589.10998500000005</c:v>
                </c:pt>
                <c:pt idx="29">
                  <c:v>579.25</c:v>
                </c:pt>
                <c:pt idx="30">
                  <c:v>569.39001499999995</c:v>
                </c:pt>
                <c:pt idx="31">
                  <c:v>559.52996800000005</c:v>
                </c:pt>
                <c:pt idx="32">
                  <c:v>549.669983</c:v>
                </c:pt>
                <c:pt idx="33">
                  <c:v>539.80999799999995</c:v>
                </c:pt>
                <c:pt idx="34">
                  <c:v>529.95001200000002</c:v>
                </c:pt>
                <c:pt idx="35">
                  <c:v>520.089966</c:v>
                </c:pt>
                <c:pt idx="36">
                  <c:v>510.22998000000001</c:v>
                </c:pt>
                <c:pt idx="37">
                  <c:v>500.36999500000002</c:v>
                </c:pt>
                <c:pt idx="38">
                  <c:v>490.50997899999999</c:v>
                </c:pt>
                <c:pt idx="39">
                  <c:v>480.64999399999999</c:v>
                </c:pt>
                <c:pt idx="40">
                  <c:v>470.78997800000002</c:v>
                </c:pt>
                <c:pt idx="41">
                  <c:v>460.92999300000002</c:v>
                </c:pt>
                <c:pt idx="42">
                  <c:v>451.06997699999999</c:v>
                </c:pt>
                <c:pt idx="43">
                  <c:v>441.209991</c:v>
                </c:pt>
                <c:pt idx="44">
                  <c:v>431.34997600000003</c:v>
                </c:pt>
                <c:pt idx="45">
                  <c:v>421.48998999999998</c:v>
                </c:pt>
                <c:pt idx="46">
                  <c:v>411.63000499999998</c:v>
                </c:pt>
                <c:pt idx="47">
                  <c:v>401.76998900000001</c:v>
                </c:pt>
                <c:pt idx="48">
                  <c:v>391.91000400000001</c:v>
                </c:pt>
                <c:pt idx="49">
                  <c:v>382.04998799999998</c:v>
                </c:pt>
                <c:pt idx="50">
                  <c:v>372.19000199999999</c:v>
                </c:pt>
                <c:pt idx="51">
                  <c:v>362.32998700000002</c:v>
                </c:pt>
                <c:pt idx="52">
                  <c:v>352.38998400000003</c:v>
                </c:pt>
                <c:pt idx="53">
                  <c:v>342.38998400000003</c:v>
                </c:pt>
                <c:pt idx="54">
                  <c:v>332.32000699999998</c:v>
                </c:pt>
                <c:pt idx="55">
                  <c:v>322.17999300000002</c:v>
                </c:pt>
                <c:pt idx="56">
                  <c:v>311.959991</c:v>
                </c:pt>
                <c:pt idx="57">
                  <c:v>301.64999399999999</c:v>
                </c:pt>
                <c:pt idx="58">
                  <c:v>291.23998999999998</c:v>
                </c:pt>
                <c:pt idx="59">
                  <c:v>280.72000100000002</c:v>
                </c:pt>
                <c:pt idx="60">
                  <c:v>270.07998700000002</c:v>
                </c:pt>
                <c:pt idx="61">
                  <c:v>259.30999800000001</c:v>
                </c:pt>
                <c:pt idx="62">
                  <c:v>248.39999399999999</c:v>
                </c:pt>
                <c:pt idx="63">
                  <c:v>237.33999600000001</c:v>
                </c:pt>
                <c:pt idx="64">
                  <c:v>226.12998999999999</c:v>
                </c:pt>
                <c:pt idx="65">
                  <c:v>214.75</c:v>
                </c:pt>
                <c:pt idx="66">
                  <c:v>203.199997</c:v>
                </c:pt>
                <c:pt idx="67">
                  <c:v>191.470001</c:v>
                </c:pt>
                <c:pt idx="68">
                  <c:v>179.55999800000001</c:v>
                </c:pt>
                <c:pt idx="69">
                  <c:v>167.459991</c:v>
                </c:pt>
                <c:pt idx="70">
                  <c:v>155.16999799999999</c:v>
                </c:pt>
                <c:pt idx="71">
                  <c:v>142.69000199999999</c:v>
                </c:pt>
                <c:pt idx="72">
                  <c:v>130.009995</c:v>
                </c:pt>
                <c:pt idx="73">
                  <c:v>117.139999</c:v>
                </c:pt>
                <c:pt idx="74">
                  <c:v>104.07</c:v>
                </c:pt>
                <c:pt idx="75">
                  <c:v>90.799994999999996</c:v>
                </c:pt>
                <c:pt idx="76">
                  <c:v>77.330001999999993</c:v>
                </c:pt>
                <c:pt idx="77">
                  <c:v>63.66</c:v>
                </c:pt>
                <c:pt idx="78">
                  <c:v>49.789997</c:v>
                </c:pt>
                <c:pt idx="79">
                  <c:v>35.729999999999997</c:v>
                </c:pt>
                <c:pt idx="80">
                  <c:v>21.469999000000001</c:v>
                </c:pt>
                <c:pt idx="81">
                  <c:v>7.02</c:v>
                </c:pt>
                <c:pt idx="82">
                  <c:v>-7.63</c:v>
                </c:pt>
                <c:pt idx="83">
                  <c:v>-22.469999000000001</c:v>
                </c:pt>
                <c:pt idx="84">
                  <c:v>-37.489998</c:v>
                </c:pt>
                <c:pt idx="85">
                  <c:v>-52.699997000000003</c:v>
                </c:pt>
                <c:pt idx="86">
                  <c:v>-68.089995999999999</c:v>
                </c:pt>
                <c:pt idx="87">
                  <c:v>-83.659996000000007</c:v>
                </c:pt>
                <c:pt idx="88">
                  <c:v>-99.409996000000007</c:v>
                </c:pt>
                <c:pt idx="89">
                  <c:v>-115.329994</c:v>
                </c:pt>
                <c:pt idx="90">
                  <c:v>-131.41999799999999</c:v>
                </c:pt>
                <c:pt idx="91">
                  <c:v>-147.679993</c:v>
                </c:pt>
                <c:pt idx="92">
                  <c:v>-164.09999099999999</c:v>
                </c:pt>
                <c:pt idx="93">
                  <c:v>-180.679993</c:v>
                </c:pt>
                <c:pt idx="94">
                  <c:v>-197.41999799999999</c:v>
                </c:pt>
                <c:pt idx="95">
                  <c:v>-214.30999800000001</c:v>
                </c:pt>
                <c:pt idx="96">
                  <c:v>-231.34999099999999</c:v>
                </c:pt>
                <c:pt idx="97">
                  <c:v>-248.529999</c:v>
                </c:pt>
                <c:pt idx="98">
                  <c:v>-265.85000600000001</c:v>
                </c:pt>
                <c:pt idx="99">
                  <c:v>-283.29998799999998</c:v>
                </c:pt>
                <c:pt idx="100">
                  <c:v>-300.88000499999998</c:v>
                </c:pt>
                <c:pt idx="101">
                  <c:v>-318.57998700000002</c:v>
                </c:pt>
                <c:pt idx="102">
                  <c:v>-336.41000400000001</c:v>
                </c:pt>
                <c:pt idx="103">
                  <c:v>-354.35000600000001</c:v>
                </c:pt>
                <c:pt idx="104">
                  <c:v>-372.39999399999999</c:v>
                </c:pt>
                <c:pt idx="105">
                  <c:v>-390.55999800000001</c:v>
                </c:pt>
                <c:pt idx="106">
                  <c:v>-408.81997699999999</c:v>
                </c:pt>
                <c:pt idx="107">
                  <c:v>-427.17999300000002</c:v>
                </c:pt>
                <c:pt idx="108">
                  <c:v>-445.63000499999998</c:v>
                </c:pt>
                <c:pt idx="109">
                  <c:v>-464.169983</c:v>
                </c:pt>
                <c:pt idx="110">
                  <c:v>-482.78997800000002</c:v>
                </c:pt>
                <c:pt idx="111">
                  <c:v>-501.47998000000001</c:v>
                </c:pt>
                <c:pt idx="112">
                  <c:v>-520.25</c:v>
                </c:pt>
                <c:pt idx="113">
                  <c:v>-539.080017</c:v>
                </c:pt>
                <c:pt idx="114">
                  <c:v>-557.97997999999995</c:v>
                </c:pt>
                <c:pt idx="115">
                  <c:v>-576.92999299999997</c:v>
                </c:pt>
                <c:pt idx="116">
                  <c:v>-595.92999299999997</c:v>
                </c:pt>
                <c:pt idx="117">
                  <c:v>-614.97997999999995</c:v>
                </c:pt>
                <c:pt idx="118">
                  <c:v>-634.07000700000003</c:v>
                </c:pt>
                <c:pt idx="119">
                  <c:v>-653.20001200000002</c:v>
                </c:pt>
                <c:pt idx="120">
                  <c:v>-672.35998500000005</c:v>
                </c:pt>
                <c:pt idx="121">
                  <c:v>-691.53997800000002</c:v>
                </c:pt>
                <c:pt idx="122">
                  <c:v>-710.73999000000003</c:v>
                </c:pt>
                <c:pt idx="123">
                  <c:v>-729.95996100000002</c:v>
                </c:pt>
                <c:pt idx="124">
                  <c:v>-749.19000200000005</c:v>
                </c:pt>
                <c:pt idx="125">
                  <c:v>-768.419983</c:v>
                </c:pt>
                <c:pt idx="126">
                  <c:v>-787.64996299999996</c:v>
                </c:pt>
                <c:pt idx="127">
                  <c:v>-806.88000499999998</c:v>
                </c:pt>
                <c:pt idx="128">
                  <c:v>-826.09997599999997</c:v>
                </c:pt>
                <c:pt idx="129">
                  <c:v>-845.29998799999998</c:v>
                </c:pt>
                <c:pt idx="130">
                  <c:v>-864.47997999999995</c:v>
                </c:pt>
                <c:pt idx="131">
                  <c:v>-883.63000499999998</c:v>
                </c:pt>
                <c:pt idx="132">
                  <c:v>-902.75</c:v>
                </c:pt>
                <c:pt idx="133">
                  <c:v>-921.82995600000004</c:v>
                </c:pt>
                <c:pt idx="134">
                  <c:v>-940.86999500000002</c:v>
                </c:pt>
                <c:pt idx="135">
                  <c:v>-959.86999500000002</c:v>
                </c:pt>
                <c:pt idx="136">
                  <c:v>-978.80999799999995</c:v>
                </c:pt>
                <c:pt idx="137">
                  <c:v>-997.69000200000005</c:v>
                </c:pt>
                <c:pt idx="138">
                  <c:v>-1016.509949</c:v>
                </c:pt>
                <c:pt idx="139">
                  <c:v>-1035.26001</c:v>
                </c:pt>
                <c:pt idx="140">
                  <c:v>-1053.9399410000001</c:v>
                </c:pt>
                <c:pt idx="141">
                  <c:v>-1072.5399170000001</c:v>
                </c:pt>
                <c:pt idx="142">
                  <c:v>-1091.059937</c:v>
                </c:pt>
                <c:pt idx="143">
                  <c:v>-1109.48999</c:v>
                </c:pt>
                <c:pt idx="144">
                  <c:v>-1127.829956</c:v>
                </c:pt>
                <c:pt idx="145">
                  <c:v>-1146.0699460000001</c:v>
                </c:pt>
                <c:pt idx="146">
                  <c:v>-1164.1999510000001</c:v>
                </c:pt>
                <c:pt idx="147">
                  <c:v>-1182.2299800000001</c:v>
                </c:pt>
                <c:pt idx="148">
                  <c:v>-1200.1400149999999</c:v>
                </c:pt>
                <c:pt idx="149">
                  <c:v>-1217.929932</c:v>
                </c:pt>
                <c:pt idx="150">
                  <c:v>-1235.599976</c:v>
                </c:pt>
                <c:pt idx="151">
                  <c:v>-1253.1400149999999</c:v>
                </c:pt>
                <c:pt idx="152">
                  <c:v>-1270.549927</c:v>
                </c:pt>
                <c:pt idx="153">
                  <c:v>-1287.8199460000001</c:v>
                </c:pt>
                <c:pt idx="154">
                  <c:v>-1304.9499510000001</c:v>
                </c:pt>
                <c:pt idx="155">
                  <c:v>-1321.929932</c:v>
                </c:pt>
                <c:pt idx="156">
                  <c:v>-1338.76001</c:v>
                </c:pt>
                <c:pt idx="157">
                  <c:v>-1355.4399410000001</c:v>
                </c:pt>
                <c:pt idx="158">
                  <c:v>-1371.959961</c:v>
                </c:pt>
                <c:pt idx="159">
                  <c:v>-1388.309937</c:v>
                </c:pt>
                <c:pt idx="160">
                  <c:v>-1404.48999</c:v>
                </c:pt>
                <c:pt idx="161">
                  <c:v>-1420.5</c:v>
                </c:pt>
                <c:pt idx="162">
                  <c:v>-1436.329956</c:v>
                </c:pt>
                <c:pt idx="163">
                  <c:v>-1451.9799800000001</c:v>
                </c:pt>
                <c:pt idx="164">
                  <c:v>-1467.4399410000001</c:v>
                </c:pt>
                <c:pt idx="165">
                  <c:v>-1482.709961</c:v>
                </c:pt>
                <c:pt idx="166">
                  <c:v>-1497.7799070000001</c:v>
                </c:pt>
                <c:pt idx="167">
                  <c:v>-1512.650024</c:v>
                </c:pt>
                <c:pt idx="168">
                  <c:v>-1527.3199460000001</c:v>
                </c:pt>
                <c:pt idx="169">
                  <c:v>-1541.7799070000001</c:v>
                </c:pt>
                <c:pt idx="170">
                  <c:v>-1556.0299070000001</c:v>
                </c:pt>
                <c:pt idx="171">
                  <c:v>-1570.0699460000001</c:v>
                </c:pt>
                <c:pt idx="172">
                  <c:v>-1583.8900149999999</c:v>
                </c:pt>
                <c:pt idx="173">
                  <c:v>-1597.4799800000001</c:v>
                </c:pt>
                <c:pt idx="174">
                  <c:v>-1610.849976</c:v>
                </c:pt>
                <c:pt idx="175">
                  <c:v>-1623.98999</c:v>
                </c:pt>
                <c:pt idx="176">
                  <c:v>-1636.8900149999999</c:v>
                </c:pt>
                <c:pt idx="177">
                  <c:v>-1649.559937</c:v>
                </c:pt>
                <c:pt idx="178">
                  <c:v>-1661.9799800000001</c:v>
                </c:pt>
                <c:pt idx="179">
                  <c:v>-1674.1599120000001</c:v>
                </c:pt>
                <c:pt idx="180">
                  <c:v>-1686.089966</c:v>
                </c:pt>
                <c:pt idx="181">
                  <c:v>-1697.7700199999999</c:v>
                </c:pt>
                <c:pt idx="182">
                  <c:v>-1709.1999510000001</c:v>
                </c:pt>
                <c:pt idx="183">
                  <c:v>-1720.369995</c:v>
                </c:pt>
                <c:pt idx="184">
                  <c:v>-1731.2799070000001</c:v>
                </c:pt>
                <c:pt idx="185">
                  <c:v>-1741.929932</c:v>
                </c:pt>
                <c:pt idx="186">
                  <c:v>-1752.309937</c:v>
                </c:pt>
                <c:pt idx="187">
                  <c:v>-1762.419922</c:v>
                </c:pt>
                <c:pt idx="188">
                  <c:v>-1772.26001</c:v>
                </c:pt>
                <c:pt idx="189">
                  <c:v>-1781.829956</c:v>
                </c:pt>
                <c:pt idx="190">
                  <c:v>-1791.119995</c:v>
                </c:pt>
                <c:pt idx="191">
                  <c:v>-1800.130005</c:v>
                </c:pt>
                <c:pt idx="192">
                  <c:v>-1808.8599850000001</c:v>
                </c:pt>
                <c:pt idx="193">
                  <c:v>-1817.299927</c:v>
                </c:pt>
                <c:pt idx="194">
                  <c:v>-1825.459961</c:v>
                </c:pt>
                <c:pt idx="195">
                  <c:v>-1833.329956</c:v>
                </c:pt>
                <c:pt idx="196">
                  <c:v>-1840.9099120000001</c:v>
                </c:pt>
                <c:pt idx="197">
                  <c:v>-1848.1899410000001</c:v>
                </c:pt>
                <c:pt idx="198">
                  <c:v>-1855.179932</c:v>
                </c:pt>
                <c:pt idx="199">
                  <c:v>-1861.869995</c:v>
                </c:pt>
                <c:pt idx="200">
                  <c:v>-1868.26001</c:v>
                </c:pt>
                <c:pt idx="201">
                  <c:v>-1874.349976</c:v>
                </c:pt>
                <c:pt idx="202">
                  <c:v>-1880.1400149999999</c:v>
                </c:pt>
                <c:pt idx="203">
                  <c:v>-1885.630005</c:v>
                </c:pt>
                <c:pt idx="204">
                  <c:v>-1890.809937</c:v>
                </c:pt>
                <c:pt idx="205">
                  <c:v>-1895.679932</c:v>
                </c:pt>
                <c:pt idx="206">
                  <c:v>-1900.25</c:v>
                </c:pt>
                <c:pt idx="207">
                  <c:v>-1904.51001</c:v>
                </c:pt>
                <c:pt idx="208">
                  <c:v>-1908.459961</c:v>
                </c:pt>
                <c:pt idx="209">
                  <c:v>-1912.089966</c:v>
                </c:pt>
                <c:pt idx="210">
                  <c:v>-1915.4099120000001</c:v>
                </c:pt>
                <c:pt idx="211">
                  <c:v>-1918.419922</c:v>
                </c:pt>
                <c:pt idx="212">
                  <c:v>-1921.1099850000001</c:v>
                </c:pt>
                <c:pt idx="213">
                  <c:v>-1923.48999</c:v>
                </c:pt>
                <c:pt idx="214">
                  <c:v>-1925.549927</c:v>
                </c:pt>
                <c:pt idx="215">
                  <c:v>-1927.299927</c:v>
                </c:pt>
                <c:pt idx="216">
                  <c:v>-1928.7299800000001</c:v>
                </c:pt>
                <c:pt idx="217">
                  <c:v>-1929.839966</c:v>
                </c:pt>
                <c:pt idx="218">
                  <c:v>-1930.6400149999999</c:v>
                </c:pt>
                <c:pt idx="219">
                  <c:v>-1931.119995</c:v>
                </c:pt>
                <c:pt idx="220">
                  <c:v>-1931.2799070000001</c:v>
                </c:pt>
                <c:pt idx="221">
                  <c:v>-1931.119995</c:v>
                </c:pt>
                <c:pt idx="222">
                  <c:v>-1930.6499020000001</c:v>
                </c:pt>
                <c:pt idx="223">
                  <c:v>-1929.8599850000001</c:v>
                </c:pt>
                <c:pt idx="224">
                  <c:v>-1928.75</c:v>
                </c:pt>
                <c:pt idx="225">
                  <c:v>-1927.3199460000001</c:v>
                </c:pt>
                <c:pt idx="226">
                  <c:v>-1925.579956</c:v>
                </c:pt>
                <c:pt idx="227">
                  <c:v>-1923.5198969999999</c:v>
                </c:pt>
                <c:pt idx="228">
                  <c:v>-1921.1400149999999</c:v>
                </c:pt>
                <c:pt idx="229">
                  <c:v>-1918.4499510000001</c:v>
                </c:pt>
                <c:pt idx="230">
                  <c:v>-1915.4499510000001</c:v>
                </c:pt>
                <c:pt idx="231">
                  <c:v>-1912.130005</c:v>
                </c:pt>
                <c:pt idx="232">
                  <c:v>-1908.5</c:v>
                </c:pt>
                <c:pt idx="233">
                  <c:v>-1904.559937</c:v>
                </c:pt>
                <c:pt idx="234">
                  <c:v>-1900.309937</c:v>
                </c:pt>
                <c:pt idx="235">
                  <c:v>-1895.75</c:v>
                </c:pt>
                <c:pt idx="236">
                  <c:v>-1890.880005</c:v>
                </c:pt>
                <c:pt idx="237">
                  <c:v>-1885.6999510000001</c:v>
                </c:pt>
                <c:pt idx="238">
                  <c:v>-1880.219971</c:v>
                </c:pt>
                <c:pt idx="239">
                  <c:v>-1874.429932</c:v>
                </c:pt>
                <c:pt idx="240">
                  <c:v>-1868.339966</c:v>
                </c:pt>
                <c:pt idx="241">
                  <c:v>-1861.9499510000001</c:v>
                </c:pt>
                <c:pt idx="242">
                  <c:v>-1855.26001</c:v>
                </c:pt>
                <c:pt idx="243">
                  <c:v>-1848.2799070000001</c:v>
                </c:pt>
                <c:pt idx="244">
                  <c:v>-1841</c:v>
                </c:pt>
                <c:pt idx="245">
                  <c:v>-1833.429932</c:v>
                </c:pt>
                <c:pt idx="246">
                  <c:v>-1825.5699460000001</c:v>
                </c:pt>
                <c:pt idx="247">
                  <c:v>-1817.419922</c:v>
                </c:pt>
                <c:pt idx="248">
                  <c:v>-1808.9799800000001</c:v>
                </c:pt>
                <c:pt idx="249">
                  <c:v>-1800.26001</c:v>
                </c:pt>
                <c:pt idx="250">
                  <c:v>-1791.25</c:v>
                </c:pt>
                <c:pt idx="251">
                  <c:v>-1781.959961</c:v>
                </c:pt>
                <c:pt idx="252">
                  <c:v>-1772.3999020000001</c:v>
                </c:pt>
                <c:pt idx="253">
                  <c:v>-1762.559937</c:v>
                </c:pt>
                <c:pt idx="254">
                  <c:v>-1752.4499510000001</c:v>
                </c:pt>
                <c:pt idx="255">
                  <c:v>-1742.0699460000001</c:v>
                </c:pt>
                <c:pt idx="256">
                  <c:v>-1731.429932</c:v>
                </c:pt>
                <c:pt idx="257">
                  <c:v>-1720.5200199999999</c:v>
                </c:pt>
                <c:pt idx="258">
                  <c:v>-1709.349976</c:v>
                </c:pt>
                <c:pt idx="259">
                  <c:v>-1697.929932</c:v>
                </c:pt>
                <c:pt idx="260">
                  <c:v>-1686.25</c:v>
                </c:pt>
                <c:pt idx="261">
                  <c:v>-1674.3199460000001</c:v>
                </c:pt>
                <c:pt idx="262">
                  <c:v>-1662.1400149999999</c:v>
                </c:pt>
                <c:pt idx="263">
                  <c:v>-1649.719971</c:v>
                </c:pt>
                <c:pt idx="264">
                  <c:v>-1637.059937</c:v>
                </c:pt>
                <c:pt idx="265">
                  <c:v>-1624.1599120000001</c:v>
                </c:pt>
                <c:pt idx="266">
                  <c:v>-1611.0299070000001</c:v>
                </c:pt>
                <c:pt idx="267">
                  <c:v>-1597.669922</c:v>
                </c:pt>
                <c:pt idx="268">
                  <c:v>-1584.079956</c:v>
                </c:pt>
                <c:pt idx="269">
                  <c:v>-1570.2700199999999</c:v>
                </c:pt>
                <c:pt idx="270">
                  <c:v>-1556.23999</c:v>
                </c:pt>
                <c:pt idx="271">
                  <c:v>-1541.98999</c:v>
                </c:pt>
                <c:pt idx="272">
                  <c:v>-1527.5299070000001</c:v>
                </c:pt>
                <c:pt idx="273">
                  <c:v>-1512.8599850000001</c:v>
                </c:pt>
                <c:pt idx="274">
                  <c:v>-1497.98999</c:v>
                </c:pt>
                <c:pt idx="275">
                  <c:v>-1482.919922</c:v>
                </c:pt>
                <c:pt idx="276">
                  <c:v>-1467.650024</c:v>
                </c:pt>
                <c:pt idx="277">
                  <c:v>-1452.1899410000001</c:v>
                </c:pt>
                <c:pt idx="278">
                  <c:v>-1436.549927</c:v>
                </c:pt>
                <c:pt idx="279">
                  <c:v>-1420.719971</c:v>
                </c:pt>
                <c:pt idx="280">
                  <c:v>-1404.709961</c:v>
                </c:pt>
                <c:pt idx="281">
                  <c:v>-1388.530029</c:v>
                </c:pt>
                <c:pt idx="282">
                  <c:v>-1372.179932</c:v>
                </c:pt>
                <c:pt idx="283">
                  <c:v>-1355.669922</c:v>
                </c:pt>
                <c:pt idx="284">
                  <c:v>-1338.98999</c:v>
                </c:pt>
                <c:pt idx="285">
                  <c:v>-1322.1599120000001</c:v>
                </c:pt>
                <c:pt idx="286">
                  <c:v>-1305.179932</c:v>
                </c:pt>
                <c:pt idx="287">
                  <c:v>-1288.049927</c:v>
                </c:pt>
                <c:pt idx="288">
                  <c:v>-1270.780029</c:v>
                </c:pt>
                <c:pt idx="289">
                  <c:v>-1253.369995</c:v>
                </c:pt>
                <c:pt idx="290">
                  <c:v>-1235.829956</c:v>
                </c:pt>
                <c:pt idx="291">
                  <c:v>-1218.1599120000001</c:v>
                </c:pt>
                <c:pt idx="292">
                  <c:v>-1200.369995</c:v>
                </c:pt>
                <c:pt idx="293">
                  <c:v>-1182.459961</c:v>
                </c:pt>
                <c:pt idx="294">
                  <c:v>-1164.4399410000001</c:v>
                </c:pt>
                <c:pt idx="295">
                  <c:v>-1146.309937</c:v>
                </c:pt>
                <c:pt idx="296">
                  <c:v>-1128.0699460000001</c:v>
                </c:pt>
                <c:pt idx="297">
                  <c:v>-1109.7299800000001</c:v>
                </c:pt>
                <c:pt idx="298">
                  <c:v>-1091.299927</c:v>
                </c:pt>
                <c:pt idx="299">
                  <c:v>-1072.780029</c:v>
                </c:pt>
                <c:pt idx="300">
                  <c:v>-1054.179932</c:v>
                </c:pt>
                <c:pt idx="301">
                  <c:v>-1035.5</c:v>
                </c:pt>
                <c:pt idx="302">
                  <c:v>-1016.75</c:v>
                </c:pt>
                <c:pt idx="303">
                  <c:v>-997.92999299999997</c:v>
                </c:pt>
                <c:pt idx="304">
                  <c:v>-979.04998799999998</c:v>
                </c:pt>
                <c:pt idx="305">
                  <c:v>-960.10998500000005</c:v>
                </c:pt>
                <c:pt idx="306">
                  <c:v>-941.11999500000002</c:v>
                </c:pt>
                <c:pt idx="307">
                  <c:v>-922.07995600000004</c:v>
                </c:pt>
                <c:pt idx="308">
                  <c:v>-903</c:v>
                </c:pt>
                <c:pt idx="309">
                  <c:v>-883.88000499999998</c:v>
                </c:pt>
                <c:pt idx="310">
                  <c:v>-864.72997999999995</c:v>
                </c:pt>
                <c:pt idx="311">
                  <c:v>-845.54998799999998</c:v>
                </c:pt>
                <c:pt idx="312">
                  <c:v>-826.34997599999997</c:v>
                </c:pt>
                <c:pt idx="313">
                  <c:v>-807.13000499999998</c:v>
                </c:pt>
                <c:pt idx="314">
                  <c:v>-787.89996299999996</c:v>
                </c:pt>
                <c:pt idx="315">
                  <c:v>-768.669983</c:v>
                </c:pt>
                <c:pt idx="316">
                  <c:v>-749.44000200000005</c:v>
                </c:pt>
                <c:pt idx="317">
                  <c:v>-730.20996100000002</c:v>
                </c:pt>
                <c:pt idx="318">
                  <c:v>-710.98999000000003</c:v>
                </c:pt>
                <c:pt idx="319">
                  <c:v>-691.78997800000002</c:v>
                </c:pt>
                <c:pt idx="320">
                  <c:v>-672.60998500000005</c:v>
                </c:pt>
                <c:pt idx="321">
                  <c:v>-653.45001200000002</c:v>
                </c:pt>
                <c:pt idx="322">
                  <c:v>-634.32000700000003</c:v>
                </c:pt>
                <c:pt idx="323">
                  <c:v>-615.22997999999995</c:v>
                </c:pt>
                <c:pt idx="324">
                  <c:v>-596.17999299999997</c:v>
                </c:pt>
                <c:pt idx="325">
                  <c:v>-577.17999299999997</c:v>
                </c:pt>
                <c:pt idx="326">
                  <c:v>-558.22997999999995</c:v>
                </c:pt>
                <c:pt idx="327">
                  <c:v>-539.339966</c:v>
                </c:pt>
                <c:pt idx="328">
                  <c:v>-520.51000999999997</c:v>
                </c:pt>
                <c:pt idx="329">
                  <c:v>-501.75</c:v>
                </c:pt>
                <c:pt idx="330">
                  <c:v>-483.05999800000001</c:v>
                </c:pt>
                <c:pt idx="331">
                  <c:v>-464.44000199999999</c:v>
                </c:pt>
                <c:pt idx="332">
                  <c:v>-445.91000400000001</c:v>
                </c:pt>
                <c:pt idx="333">
                  <c:v>-427.47000100000002</c:v>
                </c:pt>
                <c:pt idx="334">
                  <c:v>-409.11999500000002</c:v>
                </c:pt>
                <c:pt idx="335">
                  <c:v>-390.86999500000002</c:v>
                </c:pt>
                <c:pt idx="336">
                  <c:v>-372.72000100000002</c:v>
                </c:pt>
                <c:pt idx="337">
                  <c:v>-354.67999300000002</c:v>
                </c:pt>
                <c:pt idx="338">
                  <c:v>-336.75</c:v>
                </c:pt>
                <c:pt idx="339">
                  <c:v>-318.94000199999999</c:v>
                </c:pt>
                <c:pt idx="340">
                  <c:v>-301.25</c:v>
                </c:pt>
                <c:pt idx="341">
                  <c:v>-283.69000199999999</c:v>
                </c:pt>
                <c:pt idx="342">
                  <c:v>-266.25997899999999</c:v>
                </c:pt>
                <c:pt idx="343">
                  <c:v>-248.959991</c:v>
                </c:pt>
                <c:pt idx="344">
                  <c:v>-231.80999800000001</c:v>
                </c:pt>
                <c:pt idx="345">
                  <c:v>-214.79998800000001</c:v>
                </c:pt>
                <c:pt idx="346">
                  <c:v>-197.94000199999999</c:v>
                </c:pt>
                <c:pt idx="347">
                  <c:v>-181.23999000000001</c:v>
                </c:pt>
                <c:pt idx="348">
                  <c:v>-164.699997</c:v>
                </c:pt>
                <c:pt idx="349">
                  <c:v>-148.31999200000001</c:v>
                </c:pt>
                <c:pt idx="350">
                  <c:v>-132.11000100000001</c:v>
                </c:pt>
                <c:pt idx="351">
                  <c:v>-116.07</c:v>
                </c:pt>
                <c:pt idx="352">
                  <c:v>-100.209999</c:v>
                </c:pt>
                <c:pt idx="353">
                  <c:v>-84.529999000000004</c:v>
                </c:pt>
                <c:pt idx="354">
                  <c:v>-69.040001000000004</c:v>
                </c:pt>
                <c:pt idx="355">
                  <c:v>-53.739998</c:v>
                </c:pt>
                <c:pt idx="356">
                  <c:v>-38.639999000000003</c:v>
                </c:pt>
                <c:pt idx="357">
                  <c:v>-23.73</c:v>
                </c:pt>
                <c:pt idx="358">
                  <c:v>-9.0299999999999994</c:v>
                </c:pt>
                <c:pt idx="359">
                  <c:v>5.47</c:v>
                </c:pt>
                <c:pt idx="360">
                  <c:v>19.760000000000002</c:v>
                </c:pt>
                <c:pt idx="361">
                  <c:v>33.829998000000003</c:v>
                </c:pt>
                <c:pt idx="362">
                  <c:v>47.68</c:v>
                </c:pt>
                <c:pt idx="363">
                  <c:v>61.309998</c:v>
                </c:pt>
                <c:pt idx="364">
                  <c:v>74.709998999999996</c:v>
                </c:pt>
                <c:pt idx="365">
                  <c:v>87.879997000000003</c:v>
                </c:pt>
                <c:pt idx="366">
                  <c:v>100.82</c:v>
                </c:pt>
                <c:pt idx="367">
                  <c:v>113.519997</c:v>
                </c:pt>
                <c:pt idx="368">
                  <c:v>125.979996</c:v>
                </c:pt>
                <c:pt idx="369">
                  <c:v>138.199997</c:v>
                </c:pt>
                <c:pt idx="370">
                  <c:v>150.16999799999999</c:v>
                </c:pt>
                <c:pt idx="371">
                  <c:v>161.88999899999999</c:v>
                </c:pt>
                <c:pt idx="372">
                  <c:v>173.36000100000001</c:v>
                </c:pt>
                <c:pt idx="373">
                  <c:v>184.56999200000001</c:v>
                </c:pt>
                <c:pt idx="374">
                  <c:v>195.51998900000001</c:v>
                </c:pt>
                <c:pt idx="375">
                  <c:v>206.209991</c:v>
                </c:pt>
                <c:pt idx="376">
                  <c:v>216.62998999999999</c:v>
                </c:pt>
                <c:pt idx="377">
                  <c:v>226.78999300000001</c:v>
                </c:pt>
                <c:pt idx="378">
                  <c:v>236.66999799999999</c:v>
                </c:pt>
                <c:pt idx="379">
                  <c:v>246.279999</c:v>
                </c:pt>
                <c:pt idx="380">
                  <c:v>255.61000100000001</c:v>
                </c:pt>
                <c:pt idx="381">
                  <c:v>264.66000400000001</c:v>
                </c:pt>
                <c:pt idx="382">
                  <c:v>273.42999300000002</c:v>
                </c:pt>
                <c:pt idx="383">
                  <c:v>281.919983</c:v>
                </c:pt>
                <c:pt idx="384">
                  <c:v>290.11999500000002</c:v>
                </c:pt>
                <c:pt idx="385">
                  <c:v>298.02999899999998</c:v>
                </c:pt>
                <c:pt idx="386">
                  <c:v>305.64999399999999</c:v>
                </c:pt>
                <c:pt idx="387">
                  <c:v>312.97998000000001</c:v>
                </c:pt>
                <c:pt idx="388">
                  <c:v>320.01998900000001</c:v>
                </c:pt>
                <c:pt idx="389">
                  <c:v>326.75997899999999</c:v>
                </c:pt>
                <c:pt idx="390">
                  <c:v>333.19998199999998</c:v>
                </c:pt>
                <c:pt idx="391">
                  <c:v>339.33999599999999</c:v>
                </c:pt>
                <c:pt idx="392">
                  <c:v>345.17999300000002</c:v>
                </c:pt>
                <c:pt idx="393">
                  <c:v>350.709991</c:v>
                </c:pt>
                <c:pt idx="394">
                  <c:v>355.94000199999999</c:v>
                </c:pt>
                <c:pt idx="395">
                  <c:v>360.85998499999999</c:v>
                </c:pt>
                <c:pt idx="396">
                  <c:v>365.47998000000001</c:v>
                </c:pt>
                <c:pt idx="397">
                  <c:v>369.78997800000002</c:v>
                </c:pt>
                <c:pt idx="398">
                  <c:v>373.78997800000002</c:v>
                </c:pt>
              </c:numCache>
            </c:numRef>
          </c:xVal>
          <c:yVal>
            <c:numRef>
              <c:f>octane!$C$2:$C$400</c:f>
              <c:numCache>
                <c:formatCode>0.00</c:formatCode>
                <c:ptCount val="399"/>
                <c:pt idx="0">
                  <c:v>1074.369995</c:v>
                </c:pt>
                <c:pt idx="1">
                  <c:v>1090.880005</c:v>
                </c:pt>
                <c:pt idx="2">
                  <c:v>1107.3900149999999</c:v>
                </c:pt>
                <c:pt idx="3">
                  <c:v>1123.900024</c:v>
                </c:pt>
                <c:pt idx="4">
                  <c:v>1140.410034</c:v>
                </c:pt>
                <c:pt idx="5">
                  <c:v>1156.919922</c:v>
                </c:pt>
                <c:pt idx="6">
                  <c:v>1173.429932</c:v>
                </c:pt>
                <c:pt idx="7">
                  <c:v>1189.9399410000001</c:v>
                </c:pt>
                <c:pt idx="8">
                  <c:v>1206.4499510000001</c:v>
                </c:pt>
                <c:pt idx="9">
                  <c:v>1222.959961</c:v>
                </c:pt>
                <c:pt idx="10">
                  <c:v>1239.469971</c:v>
                </c:pt>
                <c:pt idx="11">
                  <c:v>1255.9799800000001</c:v>
                </c:pt>
                <c:pt idx="12">
                  <c:v>1272.48999</c:v>
                </c:pt>
                <c:pt idx="13">
                  <c:v>1289</c:v>
                </c:pt>
                <c:pt idx="14">
                  <c:v>1305.51001</c:v>
                </c:pt>
                <c:pt idx="15">
                  <c:v>1322.0200199999999</c:v>
                </c:pt>
                <c:pt idx="16">
                  <c:v>1338.530029</c:v>
                </c:pt>
                <c:pt idx="17">
                  <c:v>1355.0399170000001</c:v>
                </c:pt>
                <c:pt idx="18">
                  <c:v>1371.549927</c:v>
                </c:pt>
                <c:pt idx="19">
                  <c:v>1388.059937</c:v>
                </c:pt>
                <c:pt idx="20">
                  <c:v>1404.5699460000001</c:v>
                </c:pt>
                <c:pt idx="21">
                  <c:v>1421.079956</c:v>
                </c:pt>
                <c:pt idx="22">
                  <c:v>1437.589966</c:v>
                </c:pt>
                <c:pt idx="23">
                  <c:v>1454.099976</c:v>
                </c:pt>
                <c:pt idx="24">
                  <c:v>1470.6099850000001</c:v>
                </c:pt>
                <c:pt idx="25">
                  <c:v>1487.119995</c:v>
                </c:pt>
                <c:pt idx="26">
                  <c:v>1503.630005</c:v>
                </c:pt>
                <c:pt idx="27">
                  <c:v>1520.1400149999999</c:v>
                </c:pt>
                <c:pt idx="28">
                  <c:v>1536.650024</c:v>
                </c:pt>
                <c:pt idx="29">
                  <c:v>1553.1599120000001</c:v>
                </c:pt>
                <c:pt idx="30">
                  <c:v>1569.669922</c:v>
                </c:pt>
                <c:pt idx="31">
                  <c:v>1586.179932</c:v>
                </c:pt>
                <c:pt idx="32">
                  <c:v>1602.6899410000001</c:v>
                </c:pt>
                <c:pt idx="33">
                  <c:v>1619.1999510000001</c:v>
                </c:pt>
                <c:pt idx="34">
                  <c:v>1635.709961</c:v>
                </c:pt>
                <c:pt idx="35">
                  <c:v>1652.219971</c:v>
                </c:pt>
                <c:pt idx="36">
                  <c:v>1668.7299800000001</c:v>
                </c:pt>
                <c:pt idx="37">
                  <c:v>1685.23999</c:v>
                </c:pt>
                <c:pt idx="38">
                  <c:v>1701.75</c:v>
                </c:pt>
                <c:pt idx="39">
                  <c:v>1718.26001</c:v>
                </c:pt>
                <c:pt idx="40">
                  <c:v>1734.7700199999999</c:v>
                </c:pt>
                <c:pt idx="41">
                  <c:v>1751.2799070000001</c:v>
                </c:pt>
                <c:pt idx="42">
                  <c:v>1767.7899170000001</c:v>
                </c:pt>
                <c:pt idx="43">
                  <c:v>1784.299927</c:v>
                </c:pt>
                <c:pt idx="44">
                  <c:v>1800.809937</c:v>
                </c:pt>
                <c:pt idx="45">
                  <c:v>1817.3199460000001</c:v>
                </c:pt>
                <c:pt idx="46">
                  <c:v>1833.829956</c:v>
                </c:pt>
                <c:pt idx="47">
                  <c:v>1850.339966</c:v>
                </c:pt>
                <c:pt idx="48">
                  <c:v>1866.849976</c:v>
                </c:pt>
                <c:pt idx="49">
                  <c:v>1883.3599850000001</c:v>
                </c:pt>
                <c:pt idx="50">
                  <c:v>1899.869995</c:v>
                </c:pt>
                <c:pt idx="51">
                  <c:v>1916.380005</c:v>
                </c:pt>
                <c:pt idx="52">
                  <c:v>1932.849976</c:v>
                </c:pt>
                <c:pt idx="53">
                  <c:v>1949.2799070000001</c:v>
                </c:pt>
                <c:pt idx="54">
                  <c:v>1965.669922</c:v>
                </c:pt>
                <c:pt idx="55">
                  <c:v>1982.0198969999999</c:v>
                </c:pt>
                <c:pt idx="56">
                  <c:v>1998.3199460000001</c:v>
                </c:pt>
                <c:pt idx="57">
                  <c:v>2014.559937</c:v>
                </c:pt>
                <c:pt idx="58">
                  <c:v>2030.73999</c:v>
                </c:pt>
                <c:pt idx="59">
                  <c:v>2046.849976</c:v>
                </c:pt>
                <c:pt idx="60">
                  <c:v>2062.8798830000001</c:v>
                </c:pt>
                <c:pt idx="61">
                  <c:v>2078.820068</c:v>
                </c:pt>
                <c:pt idx="62">
                  <c:v>2094.6599120000001</c:v>
                </c:pt>
                <c:pt idx="63">
                  <c:v>2110.3999020000001</c:v>
                </c:pt>
                <c:pt idx="64">
                  <c:v>2126.030029</c:v>
                </c:pt>
                <c:pt idx="65">
                  <c:v>2141.540039</c:v>
                </c:pt>
                <c:pt idx="66">
                  <c:v>2156.919922</c:v>
                </c:pt>
                <c:pt idx="67">
                  <c:v>2172.169922</c:v>
                </c:pt>
                <c:pt idx="68">
                  <c:v>2187.2700199999999</c:v>
                </c:pt>
                <c:pt idx="69">
                  <c:v>2202.219971</c:v>
                </c:pt>
                <c:pt idx="70">
                  <c:v>2217.0200199999999</c:v>
                </c:pt>
                <c:pt idx="71">
                  <c:v>2231.6599120000001</c:v>
                </c:pt>
                <c:pt idx="72">
                  <c:v>2246.1298830000001</c:v>
                </c:pt>
                <c:pt idx="73">
                  <c:v>2260.419922</c:v>
                </c:pt>
                <c:pt idx="74">
                  <c:v>2274.530029</c:v>
                </c:pt>
                <c:pt idx="75">
                  <c:v>2288.459961</c:v>
                </c:pt>
                <c:pt idx="76">
                  <c:v>2302.1899410000001</c:v>
                </c:pt>
                <c:pt idx="77">
                  <c:v>2315.7299800000001</c:v>
                </c:pt>
                <c:pt idx="78">
                  <c:v>2329.0600589999999</c:v>
                </c:pt>
                <c:pt idx="79">
                  <c:v>2342.179932</c:v>
                </c:pt>
                <c:pt idx="80">
                  <c:v>2355.0898440000001</c:v>
                </c:pt>
                <c:pt idx="81">
                  <c:v>2367.780029</c:v>
                </c:pt>
                <c:pt idx="82">
                  <c:v>2380.25</c:v>
                </c:pt>
                <c:pt idx="83">
                  <c:v>2392.48999</c:v>
                </c:pt>
                <c:pt idx="84">
                  <c:v>2404.5</c:v>
                </c:pt>
                <c:pt idx="85">
                  <c:v>2416.2700199999999</c:v>
                </c:pt>
                <c:pt idx="86">
                  <c:v>2427.8000489999999</c:v>
                </c:pt>
                <c:pt idx="87">
                  <c:v>2439.0898440000001</c:v>
                </c:pt>
                <c:pt idx="88">
                  <c:v>2450.1298830000001</c:v>
                </c:pt>
                <c:pt idx="89">
                  <c:v>2460.919922</c:v>
                </c:pt>
                <c:pt idx="90">
                  <c:v>2471.459961</c:v>
                </c:pt>
                <c:pt idx="91">
                  <c:v>2481.73999</c:v>
                </c:pt>
                <c:pt idx="92">
                  <c:v>2491.75</c:v>
                </c:pt>
                <c:pt idx="93">
                  <c:v>2501.5</c:v>
                </c:pt>
                <c:pt idx="94">
                  <c:v>2510.9799800000001</c:v>
                </c:pt>
                <c:pt idx="95">
                  <c:v>2520.1899410000001</c:v>
                </c:pt>
                <c:pt idx="96">
                  <c:v>2529.1198730000001</c:v>
                </c:pt>
                <c:pt idx="97">
                  <c:v>2537.780029</c:v>
                </c:pt>
                <c:pt idx="98">
                  <c:v>2546.1599120000001</c:v>
                </c:pt>
                <c:pt idx="99">
                  <c:v>2554.25</c:v>
                </c:pt>
                <c:pt idx="100">
                  <c:v>2562.0600589999999</c:v>
                </c:pt>
                <c:pt idx="101">
                  <c:v>2569.5798340000001</c:v>
                </c:pt>
                <c:pt idx="102">
                  <c:v>2576.8100589999999</c:v>
                </c:pt>
                <c:pt idx="103">
                  <c:v>2583.75</c:v>
                </c:pt>
                <c:pt idx="104">
                  <c:v>2590.389893</c:v>
                </c:pt>
                <c:pt idx="105">
                  <c:v>2596.7299800000001</c:v>
                </c:pt>
                <c:pt idx="106">
                  <c:v>2602.780029</c:v>
                </c:pt>
                <c:pt idx="107">
                  <c:v>2608.530029</c:v>
                </c:pt>
                <c:pt idx="108">
                  <c:v>2613.969971</c:v>
                </c:pt>
                <c:pt idx="109">
                  <c:v>2619.1098630000001</c:v>
                </c:pt>
                <c:pt idx="110">
                  <c:v>2623.9399410000001</c:v>
                </c:pt>
                <c:pt idx="111">
                  <c:v>2628.469971</c:v>
                </c:pt>
                <c:pt idx="112">
                  <c:v>2632.6899410000001</c:v>
                </c:pt>
                <c:pt idx="113">
                  <c:v>2636.5998540000001</c:v>
                </c:pt>
                <c:pt idx="114">
                  <c:v>2640.1999510000001</c:v>
                </c:pt>
                <c:pt idx="115">
                  <c:v>2643.48999</c:v>
                </c:pt>
                <c:pt idx="116">
                  <c:v>2646.469971</c:v>
                </c:pt>
                <c:pt idx="117">
                  <c:v>2649.1298830000001</c:v>
                </c:pt>
                <c:pt idx="118">
                  <c:v>2651.4799800000001</c:v>
                </c:pt>
                <c:pt idx="119">
                  <c:v>2653.51001</c:v>
                </c:pt>
                <c:pt idx="120">
                  <c:v>2655.2299800000001</c:v>
                </c:pt>
                <c:pt idx="121">
                  <c:v>2656.6298830000001</c:v>
                </c:pt>
                <c:pt idx="122">
                  <c:v>2657.709961</c:v>
                </c:pt>
                <c:pt idx="123">
                  <c:v>2658.4799800000001</c:v>
                </c:pt>
                <c:pt idx="124">
                  <c:v>2658.929932</c:v>
                </c:pt>
                <c:pt idx="125">
                  <c:v>2659.0600589999999</c:v>
                </c:pt>
                <c:pt idx="126">
                  <c:v>2658.8798830000001</c:v>
                </c:pt>
                <c:pt idx="127">
                  <c:v>2658.3798830000001</c:v>
                </c:pt>
                <c:pt idx="128">
                  <c:v>2657.5600589999999</c:v>
                </c:pt>
                <c:pt idx="129">
                  <c:v>2656.419922</c:v>
                </c:pt>
                <c:pt idx="130">
                  <c:v>2654.969971</c:v>
                </c:pt>
                <c:pt idx="131">
                  <c:v>2653.1999510000001</c:v>
                </c:pt>
                <c:pt idx="132">
                  <c:v>2651.1098630000001</c:v>
                </c:pt>
                <c:pt idx="133">
                  <c:v>2648.709961</c:v>
                </c:pt>
                <c:pt idx="134">
                  <c:v>2645.98999</c:v>
                </c:pt>
                <c:pt idx="135">
                  <c:v>2642.959961</c:v>
                </c:pt>
                <c:pt idx="136">
                  <c:v>2639.6198730000001</c:v>
                </c:pt>
                <c:pt idx="137">
                  <c:v>2635.959961</c:v>
                </c:pt>
                <c:pt idx="138">
                  <c:v>2631.98999</c:v>
                </c:pt>
                <c:pt idx="139">
                  <c:v>2627.709961</c:v>
                </c:pt>
                <c:pt idx="140">
                  <c:v>2623.1198730000001</c:v>
                </c:pt>
                <c:pt idx="141">
                  <c:v>2618.2299800000001</c:v>
                </c:pt>
                <c:pt idx="142">
                  <c:v>2613.030029</c:v>
                </c:pt>
                <c:pt idx="143">
                  <c:v>2607.5200199999999</c:v>
                </c:pt>
                <c:pt idx="144">
                  <c:v>2601.709961</c:v>
                </c:pt>
                <c:pt idx="145">
                  <c:v>2595.5998540000001</c:v>
                </c:pt>
                <c:pt idx="146">
                  <c:v>2589.1899410000001</c:v>
                </c:pt>
                <c:pt idx="147">
                  <c:v>2582.4799800000001</c:v>
                </c:pt>
                <c:pt idx="148">
                  <c:v>2575.469971</c:v>
                </c:pt>
                <c:pt idx="149">
                  <c:v>2568.169922</c:v>
                </c:pt>
                <c:pt idx="150">
                  <c:v>2560.5698240000002</c:v>
                </c:pt>
                <c:pt idx="151">
                  <c:v>2552.679932</c:v>
                </c:pt>
                <c:pt idx="152">
                  <c:v>2544.5</c:v>
                </c:pt>
                <c:pt idx="153">
                  <c:v>2536.040039</c:v>
                </c:pt>
                <c:pt idx="154">
                  <c:v>2527.290039</c:v>
                </c:pt>
                <c:pt idx="155">
                  <c:v>2518.26001</c:v>
                </c:pt>
                <c:pt idx="156">
                  <c:v>2508.9499510000001</c:v>
                </c:pt>
                <c:pt idx="157">
                  <c:v>2499.3698730000001</c:v>
                </c:pt>
                <c:pt idx="158">
                  <c:v>2489.51001</c:v>
                </c:pt>
                <c:pt idx="159">
                  <c:v>2479.3798830000001</c:v>
                </c:pt>
                <c:pt idx="160">
                  <c:v>2468.9799800000001</c:v>
                </c:pt>
                <c:pt idx="161">
                  <c:v>2458.3198240000002</c:v>
                </c:pt>
                <c:pt idx="162">
                  <c:v>2447.389893</c:v>
                </c:pt>
                <c:pt idx="163">
                  <c:v>2436.1999510000001</c:v>
                </c:pt>
                <c:pt idx="164">
                  <c:v>2424.76001</c:v>
                </c:pt>
                <c:pt idx="165">
                  <c:v>2413.0600589999999</c:v>
                </c:pt>
                <c:pt idx="166">
                  <c:v>2401.1098630000001</c:v>
                </c:pt>
                <c:pt idx="167">
                  <c:v>2388.9099120000001</c:v>
                </c:pt>
                <c:pt idx="168">
                  <c:v>2376.469971</c:v>
                </c:pt>
                <c:pt idx="169">
                  <c:v>2363.790039</c:v>
                </c:pt>
                <c:pt idx="170">
                  <c:v>2350.8698730000001</c:v>
                </c:pt>
                <c:pt idx="171">
                  <c:v>2337.719971</c:v>
                </c:pt>
                <c:pt idx="172">
                  <c:v>2324.3398440000001</c:v>
                </c:pt>
                <c:pt idx="173">
                  <c:v>2310.7299800000001</c:v>
                </c:pt>
                <c:pt idx="174">
                  <c:v>2296.8999020000001</c:v>
                </c:pt>
                <c:pt idx="175">
                  <c:v>2282.8498540000001</c:v>
                </c:pt>
                <c:pt idx="176">
                  <c:v>2268.5798340000001</c:v>
                </c:pt>
                <c:pt idx="177">
                  <c:v>2254.0998540000001</c:v>
                </c:pt>
                <c:pt idx="178">
                  <c:v>2239.419922</c:v>
                </c:pt>
                <c:pt idx="179">
                  <c:v>2224.530029</c:v>
                </c:pt>
                <c:pt idx="180">
                  <c:v>2209.4399410000001</c:v>
                </c:pt>
                <c:pt idx="181">
                  <c:v>2194.1599120000001</c:v>
                </c:pt>
                <c:pt idx="182">
                  <c:v>2178.6899410000001</c:v>
                </c:pt>
                <c:pt idx="183">
                  <c:v>2163.030029</c:v>
                </c:pt>
                <c:pt idx="184">
                  <c:v>2147.1899410000001</c:v>
                </c:pt>
                <c:pt idx="185">
                  <c:v>2131.169922</c:v>
                </c:pt>
                <c:pt idx="186">
                  <c:v>2114.9799800000001</c:v>
                </c:pt>
                <c:pt idx="187">
                  <c:v>2098.6198730000001</c:v>
                </c:pt>
                <c:pt idx="188">
                  <c:v>2082.0898440000001</c:v>
                </c:pt>
                <c:pt idx="189">
                  <c:v>2065.3999020000001</c:v>
                </c:pt>
                <c:pt idx="190">
                  <c:v>2048.5600589999999</c:v>
                </c:pt>
                <c:pt idx="191">
                  <c:v>2031.5699460000001</c:v>
                </c:pt>
                <c:pt idx="192">
                  <c:v>2014.429932</c:v>
                </c:pt>
                <c:pt idx="193">
                  <c:v>1997.1499020000001</c:v>
                </c:pt>
                <c:pt idx="194">
                  <c:v>1979.7299800000001</c:v>
                </c:pt>
                <c:pt idx="195">
                  <c:v>1962.179932</c:v>
                </c:pt>
                <c:pt idx="196">
                  <c:v>1944.5</c:v>
                </c:pt>
                <c:pt idx="197">
                  <c:v>1926.6999510000001</c:v>
                </c:pt>
                <c:pt idx="198">
                  <c:v>1908.7799070000001</c:v>
                </c:pt>
                <c:pt idx="199">
                  <c:v>1890.75</c:v>
                </c:pt>
                <c:pt idx="200">
                  <c:v>1872.6099850000001</c:v>
                </c:pt>
                <c:pt idx="201">
                  <c:v>1854.369995</c:v>
                </c:pt>
                <c:pt idx="202">
                  <c:v>1836.0299070000001</c:v>
                </c:pt>
                <c:pt idx="203">
                  <c:v>1817.589966</c:v>
                </c:pt>
                <c:pt idx="204">
                  <c:v>1799.0699460000001</c:v>
                </c:pt>
                <c:pt idx="205">
                  <c:v>1780.459961</c:v>
                </c:pt>
                <c:pt idx="206">
                  <c:v>1761.7700199999999</c:v>
                </c:pt>
                <c:pt idx="207">
                  <c:v>1743.01001</c:v>
                </c:pt>
                <c:pt idx="208">
                  <c:v>1724.179932</c:v>
                </c:pt>
                <c:pt idx="209">
                  <c:v>1705.2899170000001</c:v>
                </c:pt>
                <c:pt idx="210">
                  <c:v>1686.339966</c:v>
                </c:pt>
                <c:pt idx="211">
                  <c:v>1667.339966</c:v>
                </c:pt>
                <c:pt idx="212">
                  <c:v>1648.2899170000001</c:v>
                </c:pt>
                <c:pt idx="213">
                  <c:v>1629.1999510000001</c:v>
                </c:pt>
                <c:pt idx="214">
                  <c:v>1610.079956</c:v>
                </c:pt>
                <c:pt idx="215">
                  <c:v>1590.919922</c:v>
                </c:pt>
                <c:pt idx="216">
                  <c:v>1571.73999</c:v>
                </c:pt>
                <c:pt idx="217">
                  <c:v>1552.5399170000001</c:v>
                </c:pt>
                <c:pt idx="218">
                  <c:v>1533.3199460000001</c:v>
                </c:pt>
                <c:pt idx="219">
                  <c:v>1514.089966</c:v>
                </c:pt>
                <c:pt idx="220">
                  <c:v>1494.8599850000001</c:v>
                </c:pt>
                <c:pt idx="221">
                  <c:v>1475.630005</c:v>
                </c:pt>
                <c:pt idx="222">
                  <c:v>1456.400024</c:v>
                </c:pt>
                <c:pt idx="223">
                  <c:v>1437.179932</c:v>
                </c:pt>
                <c:pt idx="224">
                  <c:v>1417.9799800000001</c:v>
                </c:pt>
                <c:pt idx="225">
                  <c:v>1398.799927</c:v>
                </c:pt>
                <c:pt idx="226">
                  <c:v>1379.6400149999999</c:v>
                </c:pt>
                <c:pt idx="227">
                  <c:v>1360.5200199999999</c:v>
                </c:pt>
                <c:pt idx="228">
                  <c:v>1341.429932</c:v>
                </c:pt>
                <c:pt idx="229">
                  <c:v>1322.380005</c:v>
                </c:pt>
                <c:pt idx="230">
                  <c:v>1303.380005</c:v>
                </c:pt>
                <c:pt idx="231">
                  <c:v>1284.429932</c:v>
                </c:pt>
                <c:pt idx="232">
                  <c:v>1265.5399170000001</c:v>
                </c:pt>
                <c:pt idx="233">
                  <c:v>1246.709961</c:v>
                </c:pt>
                <c:pt idx="234">
                  <c:v>1227.9499510000001</c:v>
                </c:pt>
                <c:pt idx="235">
                  <c:v>1209.26001</c:v>
                </c:pt>
                <c:pt idx="236">
                  <c:v>1190.650024</c:v>
                </c:pt>
                <c:pt idx="237">
                  <c:v>1172.119995</c:v>
                </c:pt>
                <c:pt idx="238">
                  <c:v>1153.679932</c:v>
                </c:pt>
                <c:pt idx="239">
                  <c:v>1135.339966</c:v>
                </c:pt>
                <c:pt idx="240">
                  <c:v>1117.089966</c:v>
                </c:pt>
                <c:pt idx="241">
                  <c:v>1098.9499510000001</c:v>
                </c:pt>
                <c:pt idx="242">
                  <c:v>1080.910034</c:v>
                </c:pt>
                <c:pt idx="243">
                  <c:v>1062.98999</c:v>
                </c:pt>
                <c:pt idx="244">
                  <c:v>1045.1899410000001</c:v>
                </c:pt>
                <c:pt idx="245">
                  <c:v>1027.51001</c:v>
                </c:pt>
                <c:pt idx="246">
                  <c:v>1009.959961</c:v>
                </c:pt>
                <c:pt idx="247">
                  <c:v>992.53997800000002</c:v>
                </c:pt>
                <c:pt idx="248">
                  <c:v>975.25994900000001</c:v>
                </c:pt>
                <c:pt idx="249">
                  <c:v>958.11999500000002</c:v>
                </c:pt>
                <c:pt idx="250">
                  <c:v>941.11999500000002</c:v>
                </c:pt>
                <c:pt idx="251">
                  <c:v>924.26995799999997</c:v>
                </c:pt>
                <c:pt idx="252">
                  <c:v>907.57995600000004</c:v>
                </c:pt>
                <c:pt idx="253">
                  <c:v>891.04998799999998</c:v>
                </c:pt>
                <c:pt idx="254">
                  <c:v>874.69000200000005</c:v>
                </c:pt>
                <c:pt idx="255">
                  <c:v>858.48999000000003</c:v>
                </c:pt>
                <c:pt idx="256">
                  <c:v>842.46997099999999</c:v>
                </c:pt>
                <c:pt idx="257">
                  <c:v>826.63000499999998</c:v>
                </c:pt>
                <c:pt idx="258">
                  <c:v>810.96997099999999</c:v>
                </c:pt>
                <c:pt idx="259">
                  <c:v>795.5</c:v>
                </c:pt>
                <c:pt idx="260">
                  <c:v>780.21997099999999</c:v>
                </c:pt>
                <c:pt idx="261">
                  <c:v>765.13000499999998</c:v>
                </c:pt>
                <c:pt idx="262">
                  <c:v>750.23999000000003</c:v>
                </c:pt>
                <c:pt idx="263">
                  <c:v>735.54998799999998</c:v>
                </c:pt>
                <c:pt idx="264">
                  <c:v>721.07000700000003</c:v>
                </c:pt>
                <c:pt idx="265">
                  <c:v>706.79998799999998</c:v>
                </c:pt>
                <c:pt idx="266">
                  <c:v>692.75</c:v>
                </c:pt>
                <c:pt idx="267">
                  <c:v>678.919983</c:v>
                </c:pt>
                <c:pt idx="268">
                  <c:v>665.30999799999995</c:v>
                </c:pt>
                <c:pt idx="269">
                  <c:v>651.919983</c:v>
                </c:pt>
                <c:pt idx="270">
                  <c:v>638.76000999999997</c:v>
                </c:pt>
                <c:pt idx="271">
                  <c:v>625.839966</c:v>
                </c:pt>
                <c:pt idx="272">
                  <c:v>613.15997300000004</c:v>
                </c:pt>
                <c:pt idx="273">
                  <c:v>600.71997099999999</c:v>
                </c:pt>
                <c:pt idx="274">
                  <c:v>588.51995799999997</c:v>
                </c:pt>
                <c:pt idx="275">
                  <c:v>576.57000700000003</c:v>
                </c:pt>
                <c:pt idx="276">
                  <c:v>564.86999500000002</c:v>
                </c:pt>
                <c:pt idx="277">
                  <c:v>553.419983</c:v>
                </c:pt>
                <c:pt idx="278">
                  <c:v>542.22997999999995</c:v>
                </c:pt>
                <c:pt idx="279">
                  <c:v>531.29998799999998</c:v>
                </c:pt>
                <c:pt idx="280">
                  <c:v>520.63000499999998</c:v>
                </c:pt>
                <c:pt idx="281">
                  <c:v>510.22998000000001</c:v>
                </c:pt>
                <c:pt idx="282">
                  <c:v>500.09997600000003</c:v>
                </c:pt>
                <c:pt idx="283">
                  <c:v>490.23998999999998</c:v>
                </c:pt>
                <c:pt idx="284">
                  <c:v>480.64999399999999</c:v>
                </c:pt>
                <c:pt idx="285">
                  <c:v>471.33999599999999</c:v>
                </c:pt>
                <c:pt idx="286">
                  <c:v>462.30999800000001</c:v>
                </c:pt>
                <c:pt idx="287">
                  <c:v>453.55999800000001</c:v>
                </c:pt>
                <c:pt idx="288">
                  <c:v>445.08999599999999</c:v>
                </c:pt>
                <c:pt idx="289">
                  <c:v>436.91000400000001</c:v>
                </c:pt>
                <c:pt idx="290">
                  <c:v>429.01998900000001</c:v>
                </c:pt>
                <c:pt idx="291">
                  <c:v>421.419983</c:v>
                </c:pt>
                <c:pt idx="292">
                  <c:v>414.10998499999999</c:v>
                </c:pt>
                <c:pt idx="293">
                  <c:v>407.10000600000001</c:v>
                </c:pt>
                <c:pt idx="294">
                  <c:v>400.38000499999998</c:v>
                </c:pt>
                <c:pt idx="295">
                  <c:v>393.959991</c:v>
                </c:pt>
                <c:pt idx="296">
                  <c:v>387.83999599999999</c:v>
                </c:pt>
                <c:pt idx="297">
                  <c:v>382.02999899999998</c:v>
                </c:pt>
                <c:pt idx="298">
                  <c:v>376.51998900000001</c:v>
                </c:pt>
                <c:pt idx="299">
                  <c:v>371.30999800000001</c:v>
                </c:pt>
                <c:pt idx="300">
                  <c:v>366.41000400000001</c:v>
                </c:pt>
                <c:pt idx="301">
                  <c:v>361.81997699999999</c:v>
                </c:pt>
                <c:pt idx="302">
                  <c:v>357.53997800000002</c:v>
                </c:pt>
                <c:pt idx="303">
                  <c:v>353.57000699999998</c:v>
                </c:pt>
                <c:pt idx="304">
                  <c:v>349.91000400000001</c:v>
                </c:pt>
                <c:pt idx="305">
                  <c:v>346.55999800000001</c:v>
                </c:pt>
                <c:pt idx="306">
                  <c:v>343.52999899999998</c:v>
                </c:pt>
                <c:pt idx="307">
                  <c:v>340.80999800000001</c:v>
                </c:pt>
                <c:pt idx="308">
                  <c:v>338.41000400000001</c:v>
                </c:pt>
                <c:pt idx="309">
                  <c:v>336.32000699999998</c:v>
                </c:pt>
                <c:pt idx="310">
                  <c:v>334.54998799999998</c:v>
                </c:pt>
                <c:pt idx="311">
                  <c:v>333.08999599999999</c:v>
                </c:pt>
                <c:pt idx="312">
                  <c:v>331.94998199999998</c:v>
                </c:pt>
                <c:pt idx="313">
                  <c:v>331.13000499999998</c:v>
                </c:pt>
                <c:pt idx="314">
                  <c:v>330.63000499999998</c:v>
                </c:pt>
                <c:pt idx="315">
                  <c:v>330.44000199999999</c:v>
                </c:pt>
                <c:pt idx="316">
                  <c:v>330.57000699999998</c:v>
                </c:pt>
                <c:pt idx="317">
                  <c:v>331.01998900000001</c:v>
                </c:pt>
                <c:pt idx="318">
                  <c:v>331.78997800000002</c:v>
                </c:pt>
                <c:pt idx="319">
                  <c:v>332.86999500000002</c:v>
                </c:pt>
                <c:pt idx="320">
                  <c:v>334.26998900000001</c:v>
                </c:pt>
                <c:pt idx="321">
                  <c:v>335.98998999999998</c:v>
                </c:pt>
                <c:pt idx="322">
                  <c:v>338.01998900000001</c:v>
                </c:pt>
                <c:pt idx="323">
                  <c:v>340.36999500000002</c:v>
                </c:pt>
                <c:pt idx="324">
                  <c:v>343.02999899999998</c:v>
                </c:pt>
                <c:pt idx="325">
                  <c:v>346.00997899999999</c:v>
                </c:pt>
                <c:pt idx="326">
                  <c:v>349.29998799999998</c:v>
                </c:pt>
                <c:pt idx="327">
                  <c:v>352.91000400000001</c:v>
                </c:pt>
                <c:pt idx="328">
                  <c:v>356.82998700000002</c:v>
                </c:pt>
                <c:pt idx="329">
                  <c:v>361.05999800000001</c:v>
                </c:pt>
                <c:pt idx="330">
                  <c:v>365.60000600000001</c:v>
                </c:pt>
                <c:pt idx="331">
                  <c:v>370.44998199999998</c:v>
                </c:pt>
                <c:pt idx="332">
                  <c:v>375.60000600000001</c:v>
                </c:pt>
                <c:pt idx="333">
                  <c:v>381.05999800000001</c:v>
                </c:pt>
                <c:pt idx="334">
                  <c:v>386.81997699999999</c:v>
                </c:pt>
                <c:pt idx="335">
                  <c:v>392.88000499999998</c:v>
                </c:pt>
                <c:pt idx="336">
                  <c:v>399.23998999999998</c:v>
                </c:pt>
                <c:pt idx="337">
                  <c:v>405.89999399999999</c:v>
                </c:pt>
                <c:pt idx="338">
                  <c:v>412.85998499999999</c:v>
                </c:pt>
                <c:pt idx="339">
                  <c:v>420.11999500000002</c:v>
                </c:pt>
                <c:pt idx="340">
                  <c:v>427.669983</c:v>
                </c:pt>
                <c:pt idx="341">
                  <c:v>435.50997899999999</c:v>
                </c:pt>
                <c:pt idx="342">
                  <c:v>443.63998400000003</c:v>
                </c:pt>
                <c:pt idx="343">
                  <c:v>452.05999800000001</c:v>
                </c:pt>
                <c:pt idx="344">
                  <c:v>460.75997899999999</c:v>
                </c:pt>
                <c:pt idx="345">
                  <c:v>469.73998999999998</c:v>
                </c:pt>
                <c:pt idx="346">
                  <c:v>479</c:v>
                </c:pt>
                <c:pt idx="347">
                  <c:v>488.53997800000002</c:v>
                </c:pt>
                <c:pt idx="348">
                  <c:v>498.35998499999999</c:v>
                </c:pt>
                <c:pt idx="349">
                  <c:v>508.44998199999998</c:v>
                </c:pt>
                <c:pt idx="350">
                  <c:v>518.80999799999995</c:v>
                </c:pt>
                <c:pt idx="351">
                  <c:v>529.42999299999997</c:v>
                </c:pt>
                <c:pt idx="352">
                  <c:v>540.32000700000003</c:v>
                </c:pt>
                <c:pt idx="353">
                  <c:v>551.46997099999999</c:v>
                </c:pt>
                <c:pt idx="354">
                  <c:v>562.86999500000002</c:v>
                </c:pt>
                <c:pt idx="355">
                  <c:v>574.52996800000005</c:v>
                </c:pt>
                <c:pt idx="356">
                  <c:v>586.44000200000005</c:v>
                </c:pt>
                <c:pt idx="357">
                  <c:v>598.59997599999997</c:v>
                </c:pt>
                <c:pt idx="358">
                  <c:v>611</c:v>
                </c:pt>
                <c:pt idx="359">
                  <c:v>623.64001499999995</c:v>
                </c:pt>
                <c:pt idx="360">
                  <c:v>636.51995799999997</c:v>
                </c:pt>
                <c:pt idx="361">
                  <c:v>649.64001499999995</c:v>
                </c:pt>
                <c:pt idx="362">
                  <c:v>662.98999000000003</c:v>
                </c:pt>
                <c:pt idx="363">
                  <c:v>676.55999799999995</c:v>
                </c:pt>
                <c:pt idx="364">
                  <c:v>690.35998500000005</c:v>
                </c:pt>
                <c:pt idx="365">
                  <c:v>704.38000499999998</c:v>
                </c:pt>
                <c:pt idx="366">
                  <c:v>718.60998500000005</c:v>
                </c:pt>
                <c:pt idx="367">
                  <c:v>733.04998799999998</c:v>
                </c:pt>
                <c:pt idx="368">
                  <c:v>747.70001200000002</c:v>
                </c:pt>
                <c:pt idx="369">
                  <c:v>762.55999799999995</c:v>
                </c:pt>
                <c:pt idx="370">
                  <c:v>777.61999500000002</c:v>
                </c:pt>
                <c:pt idx="371">
                  <c:v>792.86999500000002</c:v>
                </c:pt>
                <c:pt idx="372">
                  <c:v>808.30999799999995</c:v>
                </c:pt>
                <c:pt idx="373">
                  <c:v>823.94000200000005</c:v>
                </c:pt>
                <c:pt idx="374">
                  <c:v>839.75</c:v>
                </c:pt>
                <c:pt idx="375">
                  <c:v>855.73999000000003</c:v>
                </c:pt>
                <c:pt idx="376">
                  <c:v>871.90997300000004</c:v>
                </c:pt>
                <c:pt idx="377">
                  <c:v>888.25</c:v>
                </c:pt>
                <c:pt idx="378">
                  <c:v>904.75</c:v>
                </c:pt>
                <c:pt idx="379">
                  <c:v>921.40997300000004</c:v>
                </c:pt>
                <c:pt idx="380">
                  <c:v>938.22997999999995</c:v>
                </c:pt>
                <c:pt idx="381">
                  <c:v>955.19995100000006</c:v>
                </c:pt>
                <c:pt idx="382">
                  <c:v>972.32000700000003</c:v>
                </c:pt>
                <c:pt idx="383">
                  <c:v>989.57995600000004</c:v>
                </c:pt>
                <c:pt idx="384">
                  <c:v>1006.97998</c:v>
                </c:pt>
                <c:pt idx="385">
                  <c:v>1024.51001</c:v>
                </c:pt>
                <c:pt idx="386">
                  <c:v>1042.169922</c:v>
                </c:pt>
                <c:pt idx="387">
                  <c:v>1059.9499510000001</c:v>
                </c:pt>
                <c:pt idx="388">
                  <c:v>1077.849976</c:v>
                </c:pt>
                <c:pt idx="389">
                  <c:v>1095.869995</c:v>
                </c:pt>
                <c:pt idx="390">
                  <c:v>1114</c:v>
                </c:pt>
                <c:pt idx="391">
                  <c:v>1132.2299800000001</c:v>
                </c:pt>
                <c:pt idx="392">
                  <c:v>1150.559937</c:v>
                </c:pt>
                <c:pt idx="393">
                  <c:v>1168.9799800000001</c:v>
                </c:pt>
                <c:pt idx="394">
                  <c:v>1187.48999</c:v>
                </c:pt>
                <c:pt idx="395">
                  <c:v>1206.079956</c:v>
                </c:pt>
                <c:pt idx="396">
                  <c:v>1224.75</c:v>
                </c:pt>
                <c:pt idx="397">
                  <c:v>1243.5</c:v>
                </c:pt>
                <c:pt idx="398">
                  <c:v>1262.3199460000001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CA-4D16-AA0C-53CFCEC9C1B9}"/>
            </c:ext>
          </c:extLst>
        </c:ser>
        <c:ser>
          <c:idx val="5"/>
          <c:order val="2"/>
          <c:tx>
            <c:v>Breakout</c:v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breakout!$B$2:$B$400</c:f>
              <c:numCache>
                <c:formatCode>0.00</c:formatCode>
                <c:ptCount val="399"/>
                <c:pt idx="0">
                  <c:v>865.19995100000006</c:v>
                </c:pt>
                <c:pt idx="1">
                  <c:v>855.339966</c:v>
                </c:pt>
                <c:pt idx="2">
                  <c:v>845.47997999999995</c:v>
                </c:pt>
                <c:pt idx="3">
                  <c:v>835.61999500000002</c:v>
                </c:pt>
                <c:pt idx="4">
                  <c:v>825.76000999999997</c:v>
                </c:pt>
                <c:pt idx="5">
                  <c:v>815.89996299999996</c:v>
                </c:pt>
                <c:pt idx="6">
                  <c:v>806.03997800000002</c:v>
                </c:pt>
                <c:pt idx="7">
                  <c:v>796.17999299999997</c:v>
                </c:pt>
                <c:pt idx="8">
                  <c:v>786.32000700000003</c:v>
                </c:pt>
                <c:pt idx="9">
                  <c:v>776.45996100000002</c:v>
                </c:pt>
                <c:pt idx="10">
                  <c:v>766.59997599999997</c:v>
                </c:pt>
                <c:pt idx="11">
                  <c:v>756.73999000000003</c:v>
                </c:pt>
                <c:pt idx="12">
                  <c:v>746.88000499999998</c:v>
                </c:pt>
                <c:pt idx="13">
                  <c:v>737.01995799999997</c:v>
                </c:pt>
                <c:pt idx="14">
                  <c:v>727.15997300000004</c:v>
                </c:pt>
                <c:pt idx="15">
                  <c:v>717.29998799999998</c:v>
                </c:pt>
                <c:pt idx="16">
                  <c:v>707.44000200000005</c:v>
                </c:pt>
                <c:pt idx="17">
                  <c:v>697.57995600000004</c:v>
                </c:pt>
                <c:pt idx="18">
                  <c:v>687.71997099999999</c:v>
                </c:pt>
                <c:pt idx="19">
                  <c:v>677.85998500000005</c:v>
                </c:pt>
                <c:pt idx="20">
                  <c:v>668</c:v>
                </c:pt>
                <c:pt idx="21">
                  <c:v>658.14001499999995</c:v>
                </c:pt>
                <c:pt idx="22">
                  <c:v>648.27996800000005</c:v>
                </c:pt>
                <c:pt idx="23">
                  <c:v>638.419983</c:v>
                </c:pt>
                <c:pt idx="24">
                  <c:v>628.55999799999995</c:v>
                </c:pt>
                <c:pt idx="25">
                  <c:v>618.70001200000002</c:v>
                </c:pt>
                <c:pt idx="26">
                  <c:v>608.839966</c:v>
                </c:pt>
                <c:pt idx="27">
                  <c:v>598.97997999999995</c:v>
                </c:pt>
                <c:pt idx="28">
                  <c:v>589.11999500000002</c:v>
                </c:pt>
                <c:pt idx="29">
                  <c:v>579.26000999999997</c:v>
                </c:pt>
                <c:pt idx="30">
                  <c:v>569.39996299999996</c:v>
                </c:pt>
                <c:pt idx="31">
                  <c:v>559.53997800000002</c:v>
                </c:pt>
                <c:pt idx="32">
                  <c:v>549.67999299999997</c:v>
                </c:pt>
                <c:pt idx="33">
                  <c:v>539.82000700000003</c:v>
                </c:pt>
                <c:pt idx="34">
                  <c:v>529.95996100000002</c:v>
                </c:pt>
                <c:pt idx="35">
                  <c:v>520.09997599999997</c:v>
                </c:pt>
                <c:pt idx="36">
                  <c:v>510.23998999999998</c:v>
                </c:pt>
                <c:pt idx="37">
                  <c:v>500.379974</c:v>
                </c:pt>
                <c:pt idx="38">
                  <c:v>490.51998900000001</c:v>
                </c:pt>
                <c:pt idx="39">
                  <c:v>480.66000400000001</c:v>
                </c:pt>
                <c:pt idx="40">
                  <c:v>470.79998799999998</c:v>
                </c:pt>
                <c:pt idx="41">
                  <c:v>460.94000199999999</c:v>
                </c:pt>
                <c:pt idx="42">
                  <c:v>451.07998700000002</c:v>
                </c:pt>
                <c:pt idx="43">
                  <c:v>441.22000100000002</c:v>
                </c:pt>
                <c:pt idx="44">
                  <c:v>431.35998499999999</c:v>
                </c:pt>
                <c:pt idx="45">
                  <c:v>421.5</c:v>
                </c:pt>
                <c:pt idx="46">
                  <c:v>411.63998400000003</c:v>
                </c:pt>
                <c:pt idx="47">
                  <c:v>401.77999899999998</c:v>
                </c:pt>
                <c:pt idx="48">
                  <c:v>391.919983</c:v>
                </c:pt>
                <c:pt idx="49">
                  <c:v>382.05999800000001</c:v>
                </c:pt>
                <c:pt idx="50">
                  <c:v>372.19998199999998</c:v>
                </c:pt>
                <c:pt idx="51">
                  <c:v>362.33999599999999</c:v>
                </c:pt>
                <c:pt idx="52">
                  <c:v>352.39999399999999</c:v>
                </c:pt>
                <c:pt idx="53">
                  <c:v>342.39999399999999</c:v>
                </c:pt>
                <c:pt idx="54">
                  <c:v>332.32998700000002</c:v>
                </c:pt>
                <c:pt idx="55">
                  <c:v>322.19000199999999</c:v>
                </c:pt>
                <c:pt idx="56">
                  <c:v>311.97998000000001</c:v>
                </c:pt>
                <c:pt idx="57">
                  <c:v>301.67999300000002</c:v>
                </c:pt>
                <c:pt idx="58">
                  <c:v>291.290009</c:v>
                </c:pt>
                <c:pt idx="59">
                  <c:v>280.79998799999998</c:v>
                </c:pt>
                <c:pt idx="60">
                  <c:v>270.19000199999999</c:v>
                </c:pt>
                <c:pt idx="61">
                  <c:v>259.459991</c:v>
                </c:pt>
                <c:pt idx="62">
                  <c:v>248.59999099999999</c:v>
                </c:pt>
                <c:pt idx="63">
                  <c:v>237.59999099999999</c:v>
                </c:pt>
                <c:pt idx="64">
                  <c:v>226.449997</c:v>
                </c:pt>
                <c:pt idx="65">
                  <c:v>215.13999899999999</c:v>
                </c:pt>
                <c:pt idx="66">
                  <c:v>203.66999799999999</c:v>
                </c:pt>
                <c:pt idx="67">
                  <c:v>192.029999</c:v>
                </c:pt>
                <c:pt idx="68">
                  <c:v>180.209991</c:v>
                </c:pt>
                <c:pt idx="69">
                  <c:v>168.209991</c:v>
                </c:pt>
                <c:pt idx="70">
                  <c:v>156.029999</c:v>
                </c:pt>
                <c:pt idx="71">
                  <c:v>143.66000399999999</c:v>
                </c:pt>
                <c:pt idx="72">
                  <c:v>131.09999099999999</c:v>
                </c:pt>
                <c:pt idx="73">
                  <c:v>118.349998</c:v>
                </c:pt>
                <c:pt idx="74">
                  <c:v>105.39999400000001</c:v>
                </c:pt>
                <c:pt idx="75">
                  <c:v>92.259995000000004</c:v>
                </c:pt>
                <c:pt idx="76">
                  <c:v>78.919998000000007</c:v>
                </c:pt>
                <c:pt idx="77">
                  <c:v>65.379997000000003</c:v>
                </c:pt>
                <c:pt idx="78">
                  <c:v>51.649997999999997</c:v>
                </c:pt>
                <c:pt idx="79">
                  <c:v>37.719996999999999</c:v>
                </c:pt>
                <c:pt idx="80">
                  <c:v>23.59</c:v>
                </c:pt>
                <c:pt idx="81">
                  <c:v>9.27</c:v>
                </c:pt>
                <c:pt idx="82">
                  <c:v>-5.25</c:v>
                </c:pt>
                <c:pt idx="83">
                  <c:v>-19.959999</c:v>
                </c:pt>
                <c:pt idx="84">
                  <c:v>-34.860000999999997</c:v>
                </c:pt>
                <c:pt idx="85">
                  <c:v>-49.950001</c:v>
                </c:pt>
                <c:pt idx="86">
                  <c:v>-65.220000999999996</c:v>
                </c:pt>
                <c:pt idx="87">
                  <c:v>-80.680000000000007</c:v>
                </c:pt>
                <c:pt idx="88">
                  <c:v>-96.32</c:v>
                </c:pt>
                <c:pt idx="89">
                  <c:v>-112.139999</c:v>
                </c:pt>
                <c:pt idx="90">
                  <c:v>-128.12998999999999</c:v>
                </c:pt>
                <c:pt idx="91">
                  <c:v>-144.28999300000001</c:v>
                </c:pt>
                <c:pt idx="92">
                  <c:v>-160.61999499999999</c:v>
                </c:pt>
                <c:pt idx="93">
                  <c:v>-177.11000100000001</c:v>
                </c:pt>
                <c:pt idx="94">
                  <c:v>-193.759995</c:v>
                </c:pt>
                <c:pt idx="95">
                  <c:v>-210.56999200000001</c:v>
                </c:pt>
                <c:pt idx="96">
                  <c:v>-227.529999</c:v>
                </c:pt>
                <c:pt idx="97">
                  <c:v>-244.63999899999999</c:v>
                </c:pt>
                <c:pt idx="98">
                  <c:v>-261.88998400000003</c:v>
                </c:pt>
                <c:pt idx="99">
                  <c:v>-279.27999899999998</c:v>
                </c:pt>
                <c:pt idx="100">
                  <c:v>-296.79998799999998</c:v>
                </c:pt>
                <c:pt idx="101">
                  <c:v>-314.44998199999998</c:v>
                </c:pt>
                <c:pt idx="102">
                  <c:v>-332.22998000000001</c:v>
                </c:pt>
                <c:pt idx="103">
                  <c:v>-350.13000499999998</c:v>
                </c:pt>
                <c:pt idx="104">
                  <c:v>-368.13998400000003</c:v>
                </c:pt>
                <c:pt idx="105">
                  <c:v>-386.26998900000001</c:v>
                </c:pt>
                <c:pt idx="106">
                  <c:v>-404.5</c:v>
                </c:pt>
                <c:pt idx="107">
                  <c:v>-422.82998700000002</c:v>
                </c:pt>
                <c:pt idx="108">
                  <c:v>-441.25997899999999</c:v>
                </c:pt>
                <c:pt idx="109">
                  <c:v>-459.77999899999998</c:v>
                </c:pt>
                <c:pt idx="110">
                  <c:v>-478.379974</c:v>
                </c:pt>
                <c:pt idx="111">
                  <c:v>-497.05999800000001</c:v>
                </c:pt>
                <c:pt idx="112">
                  <c:v>-515.82000700000003</c:v>
                </c:pt>
                <c:pt idx="113">
                  <c:v>-534.64996299999996</c:v>
                </c:pt>
                <c:pt idx="114">
                  <c:v>-553.53997800000002</c:v>
                </c:pt>
                <c:pt idx="115">
                  <c:v>-572.48999000000003</c:v>
                </c:pt>
                <c:pt idx="116">
                  <c:v>-591.48999000000003</c:v>
                </c:pt>
                <c:pt idx="117">
                  <c:v>-610.53997800000002</c:v>
                </c:pt>
                <c:pt idx="118">
                  <c:v>-629.63000499999998</c:v>
                </c:pt>
                <c:pt idx="119">
                  <c:v>-648.76000999999997</c:v>
                </c:pt>
                <c:pt idx="120">
                  <c:v>-667.919983</c:v>
                </c:pt>
                <c:pt idx="121">
                  <c:v>-687.10998500000005</c:v>
                </c:pt>
                <c:pt idx="122">
                  <c:v>-706.32000700000003</c:v>
                </c:pt>
                <c:pt idx="123">
                  <c:v>-725.53997800000002</c:v>
                </c:pt>
                <c:pt idx="124">
                  <c:v>-744.76995799999997</c:v>
                </c:pt>
                <c:pt idx="125">
                  <c:v>-764.01000999999997</c:v>
                </c:pt>
                <c:pt idx="126">
                  <c:v>-783.23999000000003</c:v>
                </c:pt>
                <c:pt idx="127">
                  <c:v>-802.46997099999999</c:v>
                </c:pt>
                <c:pt idx="128">
                  <c:v>-821.67999299999997</c:v>
                </c:pt>
                <c:pt idx="129">
                  <c:v>-840.86999500000002</c:v>
                </c:pt>
                <c:pt idx="130">
                  <c:v>-860.03997800000002</c:v>
                </c:pt>
                <c:pt idx="131">
                  <c:v>-879.17999299999997</c:v>
                </c:pt>
                <c:pt idx="132">
                  <c:v>-898.27996800000005</c:v>
                </c:pt>
                <c:pt idx="133">
                  <c:v>-917.339966</c:v>
                </c:pt>
                <c:pt idx="134">
                  <c:v>-936.35998500000005</c:v>
                </c:pt>
                <c:pt idx="135">
                  <c:v>-955.32000700000003</c:v>
                </c:pt>
                <c:pt idx="136">
                  <c:v>-974.22997999999995</c:v>
                </c:pt>
                <c:pt idx="137">
                  <c:v>-993.07000700000003</c:v>
                </c:pt>
                <c:pt idx="138">
                  <c:v>-1011.839966</c:v>
                </c:pt>
                <c:pt idx="139">
                  <c:v>-1030.5399170000001</c:v>
                </c:pt>
                <c:pt idx="140">
                  <c:v>-1049.160034</c:v>
                </c:pt>
                <c:pt idx="141">
                  <c:v>-1067.6899410000001</c:v>
                </c:pt>
                <c:pt idx="142">
                  <c:v>-1086.130005</c:v>
                </c:pt>
                <c:pt idx="143">
                  <c:v>-1104.4799800000001</c:v>
                </c:pt>
                <c:pt idx="144">
                  <c:v>-1122.7299800000001</c:v>
                </c:pt>
                <c:pt idx="145">
                  <c:v>-1140.869995</c:v>
                </c:pt>
                <c:pt idx="146">
                  <c:v>-1158.900024</c:v>
                </c:pt>
                <c:pt idx="147">
                  <c:v>-1176.809937</c:v>
                </c:pt>
                <c:pt idx="148">
                  <c:v>-1194.599976</c:v>
                </c:pt>
                <c:pt idx="149">
                  <c:v>-1212.26001</c:v>
                </c:pt>
                <c:pt idx="150">
                  <c:v>-1229.7899170000001</c:v>
                </c:pt>
                <c:pt idx="151">
                  <c:v>-1247.179932</c:v>
                </c:pt>
                <c:pt idx="152">
                  <c:v>-1264.429932</c:v>
                </c:pt>
                <c:pt idx="153">
                  <c:v>-1281.530029</c:v>
                </c:pt>
                <c:pt idx="154">
                  <c:v>-1298.469971</c:v>
                </c:pt>
                <c:pt idx="155">
                  <c:v>-1315.26001</c:v>
                </c:pt>
                <c:pt idx="156">
                  <c:v>-1331.880005</c:v>
                </c:pt>
                <c:pt idx="157">
                  <c:v>-1348.329956</c:v>
                </c:pt>
                <c:pt idx="158">
                  <c:v>-1364.6099850000001</c:v>
                </c:pt>
                <c:pt idx="159">
                  <c:v>-1380.709961</c:v>
                </c:pt>
                <c:pt idx="160">
                  <c:v>-1396.630005</c:v>
                </c:pt>
                <c:pt idx="161">
                  <c:v>-1412.369995</c:v>
                </c:pt>
                <c:pt idx="162">
                  <c:v>-1427.9099120000001</c:v>
                </c:pt>
                <c:pt idx="163">
                  <c:v>-1443.26001</c:v>
                </c:pt>
                <c:pt idx="164">
                  <c:v>-1458.4099120000001</c:v>
                </c:pt>
                <c:pt idx="165">
                  <c:v>-1473.349976</c:v>
                </c:pt>
                <c:pt idx="166">
                  <c:v>-1488.079956</c:v>
                </c:pt>
                <c:pt idx="167">
                  <c:v>-1502.599976</c:v>
                </c:pt>
                <c:pt idx="168">
                  <c:v>-1516.900024</c:v>
                </c:pt>
                <c:pt idx="169">
                  <c:v>-1530.9799800000001</c:v>
                </c:pt>
                <c:pt idx="170">
                  <c:v>-1544.829956</c:v>
                </c:pt>
                <c:pt idx="171">
                  <c:v>-1558.4499510000001</c:v>
                </c:pt>
                <c:pt idx="172">
                  <c:v>-1571.839966</c:v>
                </c:pt>
                <c:pt idx="173">
                  <c:v>-1584.98999</c:v>
                </c:pt>
                <c:pt idx="174">
                  <c:v>-1597.900024</c:v>
                </c:pt>
                <c:pt idx="175">
                  <c:v>-1610.559937</c:v>
                </c:pt>
                <c:pt idx="176">
                  <c:v>-1622.969971</c:v>
                </c:pt>
                <c:pt idx="177">
                  <c:v>-1635.130005</c:v>
                </c:pt>
                <c:pt idx="178">
                  <c:v>-1647.0299070000001</c:v>
                </c:pt>
                <c:pt idx="179">
                  <c:v>-1658.669922</c:v>
                </c:pt>
                <c:pt idx="180">
                  <c:v>-1670.049927</c:v>
                </c:pt>
                <c:pt idx="181">
                  <c:v>-1681.1599120000001</c:v>
                </c:pt>
                <c:pt idx="182">
                  <c:v>-1692</c:v>
                </c:pt>
                <c:pt idx="183">
                  <c:v>-1702.5699460000001</c:v>
                </c:pt>
                <c:pt idx="184">
                  <c:v>-1712.8599850000001</c:v>
                </c:pt>
                <c:pt idx="185">
                  <c:v>-1722.869995</c:v>
                </c:pt>
                <c:pt idx="186">
                  <c:v>-1732.599976</c:v>
                </c:pt>
                <c:pt idx="187">
                  <c:v>-1742.049927</c:v>
                </c:pt>
                <c:pt idx="188">
                  <c:v>-1751.209961</c:v>
                </c:pt>
                <c:pt idx="189">
                  <c:v>-1760.079956</c:v>
                </c:pt>
                <c:pt idx="190">
                  <c:v>-1768.6499020000001</c:v>
                </c:pt>
                <c:pt idx="191">
                  <c:v>-1776.929932</c:v>
                </c:pt>
                <c:pt idx="192">
                  <c:v>-1784.9099120000001</c:v>
                </c:pt>
                <c:pt idx="193">
                  <c:v>-1792.589966</c:v>
                </c:pt>
                <c:pt idx="194">
                  <c:v>-1799.969971</c:v>
                </c:pt>
                <c:pt idx="195">
                  <c:v>-1807.0399170000001</c:v>
                </c:pt>
                <c:pt idx="196">
                  <c:v>-1813.799927</c:v>
                </c:pt>
                <c:pt idx="197">
                  <c:v>-1820.25</c:v>
                </c:pt>
                <c:pt idx="198">
                  <c:v>-1826.3900149999999</c:v>
                </c:pt>
                <c:pt idx="199">
                  <c:v>-1832.219971</c:v>
                </c:pt>
                <c:pt idx="200">
                  <c:v>-1837.73999</c:v>
                </c:pt>
                <c:pt idx="201">
                  <c:v>-1842.9399410000001</c:v>
                </c:pt>
                <c:pt idx="202">
                  <c:v>-1847.8199460000001</c:v>
                </c:pt>
                <c:pt idx="203">
                  <c:v>-1852.380005</c:v>
                </c:pt>
                <c:pt idx="204">
                  <c:v>-1856.619995</c:v>
                </c:pt>
                <c:pt idx="205">
                  <c:v>-1860.5399170000001</c:v>
                </c:pt>
                <c:pt idx="206">
                  <c:v>-1864.1400149999999</c:v>
                </c:pt>
                <c:pt idx="207">
                  <c:v>-1867.419922</c:v>
                </c:pt>
                <c:pt idx="208">
                  <c:v>-1870.369995</c:v>
                </c:pt>
                <c:pt idx="209">
                  <c:v>-1873</c:v>
                </c:pt>
                <c:pt idx="210">
                  <c:v>-1875.299927</c:v>
                </c:pt>
                <c:pt idx="211">
                  <c:v>-1877.2698969999999</c:v>
                </c:pt>
                <c:pt idx="212">
                  <c:v>-1878.919922</c:v>
                </c:pt>
                <c:pt idx="213">
                  <c:v>-1880.23999</c:v>
                </c:pt>
                <c:pt idx="214">
                  <c:v>-1881.2299800000001</c:v>
                </c:pt>
                <c:pt idx="215">
                  <c:v>-1881.8900149999999</c:v>
                </c:pt>
                <c:pt idx="216">
                  <c:v>-1882.219971</c:v>
                </c:pt>
                <c:pt idx="217">
                  <c:v>-1882.219971</c:v>
                </c:pt>
                <c:pt idx="218">
                  <c:v>-1881.8900149999999</c:v>
                </c:pt>
                <c:pt idx="219">
                  <c:v>-1881.23999</c:v>
                </c:pt>
                <c:pt idx="220">
                  <c:v>-1880.26001</c:v>
                </c:pt>
                <c:pt idx="221">
                  <c:v>-1878.9499510000001</c:v>
                </c:pt>
                <c:pt idx="222">
                  <c:v>-1877.309937</c:v>
                </c:pt>
                <c:pt idx="223">
                  <c:v>-1875.339966</c:v>
                </c:pt>
                <c:pt idx="224">
                  <c:v>-1873.049927</c:v>
                </c:pt>
                <c:pt idx="225">
                  <c:v>-1870.429932</c:v>
                </c:pt>
                <c:pt idx="226">
                  <c:v>-1867.4799800000001</c:v>
                </c:pt>
                <c:pt idx="227">
                  <c:v>-1864.209961</c:v>
                </c:pt>
                <c:pt idx="228">
                  <c:v>-1860.619995</c:v>
                </c:pt>
                <c:pt idx="229">
                  <c:v>-1856.6999510000001</c:v>
                </c:pt>
                <c:pt idx="230">
                  <c:v>-1852.459961</c:v>
                </c:pt>
                <c:pt idx="231">
                  <c:v>-1847.8999020000001</c:v>
                </c:pt>
                <c:pt idx="232">
                  <c:v>-1843.0200199999999</c:v>
                </c:pt>
                <c:pt idx="233">
                  <c:v>-1837.8199460000001</c:v>
                </c:pt>
                <c:pt idx="234">
                  <c:v>-1832.309937</c:v>
                </c:pt>
                <c:pt idx="235">
                  <c:v>-1826.4799800000001</c:v>
                </c:pt>
                <c:pt idx="236">
                  <c:v>-1820.339966</c:v>
                </c:pt>
                <c:pt idx="237">
                  <c:v>-1813.8900149999999</c:v>
                </c:pt>
                <c:pt idx="238">
                  <c:v>-1807.130005</c:v>
                </c:pt>
                <c:pt idx="239">
                  <c:v>-1800.059937</c:v>
                </c:pt>
                <c:pt idx="240">
                  <c:v>-1792.6899410000001</c:v>
                </c:pt>
                <c:pt idx="241">
                  <c:v>-1785.0200199999999</c:v>
                </c:pt>
                <c:pt idx="242">
                  <c:v>-1777.049927</c:v>
                </c:pt>
                <c:pt idx="243">
                  <c:v>-1768.7799070000001</c:v>
                </c:pt>
                <c:pt idx="244">
                  <c:v>-1760.209961</c:v>
                </c:pt>
                <c:pt idx="245">
                  <c:v>-1751.349976</c:v>
                </c:pt>
                <c:pt idx="246">
                  <c:v>-1742.1999510000001</c:v>
                </c:pt>
                <c:pt idx="247">
                  <c:v>-1732.76001</c:v>
                </c:pt>
                <c:pt idx="248">
                  <c:v>-1723.0299070000001</c:v>
                </c:pt>
                <c:pt idx="249">
                  <c:v>-1713.0200199999999</c:v>
                </c:pt>
                <c:pt idx="250">
                  <c:v>-1702.7299800000001</c:v>
                </c:pt>
                <c:pt idx="251">
                  <c:v>-1692.169922</c:v>
                </c:pt>
                <c:pt idx="252">
                  <c:v>-1681.329956</c:v>
                </c:pt>
                <c:pt idx="253">
                  <c:v>-1670.219971</c:v>
                </c:pt>
                <c:pt idx="254">
                  <c:v>-1658.849976</c:v>
                </c:pt>
                <c:pt idx="255">
                  <c:v>-1647.209961</c:v>
                </c:pt>
                <c:pt idx="256">
                  <c:v>-1635.309937</c:v>
                </c:pt>
                <c:pt idx="257">
                  <c:v>-1623.1599120000001</c:v>
                </c:pt>
                <c:pt idx="258">
                  <c:v>-1610.75</c:v>
                </c:pt>
                <c:pt idx="259">
                  <c:v>-1598.089966</c:v>
                </c:pt>
                <c:pt idx="260">
                  <c:v>-1585.1899410000001</c:v>
                </c:pt>
                <c:pt idx="261">
                  <c:v>-1572.0399170000001</c:v>
                </c:pt>
                <c:pt idx="262">
                  <c:v>-1558.6599120000001</c:v>
                </c:pt>
                <c:pt idx="263">
                  <c:v>-1545.0399170000001</c:v>
                </c:pt>
                <c:pt idx="264">
                  <c:v>-1531.1899410000001</c:v>
                </c:pt>
                <c:pt idx="265">
                  <c:v>-1517.1099850000001</c:v>
                </c:pt>
                <c:pt idx="266">
                  <c:v>-1502.809937</c:v>
                </c:pt>
                <c:pt idx="267">
                  <c:v>-1488.2899170000001</c:v>
                </c:pt>
                <c:pt idx="268">
                  <c:v>-1473.559937</c:v>
                </c:pt>
                <c:pt idx="269">
                  <c:v>-1458.619995</c:v>
                </c:pt>
                <c:pt idx="270">
                  <c:v>-1443.4799800000001</c:v>
                </c:pt>
                <c:pt idx="271">
                  <c:v>-1428.1400149999999</c:v>
                </c:pt>
                <c:pt idx="272">
                  <c:v>-1412.599976</c:v>
                </c:pt>
                <c:pt idx="273">
                  <c:v>-1396.869995</c:v>
                </c:pt>
                <c:pt idx="274">
                  <c:v>-1380.9499510000001</c:v>
                </c:pt>
                <c:pt idx="275">
                  <c:v>-1364.849976</c:v>
                </c:pt>
                <c:pt idx="276">
                  <c:v>-1348.5699460000001</c:v>
                </c:pt>
                <c:pt idx="277">
                  <c:v>-1332.119995</c:v>
                </c:pt>
                <c:pt idx="278">
                  <c:v>-1315.5</c:v>
                </c:pt>
                <c:pt idx="279">
                  <c:v>-1298.719971</c:v>
                </c:pt>
                <c:pt idx="280">
                  <c:v>-1281.780029</c:v>
                </c:pt>
                <c:pt idx="281">
                  <c:v>-1264.6899410000001</c:v>
                </c:pt>
                <c:pt idx="282">
                  <c:v>-1247.4499510000001</c:v>
                </c:pt>
                <c:pt idx="283">
                  <c:v>-1230.059937</c:v>
                </c:pt>
                <c:pt idx="284">
                  <c:v>-1212.5399170000001</c:v>
                </c:pt>
                <c:pt idx="285">
                  <c:v>-1194.880005</c:v>
                </c:pt>
                <c:pt idx="286">
                  <c:v>-1177.089966</c:v>
                </c:pt>
                <c:pt idx="287">
                  <c:v>-1159.179932</c:v>
                </c:pt>
                <c:pt idx="288">
                  <c:v>-1141.150024</c:v>
                </c:pt>
                <c:pt idx="289">
                  <c:v>-1123.01001</c:v>
                </c:pt>
                <c:pt idx="290">
                  <c:v>-1104.7700199999999</c:v>
                </c:pt>
                <c:pt idx="291">
                  <c:v>-1086.419922</c:v>
                </c:pt>
                <c:pt idx="292">
                  <c:v>-1067.9799800000001</c:v>
                </c:pt>
                <c:pt idx="293">
                  <c:v>-1049.4499510000001</c:v>
                </c:pt>
                <c:pt idx="294">
                  <c:v>-1030.829956</c:v>
                </c:pt>
                <c:pt idx="295">
                  <c:v>-1012.130005</c:v>
                </c:pt>
                <c:pt idx="296">
                  <c:v>-993.35998500000005</c:v>
                </c:pt>
                <c:pt idx="297">
                  <c:v>-974.51995799999997</c:v>
                </c:pt>
                <c:pt idx="298">
                  <c:v>-955.60998500000005</c:v>
                </c:pt>
                <c:pt idx="299">
                  <c:v>-936.64996299999996</c:v>
                </c:pt>
                <c:pt idx="300">
                  <c:v>-917.63000499999998</c:v>
                </c:pt>
                <c:pt idx="301">
                  <c:v>-898.57000700000003</c:v>
                </c:pt>
                <c:pt idx="302">
                  <c:v>-879.46997099999999</c:v>
                </c:pt>
                <c:pt idx="303">
                  <c:v>-860.32995600000004</c:v>
                </c:pt>
                <c:pt idx="304">
                  <c:v>-841.15997300000004</c:v>
                </c:pt>
                <c:pt idx="305">
                  <c:v>-821.96997099999999</c:v>
                </c:pt>
                <c:pt idx="306">
                  <c:v>-802.76000999999997</c:v>
                </c:pt>
                <c:pt idx="307">
                  <c:v>-783.52996800000005</c:v>
                </c:pt>
                <c:pt idx="308">
                  <c:v>-764.29998799999998</c:v>
                </c:pt>
                <c:pt idx="309">
                  <c:v>-745.05999799999995</c:v>
                </c:pt>
                <c:pt idx="310">
                  <c:v>-725.82995600000004</c:v>
                </c:pt>
                <c:pt idx="311">
                  <c:v>-706.60998500000005</c:v>
                </c:pt>
                <c:pt idx="312">
                  <c:v>-687.39996299999996</c:v>
                </c:pt>
                <c:pt idx="313">
                  <c:v>-668.20996100000002</c:v>
                </c:pt>
                <c:pt idx="314">
                  <c:v>-649.04998799999998</c:v>
                </c:pt>
                <c:pt idx="315">
                  <c:v>-629.919983</c:v>
                </c:pt>
                <c:pt idx="316">
                  <c:v>-610.82995600000004</c:v>
                </c:pt>
                <c:pt idx="317">
                  <c:v>-591.77996800000005</c:v>
                </c:pt>
                <c:pt idx="318">
                  <c:v>-572.77996800000005</c:v>
                </c:pt>
                <c:pt idx="319">
                  <c:v>-553.830017</c:v>
                </c:pt>
                <c:pt idx="320">
                  <c:v>-534.94000200000005</c:v>
                </c:pt>
                <c:pt idx="321">
                  <c:v>-516.11999500000002</c:v>
                </c:pt>
                <c:pt idx="322">
                  <c:v>-497.36999500000002</c:v>
                </c:pt>
                <c:pt idx="323">
                  <c:v>-478.69998199999998</c:v>
                </c:pt>
                <c:pt idx="324">
                  <c:v>-460.10998499999999</c:v>
                </c:pt>
                <c:pt idx="325">
                  <c:v>-441.59997600000003</c:v>
                </c:pt>
                <c:pt idx="326">
                  <c:v>-423.19000199999999</c:v>
                </c:pt>
                <c:pt idx="327">
                  <c:v>-404.86999500000002</c:v>
                </c:pt>
                <c:pt idx="328">
                  <c:v>-386.66000400000001</c:v>
                </c:pt>
                <c:pt idx="329">
                  <c:v>-368.55999800000001</c:v>
                </c:pt>
                <c:pt idx="330">
                  <c:v>-350.57000699999998</c:v>
                </c:pt>
                <c:pt idx="331">
                  <c:v>-332.69998199999998</c:v>
                </c:pt>
                <c:pt idx="332">
                  <c:v>-314.94998199999998</c:v>
                </c:pt>
                <c:pt idx="333">
                  <c:v>-297.32998700000002</c:v>
                </c:pt>
                <c:pt idx="334">
                  <c:v>-279.85000600000001</c:v>
                </c:pt>
                <c:pt idx="335">
                  <c:v>-262.50997899999999</c:v>
                </c:pt>
                <c:pt idx="336">
                  <c:v>-245.30999800000001</c:v>
                </c:pt>
                <c:pt idx="337">
                  <c:v>-228.259995</c:v>
                </c:pt>
                <c:pt idx="338">
                  <c:v>-211.36999499999999</c:v>
                </c:pt>
                <c:pt idx="339">
                  <c:v>-194.63999899999999</c:v>
                </c:pt>
                <c:pt idx="340">
                  <c:v>-178.06999200000001</c:v>
                </c:pt>
                <c:pt idx="341">
                  <c:v>-161.66999799999999</c:v>
                </c:pt>
                <c:pt idx="342">
                  <c:v>-145.449997</c:v>
                </c:pt>
                <c:pt idx="343">
                  <c:v>-129.39999399999999</c:v>
                </c:pt>
                <c:pt idx="344">
                  <c:v>-113.540001</c:v>
                </c:pt>
                <c:pt idx="345">
                  <c:v>-97.869995000000003</c:v>
                </c:pt>
                <c:pt idx="346">
                  <c:v>-82.389999000000003</c:v>
                </c:pt>
                <c:pt idx="347">
                  <c:v>-67.110000999999997</c:v>
                </c:pt>
                <c:pt idx="348">
                  <c:v>-52.029998999999997</c:v>
                </c:pt>
                <c:pt idx="349">
                  <c:v>-37.159999999999997</c:v>
                </c:pt>
                <c:pt idx="350">
                  <c:v>-22.5</c:v>
                </c:pt>
                <c:pt idx="351">
                  <c:v>-8.0500000000000007</c:v>
                </c:pt>
                <c:pt idx="352">
                  <c:v>6.18</c:v>
                </c:pt>
                <c:pt idx="353">
                  <c:v>20.189999</c:v>
                </c:pt>
                <c:pt idx="354">
                  <c:v>33.969996999999999</c:v>
                </c:pt>
                <c:pt idx="355">
                  <c:v>47.52</c:v>
                </c:pt>
                <c:pt idx="356">
                  <c:v>60.829998000000003</c:v>
                </c:pt>
                <c:pt idx="357">
                  <c:v>73.900002000000001</c:v>
                </c:pt>
                <c:pt idx="358">
                  <c:v>86.729996</c:v>
                </c:pt>
                <c:pt idx="359">
                  <c:v>99.309997999999993</c:v>
                </c:pt>
                <c:pt idx="360">
                  <c:v>111.639999</c:v>
                </c:pt>
                <c:pt idx="361">
                  <c:v>123.719994</c:v>
                </c:pt>
                <c:pt idx="362">
                  <c:v>135.53999300000001</c:v>
                </c:pt>
                <c:pt idx="363">
                  <c:v>147.09999099999999</c:v>
                </c:pt>
                <c:pt idx="364">
                  <c:v>158.38999899999999</c:v>
                </c:pt>
                <c:pt idx="365">
                  <c:v>169.41000399999999</c:v>
                </c:pt>
                <c:pt idx="366">
                  <c:v>180.159988</c:v>
                </c:pt>
                <c:pt idx="367">
                  <c:v>190.63999899999999</c:v>
                </c:pt>
                <c:pt idx="368">
                  <c:v>200.83999600000001</c:v>
                </c:pt>
                <c:pt idx="369">
                  <c:v>210.759995</c:v>
                </c:pt>
                <c:pt idx="370">
                  <c:v>220.39999399999999</c:v>
                </c:pt>
                <c:pt idx="371">
                  <c:v>229.75</c:v>
                </c:pt>
                <c:pt idx="372">
                  <c:v>238.80999800000001</c:v>
                </c:pt>
                <c:pt idx="373">
                  <c:v>247.58000200000001</c:v>
                </c:pt>
                <c:pt idx="374">
                  <c:v>256.05999800000001</c:v>
                </c:pt>
                <c:pt idx="375">
                  <c:v>264.23998999999998</c:v>
                </c:pt>
                <c:pt idx="376">
                  <c:v>272.11999500000002</c:v>
                </c:pt>
                <c:pt idx="377">
                  <c:v>279.69998199999998</c:v>
                </c:pt>
                <c:pt idx="378">
                  <c:v>286.97998000000001</c:v>
                </c:pt>
                <c:pt idx="379">
                  <c:v>293.94998199999998</c:v>
                </c:pt>
                <c:pt idx="380">
                  <c:v>300.60998499999999</c:v>
                </c:pt>
                <c:pt idx="381">
                  <c:v>306.959991</c:v>
                </c:pt>
                <c:pt idx="382">
                  <c:v>313</c:v>
                </c:pt>
                <c:pt idx="383">
                  <c:v>318.72998000000001</c:v>
                </c:pt>
                <c:pt idx="384">
                  <c:v>324.13998400000003</c:v>
                </c:pt>
                <c:pt idx="385">
                  <c:v>329.23998999999998</c:v>
                </c:pt>
                <c:pt idx="386">
                  <c:v>334.01998900000001</c:v>
                </c:pt>
                <c:pt idx="387">
                  <c:v>338.47998000000001</c:v>
                </c:pt>
                <c:pt idx="388">
                  <c:v>342.61999500000002</c:v>
                </c:pt>
                <c:pt idx="389">
                  <c:v>346.44000199999999</c:v>
                </c:pt>
                <c:pt idx="390">
                  <c:v>349.94000199999999</c:v>
                </c:pt>
                <c:pt idx="391">
                  <c:v>353.10998499999999</c:v>
                </c:pt>
                <c:pt idx="392">
                  <c:v>355.959991</c:v>
                </c:pt>
                <c:pt idx="393">
                  <c:v>358.47998000000001</c:v>
                </c:pt>
                <c:pt idx="394">
                  <c:v>360.669983</c:v>
                </c:pt>
                <c:pt idx="395">
                  <c:v>362.53997800000002</c:v>
                </c:pt>
                <c:pt idx="396">
                  <c:v>364.07998700000002</c:v>
                </c:pt>
                <c:pt idx="397">
                  <c:v>365.28997800000002</c:v>
                </c:pt>
                <c:pt idx="398">
                  <c:v>366.169983</c:v>
                </c:pt>
              </c:numCache>
            </c:numRef>
          </c:xVal>
          <c:yVal>
            <c:numRef>
              <c:f>breakout!$C$2:$C$400</c:f>
              <c:numCache>
                <c:formatCode>0.00</c:formatCode>
                <c:ptCount val="399"/>
                <c:pt idx="0">
                  <c:v>1074.48999</c:v>
                </c:pt>
                <c:pt idx="1">
                  <c:v>1091</c:v>
                </c:pt>
                <c:pt idx="2">
                  <c:v>1107.51001</c:v>
                </c:pt>
                <c:pt idx="3">
                  <c:v>1124.0200199999999</c:v>
                </c:pt>
                <c:pt idx="4">
                  <c:v>1140.530029</c:v>
                </c:pt>
                <c:pt idx="5">
                  <c:v>1157.0399170000001</c:v>
                </c:pt>
                <c:pt idx="6">
                  <c:v>1173.549927</c:v>
                </c:pt>
                <c:pt idx="7">
                  <c:v>1190.059937</c:v>
                </c:pt>
                <c:pt idx="8">
                  <c:v>1206.5699460000001</c:v>
                </c:pt>
                <c:pt idx="9">
                  <c:v>1223.079956</c:v>
                </c:pt>
                <c:pt idx="10">
                  <c:v>1239.589966</c:v>
                </c:pt>
                <c:pt idx="11">
                  <c:v>1256.099976</c:v>
                </c:pt>
                <c:pt idx="12">
                  <c:v>1272.6099850000001</c:v>
                </c:pt>
                <c:pt idx="13">
                  <c:v>1289.119995</c:v>
                </c:pt>
                <c:pt idx="14">
                  <c:v>1305.630005</c:v>
                </c:pt>
                <c:pt idx="15">
                  <c:v>1322.1400149999999</c:v>
                </c:pt>
                <c:pt idx="16">
                  <c:v>1338.650024</c:v>
                </c:pt>
                <c:pt idx="17">
                  <c:v>1355.1599120000001</c:v>
                </c:pt>
                <c:pt idx="18">
                  <c:v>1371.669922</c:v>
                </c:pt>
                <c:pt idx="19">
                  <c:v>1388.179932</c:v>
                </c:pt>
                <c:pt idx="20">
                  <c:v>1404.6899410000001</c:v>
                </c:pt>
                <c:pt idx="21">
                  <c:v>1421.1999510000001</c:v>
                </c:pt>
                <c:pt idx="22">
                  <c:v>1437.709961</c:v>
                </c:pt>
                <c:pt idx="23">
                  <c:v>1454.219971</c:v>
                </c:pt>
                <c:pt idx="24">
                  <c:v>1470.7299800000001</c:v>
                </c:pt>
                <c:pt idx="25">
                  <c:v>1487.23999</c:v>
                </c:pt>
                <c:pt idx="26">
                  <c:v>1503.75</c:v>
                </c:pt>
                <c:pt idx="27">
                  <c:v>1520.26001</c:v>
                </c:pt>
                <c:pt idx="28">
                  <c:v>1536.7700199999999</c:v>
                </c:pt>
                <c:pt idx="29">
                  <c:v>1553.2799070000001</c:v>
                </c:pt>
                <c:pt idx="30">
                  <c:v>1569.7899170000001</c:v>
                </c:pt>
                <c:pt idx="31">
                  <c:v>1586.299927</c:v>
                </c:pt>
                <c:pt idx="32">
                  <c:v>1602.809937</c:v>
                </c:pt>
                <c:pt idx="33">
                  <c:v>1619.3199460000001</c:v>
                </c:pt>
                <c:pt idx="34">
                  <c:v>1635.829956</c:v>
                </c:pt>
                <c:pt idx="35">
                  <c:v>1652.339966</c:v>
                </c:pt>
                <c:pt idx="36">
                  <c:v>1668.849976</c:v>
                </c:pt>
                <c:pt idx="37">
                  <c:v>1685.3599850000001</c:v>
                </c:pt>
                <c:pt idx="38">
                  <c:v>1701.869995</c:v>
                </c:pt>
                <c:pt idx="39">
                  <c:v>1718.380005</c:v>
                </c:pt>
                <c:pt idx="40">
                  <c:v>1734.8900149999999</c:v>
                </c:pt>
                <c:pt idx="41">
                  <c:v>1751.3999020000001</c:v>
                </c:pt>
                <c:pt idx="42">
                  <c:v>1767.9099120000001</c:v>
                </c:pt>
                <c:pt idx="43">
                  <c:v>1784.419922</c:v>
                </c:pt>
                <c:pt idx="44">
                  <c:v>1800.929932</c:v>
                </c:pt>
                <c:pt idx="45">
                  <c:v>1817.4399410000001</c:v>
                </c:pt>
                <c:pt idx="46">
                  <c:v>1833.9499510000001</c:v>
                </c:pt>
                <c:pt idx="47">
                  <c:v>1850.459961</c:v>
                </c:pt>
                <c:pt idx="48">
                  <c:v>1866.969971</c:v>
                </c:pt>
                <c:pt idx="49">
                  <c:v>1883.4799800000001</c:v>
                </c:pt>
                <c:pt idx="50">
                  <c:v>1899.98999</c:v>
                </c:pt>
                <c:pt idx="51">
                  <c:v>1916.5</c:v>
                </c:pt>
                <c:pt idx="52">
                  <c:v>1932.969971</c:v>
                </c:pt>
                <c:pt idx="53">
                  <c:v>1949.3999020000001</c:v>
                </c:pt>
                <c:pt idx="54">
                  <c:v>1965.7899170000001</c:v>
                </c:pt>
                <c:pt idx="55">
                  <c:v>1982.1400149999999</c:v>
                </c:pt>
                <c:pt idx="56">
                  <c:v>1998.4399410000001</c:v>
                </c:pt>
                <c:pt idx="57">
                  <c:v>2014.6899410000001</c:v>
                </c:pt>
                <c:pt idx="58">
                  <c:v>2030.880005</c:v>
                </c:pt>
                <c:pt idx="59">
                  <c:v>2047</c:v>
                </c:pt>
                <c:pt idx="60">
                  <c:v>2063.0500489999999</c:v>
                </c:pt>
                <c:pt idx="61">
                  <c:v>2079.0200199999999</c:v>
                </c:pt>
                <c:pt idx="62">
                  <c:v>2094.8999020000001</c:v>
                </c:pt>
                <c:pt idx="63">
                  <c:v>2110.679932</c:v>
                </c:pt>
                <c:pt idx="64">
                  <c:v>2126.3498540000001</c:v>
                </c:pt>
                <c:pt idx="65">
                  <c:v>2141.9099120000001</c:v>
                </c:pt>
                <c:pt idx="66">
                  <c:v>2157.3498540000001</c:v>
                </c:pt>
                <c:pt idx="67">
                  <c:v>2172.6599120000001</c:v>
                </c:pt>
                <c:pt idx="68">
                  <c:v>2187.8398440000001</c:v>
                </c:pt>
                <c:pt idx="69">
                  <c:v>2202.8798830000001</c:v>
                </c:pt>
                <c:pt idx="70">
                  <c:v>2217.7700199999999</c:v>
                </c:pt>
                <c:pt idx="71">
                  <c:v>2232.5</c:v>
                </c:pt>
                <c:pt idx="72">
                  <c:v>2247.070068</c:v>
                </c:pt>
                <c:pt idx="73">
                  <c:v>2261.469971</c:v>
                </c:pt>
                <c:pt idx="74">
                  <c:v>2275.6999510000001</c:v>
                </c:pt>
                <c:pt idx="75">
                  <c:v>2289.75</c:v>
                </c:pt>
                <c:pt idx="76">
                  <c:v>2303.6098630000001</c:v>
                </c:pt>
                <c:pt idx="77">
                  <c:v>2317.280029</c:v>
                </c:pt>
                <c:pt idx="78">
                  <c:v>2330.75</c:v>
                </c:pt>
                <c:pt idx="79">
                  <c:v>2344.01001</c:v>
                </c:pt>
                <c:pt idx="80">
                  <c:v>2357.0600589999999</c:v>
                </c:pt>
                <c:pt idx="81">
                  <c:v>2369.8999020000001</c:v>
                </c:pt>
                <c:pt idx="82">
                  <c:v>2382.5200199999999</c:v>
                </c:pt>
                <c:pt idx="83">
                  <c:v>2394.919922</c:v>
                </c:pt>
                <c:pt idx="84">
                  <c:v>2407.0898440000001</c:v>
                </c:pt>
                <c:pt idx="85">
                  <c:v>2419.0200199999999</c:v>
                </c:pt>
                <c:pt idx="86">
                  <c:v>2430.709961</c:v>
                </c:pt>
                <c:pt idx="87">
                  <c:v>2442.1599120000001</c:v>
                </c:pt>
                <c:pt idx="88">
                  <c:v>2453.3598630000001</c:v>
                </c:pt>
                <c:pt idx="89">
                  <c:v>2464.3100589999999</c:v>
                </c:pt>
                <c:pt idx="90">
                  <c:v>2475</c:v>
                </c:pt>
                <c:pt idx="91">
                  <c:v>2485.429932</c:v>
                </c:pt>
                <c:pt idx="92">
                  <c:v>2495.5998540000001</c:v>
                </c:pt>
                <c:pt idx="93">
                  <c:v>2505.5</c:v>
                </c:pt>
                <c:pt idx="94">
                  <c:v>2515.1298830000001</c:v>
                </c:pt>
                <c:pt idx="95">
                  <c:v>2524.4799800000001</c:v>
                </c:pt>
                <c:pt idx="96">
                  <c:v>2533.5600589999999</c:v>
                </c:pt>
                <c:pt idx="97">
                  <c:v>2542.3498540000001</c:v>
                </c:pt>
                <c:pt idx="98">
                  <c:v>2550.8598630000001</c:v>
                </c:pt>
                <c:pt idx="99">
                  <c:v>2559.0798340000001</c:v>
                </c:pt>
                <c:pt idx="100">
                  <c:v>2567.01001</c:v>
                </c:pt>
                <c:pt idx="101">
                  <c:v>2574.6499020000001</c:v>
                </c:pt>
                <c:pt idx="102">
                  <c:v>2581.98999</c:v>
                </c:pt>
                <c:pt idx="103">
                  <c:v>2589.030029</c:v>
                </c:pt>
                <c:pt idx="104">
                  <c:v>2595.7700199999999</c:v>
                </c:pt>
                <c:pt idx="105">
                  <c:v>2602.209961</c:v>
                </c:pt>
                <c:pt idx="106">
                  <c:v>2608.3398440000001</c:v>
                </c:pt>
                <c:pt idx="107">
                  <c:v>2614.1599120000001</c:v>
                </c:pt>
                <c:pt idx="108">
                  <c:v>2619.669922</c:v>
                </c:pt>
                <c:pt idx="109">
                  <c:v>2624.8698730000001</c:v>
                </c:pt>
                <c:pt idx="110">
                  <c:v>2629.76001</c:v>
                </c:pt>
                <c:pt idx="111">
                  <c:v>2634.3298340000001</c:v>
                </c:pt>
                <c:pt idx="112">
                  <c:v>2638.5898440000001</c:v>
                </c:pt>
                <c:pt idx="113">
                  <c:v>2642.530029</c:v>
                </c:pt>
                <c:pt idx="114">
                  <c:v>2646.1499020000001</c:v>
                </c:pt>
                <c:pt idx="115">
                  <c:v>2649.4499510000001</c:v>
                </c:pt>
                <c:pt idx="116">
                  <c:v>2652.429932</c:v>
                </c:pt>
                <c:pt idx="117">
                  <c:v>2655.0798340000001</c:v>
                </c:pt>
                <c:pt idx="118">
                  <c:v>2657.4099120000001</c:v>
                </c:pt>
                <c:pt idx="119">
                  <c:v>2659.4099120000001</c:v>
                </c:pt>
                <c:pt idx="120">
                  <c:v>2661.0898440000001</c:v>
                </c:pt>
                <c:pt idx="121">
                  <c:v>2662.4399410000001</c:v>
                </c:pt>
                <c:pt idx="122">
                  <c:v>2663.469971</c:v>
                </c:pt>
                <c:pt idx="123">
                  <c:v>2664.169922</c:v>
                </c:pt>
                <c:pt idx="124">
                  <c:v>2664.540039</c:v>
                </c:pt>
                <c:pt idx="125">
                  <c:v>2664.5798340000001</c:v>
                </c:pt>
                <c:pt idx="126">
                  <c:v>2664.3000489999999</c:v>
                </c:pt>
                <c:pt idx="127">
                  <c:v>2663.6899410000001</c:v>
                </c:pt>
                <c:pt idx="128">
                  <c:v>2662.75</c:v>
                </c:pt>
                <c:pt idx="129">
                  <c:v>2661.4799800000001</c:v>
                </c:pt>
                <c:pt idx="130">
                  <c:v>2659.8798830000001</c:v>
                </c:pt>
                <c:pt idx="131">
                  <c:v>2657.959961</c:v>
                </c:pt>
                <c:pt idx="132">
                  <c:v>2655.709961</c:v>
                </c:pt>
                <c:pt idx="133">
                  <c:v>2653.139893</c:v>
                </c:pt>
                <c:pt idx="134">
                  <c:v>2650.23999</c:v>
                </c:pt>
                <c:pt idx="135">
                  <c:v>2647.0200199999999</c:v>
                </c:pt>
                <c:pt idx="136">
                  <c:v>2643.469971</c:v>
                </c:pt>
                <c:pt idx="137">
                  <c:v>2639.5998540000001</c:v>
                </c:pt>
                <c:pt idx="138">
                  <c:v>2635.4099120000001</c:v>
                </c:pt>
                <c:pt idx="139">
                  <c:v>2630.8999020000001</c:v>
                </c:pt>
                <c:pt idx="140">
                  <c:v>2626.0698240000002</c:v>
                </c:pt>
                <c:pt idx="141">
                  <c:v>2620.919922</c:v>
                </c:pt>
                <c:pt idx="142">
                  <c:v>2615.459961</c:v>
                </c:pt>
                <c:pt idx="143">
                  <c:v>2609.679932</c:v>
                </c:pt>
                <c:pt idx="144">
                  <c:v>2603.5898440000001</c:v>
                </c:pt>
                <c:pt idx="145">
                  <c:v>2597.1899410000001</c:v>
                </c:pt>
                <c:pt idx="146">
                  <c:v>2590.4799800000001</c:v>
                </c:pt>
                <c:pt idx="147">
                  <c:v>2583.459961</c:v>
                </c:pt>
                <c:pt idx="148">
                  <c:v>2576.139893</c:v>
                </c:pt>
                <c:pt idx="149">
                  <c:v>2568.51001</c:v>
                </c:pt>
                <c:pt idx="150">
                  <c:v>2560.5798340000001</c:v>
                </c:pt>
                <c:pt idx="151">
                  <c:v>2552.3598630000001</c:v>
                </c:pt>
                <c:pt idx="152">
                  <c:v>2543.8398440000001</c:v>
                </c:pt>
                <c:pt idx="153">
                  <c:v>2535.030029</c:v>
                </c:pt>
                <c:pt idx="154">
                  <c:v>2525.929932</c:v>
                </c:pt>
                <c:pt idx="155">
                  <c:v>2516.540039</c:v>
                </c:pt>
                <c:pt idx="156">
                  <c:v>2506.8598630000001</c:v>
                </c:pt>
                <c:pt idx="157">
                  <c:v>2496.8999020000001</c:v>
                </c:pt>
                <c:pt idx="158">
                  <c:v>2486.6599120000001</c:v>
                </c:pt>
                <c:pt idx="159">
                  <c:v>2476.139893</c:v>
                </c:pt>
                <c:pt idx="160">
                  <c:v>2465.3498540000001</c:v>
                </c:pt>
                <c:pt idx="161">
                  <c:v>2454.290039</c:v>
                </c:pt>
                <c:pt idx="162">
                  <c:v>2442.959961</c:v>
                </c:pt>
                <c:pt idx="163">
                  <c:v>2431.3698730000001</c:v>
                </c:pt>
                <c:pt idx="164">
                  <c:v>2419.51001</c:v>
                </c:pt>
                <c:pt idx="165">
                  <c:v>2407.3999020000001</c:v>
                </c:pt>
                <c:pt idx="166">
                  <c:v>2395.030029</c:v>
                </c:pt>
                <c:pt idx="167">
                  <c:v>2382.4099120000001</c:v>
                </c:pt>
                <c:pt idx="168">
                  <c:v>2369.5500489999999</c:v>
                </c:pt>
                <c:pt idx="169">
                  <c:v>2356.4399410000001</c:v>
                </c:pt>
                <c:pt idx="170">
                  <c:v>2343.0898440000001</c:v>
                </c:pt>
                <c:pt idx="171">
                  <c:v>2329.51001</c:v>
                </c:pt>
                <c:pt idx="172">
                  <c:v>2315.6999510000001</c:v>
                </c:pt>
                <c:pt idx="173">
                  <c:v>2301.6599120000001</c:v>
                </c:pt>
                <c:pt idx="174">
                  <c:v>2287.3999020000001</c:v>
                </c:pt>
                <c:pt idx="175">
                  <c:v>2272.919922</c:v>
                </c:pt>
                <c:pt idx="176">
                  <c:v>2258.2299800000001</c:v>
                </c:pt>
                <c:pt idx="177">
                  <c:v>2243.3298340000001</c:v>
                </c:pt>
                <c:pt idx="178">
                  <c:v>2228.219971</c:v>
                </c:pt>
                <c:pt idx="179">
                  <c:v>2212.9099120000001</c:v>
                </c:pt>
                <c:pt idx="180">
                  <c:v>2197.3999020000001</c:v>
                </c:pt>
                <c:pt idx="181">
                  <c:v>2181.6999510000001</c:v>
                </c:pt>
                <c:pt idx="182">
                  <c:v>2165.8100589999999</c:v>
                </c:pt>
                <c:pt idx="183">
                  <c:v>2149.73999</c:v>
                </c:pt>
                <c:pt idx="184">
                  <c:v>2133.48999</c:v>
                </c:pt>
                <c:pt idx="185">
                  <c:v>2117.070068</c:v>
                </c:pt>
                <c:pt idx="186">
                  <c:v>2100.4799800000001</c:v>
                </c:pt>
                <c:pt idx="187">
                  <c:v>2083.719971</c:v>
                </c:pt>
                <c:pt idx="188">
                  <c:v>2066.8000489999999</c:v>
                </c:pt>
                <c:pt idx="189">
                  <c:v>2049.7299800000001</c:v>
                </c:pt>
                <c:pt idx="190">
                  <c:v>2032.51001</c:v>
                </c:pt>
                <c:pt idx="191">
                  <c:v>2015.1499020000001</c:v>
                </c:pt>
                <c:pt idx="192">
                  <c:v>1997.6499020000001</c:v>
                </c:pt>
                <c:pt idx="193">
                  <c:v>1980.01001</c:v>
                </c:pt>
                <c:pt idx="194">
                  <c:v>1962.25</c:v>
                </c:pt>
                <c:pt idx="195">
                  <c:v>1944.3599850000001</c:v>
                </c:pt>
                <c:pt idx="196">
                  <c:v>1926.349976</c:v>
                </c:pt>
                <c:pt idx="197">
                  <c:v>1908.2299800000001</c:v>
                </c:pt>
                <c:pt idx="198">
                  <c:v>1890</c:v>
                </c:pt>
                <c:pt idx="199">
                  <c:v>1871.669922</c:v>
                </c:pt>
                <c:pt idx="200">
                  <c:v>1853.23999</c:v>
                </c:pt>
                <c:pt idx="201">
                  <c:v>1834.719971</c:v>
                </c:pt>
                <c:pt idx="202">
                  <c:v>1816.119995</c:v>
                </c:pt>
                <c:pt idx="203">
                  <c:v>1797.429932</c:v>
                </c:pt>
                <c:pt idx="204">
                  <c:v>1778.669922</c:v>
                </c:pt>
                <c:pt idx="205">
                  <c:v>1759.839966</c:v>
                </c:pt>
                <c:pt idx="206">
                  <c:v>1740.9399410000001</c:v>
                </c:pt>
                <c:pt idx="207">
                  <c:v>1721.98999</c:v>
                </c:pt>
                <c:pt idx="208">
                  <c:v>1702.9799800000001</c:v>
                </c:pt>
                <c:pt idx="209">
                  <c:v>1683.919922</c:v>
                </c:pt>
                <c:pt idx="210">
                  <c:v>1664.8199460000001</c:v>
                </c:pt>
                <c:pt idx="211">
                  <c:v>1645.6899410000001</c:v>
                </c:pt>
                <c:pt idx="212">
                  <c:v>1626.5299070000001</c:v>
                </c:pt>
                <c:pt idx="213">
                  <c:v>1607.339966</c:v>
                </c:pt>
                <c:pt idx="214">
                  <c:v>1588.130005</c:v>
                </c:pt>
                <c:pt idx="215">
                  <c:v>1568.9099120000001</c:v>
                </c:pt>
                <c:pt idx="216">
                  <c:v>1549.679932</c:v>
                </c:pt>
                <c:pt idx="217">
                  <c:v>1530.4399410000001</c:v>
                </c:pt>
                <c:pt idx="218">
                  <c:v>1511.209961</c:v>
                </c:pt>
                <c:pt idx="219">
                  <c:v>1491.98999</c:v>
                </c:pt>
                <c:pt idx="220">
                  <c:v>1472.7799070000001</c:v>
                </c:pt>
                <c:pt idx="221">
                  <c:v>1453.589966</c:v>
                </c:pt>
                <c:pt idx="222">
                  <c:v>1434.419922</c:v>
                </c:pt>
                <c:pt idx="223">
                  <c:v>1415.2899170000001</c:v>
                </c:pt>
                <c:pt idx="224">
                  <c:v>1396.1899410000001</c:v>
                </c:pt>
                <c:pt idx="225">
                  <c:v>1377.130005</c:v>
                </c:pt>
                <c:pt idx="226">
                  <c:v>1358.119995</c:v>
                </c:pt>
                <c:pt idx="227">
                  <c:v>1339.1599120000001</c:v>
                </c:pt>
                <c:pt idx="228">
                  <c:v>1320.26001</c:v>
                </c:pt>
                <c:pt idx="229">
                  <c:v>1301.429932</c:v>
                </c:pt>
                <c:pt idx="230">
                  <c:v>1282.669922</c:v>
                </c:pt>
                <c:pt idx="231">
                  <c:v>1263.9799800000001</c:v>
                </c:pt>
                <c:pt idx="232">
                  <c:v>1245.369995</c:v>
                </c:pt>
                <c:pt idx="233">
                  <c:v>1226.849976</c:v>
                </c:pt>
                <c:pt idx="234">
                  <c:v>1208.419922</c:v>
                </c:pt>
                <c:pt idx="235">
                  <c:v>1190.089966</c:v>
                </c:pt>
                <c:pt idx="236">
                  <c:v>1171.8599850000001</c:v>
                </c:pt>
                <c:pt idx="237">
                  <c:v>1153.73999</c:v>
                </c:pt>
                <c:pt idx="238">
                  <c:v>1135.7299800000001</c:v>
                </c:pt>
                <c:pt idx="239">
                  <c:v>1117.839966</c:v>
                </c:pt>
                <c:pt idx="240">
                  <c:v>1100.0699460000001</c:v>
                </c:pt>
                <c:pt idx="241">
                  <c:v>1082.429932</c:v>
                </c:pt>
                <c:pt idx="242">
                  <c:v>1064.929932</c:v>
                </c:pt>
                <c:pt idx="243">
                  <c:v>1047.559937</c:v>
                </c:pt>
                <c:pt idx="244">
                  <c:v>1030.339966</c:v>
                </c:pt>
                <c:pt idx="245">
                  <c:v>1013.269958</c:v>
                </c:pt>
                <c:pt idx="246">
                  <c:v>996.34997599999997</c:v>
                </c:pt>
                <c:pt idx="247">
                  <c:v>979.589966</c:v>
                </c:pt>
                <c:pt idx="248">
                  <c:v>962.98999000000003</c:v>
                </c:pt>
                <c:pt idx="249">
                  <c:v>946.55999799999995</c:v>
                </c:pt>
                <c:pt idx="250">
                  <c:v>930.30999799999995</c:v>
                </c:pt>
                <c:pt idx="251">
                  <c:v>914.23999000000003</c:v>
                </c:pt>
                <c:pt idx="252">
                  <c:v>898.34997599999997</c:v>
                </c:pt>
                <c:pt idx="253">
                  <c:v>882.64996299999996</c:v>
                </c:pt>
                <c:pt idx="254">
                  <c:v>867.13995399999999</c:v>
                </c:pt>
                <c:pt idx="255">
                  <c:v>851.82000700000003</c:v>
                </c:pt>
                <c:pt idx="256">
                  <c:v>836.70996100000002</c:v>
                </c:pt>
                <c:pt idx="257">
                  <c:v>821.79998799999998</c:v>
                </c:pt>
                <c:pt idx="258">
                  <c:v>807.09997599999997</c:v>
                </c:pt>
                <c:pt idx="259">
                  <c:v>792.61999500000002</c:v>
                </c:pt>
                <c:pt idx="260">
                  <c:v>778.34997599999997</c:v>
                </c:pt>
                <c:pt idx="261">
                  <c:v>764.30999799999995</c:v>
                </c:pt>
                <c:pt idx="262">
                  <c:v>750.48999000000003</c:v>
                </c:pt>
                <c:pt idx="263">
                  <c:v>736.90997300000004</c:v>
                </c:pt>
                <c:pt idx="264">
                  <c:v>723.55999799999995</c:v>
                </c:pt>
                <c:pt idx="265">
                  <c:v>710.45001200000002</c:v>
                </c:pt>
                <c:pt idx="266">
                  <c:v>697.57995600000004</c:v>
                </c:pt>
                <c:pt idx="267">
                  <c:v>684.95996100000002</c:v>
                </c:pt>
                <c:pt idx="268">
                  <c:v>672.589966</c:v>
                </c:pt>
                <c:pt idx="269">
                  <c:v>660.46997099999999</c:v>
                </c:pt>
                <c:pt idx="270">
                  <c:v>648.60998500000005</c:v>
                </c:pt>
                <c:pt idx="271">
                  <c:v>637.01000999999997</c:v>
                </c:pt>
                <c:pt idx="272">
                  <c:v>625.669983</c:v>
                </c:pt>
                <c:pt idx="273">
                  <c:v>614.59997599999997</c:v>
                </c:pt>
                <c:pt idx="274">
                  <c:v>603.79998799999998</c:v>
                </c:pt>
                <c:pt idx="275">
                  <c:v>593.27996800000005</c:v>
                </c:pt>
                <c:pt idx="276">
                  <c:v>583.02996800000005</c:v>
                </c:pt>
                <c:pt idx="277">
                  <c:v>573.05999799999995</c:v>
                </c:pt>
                <c:pt idx="278">
                  <c:v>563.38000499999998</c:v>
                </c:pt>
                <c:pt idx="279">
                  <c:v>553.97997999999995</c:v>
                </c:pt>
                <c:pt idx="280">
                  <c:v>544.86999500000002</c:v>
                </c:pt>
                <c:pt idx="281">
                  <c:v>536.04998799999998</c:v>
                </c:pt>
                <c:pt idx="282">
                  <c:v>527.52996800000005</c:v>
                </c:pt>
                <c:pt idx="283">
                  <c:v>519.29998799999998</c:v>
                </c:pt>
                <c:pt idx="284">
                  <c:v>511.36999500000002</c:v>
                </c:pt>
                <c:pt idx="285">
                  <c:v>503.73998999999998</c:v>
                </c:pt>
                <c:pt idx="286">
                  <c:v>496.41000400000001</c:v>
                </c:pt>
                <c:pt idx="287">
                  <c:v>489.38998400000003</c:v>
                </c:pt>
                <c:pt idx="288">
                  <c:v>482.67999300000002</c:v>
                </c:pt>
                <c:pt idx="289">
                  <c:v>476.27999899999998</c:v>
                </c:pt>
                <c:pt idx="290">
                  <c:v>470.19000199999999</c:v>
                </c:pt>
                <c:pt idx="291">
                  <c:v>464.41000400000001</c:v>
                </c:pt>
                <c:pt idx="292">
                  <c:v>458.94000199999999</c:v>
                </c:pt>
                <c:pt idx="293">
                  <c:v>453.78997800000002</c:v>
                </c:pt>
                <c:pt idx="294">
                  <c:v>448.959991</c:v>
                </c:pt>
                <c:pt idx="295">
                  <c:v>444.44998199999998</c:v>
                </c:pt>
                <c:pt idx="296">
                  <c:v>440.25997899999999</c:v>
                </c:pt>
                <c:pt idx="297">
                  <c:v>436.38998400000003</c:v>
                </c:pt>
                <c:pt idx="298">
                  <c:v>432.83999599999999</c:v>
                </c:pt>
                <c:pt idx="299">
                  <c:v>429.61999500000002</c:v>
                </c:pt>
                <c:pt idx="300">
                  <c:v>426.72000100000002</c:v>
                </c:pt>
                <c:pt idx="301">
                  <c:v>424.14999399999999</c:v>
                </c:pt>
                <c:pt idx="302">
                  <c:v>421.89999399999999</c:v>
                </c:pt>
                <c:pt idx="303">
                  <c:v>419.97998000000001</c:v>
                </c:pt>
                <c:pt idx="304">
                  <c:v>418.38998400000003</c:v>
                </c:pt>
                <c:pt idx="305">
                  <c:v>417.13000499999998</c:v>
                </c:pt>
                <c:pt idx="306">
                  <c:v>416.19000199999999</c:v>
                </c:pt>
                <c:pt idx="307">
                  <c:v>415.57998700000002</c:v>
                </c:pt>
                <c:pt idx="308">
                  <c:v>415.29998799999998</c:v>
                </c:pt>
                <c:pt idx="309">
                  <c:v>415.34997600000003</c:v>
                </c:pt>
                <c:pt idx="310">
                  <c:v>415.72998000000001</c:v>
                </c:pt>
                <c:pt idx="311">
                  <c:v>416.44000199999999</c:v>
                </c:pt>
                <c:pt idx="312">
                  <c:v>417.47998000000001</c:v>
                </c:pt>
                <c:pt idx="313">
                  <c:v>418.84997600000003</c:v>
                </c:pt>
                <c:pt idx="314">
                  <c:v>420.53997800000002</c:v>
                </c:pt>
                <c:pt idx="315">
                  <c:v>422.55999800000001</c:v>
                </c:pt>
                <c:pt idx="316">
                  <c:v>424.91000400000001</c:v>
                </c:pt>
                <c:pt idx="317">
                  <c:v>427.57998700000002</c:v>
                </c:pt>
                <c:pt idx="318">
                  <c:v>430.57998700000002</c:v>
                </c:pt>
                <c:pt idx="319">
                  <c:v>433.89999399999999</c:v>
                </c:pt>
                <c:pt idx="320">
                  <c:v>437.54998799999998</c:v>
                </c:pt>
                <c:pt idx="321">
                  <c:v>441.51998900000001</c:v>
                </c:pt>
                <c:pt idx="322">
                  <c:v>445.80999800000001</c:v>
                </c:pt>
                <c:pt idx="323">
                  <c:v>450.419983</c:v>
                </c:pt>
                <c:pt idx="324">
                  <c:v>455.34997600000003</c:v>
                </c:pt>
                <c:pt idx="325">
                  <c:v>460.59997600000003</c:v>
                </c:pt>
                <c:pt idx="326">
                  <c:v>466.16000400000001</c:v>
                </c:pt>
                <c:pt idx="327">
                  <c:v>472.03997800000002</c:v>
                </c:pt>
                <c:pt idx="328">
                  <c:v>478.22998000000001</c:v>
                </c:pt>
                <c:pt idx="329">
                  <c:v>484.72998000000001</c:v>
                </c:pt>
                <c:pt idx="330">
                  <c:v>491.53997800000002</c:v>
                </c:pt>
                <c:pt idx="331">
                  <c:v>498.66000400000001</c:v>
                </c:pt>
                <c:pt idx="332">
                  <c:v>506.07998700000002</c:v>
                </c:pt>
                <c:pt idx="333">
                  <c:v>513.79998799999998</c:v>
                </c:pt>
                <c:pt idx="334">
                  <c:v>521.82000700000003</c:v>
                </c:pt>
                <c:pt idx="335">
                  <c:v>530.14001499999995</c:v>
                </c:pt>
                <c:pt idx="336">
                  <c:v>538.76000999999997</c:v>
                </c:pt>
                <c:pt idx="337">
                  <c:v>547.669983</c:v>
                </c:pt>
                <c:pt idx="338">
                  <c:v>556.86999500000002</c:v>
                </c:pt>
                <c:pt idx="339">
                  <c:v>566.35998500000005</c:v>
                </c:pt>
                <c:pt idx="340">
                  <c:v>576.13000499999998</c:v>
                </c:pt>
                <c:pt idx="341">
                  <c:v>586.17999299999997</c:v>
                </c:pt>
                <c:pt idx="342">
                  <c:v>596.51000999999997</c:v>
                </c:pt>
                <c:pt idx="343">
                  <c:v>607.11999500000002</c:v>
                </c:pt>
                <c:pt idx="344">
                  <c:v>618</c:v>
                </c:pt>
                <c:pt idx="345">
                  <c:v>629.14996299999996</c:v>
                </c:pt>
                <c:pt idx="346">
                  <c:v>640.57000700000003</c:v>
                </c:pt>
                <c:pt idx="347">
                  <c:v>652.25</c:v>
                </c:pt>
                <c:pt idx="348">
                  <c:v>664.19000200000005</c:v>
                </c:pt>
                <c:pt idx="349">
                  <c:v>676.39001499999995</c:v>
                </c:pt>
                <c:pt idx="350">
                  <c:v>688.839966</c:v>
                </c:pt>
                <c:pt idx="351">
                  <c:v>701.53997800000002</c:v>
                </c:pt>
                <c:pt idx="352">
                  <c:v>714.47997999999995</c:v>
                </c:pt>
                <c:pt idx="353">
                  <c:v>727.65997300000004</c:v>
                </c:pt>
                <c:pt idx="354">
                  <c:v>741.07995600000004</c:v>
                </c:pt>
                <c:pt idx="355">
                  <c:v>754.73999000000003</c:v>
                </c:pt>
                <c:pt idx="356">
                  <c:v>768.63000499999998</c:v>
                </c:pt>
                <c:pt idx="357">
                  <c:v>782.73999000000003</c:v>
                </c:pt>
                <c:pt idx="358">
                  <c:v>797.07000700000003</c:v>
                </c:pt>
                <c:pt idx="359">
                  <c:v>811.61999500000002</c:v>
                </c:pt>
                <c:pt idx="360">
                  <c:v>826.38000499999998</c:v>
                </c:pt>
                <c:pt idx="361">
                  <c:v>841.34997599999997</c:v>
                </c:pt>
                <c:pt idx="362">
                  <c:v>856.52996800000005</c:v>
                </c:pt>
                <c:pt idx="363">
                  <c:v>871.90997300000004</c:v>
                </c:pt>
                <c:pt idx="364">
                  <c:v>887.47997999999995</c:v>
                </c:pt>
                <c:pt idx="365">
                  <c:v>903.23999000000003</c:v>
                </c:pt>
                <c:pt idx="366">
                  <c:v>919.19000200000005</c:v>
                </c:pt>
                <c:pt idx="367">
                  <c:v>935.32000700000003</c:v>
                </c:pt>
                <c:pt idx="368">
                  <c:v>951.63000499999998</c:v>
                </c:pt>
                <c:pt idx="369">
                  <c:v>968.10998500000005</c:v>
                </c:pt>
                <c:pt idx="370">
                  <c:v>984.75994900000001</c:v>
                </c:pt>
                <c:pt idx="371">
                  <c:v>1001.570007</c:v>
                </c:pt>
                <c:pt idx="372">
                  <c:v>1018.539978</c:v>
                </c:pt>
                <c:pt idx="373">
                  <c:v>1035.660034</c:v>
                </c:pt>
                <c:pt idx="374">
                  <c:v>1052.929932</c:v>
                </c:pt>
                <c:pt idx="375">
                  <c:v>1070.339966</c:v>
                </c:pt>
                <c:pt idx="376">
                  <c:v>1087.8900149999999</c:v>
                </c:pt>
                <c:pt idx="377">
                  <c:v>1105.5699460000001</c:v>
                </c:pt>
                <c:pt idx="378">
                  <c:v>1123.380005</c:v>
                </c:pt>
                <c:pt idx="379">
                  <c:v>1141.309937</c:v>
                </c:pt>
                <c:pt idx="380">
                  <c:v>1159.349976</c:v>
                </c:pt>
                <c:pt idx="381">
                  <c:v>1177.51001</c:v>
                </c:pt>
                <c:pt idx="382">
                  <c:v>1195.7700199999999</c:v>
                </c:pt>
                <c:pt idx="383">
                  <c:v>1214.130005</c:v>
                </c:pt>
                <c:pt idx="384">
                  <c:v>1232.589966</c:v>
                </c:pt>
                <c:pt idx="385">
                  <c:v>1251.1400149999999</c:v>
                </c:pt>
                <c:pt idx="386">
                  <c:v>1269.7700199999999</c:v>
                </c:pt>
                <c:pt idx="387">
                  <c:v>1288.4799800000001</c:v>
                </c:pt>
                <c:pt idx="388">
                  <c:v>1307.26001</c:v>
                </c:pt>
                <c:pt idx="389">
                  <c:v>1326.1099850000001</c:v>
                </c:pt>
                <c:pt idx="390">
                  <c:v>1345.030029</c:v>
                </c:pt>
                <c:pt idx="391">
                  <c:v>1364</c:v>
                </c:pt>
                <c:pt idx="392">
                  <c:v>1383.0200199999999</c:v>
                </c:pt>
                <c:pt idx="393">
                  <c:v>1402.089966</c:v>
                </c:pt>
                <c:pt idx="394">
                  <c:v>1421.1999510000001</c:v>
                </c:pt>
                <c:pt idx="395">
                  <c:v>1440.339966</c:v>
                </c:pt>
                <c:pt idx="396">
                  <c:v>1459.51001</c:v>
                </c:pt>
                <c:pt idx="397">
                  <c:v>1478.709961</c:v>
                </c:pt>
                <c:pt idx="398">
                  <c:v>1497.919922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2CA-4D16-AA0C-53CFCEC9C1B9}"/>
            </c:ext>
          </c:extLst>
        </c:ser>
        <c:ser>
          <c:idx val="4"/>
          <c:order val="3"/>
          <c:tx>
            <c:v>Batmobile</c:v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batmobile!$B$2:$B$400</c:f>
              <c:numCache>
                <c:formatCode>0.00</c:formatCode>
                <c:ptCount val="399"/>
                <c:pt idx="0">
                  <c:v>865.17999299999997</c:v>
                </c:pt>
                <c:pt idx="1">
                  <c:v>855.32000700000003</c:v>
                </c:pt>
                <c:pt idx="2">
                  <c:v>845.45996100000002</c:v>
                </c:pt>
                <c:pt idx="3">
                  <c:v>835.59997599999997</c:v>
                </c:pt>
                <c:pt idx="4">
                  <c:v>825.73999000000003</c:v>
                </c:pt>
                <c:pt idx="5">
                  <c:v>815.88000499999998</c:v>
                </c:pt>
                <c:pt idx="6">
                  <c:v>806.01995799999997</c:v>
                </c:pt>
                <c:pt idx="7">
                  <c:v>796.15997300000004</c:v>
                </c:pt>
                <c:pt idx="8">
                  <c:v>786.29998799999998</c:v>
                </c:pt>
                <c:pt idx="9">
                  <c:v>776.44000200000005</c:v>
                </c:pt>
                <c:pt idx="10">
                  <c:v>766.57995600000004</c:v>
                </c:pt>
                <c:pt idx="11">
                  <c:v>756.71997099999999</c:v>
                </c:pt>
                <c:pt idx="12">
                  <c:v>746.85998500000005</c:v>
                </c:pt>
                <c:pt idx="13">
                  <c:v>737</c:v>
                </c:pt>
                <c:pt idx="14">
                  <c:v>727.13995399999999</c:v>
                </c:pt>
                <c:pt idx="15">
                  <c:v>717.27996800000005</c:v>
                </c:pt>
                <c:pt idx="16">
                  <c:v>707.419983</c:v>
                </c:pt>
                <c:pt idx="17">
                  <c:v>697.55999799999995</c:v>
                </c:pt>
                <c:pt idx="18">
                  <c:v>687.70001200000002</c:v>
                </c:pt>
                <c:pt idx="19">
                  <c:v>677.839966</c:v>
                </c:pt>
                <c:pt idx="20">
                  <c:v>667.97997999999995</c:v>
                </c:pt>
                <c:pt idx="21">
                  <c:v>658.11999500000002</c:v>
                </c:pt>
                <c:pt idx="22">
                  <c:v>648.26000999999997</c:v>
                </c:pt>
                <c:pt idx="23">
                  <c:v>638.39996299999996</c:v>
                </c:pt>
                <c:pt idx="24">
                  <c:v>628.53997800000002</c:v>
                </c:pt>
                <c:pt idx="25">
                  <c:v>618.67999299999997</c:v>
                </c:pt>
                <c:pt idx="26">
                  <c:v>608.82000700000003</c:v>
                </c:pt>
                <c:pt idx="27">
                  <c:v>598.95996100000002</c:v>
                </c:pt>
                <c:pt idx="28">
                  <c:v>589.09997599999997</c:v>
                </c:pt>
                <c:pt idx="29">
                  <c:v>579.23999000000003</c:v>
                </c:pt>
                <c:pt idx="30">
                  <c:v>569.38000499999998</c:v>
                </c:pt>
                <c:pt idx="31">
                  <c:v>559.51995799999997</c:v>
                </c:pt>
                <c:pt idx="32">
                  <c:v>549.65997300000004</c:v>
                </c:pt>
                <c:pt idx="33">
                  <c:v>539.79998799999998</c:v>
                </c:pt>
                <c:pt idx="34">
                  <c:v>529.94000200000005</c:v>
                </c:pt>
                <c:pt idx="35">
                  <c:v>520.080017</c:v>
                </c:pt>
                <c:pt idx="36">
                  <c:v>510.22000100000002</c:v>
                </c:pt>
                <c:pt idx="37">
                  <c:v>500.35998499999999</c:v>
                </c:pt>
                <c:pt idx="38">
                  <c:v>490.5</c:v>
                </c:pt>
                <c:pt idx="39">
                  <c:v>480.63998400000003</c:v>
                </c:pt>
                <c:pt idx="40">
                  <c:v>470.77999899999998</c:v>
                </c:pt>
                <c:pt idx="41">
                  <c:v>460.919983</c:v>
                </c:pt>
                <c:pt idx="42">
                  <c:v>451.05999800000001</c:v>
                </c:pt>
                <c:pt idx="43">
                  <c:v>441.19998199999998</c:v>
                </c:pt>
                <c:pt idx="44">
                  <c:v>431.33999599999999</c:v>
                </c:pt>
                <c:pt idx="45">
                  <c:v>421.47998000000001</c:v>
                </c:pt>
                <c:pt idx="46">
                  <c:v>411.61999500000002</c:v>
                </c:pt>
                <c:pt idx="47">
                  <c:v>401.75997899999999</c:v>
                </c:pt>
                <c:pt idx="48">
                  <c:v>391.89999399999999</c:v>
                </c:pt>
                <c:pt idx="49">
                  <c:v>382.03997800000002</c:v>
                </c:pt>
                <c:pt idx="50">
                  <c:v>372.17999300000002</c:v>
                </c:pt>
                <c:pt idx="51">
                  <c:v>362.31997699999999</c:v>
                </c:pt>
                <c:pt idx="52">
                  <c:v>352.38000499999998</c:v>
                </c:pt>
                <c:pt idx="53">
                  <c:v>342.36999500000002</c:v>
                </c:pt>
                <c:pt idx="54">
                  <c:v>332.29998799999998</c:v>
                </c:pt>
                <c:pt idx="55">
                  <c:v>322.16000400000001</c:v>
                </c:pt>
                <c:pt idx="56">
                  <c:v>311.94000199999999</c:v>
                </c:pt>
                <c:pt idx="57">
                  <c:v>301.63998400000003</c:v>
                </c:pt>
                <c:pt idx="58">
                  <c:v>291.23998999999998</c:v>
                </c:pt>
                <c:pt idx="59">
                  <c:v>280.73998999999998</c:v>
                </c:pt>
                <c:pt idx="60">
                  <c:v>270.11999500000002</c:v>
                </c:pt>
                <c:pt idx="61">
                  <c:v>259.38000499999998</c:v>
                </c:pt>
                <c:pt idx="62">
                  <c:v>248.509995</c:v>
                </c:pt>
                <c:pt idx="63">
                  <c:v>237.48999000000001</c:v>
                </c:pt>
                <c:pt idx="64">
                  <c:v>226.31999200000001</c:v>
                </c:pt>
                <c:pt idx="65">
                  <c:v>215</c:v>
                </c:pt>
                <c:pt idx="66">
                  <c:v>203.509995</c:v>
                </c:pt>
                <c:pt idx="67">
                  <c:v>191.84999099999999</c:v>
                </c:pt>
                <c:pt idx="68">
                  <c:v>180.009995</c:v>
                </c:pt>
                <c:pt idx="69">
                  <c:v>167.98999000000001</c:v>
                </c:pt>
                <c:pt idx="70">
                  <c:v>155.78999300000001</c:v>
                </c:pt>
                <c:pt idx="71">
                  <c:v>143.39999399999999</c:v>
                </c:pt>
                <c:pt idx="72">
                  <c:v>130.81999200000001</c:v>
                </c:pt>
                <c:pt idx="73">
                  <c:v>118.049995</c:v>
                </c:pt>
                <c:pt idx="74">
                  <c:v>105.079994</c:v>
                </c:pt>
                <c:pt idx="75">
                  <c:v>91.919998000000007</c:v>
                </c:pt>
                <c:pt idx="76">
                  <c:v>78.559997999999993</c:v>
                </c:pt>
                <c:pt idx="77">
                  <c:v>65.010002</c:v>
                </c:pt>
                <c:pt idx="78">
                  <c:v>51.259998000000003</c:v>
                </c:pt>
                <c:pt idx="79">
                  <c:v>37.309998</c:v>
                </c:pt>
                <c:pt idx="80">
                  <c:v>23.17</c:v>
                </c:pt>
                <c:pt idx="81">
                  <c:v>8.83</c:v>
                </c:pt>
                <c:pt idx="82">
                  <c:v>-5.7</c:v>
                </c:pt>
                <c:pt idx="83">
                  <c:v>-20.420000000000002</c:v>
                </c:pt>
                <c:pt idx="84">
                  <c:v>-35.329998000000003</c:v>
                </c:pt>
                <c:pt idx="85">
                  <c:v>-50.419998</c:v>
                </c:pt>
                <c:pt idx="86">
                  <c:v>-65.699996999999996</c:v>
                </c:pt>
                <c:pt idx="87">
                  <c:v>-81.159996000000007</c:v>
                </c:pt>
                <c:pt idx="88">
                  <c:v>-96.799994999999996</c:v>
                </c:pt>
                <c:pt idx="89">
                  <c:v>-112.610001</c:v>
                </c:pt>
                <c:pt idx="90">
                  <c:v>-128.58999600000001</c:v>
                </c:pt>
                <c:pt idx="91">
                  <c:v>-144.73999000000001</c:v>
                </c:pt>
                <c:pt idx="92">
                  <c:v>-161.05999800000001</c:v>
                </c:pt>
                <c:pt idx="93">
                  <c:v>-177.53999300000001</c:v>
                </c:pt>
                <c:pt idx="94">
                  <c:v>-194.179993</c:v>
                </c:pt>
                <c:pt idx="95">
                  <c:v>-210.970001</c:v>
                </c:pt>
                <c:pt idx="96">
                  <c:v>-227.909988</c:v>
                </c:pt>
                <c:pt idx="97">
                  <c:v>-245</c:v>
                </c:pt>
                <c:pt idx="98">
                  <c:v>-262.22998000000001</c:v>
                </c:pt>
                <c:pt idx="99">
                  <c:v>-279.60000600000001</c:v>
                </c:pt>
                <c:pt idx="100">
                  <c:v>-297.10000600000001</c:v>
                </c:pt>
                <c:pt idx="101">
                  <c:v>-314.72998000000001</c:v>
                </c:pt>
                <c:pt idx="102">
                  <c:v>-332.47998000000001</c:v>
                </c:pt>
                <c:pt idx="103">
                  <c:v>-350.35000600000001</c:v>
                </c:pt>
                <c:pt idx="104">
                  <c:v>-368.33999599999999</c:v>
                </c:pt>
                <c:pt idx="105">
                  <c:v>-386.44000199999999</c:v>
                </c:pt>
                <c:pt idx="106">
                  <c:v>-404.63998400000003</c:v>
                </c:pt>
                <c:pt idx="107">
                  <c:v>-422.94000199999999</c:v>
                </c:pt>
                <c:pt idx="108">
                  <c:v>-441.33999599999999</c:v>
                </c:pt>
                <c:pt idx="109">
                  <c:v>-459.82998700000002</c:v>
                </c:pt>
                <c:pt idx="110">
                  <c:v>-478.39999399999999</c:v>
                </c:pt>
                <c:pt idx="111">
                  <c:v>-497.04998799999998</c:v>
                </c:pt>
                <c:pt idx="112">
                  <c:v>-515.77996800000005</c:v>
                </c:pt>
                <c:pt idx="113">
                  <c:v>-534.580017</c:v>
                </c:pt>
                <c:pt idx="114">
                  <c:v>-553.44000200000005</c:v>
                </c:pt>
                <c:pt idx="115">
                  <c:v>-572.35998500000005</c:v>
                </c:pt>
                <c:pt idx="116">
                  <c:v>-591.339966</c:v>
                </c:pt>
                <c:pt idx="117">
                  <c:v>-610.36999500000002</c:v>
                </c:pt>
                <c:pt idx="118">
                  <c:v>-629.44000200000005</c:v>
                </c:pt>
                <c:pt idx="119">
                  <c:v>-648.54998799999998</c:v>
                </c:pt>
                <c:pt idx="120">
                  <c:v>-667.69000200000005</c:v>
                </c:pt>
                <c:pt idx="121">
                  <c:v>-686.85998500000005</c:v>
                </c:pt>
                <c:pt idx="122">
                  <c:v>-706.05999799999995</c:v>
                </c:pt>
                <c:pt idx="123">
                  <c:v>-725.26995799999997</c:v>
                </c:pt>
                <c:pt idx="124">
                  <c:v>-744.5</c:v>
                </c:pt>
                <c:pt idx="125">
                  <c:v>-763.72997999999995</c:v>
                </c:pt>
                <c:pt idx="126">
                  <c:v>-782.96997099999999</c:v>
                </c:pt>
                <c:pt idx="127">
                  <c:v>-802.20001200000002</c:v>
                </c:pt>
                <c:pt idx="128">
                  <c:v>-821.419983</c:v>
                </c:pt>
                <c:pt idx="129">
                  <c:v>-840.63000499999998</c:v>
                </c:pt>
                <c:pt idx="130">
                  <c:v>-859.82000700000003</c:v>
                </c:pt>
                <c:pt idx="131">
                  <c:v>-878.97997999999995</c:v>
                </c:pt>
                <c:pt idx="132">
                  <c:v>-898.10998500000005</c:v>
                </c:pt>
                <c:pt idx="133">
                  <c:v>-917.20996100000002</c:v>
                </c:pt>
                <c:pt idx="134">
                  <c:v>-936.26995799999997</c:v>
                </c:pt>
                <c:pt idx="135">
                  <c:v>-955.27996800000005</c:v>
                </c:pt>
                <c:pt idx="136">
                  <c:v>-974.23999000000003</c:v>
                </c:pt>
                <c:pt idx="137">
                  <c:v>-993.14996299999996</c:v>
                </c:pt>
                <c:pt idx="138">
                  <c:v>-1011.98999</c:v>
                </c:pt>
                <c:pt idx="139">
                  <c:v>-1030.7700199999999</c:v>
                </c:pt>
                <c:pt idx="140">
                  <c:v>-1049.469971</c:v>
                </c:pt>
                <c:pt idx="141">
                  <c:v>-1068.099976</c:v>
                </c:pt>
                <c:pt idx="142">
                  <c:v>-1086.6400149999999</c:v>
                </c:pt>
                <c:pt idx="143">
                  <c:v>-1105.099976</c:v>
                </c:pt>
                <c:pt idx="144">
                  <c:v>-1123.459961</c:v>
                </c:pt>
                <c:pt idx="145">
                  <c:v>-1141.7299800000001</c:v>
                </c:pt>
                <c:pt idx="146">
                  <c:v>-1159.8900149999999</c:v>
                </c:pt>
                <c:pt idx="147">
                  <c:v>-1177.9399410000001</c:v>
                </c:pt>
                <c:pt idx="148">
                  <c:v>-1195.880005</c:v>
                </c:pt>
                <c:pt idx="149">
                  <c:v>-1213.6999510000001</c:v>
                </c:pt>
                <c:pt idx="150">
                  <c:v>-1231.400024</c:v>
                </c:pt>
                <c:pt idx="151">
                  <c:v>-1248.969971</c:v>
                </c:pt>
                <c:pt idx="152">
                  <c:v>-1266.4099120000001</c:v>
                </c:pt>
                <c:pt idx="153">
                  <c:v>-1283.709961</c:v>
                </c:pt>
                <c:pt idx="154">
                  <c:v>-1300.869995</c:v>
                </c:pt>
                <c:pt idx="155">
                  <c:v>-1317.880005</c:v>
                </c:pt>
                <c:pt idx="156">
                  <c:v>-1334.73999</c:v>
                </c:pt>
                <c:pt idx="157">
                  <c:v>-1351.4399410000001</c:v>
                </c:pt>
                <c:pt idx="158">
                  <c:v>-1367.9799800000001</c:v>
                </c:pt>
                <c:pt idx="159">
                  <c:v>-1384.3599850000001</c:v>
                </c:pt>
                <c:pt idx="160">
                  <c:v>-1400.559937</c:v>
                </c:pt>
                <c:pt idx="161">
                  <c:v>-1416.589966</c:v>
                </c:pt>
                <c:pt idx="162">
                  <c:v>-1432.4399410000001</c:v>
                </c:pt>
                <c:pt idx="163">
                  <c:v>-1448.1099850000001</c:v>
                </c:pt>
                <c:pt idx="164">
                  <c:v>-1463.589966</c:v>
                </c:pt>
                <c:pt idx="165">
                  <c:v>-1478.880005</c:v>
                </c:pt>
                <c:pt idx="166">
                  <c:v>-1493.969971</c:v>
                </c:pt>
                <c:pt idx="167">
                  <c:v>-1508.8599850000001</c:v>
                </c:pt>
                <c:pt idx="168">
                  <c:v>-1523.5399170000001</c:v>
                </c:pt>
                <c:pt idx="169">
                  <c:v>-1538.01001</c:v>
                </c:pt>
                <c:pt idx="170">
                  <c:v>-1552.2700199999999</c:v>
                </c:pt>
                <c:pt idx="171">
                  <c:v>-1566.309937</c:v>
                </c:pt>
                <c:pt idx="172">
                  <c:v>-1580.130005</c:v>
                </c:pt>
                <c:pt idx="173">
                  <c:v>-1593.7299800000001</c:v>
                </c:pt>
                <c:pt idx="174">
                  <c:v>-1607.099976</c:v>
                </c:pt>
                <c:pt idx="175">
                  <c:v>-1620.23999</c:v>
                </c:pt>
                <c:pt idx="176">
                  <c:v>-1633.1400149999999</c:v>
                </c:pt>
                <c:pt idx="177">
                  <c:v>-1645.799927</c:v>
                </c:pt>
                <c:pt idx="178">
                  <c:v>-1658.219971</c:v>
                </c:pt>
                <c:pt idx="179">
                  <c:v>-1670.3900149999999</c:v>
                </c:pt>
                <c:pt idx="180">
                  <c:v>-1682.309937</c:v>
                </c:pt>
                <c:pt idx="181">
                  <c:v>-1693.9799800000001</c:v>
                </c:pt>
                <c:pt idx="182">
                  <c:v>-1705.3900149999999</c:v>
                </c:pt>
                <c:pt idx="183">
                  <c:v>-1716.5399170000001</c:v>
                </c:pt>
                <c:pt idx="184">
                  <c:v>-1727.429932</c:v>
                </c:pt>
                <c:pt idx="185">
                  <c:v>-1738.049927</c:v>
                </c:pt>
                <c:pt idx="186">
                  <c:v>-1748.3999020000001</c:v>
                </c:pt>
                <c:pt idx="187">
                  <c:v>-1758.4799800000001</c:v>
                </c:pt>
                <c:pt idx="188">
                  <c:v>-1768.2899170000001</c:v>
                </c:pt>
                <c:pt idx="189">
                  <c:v>-1777.8199460000001</c:v>
                </c:pt>
                <c:pt idx="190">
                  <c:v>-1787.0699460000001</c:v>
                </c:pt>
                <c:pt idx="191">
                  <c:v>-1796.0399170000001</c:v>
                </c:pt>
                <c:pt idx="192">
                  <c:v>-1804.719971</c:v>
                </c:pt>
                <c:pt idx="193">
                  <c:v>-1813.1099850000001</c:v>
                </c:pt>
                <c:pt idx="194">
                  <c:v>-1821.209961</c:v>
                </c:pt>
                <c:pt idx="195">
                  <c:v>-1829.0200199999999</c:v>
                </c:pt>
                <c:pt idx="196">
                  <c:v>-1836.5399170000001</c:v>
                </c:pt>
                <c:pt idx="197">
                  <c:v>-1843.76001</c:v>
                </c:pt>
                <c:pt idx="198">
                  <c:v>-1850.679932</c:v>
                </c:pt>
                <c:pt idx="199">
                  <c:v>-1857.299927</c:v>
                </c:pt>
                <c:pt idx="200">
                  <c:v>-1863.619995</c:v>
                </c:pt>
                <c:pt idx="201">
                  <c:v>-1869.6400149999999</c:v>
                </c:pt>
                <c:pt idx="202">
                  <c:v>-1875.349976</c:v>
                </c:pt>
                <c:pt idx="203">
                  <c:v>-1880.75</c:v>
                </c:pt>
                <c:pt idx="204">
                  <c:v>-1885.839966</c:v>
                </c:pt>
                <c:pt idx="205">
                  <c:v>-1890.619995</c:v>
                </c:pt>
                <c:pt idx="206">
                  <c:v>-1895.089966</c:v>
                </c:pt>
                <c:pt idx="207">
                  <c:v>-1899.25</c:v>
                </c:pt>
                <c:pt idx="208">
                  <c:v>-1903.099976</c:v>
                </c:pt>
                <c:pt idx="209">
                  <c:v>-1906.630005</c:v>
                </c:pt>
                <c:pt idx="210">
                  <c:v>-1909.849976</c:v>
                </c:pt>
                <c:pt idx="211">
                  <c:v>-1912.75</c:v>
                </c:pt>
                <c:pt idx="212">
                  <c:v>-1915.329956</c:v>
                </c:pt>
                <c:pt idx="213">
                  <c:v>-1917.589966</c:v>
                </c:pt>
                <c:pt idx="214">
                  <c:v>-1919.5299070000001</c:v>
                </c:pt>
                <c:pt idx="215">
                  <c:v>-1921.1599120000001</c:v>
                </c:pt>
                <c:pt idx="216">
                  <c:v>-1922.469971</c:v>
                </c:pt>
                <c:pt idx="217">
                  <c:v>-1923.459961</c:v>
                </c:pt>
                <c:pt idx="218">
                  <c:v>-1924.130005</c:v>
                </c:pt>
                <c:pt idx="219">
                  <c:v>-1924.469971</c:v>
                </c:pt>
                <c:pt idx="220">
                  <c:v>-1924.48999</c:v>
                </c:pt>
                <c:pt idx="221">
                  <c:v>-1924.1899410000001</c:v>
                </c:pt>
                <c:pt idx="222">
                  <c:v>-1923.5699460000001</c:v>
                </c:pt>
                <c:pt idx="223">
                  <c:v>-1922.630005</c:v>
                </c:pt>
                <c:pt idx="224">
                  <c:v>-1921.369995</c:v>
                </c:pt>
                <c:pt idx="225">
                  <c:v>-1919.7899170000001</c:v>
                </c:pt>
                <c:pt idx="226">
                  <c:v>-1917.8900149999999</c:v>
                </c:pt>
                <c:pt idx="227">
                  <c:v>-1915.669922</c:v>
                </c:pt>
                <c:pt idx="228">
                  <c:v>-1913.1400149999999</c:v>
                </c:pt>
                <c:pt idx="229">
                  <c:v>-1910.2899170000001</c:v>
                </c:pt>
                <c:pt idx="230">
                  <c:v>-1907.119995</c:v>
                </c:pt>
                <c:pt idx="231">
                  <c:v>-1903.630005</c:v>
                </c:pt>
                <c:pt idx="232">
                  <c:v>-1899.829956</c:v>
                </c:pt>
                <c:pt idx="233">
                  <c:v>-1895.719971</c:v>
                </c:pt>
                <c:pt idx="234">
                  <c:v>-1891.2899170000001</c:v>
                </c:pt>
                <c:pt idx="235">
                  <c:v>-1886.549927</c:v>
                </c:pt>
                <c:pt idx="236">
                  <c:v>-1881.5</c:v>
                </c:pt>
                <c:pt idx="237">
                  <c:v>-1876.1400149999999</c:v>
                </c:pt>
                <c:pt idx="238">
                  <c:v>-1870.4799800000001</c:v>
                </c:pt>
                <c:pt idx="239">
                  <c:v>-1864.51001</c:v>
                </c:pt>
                <c:pt idx="240">
                  <c:v>-1858.23999</c:v>
                </c:pt>
                <c:pt idx="241">
                  <c:v>-1851.6599120000001</c:v>
                </c:pt>
                <c:pt idx="242">
                  <c:v>-1844.7799070000001</c:v>
                </c:pt>
                <c:pt idx="243">
                  <c:v>-1837.599976</c:v>
                </c:pt>
                <c:pt idx="244">
                  <c:v>-1830.130005</c:v>
                </c:pt>
                <c:pt idx="245">
                  <c:v>-1822.3599850000001</c:v>
                </c:pt>
                <c:pt idx="246">
                  <c:v>-1814.299927</c:v>
                </c:pt>
                <c:pt idx="247">
                  <c:v>-1805.9499510000001</c:v>
                </c:pt>
                <c:pt idx="248">
                  <c:v>-1797.309937</c:v>
                </c:pt>
                <c:pt idx="249">
                  <c:v>-1788.3900149999999</c:v>
                </c:pt>
                <c:pt idx="250">
                  <c:v>-1779.179932</c:v>
                </c:pt>
                <c:pt idx="251">
                  <c:v>-1769.6899410000001</c:v>
                </c:pt>
                <c:pt idx="252">
                  <c:v>-1759.929932</c:v>
                </c:pt>
                <c:pt idx="253">
                  <c:v>-1749.8900149999999</c:v>
                </c:pt>
                <c:pt idx="254">
                  <c:v>-1739.579956</c:v>
                </c:pt>
                <c:pt idx="255">
                  <c:v>-1729</c:v>
                </c:pt>
                <c:pt idx="256">
                  <c:v>-1718.1499020000001</c:v>
                </c:pt>
                <c:pt idx="257">
                  <c:v>-1707.0399170000001</c:v>
                </c:pt>
                <c:pt idx="258">
                  <c:v>-1695.669922</c:v>
                </c:pt>
                <c:pt idx="259">
                  <c:v>-1684.0399170000001</c:v>
                </c:pt>
                <c:pt idx="260">
                  <c:v>-1672.1599120000001</c:v>
                </c:pt>
                <c:pt idx="261">
                  <c:v>-1660.0299070000001</c:v>
                </c:pt>
                <c:pt idx="262">
                  <c:v>-1647.6499020000001</c:v>
                </c:pt>
                <c:pt idx="263">
                  <c:v>-1635.0299070000001</c:v>
                </c:pt>
                <c:pt idx="264">
                  <c:v>-1622.169922</c:v>
                </c:pt>
                <c:pt idx="265">
                  <c:v>-1609.0699460000001</c:v>
                </c:pt>
                <c:pt idx="266">
                  <c:v>-1595.73999</c:v>
                </c:pt>
                <c:pt idx="267">
                  <c:v>-1582.179932</c:v>
                </c:pt>
                <c:pt idx="268">
                  <c:v>-1568.3900149999999</c:v>
                </c:pt>
                <c:pt idx="269">
                  <c:v>-1554.380005</c:v>
                </c:pt>
                <c:pt idx="270">
                  <c:v>-1540.150024</c:v>
                </c:pt>
                <c:pt idx="271">
                  <c:v>-1525.709961</c:v>
                </c:pt>
                <c:pt idx="272">
                  <c:v>-1511.059937</c:v>
                </c:pt>
                <c:pt idx="273">
                  <c:v>-1496.1999510000001</c:v>
                </c:pt>
                <c:pt idx="274">
                  <c:v>-1481.1400149999999</c:v>
                </c:pt>
                <c:pt idx="275">
                  <c:v>-1465.880005</c:v>
                </c:pt>
                <c:pt idx="276">
                  <c:v>-1450.429932</c:v>
                </c:pt>
                <c:pt idx="277">
                  <c:v>-1434.7899170000001</c:v>
                </c:pt>
                <c:pt idx="278">
                  <c:v>-1418.969971</c:v>
                </c:pt>
                <c:pt idx="279">
                  <c:v>-1402.969971</c:v>
                </c:pt>
                <c:pt idx="280">
                  <c:v>-1386.7899170000001</c:v>
                </c:pt>
                <c:pt idx="281">
                  <c:v>-1370.4399410000001</c:v>
                </c:pt>
                <c:pt idx="282">
                  <c:v>-1353.919922</c:v>
                </c:pt>
                <c:pt idx="283">
                  <c:v>-1337.23999</c:v>
                </c:pt>
                <c:pt idx="284">
                  <c:v>-1320.400024</c:v>
                </c:pt>
                <c:pt idx="285">
                  <c:v>-1303.4099120000001</c:v>
                </c:pt>
                <c:pt idx="286">
                  <c:v>-1286.2700199999999</c:v>
                </c:pt>
                <c:pt idx="287">
                  <c:v>-1268.98999</c:v>
                </c:pt>
                <c:pt idx="288">
                  <c:v>-1251.5699460000001</c:v>
                </c:pt>
                <c:pt idx="289">
                  <c:v>-1234.0200199999999</c:v>
                </c:pt>
                <c:pt idx="290">
                  <c:v>-1216.339966</c:v>
                </c:pt>
                <c:pt idx="291">
                  <c:v>-1198.530029</c:v>
                </c:pt>
                <c:pt idx="292">
                  <c:v>-1180.6099850000001</c:v>
                </c:pt>
                <c:pt idx="293">
                  <c:v>-1162.5699460000001</c:v>
                </c:pt>
                <c:pt idx="294">
                  <c:v>-1144.419922</c:v>
                </c:pt>
                <c:pt idx="295">
                  <c:v>-1126.169922</c:v>
                </c:pt>
                <c:pt idx="296">
                  <c:v>-1107.8199460000001</c:v>
                </c:pt>
                <c:pt idx="297">
                  <c:v>-1089.380005</c:v>
                </c:pt>
                <c:pt idx="298">
                  <c:v>-1070.849976</c:v>
                </c:pt>
                <c:pt idx="299">
                  <c:v>-1052.2299800000001</c:v>
                </c:pt>
                <c:pt idx="300">
                  <c:v>-1033.5399170000001</c:v>
                </c:pt>
                <c:pt idx="301">
                  <c:v>-1014.769958</c:v>
                </c:pt>
                <c:pt idx="302">
                  <c:v>-995.94000200000005</c:v>
                </c:pt>
                <c:pt idx="303">
                  <c:v>-977.03997800000002</c:v>
                </c:pt>
                <c:pt idx="304">
                  <c:v>-958.089966</c:v>
                </c:pt>
                <c:pt idx="305">
                  <c:v>-939.07995600000004</c:v>
                </c:pt>
                <c:pt idx="306">
                  <c:v>-920.02996800000005</c:v>
                </c:pt>
                <c:pt idx="307">
                  <c:v>-900.94000200000005</c:v>
                </c:pt>
                <c:pt idx="308">
                  <c:v>-881.80999799999995</c:v>
                </c:pt>
                <c:pt idx="309">
                  <c:v>-862.64996299999996</c:v>
                </c:pt>
                <c:pt idx="310">
                  <c:v>-843.45996100000002</c:v>
                </c:pt>
                <c:pt idx="311">
                  <c:v>-824.25</c:v>
                </c:pt>
                <c:pt idx="312">
                  <c:v>-805.02996800000005</c:v>
                </c:pt>
                <c:pt idx="313">
                  <c:v>-785.79998799999998</c:v>
                </c:pt>
                <c:pt idx="314">
                  <c:v>-766.55999799999995</c:v>
                </c:pt>
                <c:pt idx="315">
                  <c:v>-747.32995600000004</c:v>
                </c:pt>
                <c:pt idx="316">
                  <c:v>-728.09997599999997</c:v>
                </c:pt>
                <c:pt idx="317">
                  <c:v>-708.88000499999998</c:v>
                </c:pt>
                <c:pt idx="318">
                  <c:v>-689.67999299999997</c:v>
                </c:pt>
                <c:pt idx="319">
                  <c:v>-670.5</c:v>
                </c:pt>
                <c:pt idx="320">
                  <c:v>-651.34997599999997</c:v>
                </c:pt>
                <c:pt idx="321">
                  <c:v>-632.23999000000003</c:v>
                </c:pt>
                <c:pt idx="322">
                  <c:v>-613.15997300000004</c:v>
                </c:pt>
                <c:pt idx="323">
                  <c:v>-594.13000499999998</c:v>
                </c:pt>
                <c:pt idx="324">
                  <c:v>-575.14996299999996</c:v>
                </c:pt>
                <c:pt idx="325">
                  <c:v>-556.21997099999999</c:v>
                </c:pt>
                <c:pt idx="326">
                  <c:v>-537.34997599999997</c:v>
                </c:pt>
                <c:pt idx="327">
                  <c:v>-518.54998799999998</c:v>
                </c:pt>
                <c:pt idx="328">
                  <c:v>-499.81997699999999</c:v>
                </c:pt>
                <c:pt idx="329">
                  <c:v>-481.16000400000001</c:v>
                </c:pt>
                <c:pt idx="330">
                  <c:v>-462.57998700000002</c:v>
                </c:pt>
                <c:pt idx="331">
                  <c:v>-444.08999599999999</c:v>
                </c:pt>
                <c:pt idx="332">
                  <c:v>-425.69000199999999</c:v>
                </c:pt>
                <c:pt idx="333">
                  <c:v>-407.38998400000003</c:v>
                </c:pt>
                <c:pt idx="334">
                  <c:v>-389.19000199999999</c:v>
                </c:pt>
                <c:pt idx="335">
                  <c:v>-371.08999599999999</c:v>
                </c:pt>
                <c:pt idx="336">
                  <c:v>-353.10000600000001</c:v>
                </c:pt>
                <c:pt idx="337">
                  <c:v>-335.22998000000001</c:v>
                </c:pt>
                <c:pt idx="338">
                  <c:v>-317.47998000000001</c:v>
                </c:pt>
                <c:pt idx="339">
                  <c:v>-299.85998499999999</c:v>
                </c:pt>
                <c:pt idx="340">
                  <c:v>-282.36999500000002</c:v>
                </c:pt>
                <c:pt idx="341">
                  <c:v>-265.01998900000001</c:v>
                </c:pt>
                <c:pt idx="342">
                  <c:v>-247.80999800000001</c:v>
                </c:pt>
                <c:pt idx="343">
                  <c:v>-230.73999000000001</c:v>
                </c:pt>
                <c:pt idx="344">
                  <c:v>-213.81999200000001</c:v>
                </c:pt>
                <c:pt idx="345">
                  <c:v>-197.05999800000001</c:v>
                </c:pt>
                <c:pt idx="346">
                  <c:v>-180.459991</c:v>
                </c:pt>
                <c:pt idx="347">
                  <c:v>-164.01998900000001</c:v>
                </c:pt>
                <c:pt idx="348">
                  <c:v>-147.75</c:v>
                </c:pt>
                <c:pt idx="349">
                  <c:v>-131.64999399999999</c:v>
                </c:pt>
                <c:pt idx="350">
                  <c:v>-115.729996</c:v>
                </c:pt>
                <c:pt idx="351">
                  <c:v>-99.989998</c:v>
                </c:pt>
                <c:pt idx="352">
                  <c:v>-84.439994999999996</c:v>
                </c:pt>
                <c:pt idx="353">
                  <c:v>-69.080001999999993</c:v>
                </c:pt>
                <c:pt idx="354">
                  <c:v>-53.919998</c:v>
                </c:pt>
                <c:pt idx="355">
                  <c:v>-38.959999000000003</c:v>
                </c:pt>
                <c:pt idx="356">
                  <c:v>-24.199998999999998</c:v>
                </c:pt>
                <c:pt idx="357">
                  <c:v>-9.65</c:v>
                </c:pt>
                <c:pt idx="358">
                  <c:v>4.6900000000000004</c:v>
                </c:pt>
                <c:pt idx="359">
                  <c:v>18.809999000000001</c:v>
                </c:pt>
                <c:pt idx="360">
                  <c:v>32.719996999999999</c:v>
                </c:pt>
                <c:pt idx="361">
                  <c:v>46.399997999999997</c:v>
                </c:pt>
                <c:pt idx="362">
                  <c:v>59.849997999999999</c:v>
                </c:pt>
                <c:pt idx="363">
                  <c:v>73.069999999999993</c:v>
                </c:pt>
                <c:pt idx="364">
                  <c:v>86.059997999999993</c:v>
                </c:pt>
                <c:pt idx="365">
                  <c:v>98.809997999999993</c:v>
                </c:pt>
                <c:pt idx="366">
                  <c:v>111.32</c:v>
                </c:pt>
                <c:pt idx="367">
                  <c:v>123.579994</c:v>
                </c:pt>
                <c:pt idx="368">
                  <c:v>135.58999600000001</c:v>
                </c:pt>
                <c:pt idx="369">
                  <c:v>147.34999099999999</c:v>
                </c:pt>
                <c:pt idx="370">
                  <c:v>158.86000100000001</c:v>
                </c:pt>
                <c:pt idx="371">
                  <c:v>170.11000100000001</c:v>
                </c:pt>
                <c:pt idx="372">
                  <c:v>181.09999099999999</c:v>
                </c:pt>
                <c:pt idx="373">
                  <c:v>191.81999200000001</c:v>
                </c:pt>
                <c:pt idx="374">
                  <c:v>202.26998900000001</c:v>
                </c:pt>
                <c:pt idx="375">
                  <c:v>212.449997</c:v>
                </c:pt>
                <c:pt idx="376">
                  <c:v>222.36000100000001</c:v>
                </c:pt>
                <c:pt idx="377">
                  <c:v>231.98999000000001</c:v>
                </c:pt>
                <c:pt idx="378">
                  <c:v>241.33999600000001</c:v>
                </c:pt>
                <c:pt idx="379">
                  <c:v>250.409988</c:v>
                </c:pt>
                <c:pt idx="380">
                  <c:v>259.19998199999998</c:v>
                </c:pt>
                <c:pt idx="381">
                  <c:v>267.69998199999998</c:v>
                </c:pt>
                <c:pt idx="382">
                  <c:v>275.91000400000001</c:v>
                </c:pt>
                <c:pt idx="383">
                  <c:v>283.82998700000002</c:v>
                </c:pt>
                <c:pt idx="384">
                  <c:v>291.459991</c:v>
                </c:pt>
                <c:pt idx="385">
                  <c:v>298.790009</c:v>
                </c:pt>
                <c:pt idx="386">
                  <c:v>305.82000699999998</c:v>
                </c:pt>
                <c:pt idx="387">
                  <c:v>312.54998799999998</c:v>
                </c:pt>
                <c:pt idx="388">
                  <c:v>318.97998000000001</c:v>
                </c:pt>
                <c:pt idx="389">
                  <c:v>325.10998499999999</c:v>
                </c:pt>
                <c:pt idx="390">
                  <c:v>330.92999300000002</c:v>
                </c:pt>
                <c:pt idx="391">
                  <c:v>336.44998199999998</c:v>
                </c:pt>
                <c:pt idx="392">
                  <c:v>341.66000400000001</c:v>
                </c:pt>
                <c:pt idx="393">
                  <c:v>346.55999800000001</c:v>
                </c:pt>
                <c:pt idx="394">
                  <c:v>351.14999399999999</c:v>
                </c:pt>
                <c:pt idx="395">
                  <c:v>355.42999300000002</c:v>
                </c:pt>
                <c:pt idx="396">
                  <c:v>359.38998400000003</c:v>
                </c:pt>
                <c:pt idx="397">
                  <c:v>363.03997800000002</c:v>
                </c:pt>
                <c:pt idx="398">
                  <c:v>366.36999500000002</c:v>
                </c:pt>
              </c:numCache>
            </c:numRef>
          </c:xVal>
          <c:yVal>
            <c:numRef>
              <c:f>batmobile!$C$2:$C$400</c:f>
              <c:numCache>
                <c:formatCode>0.00</c:formatCode>
                <c:ptCount val="399"/>
                <c:pt idx="0">
                  <c:v>1074.309937</c:v>
                </c:pt>
                <c:pt idx="1">
                  <c:v>1090.8199460000001</c:v>
                </c:pt>
                <c:pt idx="2">
                  <c:v>1107.329956</c:v>
                </c:pt>
                <c:pt idx="3">
                  <c:v>1123.839966</c:v>
                </c:pt>
                <c:pt idx="4">
                  <c:v>1140.349976</c:v>
                </c:pt>
                <c:pt idx="5">
                  <c:v>1156.8599850000001</c:v>
                </c:pt>
                <c:pt idx="6">
                  <c:v>1173.369995</c:v>
                </c:pt>
                <c:pt idx="7">
                  <c:v>1189.880005</c:v>
                </c:pt>
                <c:pt idx="8">
                  <c:v>1206.3900149999999</c:v>
                </c:pt>
                <c:pt idx="9">
                  <c:v>1222.900024</c:v>
                </c:pt>
                <c:pt idx="10">
                  <c:v>1239.4099120000001</c:v>
                </c:pt>
                <c:pt idx="11">
                  <c:v>1255.919922</c:v>
                </c:pt>
                <c:pt idx="12">
                  <c:v>1272.429932</c:v>
                </c:pt>
                <c:pt idx="13">
                  <c:v>1288.9399410000001</c:v>
                </c:pt>
                <c:pt idx="14">
                  <c:v>1305.4499510000001</c:v>
                </c:pt>
                <c:pt idx="15">
                  <c:v>1321.959961</c:v>
                </c:pt>
                <c:pt idx="16">
                  <c:v>1338.469971</c:v>
                </c:pt>
                <c:pt idx="17">
                  <c:v>1354.9799800000001</c:v>
                </c:pt>
                <c:pt idx="18">
                  <c:v>1371.48999</c:v>
                </c:pt>
                <c:pt idx="19">
                  <c:v>1388</c:v>
                </c:pt>
                <c:pt idx="20">
                  <c:v>1404.51001</c:v>
                </c:pt>
                <c:pt idx="21">
                  <c:v>1421.0200199999999</c:v>
                </c:pt>
                <c:pt idx="22">
                  <c:v>1437.5299070000001</c:v>
                </c:pt>
                <c:pt idx="23">
                  <c:v>1454.0399170000001</c:v>
                </c:pt>
                <c:pt idx="24">
                  <c:v>1470.549927</c:v>
                </c:pt>
                <c:pt idx="25">
                  <c:v>1487.059937</c:v>
                </c:pt>
                <c:pt idx="26">
                  <c:v>1503.5699460000001</c:v>
                </c:pt>
                <c:pt idx="27">
                  <c:v>1520.079956</c:v>
                </c:pt>
                <c:pt idx="28">
                  <c:v>1536.589966</c:v>
                </c:pt>
                <c:pt idx="29">
                  <c:v>1553.099976</c:v>
                </c:pt>
                <c:pt idx="30">
                  <c:v>1569.6099850000001</c:v>
                </c:pt>
                <c:pt idx="31">
                  <c:v>1586.119995</c:v>
                </c:pt>
                <c:pt idx="32">
                  <c:v>1602.630005</c:v>
                </c:pt>
                <c:pt idx="33">
                  <c:v>1619.1400149999999</c:v>
                </c:pt>
                <c:pt idx="34">
                  <c:v>1635.650024</c:v>
                </c:pt>
                <c:pt idx="35">
                  <c:v>1652.1599120000001</c:v>
                </c:pt>
                <c:pt idx="36">
                  <c:v>1668.669922</c:v>
                </c:pt>
                <c:pt idx="37">
                  <c:v>1685.179932</c:v>
                </c:pt>
                <c:pt idx="38">
                  <c:v>1701.6899410000001</c:v>
                </c:pt>
                <c:pt idx="39">
                  <c:v>1718.1999510000001</c:v>
                </c:pt>
                <c:pt idx="40">
                  <c:v>1734.709961</c:v>
                </c:pt>
                <c:pt idx="41">
                  <c:v>1751.219971</c:v>
                </c:pt>
                <c:pt idx="42">
                  <c:v>1767.7299800000001</c:v>
                </c:pt>
                <c:pt idx="43">
                  <c:v>1784.23999</c:v>
                </c:pt>
                <c:pt idx="44">
                  <c:v>1800.75</c:v>
                </c:pt>
                <c:pt idx="45">
                  <c:v>1817.26001</c:v>
                </c:pt>
                <c:pt idx="46">
                  <c:v>1833.7700199999999</c:v>
                </c:pt>
                <c:pt idx="47">
                  <c:v>1850.2799070000001</c:v>
                </c:pt>
                <c:pt idx="48">
                  <c:v>1866.7899170000001</c:v>
                </c:pt>
                <c:pt idx="49">
                  <c:v>1883.299927</c:v>
                </c:pt>
                <c:pt idx="50">
                  <c:v>1899.809937</c:v>
                </c:pt>
                <c:pt idx="51">
                  <c:v>1916.3199460000001</c:v>
                </c:pt>
                <c:pt idx="52">
                  <c:v>1932.7899170000001</c:v>
                </c:pt>
                <c:pt idx="53">
                  <c:v>1949.219971</c:v>
                </c:pt>
                <c:pt idx="54">
                  <c:v>1965.6099850000001</c:v>
                </c:pt>
                <c:pt idx="55">
                  <c:v>1981.9499510000001</c:v>
                </c:pt>
                <c:pt idx="56">
                  <c:v>1998.25</c:v>
                </c:pt>
                <c:pt idx="57">
                  <c:v>2014.48999</c:v>
                </c:pt>
                <c:pt idx="58">
                  <c:v>2030.669922</c:v>
                </c:pt>
                <c:pt idx="59">
                  <c:v>2046.7799070000001</c:v>
                </c:pt>
                <c:pt idx="60">
                  <c:v>2062.820068</c:v>
                </c:pt>
                <c:pt idx="61">
                  <c:v>2078.780029</c:v>
                </c:pt>
                <c:pt idx="62">
                  <c:v>2094.6499020000001</c:v>
                </c:pt>
                <c:pt idx="63">
                  <c:v>2110.419922</c:v>
                </c:pt>
                <c:pt idx="64">
                  <c:v>2126.0798340000001</c:v>
                </c:pt>
                <c:pt idx="65">
                  <c:v>2141.6298830000001</c:v>
                </c:pt>
                <c:pt idx="66">
                  <c:v>2157.0600589999999</c:v>
                </c:pt>
                <c:pt idx="67">
                  <c:v>2172.3598630000001</c:v>
                </c:pt>
                <c:pt idx="68">
                  <c:v>2187.5200199999999</c:v>
                </c:pt>
                <c:pt idx="69">
                  <c:v>2202.540039</c:v>
                </c:pt>
                <c:pt idx="70">
                  <c:v>2217.4099120000001</c:v>
                </c:pt>
                <c:pt idx="71">
                  <c:v>2232.1198730000001</c:v>
                </c:pt>
                <c:pt idx="72">
                  <c:v>2246.669922</c:v>
                </c:pt>
                <c:pt idx="73">
                  <c:v>2261.0500489999999</c:v>
                </c:pt>
                <c:pt idx="74">
                  <c:v>2275.26001</c:v>
                </c:pt>
                <c:pt idx="75">
                  <c:v>2289.290039</c:v>
                </c:pt>
                <c:pt idx="76">
                  <c:v>2303.1298830000001</c:v>
                </c:pt>
                <c:pt idx="77">
                  <c:v>2316.780029</c:v>
                </c:pt>
                <c:pt idx="78">
                  <c:v>2330.2299800000001</c:v>
                </c:pt>
                <c:pt idx="79">
                  <c:v>2343.4799800000001</c:v>
                </c:pt>
                <c:pt idx="80">
                  <c:v>2356.5200199999999</c:v>
                </c:pt>
                <c:pt idx="81">
                  <c:v>2369.3498540000001</c:v>
                </c:pt>
                <c:pt idx="82">
                  <c:v>2381.959961</c:v>
                </c:pt>
                <c:pt idx="83">
                  <c:v>2394.3398440000001</c:v>
                </c:pt>
                <c:pt idx="84">
                  <c:v>2406.5</c:v>
                </c:pt>
                <c:pt idx="85">
                  <c:v>2418.419922</c:v>
                </c:pt>
                <c:pt idx="86">
                  <c:v>2430.1098630000001</c:v>
                </c:pt>
                <c:pt idx="87">
                  <c:v>2441.5600589999999</c:v>
                </c:pt>
                <c:pt idx="88">
                  <c:v>2452.76001</c:v>
                </c:pt>
                <c:pt idx="89">
                  <c:v>2463.709961</c:v>
                </c:pt>
                <c:pt idx="90">
                  <c:v>2474.4099120000001</c:v>
                </c:pt>
                <c:pt idx="91">
                  <c:v>2484.8498540000001</c:v>
                </c:pt>
                <c:pt idx="92">
                  <c:v>2495.030029</c:v>
                </c:pt>
                <c:pt idx="93">
                  <c:v>2504.9499510000001</c:v>
                </c:pt>
                <c:pt idx="94">
                  <c:v>2514.5998540000001</c:v>
                </c:pt>
                <c:pt idx="95">
                  <c:v>2523.9799800000001</c:v>
                </c:pt>
                <c:pt idx="96">
                  <c:v>2533.0898440000001</c:v>
                </c:pt>
                <c:pt idx="97">
                  <c:v>2541.919922</c:v>
                </c:pt>
                <c:pt idx="98">
                  <c:v>2550.469971</c:v>
                </c:pt>
                <c:pt idx="99">
                  <c:v>2558.73999</c:v>
                </c:pt>
                <c:pt idx="100">
                  <c:v>2566.719971</c:v>
                </c:pt>
                <c:pt idx="101">
                  <c:v>2574.419922</c:v>
                </c:pt>
                <c:pt idx="102">
                  <c:v>2581.8298340000001</c:v>
                </c:pt>
                <c:pt idx="103">
                  <c:v>2588.9399410000001</c:v>
                </c:pt>
                <c:pt idx="104">
                  <c:v>2595.76001</c:v>
                </c:pt>
                <c:pt idx="105">
                  <c:v>2602.280029</c:v>
                </c:pt>
                <c:pt idx="106">
                  <c:v>2608.5</c:v>
                </c:pt>
                <c:pt idx="107">
                  <c:v>2614.419922</c:v>
                </c:pt>
                <c:pt idx="108">
                  <c:v>2620.040039</c:v>
                </c:pt>
                <c:pt idx="109">
                  <c:v>2625.3498540000001</c:v>
                </c:pt>
                <c:pt idx="110">
                  <c:v>2630.3598630000001</c:v>
                </c:pt>
                <c:pt idx="111">
                  <c:v>2635.0600589999999</c:v>
                </c:pt>
                <c:pt idx="112">
                  <c:v>2639.4499510000001</c:v>
                </c:pt>
                <c:pt idx="113">
                  <c:v>2643.530029</c:v>
                </c:pt>
                <c:pt idx="114">
                  <c:v>2647.3000489999999</c:v>
                </c:pt>
                <c:pt idx="115">
                  <c:v>2650.75</c:v>
                </c:pt>
                <c:pt idx="116">
                  <c:v>2653.889893</c:v>
                </c:pt>
                <c:pt idx="117">
                  <c:v>2656.709961</c:v>
                </c:pt>
                <c:pt idx="118">
                  <c:v>2659.219971</c:v>
                </c:pt>
                <c:pt idx="119">
                  <c:v>2661.4099120000001</c:v>
                </c:pt>
                <c:pt idx="120">
                  <c:v>2663.280029</c:v>
                </c:pt>
                <c:pt idx="121">
                  <c:v>2664.8298340000001</c:v>
                </c:pt>
                <c:pt idx="122">
                  <c:v>2666.0698240000002</c:v>
                </c:pt>
                <c:pt idx="123">
                  <c:v>2666.98999</c:v>
                </c:pt>
                <c:pt idx="124">
                  <c:v>2667.5898440000001</c:v>
                </c:pt>
                <c:pt idx="125">
                  <c:v>2667.8698730000001</c:v>
                </c:pt>
                <c:pt idx="126">
                  <c:v>2667.8298340000001</c:v>
                </c:pt>
                <c:pt idx="127">
                  <c:v>2667.469971</c:v>
                </c:pt>
                <c:pt idx="128">
                  <c:v>2666.790039</c:v>
                </c:pt>
                <c:pt idx="129">
                  <c:v>2665.790039</c:v>
                </c:pt>
                <c:pt idx="130">
                  <c:v>2664.469971</c:v>
                </c:pt>
                <c:pt idx="131">
                  <c:v>2662.8298340000001</c:v>
                </c:pt>
                <c:pt idx="132">
                  <c:v>2660.8698730000001</c:v>
                </c:pt>
                <c:pt idx="133">
                  <c:v>2658.5898440000001</c:v>
                </c:pt>
                <c:pt idx="134">
                  <c:v>2655.98999</c:v>
                </c:pt>
                <c:pt idx="135">
                  <c:v>2653.0698240000002</c:v>
                </c:pt>
                <c:pt idx="136">
                  <c:v>2649.8398440000001</c:v>
                </c:pt>
                <c:pt idx="137">
                  <c:v>2646.290039</c:v>
                </c:pt>
                <c:pt idx="138">
                  <c:v>2642.429932</c:v>
                </c:pt>
                <c:pt idx="139">
                  <c:v>2638.25</c:v>
                </c:pt>
                <c:pt idx="140">
                  <c:v>2633.76001</c:v>
                </c:pt>
                <c:pt idx="141">
                  <c:v>2628.959961</c:v>
                </c:pt>
                <c:pt idx="142">
                  <c:v>2623.8498540000001</c:v>
                </c:pt>
                <c:pt idx="143">
                  <c:v>2618.429932</c:v>
                </c:pt>
                <c:pt idx="144">
                  <c:v>2612.709961</c:v>
                </c:pt>
                <c:pt idx="145">
                  <c:v>2606.679932</c:v>
                </c:pt>
                <c:pt idx="146">
                  <c:v>2600.3498540000001</c:v>
                </c:pt>
                <c:pt idx="147">
                  <c:v>2593.709961</c:v>
                </c:pt>
                <c:pt idx="148">
                  <c:v>2586.7700199999999</c:v>
                </c:pt>
                <c:pt idx="149">
                  <c:v>2579.540039</c:v>
                </c:pt>
                <c:pt idx="150">
                  <c:v>2572.01001</c:v>
                </c:pt>
                <c:pt idx="151">
                  <c:v>2564.1899410000001</c:v>
                </c:pt>
                <c:pt idx="152">
                  <c:v>2556.0698240000002</c:v>
                </c:pt>
                <c:pt idx="153">
                  <c:v>2547.6599120000001</c:v>
                </c:pt>
                <c:pt idx="154">
                  <c:v>2538.969971</c:v>
                </c:pt>
                <c:pt idx="155">
                  <c:v>2529.98999</c:v>
                </c:pt>
                <c:pt idx="156">
                  <c:v>2520.7299800000001</c:v>
                </c:pt>
                <c:pt idx="157">
                  <c:v>2511.1899410000001</c:v>
                </c:pt>
                <c:pt idx="158">
                  <c:v>2501.3698730000001</c:v>
                </c:pt>
                <c:pt idx="159">
                  <c:v>2491.280029</c:v>
                </c:pt>
                <c:pt idx="160">
                  <c:v>2480.919922</c:v>
                </c:pt>
                <c:pt idx="161">
                  <c:v>2470.290039</c:v>
                </c:pt>
                <c:pt idx="162">
                  <c:v>2459.389893</c:v>
                </c:pt>
                <c:pt idx="163">
                  <c:v>2448.2299800000001</c:v>
                </c:pt>
                <c:pt idx="164">
                  <c:v>2436.8100589999999</c:v>
                </c:pt>
                <c:pt idx="165">
                  <c:v>2425.1298830000001</c:v>
                </c:pt>
                <c:pt idx="166">
                  <c:v>2413.1999510000001</c:v>
                </c:pt>
                <c:pt idx="167">
                  <c:v>2401.0200199999999</c:v>
                </c:pt>
                <c:pt idx="168">
                  <c:v>2388.5898440000001</c:v>
                </c:pt>
                <c:pt idx="169">
                  <c:v>2375.919922</c:v>
                </c:pt>
                <c:pt idx="170">
                  <c:v>2363.01001</c:v>
                </c:pt>
                <c:pt idx="171">
                  <c:v>2349.8698730000001</c:v>
                </c:pt>
                <c:pt idx="172">
                  <c:v>2336.48999</c:v>
                </c:pt>
                <c:pt idx="173">
                  <c:v>2322.8798830000001</c:v>
                </c:pt>
                <c:pt idx="174">
                  <c:v>2309.0500489999999</c:v>
                </c:pt>
                <c:pt idx="175">
                  <c:v>2295</c:v>
                </c:pt>
                <c:pt idx="176">
                  <c:v>2280.7299800000001</c:v>
                </c:pt>
                <c:pt idx="177">
                  <c:v>2266.25</c:v>
                </c:pt>
                <c:pt idx="178">
                  <c:v>2251.5600589999999</c:v>
                </c:pt>
                <c:pt idx="179">
                  <c:v>2236.6599120000001</c:v>
                </c:pt>
                <c:pt idx="180">
                  <c:v>2221.5600589999999</c:v>
                </c:pt>
                <c:pt idx="181">
                  <c:v>2206.2700199999999</c:v>
                </c:pt>
                <c:pt idx="182">
                  <c:v>2190.780029</c:v>
                </c:pt>
                <c:pt idx="183">
                  <c:v>2175.1098630000001</c:v>
                </c:pt>
                <c:pt idx="184">
                  <c:v>2159.25</c:v>
                </c:pt>
                <c:pt idx="185">
                  <c:v>2143.209961</c:v>
                </c:pt>
                <c:pt idx="186">
                  <c:v>2127</c:v>
                </c:pt>
                <c:pt idx="187">
                  <c:v>2110.6198730000001</c:v>
                </c:pt>
                <c:pt idx="188">
                  <c:v>2094.070068</c:v>
                </c:pt>
                <c:pt idx="189">
                  <c:v>2077.3598630000001</c:v>
                </c:pt>
                <c:pt idx="190">
                  <c:v>2060.48999</c:v>
                </c:pt>
                <c:pt idx="191">
                  <c:v>2043.469971</c:v>
                </c:pt>
                <c:pt idx="192">
                  <c:v>2026.299927</c:v>
                </c:pt>
                <c:pt idx="193">
                  <c:v>2008.98999</c:v>
                </c:pt>
                <c:pt idx="194">
                  <c:v>1991.5399170000001</c:v>
                </c:pt>
                <c:pt idx="195">
                  <c:v>1973.959961</c:v>
                </c:pt>
                <c:pt idx="196">
                  <c:v>1956.25</c:v>
                </c:pt>
                <c:pt idx="197">
                  <c:v>1938.419922</c:v>
                </c:pt>
                <c:pt idx="198">
                  <c:v>1920.469971</c:v>
                </c:pt>
                <c:pt idx="199">
                  <c:v>1902.4099120000001</c:v>
                </c:pt>
                <c:pt idx="200">
                  <c:v>1884.23999</c:v>
                </c:pt>
                <c:pt idx="201">
                  <c:v>1865.969971</c:v>
                </c:pt>
                <c:pt idx="202">
                  <c:v>1847.599976</c:v>
                </c:pt>
                <c:pt idx="203">
                  <c:v>1829.1400149999999</c:v>
                </c:pt>
                <c:pt idx="204">
                  <c:v>1810.589966</c:v>
                </c:pt>
                <c:pt idx="205">
                  <c:v>1791.959961</c:v>
                </c:pt>
                <c:pt idx="206">
                  <c:v>1773.25</c:v>
                </c:pt>
                <c:pt idx="207">
                  <c:v>1754.469971</c:v>
                </c:pt>
                <c:pt idx="208">
                  <c:v>1735.619995</c:v>
                </c:pt>
                <c:pt idx="209">
                  <c:v>1716.709961</c:v>
                </c:pt>
                <c:pt idx="210">
                  <c:v>1697.75</c:v>
                </c:pt>
                <c:pt idx="211">
                  <c:v>1678.7299800000001</c:v>
                </c:pt>
                <c:pt idx="212">
                  <c:v>1659.669922</c:v>
                </c:pt>
                <c:pt idx="213">
                  <c:v>1640.5699460000001</c:v>
                </c:pt>
                <c:pt idx="214">
                  <c:v>1621.429932</c:v>
                </c:pt>
                <c:pt idx="215">
                  <c:v>1602.26001</c:v>
                </c:pt>
                <c:pt idx="216">
                  <c:v>1583.0699460000001</c:v>
                </c:pt>
                <c:pt idx="217">
                  <c:v>1563.8599850000001</c:v>
                </c:pt>
                <c:pt idx="218">
                  <c:v>1544.6400149999999</c:v>
                </c:pt>
                <c:pt idx="219">
                  <c:v>1525.4099120000001</c:v>
                </c:pt>
                <c:pt idx="220">
                  <c:v>1506.169922</c:v>
                </c:pt>
                <c:pt idx="221">
                  <c:v>1486.9399410000001</c:v>
                </c:pt>
                <c:pt idx="222">
                  <c:v>1467.709961</c:v>
                </c:pt>
                <c:pt idx="223">
                  <c:v>1448.5</c:v>
                </c:pt>
                <c:pt idx="224">
                  <c:v>1429.309937</c:v>
                </c:pt>
                <c:pt idx="225">
                  <c:v>1410.1400149999999</c:v>
                </c:pt>
                <c:pt idx="226">
                  <c:v>1391</c:v>
                </c:pt>
                <c:pt idx="227">
                  <c:v>1371.8900149999999</c:v>
                </c:pt>
                <c:pt idx="228">
                  <c:v>1352.8199460000001</c:v>
                </c:pt>
                <c:pt idx="229">
                  <c:v>1333.799927</c:v>
                </c:pt>
                <c:pt idx="230">
                  <c:v>1314.829956</c:v>
                </c:pt>
                <c:pt idx="231">
                  <c:v>1295.9099120000001</c:v>
                </c:pt>
                <c:pt idx="232">
                  <c:v>1277.049927</c:v>
                </c:pt>
                <c:pt idx="233">
                  <c:v>1258.26001</c:v>
                </c:pt>
                <c:pt idx="234">
                  <c:v>1239.5399170000001</c:v>
                </c:pt>
                <c:pt idx="235">
                  <c:v>1220.900024</c:v>
                </c:pt>
                <c:pt idx="236">
                  <c:v>1202.339966</c:v>
                </c:pt>
                <c:pt idx="237">
                  <c:v>1183.869995</c:v>
                </c:pt>
                <c:pt idx="238">
                  <c:v>1165.48999</c:v>
                </c:pt>
                <c:pt idx="239">
                  <c:v>1147.1999510000001</c:v>
                </c:pt>
                <c:pt idx="240">
                  <c:v>1129.0200199999999</c:v>
                </c:pt>
                <c:pt idx="241">
                  <c:v>1110.9399410000001</c:v>
                </c:pt>
                <c:pt idx="242">
                  <c:v>1092.9799800000001</c:v>
                </c:pt>
                <c:pt idx="243">
                  <c:v>1075.130005</c:v>
                </c:pt>
                <c:pt idx="244">
                  <c:v>1057.410034</c:v>
                </c:pt>
                <c:pt idx="245">
                  <c:v>1039.809937</c:v>
                </c:pt>
                <c:pt idx="246">
                  <c:v>1022.339966</c:v>
                </c:pt>
                <c:pt idx="247">
                  <c:v>1005.009949</c:v>
                </c:pt>
                <c:pt idx="248">
                  <c:v>987.82000700000003</c:v>
                </c:pt>
                <c:pt idx="249">
                  <c:v>970.77996800000005</c:v>
                </c:pt>
                <c:pt idx="250">
                  <c:v>953.88995399999999</c:v>
                </c:pt>
                <c:pt idx="251">
                  <c:v>937.15997300000004</c:v>
                </c:pt>
                <c:pt idx="252">
                  <c:v>920.589966</c:v>
                </c:pt>
                <c:pt idx="253">
                  <c:v>904.17999299999997</c:v>
                </c:pt>
                <c:pt idx="254">
                  <c:v>887.94000200000005</c:v>
                </c:pt>
                <c:pt idx="255">
                  <c:v>871.88000499999998</c:v>
                </c:pt>
                <c:pt idx="256">
                  <c:v>855.98999000000003</c:v>
                </c:pt>
                <c:pt idx="257">
                  <c:v>840.28997800000002</c:v>
                </c:pt>
                <c:pt idx="258">
                  <c:v>824.77996800000005</c:v>
                </c:pt>
                <c:pt idx="259">
                  <c:v>809.45996100000002</c:v>
                </c:pt>
                <c:pt idx="260">
                  <c:v>794.32995600000004</c:v>
                </c:pt>
                <c:pt idx="261">
                  <c:v>779.39996299999996</c:v>
                </c:pt>
                <c:pt idx="262">
                  <c:v>764.67999299999997</c:v>
                </c:pt>
                <c:pt idx="263">
                  <c:v>750.169983</c:v>
                </c:pt>
                <c:pt idx="264">
                  <c:v>735.86999500000002</c:v>
                </c:pt>
                <c:pt idx="265">
                  <c:v>721.78997800000002</c:v>
                </c:pt>
                <c:pt idx="266">
                  <c:v>707.92999299999997</c:v>
                </c:pt>
                <c:pt idx="267">
                  <c:v>694.28997800000002</c:v>
                </c:pt>
                <c:pt idx="268">
                  <c:v>680.88000499999998</c:v>
                </c:pt>
                <c:pt idx="269">
                  <c:v>667.70001200000002</c:v>
                </c:pt>
                <c:pt idx="270">
                  <c:v>654.76000999999997</c:v>
                </c:pt>
                <c:pt idx="271">
                  <c:v>642.04998799999998</c:v>
                </c:pt>
                <c:pt idx="272">
                  <c:v>629.589966</c:v>
                </c:pt>
                <c:pt idx="273">
                  <c:v>617.36999500000002</c:v>
                </c:pt>
                <c:pt idx="274">
                  <c:v>605.39996299999996</c:v>
                </c:pt>
                <c:pt idx="275">
                  <c:v>593.69000200000005</c:v>
                </c:pt>
                <c:pt idx="276">
                  <c:v>582.22997999999995</c:v>
                </c:pt>
                <c:pt idx="277">
                  <c:v>571.02996800000005</c:v>
                </c:pt>
                <c:pt idx="278">
                  <c:v>560.089966</c:v>
                </c:pt>
                <c:pt idx="279">
                  <c:v>549.419983</c:v>
                </c:pt>
                <c:pt idx="280">
                  <c:v>539.01995799999997</c:v>
                </c:pt>
                <c:pt idx="281">
                  <c:v>528.89001499999995</c:v>
                </c:pt>
                <c:pt idx="282">
                  <c:v>519.02996800000005</c:v>
                </c:pt>
                <c:pt idx="283">
                  <c:v>509.44998199999998</c:v>
                </c:pt>
                <c:pt idx="284">
                  <c:v>500.14999399999999</c:v>
                </c:pt>
                <c:pt idx="285">
                  <c:v>491.129974</c:v>
                </c:pt>
                <c:pt idx="286">
                  <c:v>482.39999399999999</c:v>
                </c:pt>
                <c:pt idx="287">
                  <c:v>473.94998199999998</c:v>
                </c:pt>
                <c:pt idx="288">
                  <c:v>465.78997800000002</c:v>
                </c:pt>
                <c:pt idx="289">
                  <c:v>457.919983</c:v>
                </c:pt>
                <c:pt idx="290">
                  <c:v>450.34997600000003</c:v>
                </c:pt>
                <c:pt idx="291">
                  <c:v>443.06997699999999</c:v>
                </c:pt>
                <c:pt idx="292">
                  <c:v>436.08999599999999</c:v>
                </c:pt>
                <c:pt idx="293">
                  <c:v>429.41000400000001</c:v>
                </c:pt>
                <c:pt idx="294">
                  <c:v>423.02999899999998</c:v>
                </c:pt>
                <c:pt idx="295">
                  <c:v>416.959991</c:v>
                </c:pt>
                <c:pt idx="296">
                  <c:v>411.19000199999999</c:v>
                </c:pt>
                <c:pt idx="297">
                  <c:v>405.72998000000001</c:v>
                </c:pt>
                <c:pt idx="298">
                  <c:v>400.57998700000002</c:v>
                </c:pt>
                <c:pt idx="299">
                  <c:v>395.73998999999998</c:v>
                </c:pt>
                <c:pt idx="300">
                  <c:v>391.209991</c:v>
                </c:pt>
                <c:pt idx="301">
                  <c:v>386.98998999999998</c:v>
                </c:pt>
                <c:pt idx="302">
                  <c:v>383.07998700000002</c:v>
                </c:pt>
                <c:pt idx="303">
                  <c:v>379.48998999999998</c:v>
                </c:pt>
                <c:pt idx="304">
                  <c:v>376.209991</c:v>
                </c:pt>
                <c:pt idx="305">
                  <c:v>373.25</c:v>
                </c:pt>
                <c:pt idx="306">
                  <c:v>370.60998499999999</c:v>
                </c:pt>
                <c:pt idx="307">
                  <c:v>368.28997800000002</c:v>
                </c:pt>
                <c:pt idx="308">
                  <c:v>366.27999899999998</c:v>
                </c:pt>
                <c:pt idx="309">
                  <c:v>364.58999599999999</c:v>
                </c:pt>
                <c:pt idx="310">
                  <c:v>363.22000100000002</c:v>
                </c:pt>
                <c:pt idx="311">
                  <c:v>362.169983</c:v>
                </c:pt>
                <c:pt idx="312">
                  <c:v>361.44000199999999</c:v>
                </c:pt>
                <c:pt idx="313">
                  <c:v>361.03997800000002</c:v>
                </c:pt>
                <c:pt idx="314">
                  <c:v>360.959991</c:v>
                </c:pt>
                <c:pt idx="315">
                  <c:v>361.19998199999998</c:v>
                </c:pt>
                <c:pt idx="316">
                  <c:v>361.75997899999999</c:v>
                </c:pt>
                <c:pt idx="317">
                  <c:v>362.63998400000003</c:v>
                </c:pt>
                <c:pt idx="318">
                  <c:v>363.83999599999999</c:v>
                </c:pt>
                <c:pt idx="319">
                  <c:v>365.35998499999999</c:v>
                </c:pt>
                <c:pt idx="320">
                  <c:v>367.19998199999998</c:v>
                </c:pt>
                <c:pt idx="321">
                  <c:v>369.35998499999999</c:v>
                </c:pt>
                <c:pt idx="322">
                  <c:v>371.83999599999999</c:v>
                </c:pt>
                <c:pt idx="323">
                  <c:v>374.63000499999998</c:v>
                </c:pt>
                <c:pt idx="324">
                  <c:v>377.73998999999998</c:v>
                </c:pt>
                <c:pt idx="325">
                  <c:v>381.169983</c:v>
                </c:pt>
                <c:pt idx="326">
                  <c:v>384.91000400000001</c:v>
                </c:pt>
                <c:pt idx="327">
                  <c:v>388.97000100000002</c:v>
                </c:pt>
                <c:pt idx="328">
                  <c:v>393.33999599999999</c:v>
                </c:pt>
                <c:pt idx="329">
                  <c:v>398.01998900000001</c:v>
                </c:pt>
                <c:pt idx="330">
                  <c:v>403.00997899999999</c:v>
                </c:pt>
                <c:pt idx="331">
                  <c:v>408.30999800000001</c:v>
                </c:pt>
                <c:pt idx="332">
                  <c:v>413.919983</c:v>
                </c:pt>
                <c:pt idx="333">
                  <c:v>419.82998700000002</c:v>
                </c:pt>
                <c:pt idx="334">
                  <c:v>426.04998799999998</c:v>
                </c:pt>
                <c:pt idx="335">
                  <c:v>432.56997699999999</c:v>
                </c:pt>
                <c:pt idx="336">
                  <c:v>439.38998400000003</c:v>
                </c:pt>
                <c:pt idx="337">
                  <c:v>446.50997899999999</c:v>
                </c:pt>
                <c:pt idx="338">
                  <c:v>453.92999300000002</c:v>
                </c:pt>
                <c:pt idx="339">
                  <c:v>461.63998400000003</c:v>
                </c:pt>
                <c:pt idx="340">
                  <c:v>469.64999399999999</c:v>
                </c:pt>
                <c:pt idx="341">
                  <c:v>477.94998199999998</c:v>
                </c:pt>
                <c:pt idx="342">
                  <c:v>486.52999899999998</c:v>
                </c:pt>
                <c:pt idx="343">
                  <c:v>495.39999399999999</c:v>
                </c:pt>
                <c:pt idx="344">
                  <c:v>504.54998799999998</c:v>
                </c:pt>
                <c:pt idx="345">
                  <c:v>513.97997999999995</c:v>
                </c:pt>
                <c:pt idx="346">
                  <c:v>523.69000200000005</c:v>
                </c:pt>
                <c:pt idx="347">
                  <c:v>533.67999299999997</c:v>
                </c:pt>
                <c:pt idx="348">
                  <c:v>543.94000200000005</c:v>
                </c:pt>
                <c:pt idx="349">
                  <c:v>554.46997099999999</c:v>
                </c:pt>
                <c:pt idx="350">
                  <c:v>565.26995799999997</c:v>
                </c:pt>
                <c:pt idx="351">
                  <c:v>576.330017</c:v>
                </c:pt>
                <c:pt idx="352">
                  <c:v>587.64996299999996</c:v>
                </c:pt>
                <c:pt idx="353">
                  <c:v>599.22997999999995</c:v>
                </c:pt>
                <c:pt idx="354">
                  <c:v>611.05999799999995</c:v>
                </c:pt>
                <c:pt idx="355">
                  <c:v>623.14996299999996</c:v>
                </c:pt>
                <c:pt idx="356">
                  <c:v>635.47997999999995</c:v>
                </c:pt>
                <c:pt idx="357">
                  <c:v>648.05999799999995</c:v>
                </c:pt>
                <c:pt idx="358">
                  <c:v>660.88000499999998</c:v>
                </c:pt>
                <c:pt idx="359">
                  <c:v>673.94000200000005</c:v>
                </c:pt>
                <c:pt idx="360">
                  <c:v>687.22997999999995</c:v>
                </c:pt>
                <c:pt idx="361">
                  <c:v>700.75</c:v>
                </c:pt>
                <c:pt idx="362">
                  <c:v>714.5</c:v>
                </c:pt>
                <c:pt idx="363">
                  <c:v>728.46997099999999</c:v>
                </c:pt>
                <c:pt idx="364">
                  <c:v>742.65997300000004</c:v>
                </c:pt>
                <c:pt idx="365">
                  <c:v>757.05999799999995</c:v>
                </c:pt>
                <c:pt idx="366">
                  <c:v>771.669983</c:v>
                </c:pt>
                <c:pt idx="367">
                  <c:v>786.48999000000003</c:v>
                </c:pt>
                <c:pt idx="368">
                  <c:v>801.51000999999997</c:v>
                </c:pt>
                <c:pt idx="369">
                  <c:v>816.72997999999995</c:v>
                </c:pt>
                <c:pt idx="370">
                  <c:v>832.13995399999999</c:v>
                </c:pt>
                <c:pt idx="371">
                  <c:v>847.73999000000003</c:v>
                </c:pt>
                <c:pt idx="372">
                  <c:v>863.52996800000005</c:v>
                </c:pt>
                <c:pt idx="373">
                  <c:v>879.5</c:v>
                </c:pt>
                <c:pt idx="374">
                  <c:v>895.64996299999996</c:v>
                </c:pt>
                <c:pt idx="375">
                  <c:v>911.96997099999999</c:v>
                </c:pt>
                <c:pt idx="376">
                  <c:v>928.45996100000002</c:v>
                </c:pt>
                <c:pt idx="377">
                  <c:v>945.10998500000005</c:v>
                </c:pt>
                <c:pt idx="378">
                  <c:v>961.919983</c:v>
                </c:pt>
                <c:pt idx="379">
                  <c:v>978.88000499999998</c:v>
                </c:pt>
                <c:pt idx="380">
                  <c:v>995.98999000000003</c:v>
                </c:pt>
                <c:pt idx="381">
                  <c:v>1013.25</c:v>
                </c:pt>
                <c:pt idx="382">
                  <c:v>1030.6400149999999</c:v>
                </c:pt>
                <c:pt idx="383">
                  <c:v>1048.169922</c:v>
                </c:pt>
                <c:pt idx="384">
                  <c:v>1065.829956</c:v>
                </c:pt>
                <c:pt idx="385">
                  <c:v>1083.6099850000001</c:v>
                </c:pt>
                <c:pt idx="386">
                  <c:v>1101.51001</c:v>
                </c:pt>
                <c:pt idx="387">
                  <c:v>1119.530029</c:v>
                </c:pt>
                <c:pt idx="388">
                  <c:v>1137.660034</c:v>
                </c:pt>
                <c:pt idx="389">
                  <c:v>1155.8900149999999</c:v>
                </c:pt>
                <c:pt idx="390">
                  <c:v>1174.219971</c:v>
                </c:pt>
                <c:pt idx="391">
                  <c:v>1192.650024</c:v>
                </c:pt>
                <c:pt idx="392">
                  <c:v>1211.169922</c:v>
                </c:pt>
                <c:pt idx="393">
                  <c:v>1229.7700199999999</c:v>
                </c:pt>
                <c:pt idx="394">
                  <c:v>1248.4499510000001</c:v>
                </c:pt>
                <c:pt idx="395">
                  <c:v>1267.1999510000001</c:v>
                </c:pt>
                <c:pt idx="396">
                  <c:v>1286.0200199999999</c:v>
                </c:pt>
                <c:pt idx="397">
                  <c:v>1304.9099120000001</c:v>
                </c:pt>
                <c:pt idx="398">
                  <c:v>1323.849976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2CA-4D16-AA0C-53CFCEC9C1B9}"/>
            </c:ext>
          </c:extLst>
        </c:ser>
        <c:ser>
          <c:idx val="3"/>
          <c:order val="4"/>
          <c:tx>
            <c:v>Plank</c:v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plank!$B$2:$B$400</c:f>
              <c:numCache>
                <c:formatCode>0.00</c:formatCode>
                <c:ptCount val="399"/>
                <c:pt idx="0">
                  <c:v>865.17999299999997</c:v>
                </c:pt>
                <c:pt idx="1">
                  <c:v>855.32000700000003</c:v>
                </c:pt>
                <c:pt idx="2">
                  <c:v>845.45996100000002</c:v>
                </c:pt>
                <c:pt idx="3">
                  <c:v>835.59997599999997</c:v>
                </c:pt>
                <c:pt idx="4">
                  <c:v>825.73999000000003</c:v>
                </c:pt>
                <c:pt idx="5">
                  <c:v>815.88000499999998</c:v>
                </c:pt>
                <c:pt idx="6">
                  <c:v>806.01995799999997</c:v>
                </c:pt>
                <c:pt idx="7">
                  <c:v>796.15997300000004</c:v>
                </c:pt>
                <c:pt idx="8">
                  <c:v>786.29998799999998</c:v>
                </c:pt>
                <c:pt idx="9">
                  <c:v>776.44000200000005</c:v>
                </c:pt>
                <c:pt idx="10">
                  <c:v>766.57995600000004</c:v>
                </c:pt>
                <c:pt idx="11">
                  <c:v>756.71997099999999</c:v>
                </c:pt>
                <c:pt idx="12">
                  <c:v>746.85998500000005</c:v>
                </c:pt>
                <c:pt idx="13">
                  <c:v>737</c:v>
                </c:pt>
                <c:pt idx="14">
                  <c:v>727.13995399999999</c:v>
                </c:pt>
                <c:pt idx="15">
                  <c:v>717.27996800000005</c:v>
                </c:pt>
                <c:pt idx="16">
                  <c:v>707.419983</c:v>
                </c:pt>
                <c:pt idx="17">
                  <c:v>697.55999799999995</c:v>
                </c:pt>
                <c:pt idx="18">
                  <c:v>687.70001200000002</c:v>
                </c:pt>
                <c:pt idx="19">
                  <c:v>677.839966</c:v>
                </c:pt>
                <c:pt idx="20">
                  <c:v>667.97997999999995</c:v>
                </c:pt>
                <c:pt idx="21">
                  <c:v>658.11999500000002</c:v>
                </c:pt>
                <c:pt idx="22">
                  <c:v>648.26000999999997</c:v>
                </c:pt>
                <c:pt idx="23">
                  <c:v>638.39996299999996</c:v>
                </c:pt>
                <c:pt idx="24">
                  <c:v>628.53997800000002</c:v>
                </c:pt>
                <c:pt idx="25">
                  <c:v>618.67999299999997</c:v>
                </c:pt>
                <c:pt idx="26">
                  <c:v>608.82000700000003</c:v>
                </c:pt>
                <c:pt idx="27">
                  <c:v>598.95996100000002</c:v>
                </c:pt>
                <c:pt idx="28">
                  <c:v>589.09997599999997</c:v>
                </c:pt>
                <c:pt idx="29">
                  <c:v>579.23999000000003</c:v>
                </c:pt>
                <c:pt idx="30">
                  <c:v>569.38000499999998</c:v>
                </c:pt>
                <c:pt idx="31">
                  <c:v>559.51995799999997</c:v>
                </c:pt>
                <c:pt idx="32">
                  <c:v>549.65997300000004</c:v>
                </c:pt>
                <c:pt idx="33">
                  <c:v>539.79998799999998</c:v>
                </c:pt>
                <c:pt idx="34">
                  <c:v>529.94000200000005</c:v>
                </c:pt>
                <c:pt idx="35">
                  <c:v>520.080017</c:v>
                </c:pt>
                <c:pt idx="36">
                  <c:v>510.22000100000002</c:v>
                </c:pt>
                <c:pt idx="37">
                  <c:v>500.35998499999999</c:v>
                </c:pt>
                <c:pt idx="38">
                  <c:v>490.5</c:v>
                </c:pt>
                <c:pt idx="39">
                  <c:v>480.63998400000003</c:v>
                </c:pt>
                <c:pt idx="40">
                  <c:v>470.77999899999998</c:v>
                </c:pt>
                <c:pt idx="41">
                  <c:v>460.919983</c:v>
                </c:pt>
                <c:pt idx="42">
                  <c:v>451.05999800000001</c:v>
                </c:pt>
                <c:pt idx="43">
                  <c:v>441.19998199999998</c:v>
                </c:pt>
                <c:pt idx="44">
                  <c:v>431.33999599999999</c:v>
                </c:pt>
                <c:pt idx="45">
                  <c:v>421.47998000000001</c:v>
                </c:pt>
                <c:pt idx="46">
                  <c:v>411.61999500000002</c:v>
                </c:pt>
                <c:pt idx="47">
                  <c:v>401.75997899999999</c:v>
                </c:pt>
                <c:pt idx="48">
                  <c:v>391.89999399999999</c:v>
                </c:pt>
                <c:pt idx="49">
                  <c:v>382.03997800000002</c:v>
                </c:pt>
                <c:pt idx="50">
                  <c:v>372.17999300000002</c:v>
                </c:pt>
                <c:pt idx="51">
                  <c:v>362.31997699999999</c:v>
                </c:pt>
                <c:pt idx="52">
                  <c:v>352.38000499999998</c:v>
                </c:pt>
                <c:pt idx="53">
                  <c:v>342.36999500000002</c:v>
                </c:pt>
                <c:pt idx="54">
                  <c:v>332.29998799999998</c:v>
                </c:pt>
                <c:pt idx="55">
                  <c:v>322.16000400000001</c:v>
                </c:pt>
                <c:pt idx="56">
                  <c:v>311.94000199999999</c:v>
                </c:pt>
                <c:pt idx="57">
                  <c:v>301.63998400000003</c:v>
                </c:pt>
                <c:pt idx="58">
                  <c:v>291.23998999999998</c:v>
                </c:pt>
                <c:pt idx="59">
                  <c:v>280.73998999999998</c:v>
                </c:pt>
                <c:pt idx="60">
                  <c:v>270.11999500000002</c:v>
                </c:pt>
                <c:pt idx="61">
                  <c:v>259.38000499999998</c:v>
                </c:pt>
                <c:pt idx="62">
                  <c:v>248.5</c:v>
                </c:pt>
                <c:pt idx="63">
                  <c:v>237.479996</c:v>
                </c:pt>
                <c:pt idx="64">
                  <c:v>226.30999800000001</c:v>
                </c:pt>
                <c:pt idx="65">
                  <c:v>214.979996</c:v>
                </c:pt>
                <c:pt idx="66">
                  <c:v>203.48999000000001</c:v>
                </c:pt>
                <c:pt idx="67">
                  <c:v>191.81999200000001</c:v>
                </c:pt>
                <c:pt idx="68">
                  <c:v>179.979996</c:v>
                </c:pt>
                <c:pt idx="69">
                  <c:v>167.959991</c:v>
                </c:pt>
                <c:pt idx="70">
                  <c:v>155.75</c:v>
                </c:pt>
                <c:pt idx="71">
                  <c:v>143.34999099999999</c:v>
                </c:pt>
                <c:pt idx="72">
                  <c:v>130.759995</c:v>
                </c:pt>
                <c:pt idx="73">
                  <c:v>117.969994</c:v>
                </c:pt>
                <c:pt idx="74">
                  <c:v>104.989998</c:v>
                </c:pt>
                <c:pt idx="75">
                  <c:v>91.809997999999993</c:v>
                </c:pt>
                <c:pt idx="76">
                  <c:v>78.430000000000007</c:v>
                </c:pt>
                <c:pt idx="77">
                  <c:v>64.860000999999997</c:v>
                </c:pt>
                <c:pt idx="78">
                  <c:v>51.09</c:v>
                </c:pt>
                <c:pt idx="79">
                  <c:v>37.119999</c:v>
                </c:pt>
                <c:pt idx="80">
                  <c:v>22.949998999999998</c:v>
                </c:pt>
                <c:pt idx="81">
                  <c:v>8.59</c:v>
                </c:pt>
                <c:pt idx="82">
                  <c:v>-5.97</c:v>
                </c:pt>
                <c:pt idx="83">
                  <c:v>-20.719999000000001</c:v>
                </c:pt>
                <c:pt idx="84">
                  <c:v>-35.659999999999997</c:v>
                </c:pt>
                <c:pt idx="85">
                  <c:v>-50.789997</c:v>
                </c:pt>
                <c:pt idx="86">
                  <c:v>-66.099997999999999</c:v>
                </c:pt>
                <c:pt idx="87">
                  <c:v>-81.599997999999999</c:v>
                </c:pt>
                <c:pt idx="88">
                  <c:v>-97.269997000000004</c:v>
                </c:pt>
                <c:pt idx="89">
                  <c:v>-113.119995</c:v>
                </c:pt>
                <c:pt idx="90">
                  <c:v>-129.13999899999999</c:v>
                </c:pt>
                <c:pt idx="91">
                  <c:v>-145.33000200000001</c:v>
                </c:pt>
                <c:pt idx="92">
                  <c:v>-161.69000199999999</c:v>
                </c:pt>
                <c:pt idx="93">
                  <c:v>-178.209991</c:v>
                </c:pt>
                <c:pt idx="94">
                  <c:v>-194.88999899999999</c:v>
                </c:pt>
                <c:pt idx="95">
                  <c:v>-211.729996</c:v>
                </c:pt>
                <c:pt idx="96">
                  <c:v>-228.720001</c:v>
                </c:pt>
                <c:pt idx="97">
                  <c:v>-245.84999099999999</c:v>
                </c:pt>
                <c:pt idx="98">
                  <c:v>-263.13000499999998</c:v>
                </c:pt>
                <c:pt idx="99">
                  <c:v>-280.540009</c:v>
                </c:pt>
                <c:pt idx="100">
                  <c:v>-298.08999599999999</c:v>
                </c:pt>
                <c:pt idx="101">
                  <c:v>-315.76998900000001</c:v>
                </c:pt>
                <c:pt idx="102">
                  <c:v>-333.57000699999998</c:v>
                </c:pt>
                <c:pt idx="103">
                  <c:v>-351.48998999999998</c:v>
                </c:pt>
                <c:pt idx="104">
                  <c:v>-369.51998900000001</c:v>
                </c:pt>
                <c:pt idx="105">
                  <c:v>-387.66000400000001</c:v>
                </c:pt>
                <c:pt idx="106">
                  <c:v>-405.91000400000001</c:v>
                </c:pt>
                <c:pt idx="107">
                  <c:v>-424.25997899999999</c:v>
                </c:pt>
                <c:pt idx="108">
                  <c:v>-442.69998199999998</c:v>
                </c:pt>
                <c:pt idx="109">
                  <c:v>-461.22998000000001</c:v>
                </c:pt>
                <c:pt idx="110">
                  <c:v>-479.83999599999999</c:v>
                </c:pt>
                <c:pt idx="111">
                  <c:v>-498.52999899999998</c:v>
                </c:pt>
                <c:pt idx="112">
                  <c:v>-517.29998799999998</c:v>
                </c:pt>
                <c:pt idx="113">
                  <c:v>-536.13000499999998</c:v>
                </c:pt>
                <c:pt idx="114">
                  <c:v>-555.02996800000005</c:v>
                </c:pt>
                <c:pt idx="115">
                  <c:v>-573.97997999999995</c:v>
                </c:pt>
                <c:pt idx="116">
                  <c:v>-592.98999000000003</c:v>
                </c:pt>
                <c:pt idx="117">
                  <c:v>-612.03997800000002</c:v>
                </c:pt>
                <c:pt idx="118">
                  <c:v>-631.14001499999995</c:v>
                </c:pt>
                <c:pt idx="119">
                  <c:v>-650.26995799999997</c:v>
                </c:pt>
                <c:pt idx="120">
                  <c:v>-669.42999299999997</c:v>
                </c:pt>
                <c:pt idx="121">
                  <c:v>-688.61999500000002</c:v>
                </c:pt>
                <c:pt idx="122">
                  <c:v>-707.82995600000004</c:v>
                </c:pt>
                <c:pt idx="123">
                  <c:v>-727.04998799999998</c:v>
                </c:pt>
                <c:pt idx="124">
                  <c:v>-746.27996800000005</c:v>
                </c:pt>
                <c:pt idx="125">
                  <c:v>-765.51995799999997</c:v>
                </c:pt>
                <c:pt idx="126">
                  <c:v>-784.75</c:v>
                </c:pt>
                <c:pt idx="127">
                  <c:v>-803.97997999999995</c:v>
                </c:pt>
                <c:pt idx="128">
                  <c:v>-823.19000200000005</c:v>
                </c:pt>
                <c:pt idx="129">
                  <c:v>-842.38000499999998</c:v>
                </c:pt>
                <c:pt idx="130">
                  <c:v>-861.54998799999998</c:v>
                </c:pt>
                <c:pt idx="131">
                  <c:v>-880.69000200000005</c:v>
                </c:pt>
                <c:pt idx="132">
                  <c:v>-899.79998799999998</c:v>
                </c:pt>
                <c:pt idx="133">
                  <c:v>-918.86999500000002</c:v>
                </c:pt>
                <c:pt idx="134">
                  <c:v>-937.88995399999999</c:v>
                </c:pt>
                <c:pt idx="135">
                  <c:v>-956.85998500000005</c:v>
                </c:pt>
                <c:pt idx="136">
                  <c:v>-975.76995799999997</c:v>
                </c:pt>
                <c:pt idx="137">
                  <c:v>-994.61999500000002</c:v>
                </c:pt>
                <c:pt idx="138">
                  <c:v>-1013.399963</c:v>
                </c:pt>
                <c:pt idx="139">
                  <c:v>-1032.1099850000001</c:v>
                </c:pt>
                <c:pt idx="140">
                  <c:v>-1050.73999</c:v>
                </c:pt>
                <c:pt idx="141">
                  <c:v>-1069.2899170000001</c:v>
                </c:pt>
                <c:pt idx="142">
                  <c:v>-1087.75</c:v>
                </c:pt>
                <c:pt idx="143">
                  <c:v>-1106.1099850000001</c:v>
                </c:pt>
                <c:pt idx="144">
                  <c:v>-1124.369995</c:v>
                </c:pt>
                <c:pt idx="145">
                  <c:v>-1142.530029</c:v>
                </c:pt>
                <c:pt idx="146">
                  <c:v>-1160.579956</c:v>
                </c:pt>
                <c:pt idx="147">
                  <c:v>-1178.51001</c:v>
                </c:pt>
                <c:pt idx="148">
                  <c:v>-1196.3199460000001</c:v>
                </c:pt>
                <c:pt idx="149">
                  <c:v>-1214.01001</c:v>
                </c:pt>
                <c:pt idx="150">
                  <c:v>-1231.5699460000001</c:v>
                </c:pt>
                <c:pt idx="151">
                  <c:v>-1248.98999</c:v>
                </c:pt>
                <c:pt idx="152">
                  <c:v>-1266.2700199999999</c:v>
                </c:pt>
                <c:pt idx="153">
                  <c:v>-1283.400024</c:v>
                </c:pt>
                <c:pt idx="154">
                  <c:v>-1300.380005</c:v>
                </c:pt>
                <c:pt idx="155">
                  <c:v>-1317.209961</c:v>
                </c:pt>
                <c:pt idx="156">
                  <c:v>-1333.880005</c:v>
                </c:pt>
                <c:pt idx="157">
                  <c:v>-1350.380005</c:v>
                </c:pt>
                <c:pt idx="158">
                  <c:v>-1366.709961</c:v>
                </c:pt>
                <c:pt idx="159">
                  <c:v>-1382.869995</c:v>
                </c:pt>
                <c:pt idx="160">
                  <c:v>-1398.849976</c:v>
                </c:pt>
                <c:pt idx="161">
                  <c:v>-1414.650024</c:v>
                </c:pt>
                <c:pt idx="162">
                  <c:v>-1430.26001</c:v>
                </c:pt>
                <c:pt idx="163">
                  <c:v>-1445.679932</c:v>
                </c:pt>
                <c:pt idx="164">
                  <c:v>-1460.900024</c:v>
                </c:pt>
                <c:pt idx="165">
                  <c:v>-1475.919922</c:v>
                </c:pt>
                <c:pt idx="166">
                  <c:v>-1490.7299800000001</c:v>
                </c:pt>
                <c:pt idx="167">
                  <c:v>-1505.329956</c:v>
                </c:pt>
                <c:pt idx="168">
                  <c:v>-1519.719971</c:v>
                </c:pt>
                <c:pt idx="169">
                  <c:v>-1533.8900149999999</c:v>
                </c:pt>
                <c:pt idx="170">
                  <c:v>-1547.839966</c:v>
                </c:pt>
                <c:pt idx="171">
                  <c:v>-1561.559937</c:v>
                </c:pt>
                <c:pt idx="172">
                  <c:v>-1575.049927</c:v>
                </c:pt>
                <c:pt idx="173">
                  <c:v>-1588.309937</c:v>
                </c:pt>
                <c:pt idx="174">
                  <c:v>-1601.329956</c:v>
                </c:pt>
                <c:pt idx="175">
                  <c:v>-1614.1099850000001</c:v>
                </c:pt>
                <c:pt idx="176">
                  <c:v>-1626.6400149999999</c:v>
                </c:pt>
                <c:pt idx="177">
                  <c:v>-1638.919922</c:v>
                </c:pt>
                <c:pt idx="178">
                  <c:v>-1650.9499510000001</c:v>
                </c:pt>
                <c:pt idx="179">
                  <c:v>-1662.719971</c:v>
                </c:pt>
                <c:pt idx="180">
                  <c:v>-1674.2299800000001</c:v>
                </c:pt>
                <c:pt idx="181">
                  <c:v>-1685.4799800000001</c:v>
                </c:pt>
                <c:pt idx="182">
                  <c:v>-1696.469971</c:v>
                </c:pt>
                <c:pt idx="183">
                  <c:v>-1707.1899410000001</c:v>
                </c:pt>
                <c:pt idx="184">
                  <c:v>-1717.630005</c:v>
                </c:pt>
                <c:pt idx="185">
                  <c:v>-1727.799927</c:v>
                </c:pt>
                <c:pt idx="186">
                  <c:v>-1737.6899410000001</c:v>
                </c:pt>
                <c:pt idx="187">
                  <c:v>-1747.299927</c:v>
                </c:pt>
                <c:pt idx="188">
                  <c:v>-1756.630005</c:v>
                </c:pt>
                <c:pt idx="189">
                  <c:v>-1765.669922</c:v>
                </c:pt>
                <c:pt idx="190">
                  <c:v>-1774.419922</c:v>
                </c:pt>
                <c:pt idx="191">
                  <c:v>-1782.880005</c:v>
                </c:pt>
                <c:pt idx="192">
                  <c:v>-1791.049927</c:v>
                </c:pt>
                <c:pt idx="193">
                  <c:v>-1798.919922</c:v>
                </c:pt>
                <c:pt idx="194">
                  <c:v>-1806.48999</c:v>
                </c:pt>
                <c:pt idx="195">
                  <c:v>-1813.76001</c:v>
                </c:pt>
                <c:pt idx="196">
                  <c:v>-1820.7299800000001</c:v>
                </c:pt>
                <c:pt idx="197">
                  <c:v>-1827.3900149999999</c:v>
                </c:pt>
                <c:pt idx="198">
                  <c:v>-1833.75</c:v>
                </c:pt>
                <c:pt idx="199">
                  <c:v>-1839.799927</c:v>
                </c:pt>
                <c:pt idx="200">
                  <c:v>-1845.5399170000001</c:v>
                </c:pt>
                <c:pt idx="201">
                  <c:v>-1850.969971</c:v>
                </c:pt>
                <c:pt idx="202">
                  <c:v>-1856.079956</c:v>
                </c:pt>
                <c:pt idx="203">
                  <c:v>-1860.880005</c:v>
                </c:pt>
                <c:pt idx="204">
                  <c:v>-1865.3599850000001</c:v>
                </c:pt>
                <c:pt idx="205">
                  <c:v>-1869.5198969999999</c:v>
                </c:pt>
                <c:pt idx="206">
                  <c:v>-1873.3599850000001</c:v>
                </c:pt>
                <c:pt idx="207">
                  <c:v>-1876.880005</c:v>
                </c:pt>
                <c:pt idx="208">
                  <c:v>-1880.079956</c:v>
                </c:pt>
                <c:pt idx="209">
                  <c:v>-1882.959961</c:v>
                </c:pt>
                <c:pt idx="210">
                  <c:v>-1885.5198969999999</c:v>
                </c:pt>
                <c:pt idx="211">
                  <c:v>-1887.76001</c:v>
                </c:pt>
                <c:pt idx="212">
                  <c:v>-1889.669922</c:v>
                </c:pt>
                <c:pt idx="213">
                  <c:v>-1891.26001</c:v>
                </c:pt>
                <c:pt idx="214">
                  <c:v>-1892.5198969999999</c:v>
                </c:pt>
                <c:pt idx="215">
                  <c:v>-1893.459961</c:v>
                </c:pt>
                <c:pt idx="216">
                  <c:v>-1894.0699460000001</c:v>
                </c:pt>
                <c:pt idx="217">
                  <c:v>-1894.3599850000001</c:v>
                </c:pt>
                <c:pt idx="218">
                  <c:v>-1894.3199460000001</c:v>
                </c:pt>
                <c:pt idx="219">
                  <c:v>-1893.9499510000001</c:v>
                </c:pt>
                <c:pt idx="220">
                  <c:v>-1893.26001</c:v>
                </c:pt>
                <c:pt idx="221">
                  <c:v>-1892.23999</c:v>
                </c:pt>
                <c:pt idx="222">
                  <c:v>-1890.8999020000001</c:v>
                </c:pt>
                <c:pt idx="223">
                  <c:v>-1889.2299800000001</c:v>
                </c:pt>
                <c:pt idx="224">
                  <c:v>-1887.23999</c:v>
                </c:pt>
                <c:pt idx="225">
                  <c:v>-1884.929932</c:v>
                </c:pt>
                <c:pt idx="226">
                  <c:v>-1882.2899170000001</c:v>
                </c:pt>
                <c:pt idx="227">
                  <c:v>-1879.329956</c:v>
                </c:pt>
                <c:pt idx="228">
                  <c:v>-1876.049927</c:v>
                </c:pt>
                <c:pt idx="229">
                  <c:v>-1872.4499510000001</c:v>
                </c:pt>
                <c:pt idx="230">
                  <c:v>-1868.5299070000001</c:v>
                </c:pt>
                <c:pt idx="231">
                  <c:v>-1864.2899170000001</c:v>
                </c:pt>
                <c:pt idx="232">
                  <c:v>-1859.7299800000001</c:v>
                </c:pt>
                <c:pt idx="233">
                  <c:v>-1854.8599850000001</c:v>
                </c:pt>
                <c:pt idx="234">
                  <c:v>-1849.669922</c:v>
                </c:pt>
                <c:pt idx="235">
                  <c:v>-1844.169922</c:v>
                </c:pt>
                <c:pt idx="236">
                  <c:v>-1838.3599850000001</c:v>
                </c:pt>
                <c:pt idx="237">
                  <c:v>-1832.23999</c:v>
                </c:pt>
                <c:pt idx="238">
                  <c:v>-1825.809937</c:v>
                </c:pt>
                <c:pt idx="239">
                  <c:v>-1819.0699460000001</c:v>
                </c:pt>
                <c:pt idx="240">
                  <c:v>-1812.0299070000001</c:v>
                </c:pt>
                <c:pt idx="241">
                  <c:v>-1804.6899410000001</c:v>
                </c:pt>
                <c:pt idx="242">
                  <c:v>-1797.049927</c:v>
                </c:pt>
                <c:pt idx="243">
                  <c:v>-1789.1099850000001</c:v>
                </c:pt>
                <c:pt idx="244">
                  <c:v>-1780.869995</c:v>
                </c:pt>
                <c:pt idx="245">
                  <c:v>-1772.339966</c:v>
                </c:pt>
                <c:pt idx="246">
                  <c:v>-1763.5200199999999</c:v>
                </c:pt>
                <c:pt idx="247">
                  <c:v>-1754.4099120000001</c:v>
                </c:pt>
                <c:pt idx="248">
                  <c:v>-1745.01001</c:v>
                </c:pt>
                <c:pt idx="249">
                  <c:v>-1735.329956</c:v>
                </c:pt>
                <c:pt idx="250">
                  <c:v>-1725.369995</c:v>
                </c:pt>
                <c:pt idx="251">
                  <c:v>-1715.130005</c:v>
                </c:pt>
                <c:pt idx="252">
                  <c:v>-1704.619995</c:v>
                </c:pt>
                <c:pt idx="253">
                  <c:v>-1693.839966</c:v>
                </c:pt>
                <c:pt idx="254">
                  <c:v>-1682.7899170000001</c:v>
                </c:pt>
                <c:pt idx="255">
                  <c:v>-1671.469971</c:v>
                </c:pt>
                <c:pt idx="256">
                  <c:v>-1659.8900149999999</c:v>
                </c:pt>
                <c:pt idx="257">
                  <c:v>-1648.049927</c:v>
                </c:pt>
                <c:pt idx="258">
                  <c:v>-1635.959961</c:v>
                </c:pt>
                <c:pt idx="259">
                  <c:v>-1623.619995</c:v>
                </c:pt>
                <c:pt idx="260">
                  <c:v>-1611.0299070000001</c:v>
                </c:pt>
                <c:pt idx="261">
                  <c:v>-1598.1899410000001</c:v>
                </c:pt>
                <c:pt idx="262">
                  <c:v>-1585.1099850000001</c:v>
                </c:pt>
                <c:pt idx="263">
                  <c:v>-1571.799927</c:v>
                </c:pt>
                <c:pt idx="264">
                  <c:v>-1558.25</c:v>
                </c:pt>
                <c:pt idx="265">
                  <c:v>-1544.469971</c:v>
                </c:pt>
                <c:pt idx="266">
                  <c:v>-1530.469971</c:v>
                </c:pt>
                <c:pt idx="267">
                  <c:v>-1516.25</c:v>
                </c:pt>
                <c:pt idx="268">
                  <c:v>-1501.809937</c:v>
                </c:pt>
                <c:pt idx="269">
                  <c:v>-1487.1599120000001</c:v>
                </c:pt>
                <c:pt idx="270">
                  <c:v>-1472.299927</c:v>
                </c:pt>
                <c:pt idx="271">
                  <c:v>-1457.2299800000001</c:v>
                </c:pt>
                <c:pt idx="272">
                  <c:v>-1441.959961</c:v>
                </c:pt>
                <c:pt idx="273">
                  <c:v>-1426.5</c:v>
                </c:pt>
                <c:pt idx="274">
                  <c:v>-1410.849976</c:v>
                </c:pt>
                <c:pt idx="275">
                  <c:v>-1395.01001</c:v>
                </c:pt>
                <c:pt idx="276">
                  <c:v>-1378.98999</c:v>
                </c:pt>
                <c:pt idx="277">
                  <c:v>-1362.7899170000001</c:v>
                </c:pt>
                <c:pt idx="278">
                  <c:v>-1346.4099120000001</c:v>
                </c:pt>
                <c:pt idx="279">
                  <c:v>-1329.869995</c:v>
                </c:pt>
                <c:pt idx="280">
                  <c:v>-1313.1599120000001</c:v>
                </c:pt>
                <c:pt idx="281">
                  <c:v>-1296.2899170000001</c:v>
                </c:pt>
                <c:pt idx="282">
                  <c:v>-1279.2700199999999</c:v>
                </c:pt>
                <c:pt idx="283">
                  <c:v>-1262.099976</c:v>
                </c:pt>
                <c:pt idx="284">
                  <c:v>-1244.780029</c:v>
                </c:pt>
                <c:pt idx="285">
                  <c:v>-1227.329956</c:v>
                </c:pt>
                <c:pt idx="286">
                  <c:v>-1209.73999</c:v>
                </c:pt>
                <c:pt idx="287">
                  <c:v>-1192.0200199999999</c:v>
                </c:pt>
                <c:pt idx="288">
                  <c:v>-1174.179932</c:v>
                </c:pt>
                <c:pt idx="289">
                  <c:v>-1156.219971</c:v>
                </c:pt>
                <c:pt idx="290">
                  <c:v>-1138.1400149999999</c:v>
                </c:pt>
                <c:pt idx="291">
                  <c:v>-1119.959961</c:v>
                </c:pt>
                <c:pt idx="292">
                  <c:v>-1101.669922</c:v>
                </c:pt>
                <c:pt idx="293">
                  <c:v>-1083.280029</c:v>
                </c:pt>
                <c:pt idx="294">
                  <c:v>-1064.799927</c:v>
                </c:pt>
                <c:pt idx="295">
                  <c:v>-1046.2299800000001</c:v>
                </c:pt>
                <c:pt idx="296">
                  <c:v>-1027.579956</c:v>
                </c:pt>
                <c:pt idx="297">
                  <c:v>-1008.849976</c:v>
                </c:pt>
                <c:pt idx="298">
                  <c:v>-990.04998799999998</c:v>
                </c:pt>
                <c:pt idx="299">
                  <c:v>-971.17999299999997</c:v>
                </c:pt>
                <c:pt idx="300">
                  <c:v>-952.25</c:v>
                </c:pt>
                <c:pt idx="301">
                  <c:v>-933.26995799999997</c:v>
                </c:pt>
                <c:pt idx="302">
                  <c:v>-914.23999000000003</c:v>
                </c:pt>
                <c:pt idx="303">
                  <c:v>-895.15997300000004</c:v>
                </c:pt>
                <c:pt idx="304">
                  <c:v>-876.03997800000002</c:v>
                </c:pt>
                <c:pt idx="305">
                  <c:v>-856.88995399999999</c:v>
                </c:pt>
                <c:pt idx="306">
                  <c:v>-837.70996100000002</c:v>
                </c:pt>
                <c:pt idx="307">
                  <c:v>-818.51000999999997</c:v>
                </c:pt>
                <c:pt idx="308">
                  <c:v>-799.28997800000002</c:v>
                </c:pt>
                <c:pt idx="309">
                  <c:v>-780.05999799999995</c:v>
                </c:pt>
                <c:pt idx="310">
                  <c:v>-760.82995600000004</c:v>
                </c:pt>
                <c:pt idx="311">
                  <c:v>-741.59997599999997</c:v>
                </c:pt>
                <c:pt idx="312">
                  <c:v>-722.36999500000002</c:v>
                </c:pt>
                <c:pt idx="313">
                  <c:v>-703.14996299999996</c:v>
                </c:pt>
                <c:pt idx="314">
                  <c:v>-683.95001200000002</c:v>
                </c:pt>
                <c:pt idx="315">
                  <c:v>-664.76995799999997</c:v>
                </c:pt>
                <c:pt idx="316">
                  <c:v>-645.61999500000002</c:v>
                </c:pt>
                <c:pt idx="317">
                  <c:v>-626.5</c:v>
                </c:pt>
                <c:pt idx="318">
                  <c:v>-607.419983</c:v>
                </c:pt>
                <c:pt idx="319">
                  <c:v>-588.38000499999998</c:v>
                </c:pt>
                <c:pt idx="320">
                  <c:v>-569.39001499999995</c:v>
                </c:pt>
                <c:pt idx="321">
                  <c:v>-550.45001200000002</c:v>
                </c:pt>
                <c:pt idx="322">
                  <c:v>-531.57000700000003</c:v>
                </c:pt>
                <c:pt idx="323">
                  <c:v>-512.76000999999997</c:v>
                </c:pt>
                <c:pt idx="324">
                  <c:v>-494.01998900000001</c:v>
                </c:pt>
                <c:pt idx="325">
                  <c:v>-475.34997600000003</c:v>
                </c:pt>
                <c:pt idx="326">
                  <c:v>-456.76998900000001</c:v>
                </c:pt>
                <c:pt idx="327">
                  <c:v>-438.26998900000001</c:v>
                </c:pt>
                <c:pt idx="328">
                  <c:v>-419.85998499999999</c:v>
                </c:pt>
                <c:pt idx="329">
                  <c:v>-401.54998799999998</c:v>
                </c:pt>
                <c:pt idx="330">
                  <c:v>-383.33999599999999</c:v>
                </c:pt>
                <c:pt idx="331">
                  <c:v>-365.23998999999998</c:v>
                </c:pt>
                <c:pt idx="332">
                  <c:v>-347.25997899999999</c:v>
                </c:pt>
                <c:pt idx="333">
                  <c:v>-329.38998400000003</c:v>
                </c:pt>
                <c:pt idx="334">
                  <c:v>-311.64999399999999</c:v>
                </c:pt>
                <c:pt idx="335">
                  <c:v>-294.040009</c:v>
                </c:pt>
                <c:pt idx="336">
                  <c:v>-276.55999800000001</c:v>
                </c:pt>
                <c:pt idx="337">
                  <c:v>-259.22000100000002</c:v>
                </c:pt>
                <c:pt idx="338">
                  <c:v>-242.01998900000001</c:v>
                </c:pt>
                <c:pt idx="339">
                  <c:v>-224.970001</c:v>
                </c:pt>
                <c:pt idx="340">
                  <c:v>-208.06999200000001</c:v>
                </c:pt>
                <c:pt idx="341">
                  <c:v>-191.33000200000001</c:v>
                </c:pt>
                <c:pt idx="342">
                  <c:v>-174.75</c:v>
                </c:pt>
                <c:pt idx="343">
                  <c:v>-158.33999600000001</c:v>
                </c:pt>
                <c:pt idx="344">
                  <c:v>-142.09999099999999</c:v>
                </c:pt>
                <c:pt idx="345">
                  <c:v>-126.040001</c:v>
                </c:pt>
                <c:pt idx="346">
                  <c:v>-110.15999600000001</c:v>
                </c:pt>
                <c:pt idx="347">
                  <c:v>-94.470000999999996</c:v>
                </c:pt>
                <c:pt idx="348">
                  <c:v>-78.970000999999996</c:v>
                </c:pt>
                <c:pt idx="349">
                  <c:v>-63.66</c:v>
                </c:pt>
                <c:pt idx="350">
                  <c:v>-48.549999</c:v>
                </c:pt>
                <c:pt idx="351">
                  <c:v>-33.649997999999997</c:v>
                </c:pt>
                <c:pt idx="352">
                  <c:v>-18.959999</c:v>
                </c:pt>
                <c:pt idx="353">
                  <c:v>-4.4800000000000004</c:v>
                </c:pt>
                <c:pt idx="354">
                  <c:v>9.7899999999999991</c:v>
                </c:pt>
                <c:pt idx="355">
                  <c:v>23.83</c:v>
                </c:pt>
                <c:pt idx="356">
                  <c:v>37.649997999999997</c:v>
                </c:pt>
                <c:pt idx="357">
                  <c:v>51.239998</c:v>
                </c:pt>
                <c:pt idx="358">
                  <c:v>64.599997999999999</c:v>
                </c:pt>
                <c:pt idx="359">
                  <c:v>77.720000999999996</c:v>
                </c:pt>
                <c:pt idx="360">
                  <c:v>90.599997999999999</c:v>
                </c:pt>
                <c:pt idx="361">
                  <c:v>103.239998</c:v>
                </c:pt>
                <c:pt idx="362">
                  <c:v>115.629997</c:v>
                </c:pt>
                <c:pt idx="363">
                  <c:v>127.769997</c:v>
                </c:pt>
                <c:pt idx="364">
                  <c:v>139.66000399999999</c:v>
                </c:pt>
                <c:pt idx="365">
                  <c:v>151.28999300000001</c:v>
                </c:pt>
                <c:pt idx="366">
                  <c:v>162.66000399999999</c:v>
                </c:pt>
                <c:pt idx="367">
                  <c:v>173.759995</c:v>
                </c:pt>
                <c:pt idx="368">
                  <c:v>184.58999600000001</c:v>
                </c:pt>
                <c:pt idx="369">
                  <c:v>195.14999399999999</c:v>
                </c:pt>
                <c:pt idx="370">
                  <c:v>205.44000199999999</c:v>
                </c:pt>
                <c:pt idx="371">
                  <c:v>215.449997</c:v>
                </c:pt>
                <c:pt idx="372">
                  <c:v>225.179993</c:v>
                </c:pt>
                <c:pt idx="373">
                  <c:v>234.62998999999999</c:v>
                </c:pt>
                <c:pt idx="374">
                  <c:v>243.79998800000001</c:v>
                </c:pt>
                <c:pt idx="375">
                  <c:v>252.679993</c:v>
                </c:pt>
                <c:pt idx="376">
                  <c:v>261.26998900000001</c:v>
                </c:pt>
                <c:pt idx="377">
                  <c:v>269.55999800000001</c:v>
                </c:pt>
                <c:pt idx="378">
                  <c:v>277.55999800000001</c:v>
                </c:pt>
                <c:pt idx="379">
                  <c:v>285.25997899999999</c:v>
                </c:pt>
                <c:pt idx="380">
                  <c:v>292.66000400000001</c:v>
                </c:pt>
                <c:pt idx="381">
                  <c:v>299.75997899999999</c:v>
                </c:pt>
                <c:pt idx="382">
                  <c:v>306.55999800000001</c:v>
                </c:pt>
                <c:pt idx="383">
                  <c:v>313.04998799999998</c:v>
                </c:pt>
                <c:pt idx="384">
                  <c:v>319.22998000000001</c:v>
                </c:pt>
                <c:pt idx="385">
                  <c:v>325.10000600000001</c:v>
                </c:pt>
                <c:pt idx="386">
                  <c:v>330.66000400000001</c:v>
                </c:pt>
                <c:pt idx="387">
                  <c:v>335.91000400000001</c:v>
                </c:pt>
                <c:pt idx="388">
                  <c:v>340.83999599999999</c:v>
                </c:pt>
                <c:pt idx="389">
                  <c:v>345.459991</c:v>
                </c:pt>
                <c:pt idx="390">
                  <c:v>349.75997899999999</c:v>
                </c:pt>
                <c:pt idx="391">
                  <c:v>353.73998999999998</c:v>
                </c:pt>
                <c:pt idx="392">
                  <c:v>357.39999399999999</c:v>
                </c:pt>
                <c:pt idx="393">
                  <c:v>360.73998999999998</c:v>
                </c:pt>
                <c:pt idx="394">
                  <c:v>363.75997899999999</c:v>
                </c:pt>
                <c:pt idx="395">
                  <c:v>366.459991</c:v>
                </c:pt>
                <c:pt idx="396">
                  <c:v>368.83999599999999</c:v>
                </c:pt>
                <c:pt idx="397">
                  <c:v>370.88998400000003</c:v>
                </c:pt>
                <c:pt idx="398">
                  <c:v>372.61999500000002</c:v>
                </c:pt>
              </c:numCache>
            </c:numRef>
          </c:xVal>
          <c:yVal>
            <c:numRef>
              <c:f>plank!$C$2:$C$400</c:f>
              <c:numCache>
                <c:formatCode>0.00</c:formatCode>
                <c:ptCount val="399"/>
                <c:pt idx="0">
                  <c:v>1074.309937</c:v>
                </c:pt>
                <c:pt idx="1">
                  <c:v>1090.8199460000001</c:v>
                </c:pt>
                <c:pt idx="2">
                  <c:v>1107.329956</c:v>
                </c:pt>
                <c:pt idx="3">
                  <c:v>1123.839966</c:v>
                </c:pt>
                <c:pt idx="4">
                  <c:v>1140.349976</c:v>
                </c:pt>
                <c:pt idx="5">
                  <c:v>1156.8599850000001</c:v>
                </c:pt>
                <c:pt idx="6">
                  <c:v>1173.369995</c:v>
                </c:pt>
                <c:pt idx="7">
                  <c:v>1189.880005</c:v>
                </c:pt>
                <c:pt idx="8">
                  <c:v>1206.3900149999999</c:v>
                </c:pt>
                <c:pt idx="9">
                  <c:v>1222.900024</c:v>
                </c:pt>
                <c:pt idx="10">
                  <c:v>1239.4099120000001</c:v>
                </c:pt>
                <c:pt idx="11">
                  <c:v>1255.919922</c:v>
                </c:pt>
                <c:pt idx="12">
                  <c:v>1272.429932</c:v>
                </c:pt>
                <c:pt idx="13">
                  <c:v>1288.9399410000001</c:v>
                </c:pt>
                <c:pt idx="14">
                  <c:v>1305.4499510000001</c:v>
                </c:pt>
                <c:pt idx="15">
                  <c:v>1321.959961</c:v>
                </c:pt>
                <c:pt idx="16">
                  <c:v>1338.469971</c:v>
                </c:pt>
                <c:pt idx="17">
                  <c:v>1354.9799800000001</c:v>
                </c:pt>
                <c:pt idx="18">
                  <c:v>1371.48999</c:v>
                </c:pt>
                <c:pt idx="19">
                  <c:v>1388</c:v>
                </c:pt>
                <c:pt idx="20">
                  <c:v>1404.51001</c:v>
                </c:pt>
                <c:pt idx="21">
                  <c:v>1421.0200199999999</c:v>
                </c:pt>
                <c:pt idx="22">
                  <c:v>1437.5299070000001</c:v>
                </c:pt>
                <c:pt idx="23">
                  <c:v>1454.0399170000001</c:v>
                </c:pt>
                <c:pt idx="24">
                  <c:v>1470.549927</c:v>
                </c:pt>
                <c:pt idx="25">
                  <c:v>1487.059937</c:v>
                </c:pt>
                <c:pt idx="26">
                  <c:v>1503.5699460000001</c:v>
                </c:pt>
                <c:pt idx="27">
                  <c:v>1520.079956</c:v>
                </c:pt>
                <c:pt idx="28">
                  <c:v>1536.589966</c:v>
                </c:pt>
                <c:pt idx="29">
                  <c:v>1553.099976</c:v>
                </c:pt>
                <c:pt idx="30">
                  <c:v>1569.6099850000001</c:v>
                </c:pt>
                <c:pt idx="31">
                  <c:v>1586.119995</c:v>
                </c:pt>
                <c:pt idx="32">
                  <c:v>1602.630005</c:v>
                </c:pt>
                <c:pt idx="33">
                  <c:v>1619.1400149999999</c:v>
                </c:pt>
                <c:pt idx="34">
                  <c:v>1635.650024</c:v>
                </c:pt>
                <c:pt idx="35">
                  <c:v>1652.1599120000001</c:v>
                </c:pt>
                <c:pt idx="36">
                  <c:v>1668.669922</c:v>
                </c:pt>
                <c:pt idx="37">
                  <c:v>1685.179932</c:v>
                </c:pt>
                <c:pt idx="38">
                  <c:v>1701.6899410000001</c:v>
                </c:pt>
                <c:pt idx="39">
                  <c:v>1718.1999510000001</c:v>
                </c:pt>
                <c:pt idx="40">
                  <c:v>1734.709961</c:v>
                </c:pt>
                <c:pt idx="41">
                  <c:v>1751.219971</c:v>
                </c:pt>
                <c:pt idx="42">
                  <c:v>1767.7299800000001</c:v>
                </c:pt>
                <c:pt idx="43">
                  <c:v>1784.23999</c:v>
                </c:pt>
                <c:pt idx="44">
                  <c:v>1800.75</c:v>
                </c:pt>
                <c:pt idx="45">
                  <c:v>1817.26001</c:v>
                </c:pt>
                <c:pt idx="46">
                  <c:v>1833.7700199999999</c:v>
                </c:pt>
                <c:pt idx="47">
                  <c:v>1850.2799070000001</c:v>
                </c:pt>
                <c:pt idx="48">
                  <c:v>1866.7899170000001</c:v>
                </c:pt>
                <c:pt idx="49">
                  <c:v>1883.299927</c:v>
                </c:pt>
                <c:pt idx="50">
                  <c:v>1899.809937</c:v>
                </c:pt>
                <c:pt idx="51">
                  <c:v>1916.3199460000001</c:v>
                </c:pt>
                <c:pt idx="52">
                  <c:v>1932.7899170000001</c:v>
                </c:pt>
                <c:pt idx="53">
                  <c:v>1949.219971</c:v>
                </c:pt>
                <c:pt idx="54">
                  <c:v>1965.6099850000001</c:v>
                </c:pt>
                <c:pt idx="55">
                  <c:v>1981.9499510000001</c:v>
                </c:pt>
                <c:pt idx="56">
                  <c:v>1998.25</c:v>
                </c:pt>
                <c:pt idx="57">
                  <c:v>2014.48999</c:v>
                </c:pt>
                <c:pt idx="58">
                  <c:v>2030.669922</c:v>
                </c:pt>
                <c:pt idx="59">
                  <c:v>2046.7799070000001</c:v>
                </c:pt>
                <c:pt idx="60">
                  <c:v>2062.820068</c:v>
                </c:pt>
                <c:pt idx="61">
                  <c:v>2078.780029</c:v>
                </c:pt>
                <c:pt idx="62">
                  <c:v>2094.6499020000001</c:v>
                </c:pt>
                <c:pt idx="63">
                  <c:v>2110.419922</c:v>
                </c:pt>
                <c:pt idx="64">
                  <c:v>2126.0798340000001</c:v>
                </c:pt>
                <c:pt idx="65">
                  <c:v>2141.6298830000001</c:v>
                </c:pt>
                <c:pt idx="66">
                  <c:v>2157.0500489999999</c:v>
                </c:pt>
                <c:pt idx="67">
                  <c:v>2172.3398440000001</c:v>
                </c:pt>
                <c:pt idx="68">
                  <c:v>2187.5</c:v>
                </c:pt>
                <c:pt idx="69">
                  <c:v>2202.51001</c:v>
                </c:pt>
                <c:pt idx="70">
                  <c:v>2217.3698730000001</c:v>
                </c:pt>
                <c:pt idx="71">
                  <c:v>2232.0798340000001</c:v>
                </c:pt>
                <c:pt idx="72">
                  <c:v>2246.6198730000001</c:v>
                </c:pt>
                <c:pt idx="73">
                  <c:v>2260.98999</c:v>
                </c:pt>
                <c:pt idx="74">
                  <c:v>2275.179932</c:v>
                </c:pt>
                <c:pt idx="75">
                  <c:v>2289.1899410000001</c:v>
                </c:pt>
                <c:pt idx="76">
                  <c:v>2303.01001</c:v>
                </c:pt>
                <c:pt idx="77">
                  <c:v>2316.639893</c:v>
                </c:pt>
                <c:pt idx="78">
                  <c:v>2330.070068</c:v>
                </c:pt>
                <c:pt idx="79">
                  <c:v>2343.290039</c:v>
                </c:pt>
                <c:pt idx="80">
                  <c:v>2356.3000489999999</c:v>
                </c:pt>
                <c:pt idx="81">
                  <c:v>2369.0898440000001</c:v>
                </c:pt>
                <c:pt idx="82">
                  <c:v>2381.6599120000001</c:v>
                </c:pt>
                <c:pt idx="83">
                  <c:v>2394.01001</c:v>
                </c:pt>
                <c:pt idx="84">
                  <c:v>2406.1298830000001</c:v>
                </c:pt>
                <c:pt idx="85">
                  <c:v>2418.01001</c:v>
                </c:pt>
                <c:pt idx="86">
                  <c:v>2429.6499020000001</c:v>
                </c:pt>
                <c:pt idx="87">
                  <c:v>2441.0500489999999</c:v>
                </c:pt>
                <c:pt idx="88">
                  <c:v>2452.1999510000001</c:v>
                </c:pt>
                <c:pt idx="89">
                  <c:v>2463.0998540000001</c:v>
                </c:pt>
                <c:pt idx="90">
                  <c:v>2473.73999</c:v>
                </c:pt>
                <c:pt idx="91">
                  <c:v>2484.1198730000001</c:v>
                </c:pt>
                <c:pt idx="92">
                  <c:v>2494.2299800000001</c:v>
                </c:pt>
                <c:pt idx="93">
                  <c:v>2504.0798340000001</c:v>
                </c:pt>
                <c:pt idx="94">
                  <c:v>2513.6599120000001</c:v>
                </c:pt>
                <c:pt idx="95">
                  <c:v>2522.959961</c:v>
                </c:pt>
                <c:pt idx="96">
                  <c:v>2531.9799800000001</c:v>
                </c:pt>
                <c:pt idx="97">
                  <c:v>2540.719971</c:v>
                </c:pt>
                <c:pt idx="98">
                  <c:v>2549.179932</c:v>
                </c:pt>
                <c:pt idx="99">
                  <c:v>2557.3498540000001</c:v>
                </c:pt>
                <c:pt idx="100">
                  <c:v>2565.2299800000001</c:v>
                </c:pt>
                <c:pt idx="101">
                  <c:v>2572.8198240000002</c:v>
                </c:pt>
                <c:pt idx="102">
                  <c:v>2580.1098630000001</c:v>
                </c:pt>
                <c:pt idx="103">
                  <c:v>2587.1098630000001</c:v>
                </c:pt>
                <c:pt idx="104">
                  <c:v>2593.8100589999999</c:v>
                </c:pt>
                <c:pt idx="105">
                  <c:v>2600.1999510000001</c:v>
                </c:pt>
                <c:pt idx="106">
                  <c:v>2606.290039</c:v>
                </c:pt>
                <c:pt idx="107">
                  <c:v>2612.0698240000002</c:v>
                </c:pt>
                <c:pt idx="108">
                  <c:v>2617.540039</c:v>
                </c:pt>
                <c:pt idx="109">
                  <c:v>2622.709961</c:v>
                </c:pt>
                <c:pt idx="110">
                  <c:v>2627.5600589999999</c:v>
                </c:pt>
                <c:pt idx="111">
                  <c:v>2632.0998540000001</c:v>
                </c:pt>
                <c:pt idx="112">
                  <c:v>2636.3298340000001</c:v>
                </c:pt>
                <c:pt idx="113">
                  <c:v>2640.23999</c:v>
                </c:pt>
                <c:pt idx="114">
                  <c:v>2643.8298340000001</c:v>
                </c:pt>
                <c:pt idx="115">
                  <c:v>2647.0998540000001</c:v>
                </c:pt>
                <c:pt idx="116">
                  <c:v>2650.0500489999999</c:v>
                </c:pt>
                <c:pt idx="117">
                  <c:v>2652.679932</c:v>
                </c:pt>
                <c:pt idx="118">
                  <c:v>2654.98999</c:v>
                </c:pt>
                <c:pt idx="119">
                  <c:v>2656.9799800000001</c:v>
                </c:pt>
                <c:pt idx="120">
                  <c:v>2658.639893</c:v>
                </c:pt>
                <c:pt idx="121">
                  <c:v>2659.9799800000001</c:v>
                </c:pt>
                <c:pt idx="122">
                  <c:v>2661</c:v>
                </c:pt>
                <c:pt idx="123">
                  <c:v>2661.6899410000001</c:v>
                </c:pt>
                <c:pt idx="124">
                  <c:v>2662.0600589999999</c:v>
                </c:pt>
                <c:pt idx="125">
                  <c:v>2662.0998540000001</c:v>
                </c:pt>
                <c:pt idx="126">
                  <c:v>2661.8198240000002</c:v>
                </c:pt>
                <c:pt idx="127">
                  <c:v>2661.209961</c:v>
                </c:pt>
                <c:pt idx="128">
                  <c:v>2660.280029</c:v>
                </c:pt>
                <c:pt idx="129">
                  <c:v>2659.0200199999999</c:v>
                </c:pt>
                <c:pt idx="130">
                  <c:v>2657.4399410000001</c:v>
                </c:pt>
                <c:pt idx="131">
                  <c:v>2655.530029</c:v>
                </c:pt>
                <c:pt idx="132">
                  <c:v>2653.3000489999999</c:v>
                </c:pt>
                <c:pt idx="133">
                  <c:v>2650.75</c:v>
                </c:pt>
                <c:pt idx="134">
                  <c:v>2647.8798830000001</c:v>
                </c:pt>
                <c:pt idx="135">
                  <c:v>2644.679932</c:v>
                </c:pt>
                <c:pt idx="136">
                  <c:v>2641.1599120000001</c:v>
                </c:pt>
                <c:pt idx="137">
                  <c:v>2637.3198240000002</c:v>
                </c:pt>
                <c:pt idx="138">
                  <c:v>2633.169922</c:v>
                </c:pt>
                <c:pt idx="139">
                  <c:v>2628.6999510000001</c:v>
                </c:pt>
                <c:pt idx="140">
                  <c:v>2623.9099120000001</c:v>
                </c:pt>
                <c:pt idx="141">
                  <c:v>2618.8100589999999</c:v>
                </c:pt>
                <c:pt idx="142">
                  <c:v>2613.389893</c:v>
                </c:pt>
                <c:pt idx="143">
                  <c:v>2607.6599120000001</c:v>
                </c:pt>
                <c:pt idx="144">
                  <c:v>2601.6198730000001</c:v>
                </c:pt>
                <c:pt idx="145">
                  <c:v>2595.2700199999999</c:v>
                </c:pt>
                <c:pt idx="146">
                  <c:v>2588.6198730000001</c:v>
                </c:pt>
                <c:pt idx="147">
                  <c:v>2581.6599120000001</c:v>
                </c:pt>
                <c:pt idx="148">
                  <c:v>2574.3999020000001</c:v>
                </c:pt>
                <c:pt idx="149">
                  <c:v>2566.8398440000001</c:v>
                </c:pt>
                <c:pt idx="150">
                  <c:v>2558.9799800000001</c:v>
                </c:pt>
                <c:pt idx="151">
                  <c:v>2550.8298340000001</c:v>
                </c:pt>
                <c:pt idx="152">
                  <c:v>2542.3798830000001</c:v>
                </c:pt>
                <c:pt idx="153">
                  <c:v>2533.639893</c:v>
                </c:pt>
                <c:pt idx="154">
                  <c:v>2524.6098630000001</c:v>
                </c:pt>
                <c:pt idx="155">
                  <c:v>2515.290039</c:v>
                </c:pt>
                <c:pt idx="156">
                  <c:v>2505.6899410000001</c:v>
                </c:pt>
                <c:pt idx="157">
                  <c:v>2495.8100589999999</c:v>
                </c:pt>
                <c:pt idx="158">
                  <c:v>2485.6499020000001</c:v>
                </c:pt>
                <c:pt idx="159">
                  <c:v>2475.219971</c:v>
                </c:pt>
                <c:pt idx="160">
                  <c:v>2464.51001</c:v>
                </c:pt>
                <c:pt idx="161">
                  <c:v>2453.540039</c:v>
                </c:pt>
                <c:pt idx="162">
                  <c:v>2442.3000489999999</c:v>
                </c:pt>
                <c:pt idx="163">
                  <c:v>2430.8000489999999</c:v>
                </c:pt>
                <c:pt idx="164">
                  <c:v>2419.040039</c:v>
                </c:pt>
                <c:pt idx="165">
                  <c:v>2407.0200199999999</c:v>
                </c:pt>
                <c:pt idx="166">
                  <c:v>2394.75</c:v>
                </c:pt>
                <c:pt idx="167">
                  <c:v>2382.2299800000001</c:v>
                </c:pt>
                <c:pt idx="168">
                  <c:v>2369.459961</c:v>
                </c:pt>
                <c:pt idx="169">
                  <c:v>2356.4499510000001</c:v>
                </c:pt>
                <c:pt idx="170">
                  <c:v>2343.1999510000001</c:v>
                </c:pt>
                <c:pt idx="171">
                  <c:v>2329.719971</c:v>
                </c:pt>
                <c:pt idx="172">
                  <c:v>2316.01001</c:v>
                </c:pt>
                <c:pt idx="173">
                  <c:v>2302.070068</c:v>
                </c:pt>
                <c:pt idx="174">
                  <c:v>2287.9099120000001</c:v>
                </c:pt>
                <c:pt idx="175">
                  <c:v>2273.530029</c:v>
                </c:pt>
                <c:pt idx="176">
                  <c:v>2258.9399410000001</c:v>
                </c:pt>
                <c:pt idx="177">
                  <c:v>2244.139893</c:v>
                </c:pt>
                <c:pt idx="178">
                  <c:v>2229.1298830000001</c:v>
                </c:pt>
                <c:pt idx="179">
                  <c:v>2213.919922</c:v>
                </c:pt>
                <c:pt idx="180">
                  <c:v>2198.51001</c:v>
                </c:pt>
                <c:pt idx="181">
                  <c:v>2182.9099120000001</c:v>
                </c:pt>
                <c:pt idx="182">
                  <c:v>2167.1198730000001</c:v>
                </c:pt>
                <c:pt idx="183">
                  <c:v>2151.1499020000001</c:v>
                </c:pt>
                <c:pt idx="184">
                  <c:v>2135</c:v>
                </c:pt>
                <c:pt idx="185">
                  <c:v>2118.669922</c:v>
                </c:pt>
                <c:pt idx="186">
                  <c:v>2102.169922</c:v>
                </c:pt>
                <c:pt idx="187">
                  <c:v>2085.51001</c:v>
                </c:pt>
                <c:pt idx="188">
                  <c:v>2068.6899410000001</c:v>
                </c:pt>
                <c:pt idx="189">
                  <c:v>2051.709961</c:v>
                </c:pt>
                <c:pt idx="190">
                  <c:v>2034.579956</c:v>
                </c:pt>
                <c:pt idx="191">
                  <c:v>2017.299927</c:v>
                </c:pt>
                <c:pt idx="192">
                  <c:v>1999.880005</c:v>
                </c:pt>
                <c:pt idx="193">
                  <c:v>1982.329956</c:v>
                </c:pt>
                <c:pt idx="194">
                  <c:v>1964.6499020000001</c:v>
                </c:pt>
                <c:pt idx="195">
                  <c:v>1946.839966</c:v>
                </c:pt>
                <c:pt idx="196">
                  <c:v>1928.9099120000001</c:v>
                </c:pt>
                <c:pt idx="197">
                  <c:v>1910.869995</c:v>
                </c:pt>
                <c:pt idx="198">
                  <c:v>1892.719971</c:v>
                </c:pt>
                <c:pt idx="199">
                  <c:v>1874.459961</c:v>
                </c:pt>
                <c:pt idx="200">
                  <c:v>1856.099976</c:v>
                </c:pt>
                <c:pt idx="201">
                  <c:v>1837.6499020000001</c:v>
                </c:pt>
                <c:pt idx="202">
                  <c:v>1819.1099850000001</c:v>
                </c:pt>
                <c:pt idx="203">
                  <c:v>1800.4799800000001</c:v>
                </c:pt>
                <c:pt idx="204">
                  <c:v>1781.7700199999999</c:v>
                </c:pt>
                <c:pt idx="205">
                  <c:v>1762.98999</c:v>
                </c:pt>
                <c:pt idx="206">
                  <c:v>1744.1400149999999</c:v>
                </c:pt>
                <c:pt idx="207">
                  <c:v>1725.2299800000001</c:v>
                </c:pt>
                <c:pt idx="208">
                  <c:v>1706.26001</c:v>
                </c:pt>
                <c:pt idx="209">
                  <c:v>1687.23999</c:v>
                </c:pt>
                <c:pt idx="210">
                  <c:v>1668.179932</c:v>
                </c:pt>
                <c:pt idx="211">
                  <c:v>1649.079956</c:v>
                </c:pt>
                <c:pt idx="212">
                  <c:v>1629.9399410000001</c:v>
                </c:pt>
                <c:pt idx="213">
                  <c:v>1610.7700199999999</c:v>
                </c:pt>
                <c:pt idx="214">
                  <c:v>1591.579956</c:v>
                </c:pt>
                <c:pt idx="215">
                  <c:v>1572.369995</c:v>
                </c:pt>
                <c:pt idx="216">
                  <c:v>1553.1400149999999</c:v>
                </c:pt>
                <c:pt idx="217">
                  <c:v>1533.9099120000001</c:v>
                </c:pt>
                <c:pt idx="218">
                  <c:v>1514.669922</c:v>
                </c:pt>
                <c:pt idx="219">
                  <c:v>1495.4399410000001</c:v>
                </c:pt>
                <c:pt idx="220">
                  <c:v>1476.219971</c:v>
                </c:pt>
                <c:pt idx="221">
                  <c:v>1457.01001</c:v>
                </c:pt>
                <c:pt idx="222">
                  <c:v>1437.8199460000001</c:v>
                </c:pt>
                <c:pt idx="223">
                  <c:v>1418.6599120000001</c:v>
                </c:pt>
                <c:pt idx="224">
                  <c:v>1399.530029</c:v>
                </c:pt>
                <c:pt idx="225">
                  <c:v>1380.429932</c:v>
                </c:pt>
                <c:pt idx="226">
                  <c:v>1361.380005</c:v>
                </c:pt>
                <c:pt idx="227">
                  <c:v>1342.369995</c:v>
                </c:pt>
                <c:pt idx="228">
                  <c:v>1323.419922</c:v>
                </c:pt>
                <c:pt idx="229">
                  <c:v>1304.530029</c:v>
                </c:pt>
                <c:pt idx="230">
                  <c:v>1285.6999510000001</c:v>
                </c:pt>
                <c:pt idx="231">
                  <c:v>1266.9399410000001</c:v>
                </c:pt>
                <c:pt idx="232">
                  <c:v>1248.25</c:v>
                </c:pt>
                <c:pt idx="233">
                  <c:v>1229.6400149999999</c:v>
                </c:pt>
                <c:pt idx="234">
                  <c:v>1211.119995</c:v>
                </c:pt>
                <c:pt idx="235">
                  <c:v>1192.6899410000001</c:v>
                </c:pt>
                <c:pt idx="236">
                  <c:v>1174.349976</c:v>
                </c:pt>
                <c:pt idx="237">
                  <c:v>1156.119995</c:v>
                </c:pt>
                <c:pt idx="238">
                  <c:v>1137.98999</c:v>
                </c:pt>
                <c:pt idx="239">
                  <c:v>1119.969971</c:v>
                </c:pt>
                <c:pt idx="240">
                  <c:v>1102.0699460000001</c:v>
                </c:pt>
                <c:pt idx="241">
                  <c:v>1084.2899170000001</c:v>
                </c:pt>
                <c:pt idx="242">
                  <c:v>1066.6400149999999</c:v>
                </c:pt>
                <c:pt idx="243">
                  <c:v>1049.119995</c:v>
                </c:pt>
                <c:pt idx="244">
                  <c:v>1031.73999</c:v>
                </c:pt>
                <c:pt idx="245">
                  <c:v>1014.5</c:v>
                </c:pt>
                <c:pt idx="246">
                  <c:v>997.40997300000004</c:v>
                </c:pt>
                <c:pt idx="247">
                  <c:v>980.46997099999999</c:v>
                </c:pt>
                <c:pt idx="248">
                  <c:v>963.69000200000005</c:v>
                </c:pt>
                <c:pt idx="249">
                  <c:v>947.07000700000003</c:v>
                </c:pt>
                <c:pt idx="250">
                  <c:v>930.60998500000005</c:v>
                </c:pt>
                <c:pt idx="251">
                  <c:v>914.32000700000003</c:v>
                </c:pt>
                <c:pt idx="252">
                  <c:v>898.20996100000002</c:v>
                </c:pt>
                <c:pt idx="253">
                  <c:v>882.27996800000005</c:v>
                </c:pt>
                <c:pt idx="254">
                  <c:v>866.53997800000002</c:v>
                </c:pt>
                <c:pt idx="255">
                  <c:v>850.97997999999995</c:v>
                </c:pt>
                <c:pt idx="256">
                  <c:v>835.61999500000002</c:v>
                </c:pt>
                <c:pt idx="257">
                  <c:v>820.45996100000002</c:v>
                </c:pt>
                <c:pt idx="258">
                  <c:v>805.5</c:v>
                </c:pt>
                <c:pt idx="259">
                  <c:v>790.75</c:v>
                </c:pt>
                <c:pt idx="260">
                  <c:v>776.20996100000002</c:v>
                </c:pt>
                <c:pt idx="261">
                  <c:v>761.88000499999998</c:v>
                </c:pt>
                <c:pt idx="262">
                  <c:v>747.76995799999997</c:v>
                </c:pt>
                <c:pt idx="263">
                  <c:v>733.88995399999999</c:v>
                </c:pt>
                <c:pt idx="264">
                  <c:v>720.22997999999995</c:v>
                </c:pt>
                <c:pt idx="265">
                  <c:v>706.80999799999995</c:v>
                </c:pt>
                <c:pt idx="266">
                  <c:v>693.61999500000002</c:v>
                </c:pt>
                <c:pt idx="267">
                  <c:v>680.669983</c:v>
                </c:pt>
                <c:pt idx="268">
                  <c:v>667.95996100000002</c:v>
                </c:pt>
                <c:pt idx="269">
                  <c:v>655.5</c:v>
                </c:pt>
                <c:pt idx="270">
                  <c:v>643.28997800000002</c:v>
                </c:pt>
                <c:pt idx="271">
                  <c:v>631.32995600000004</c:v>
                </c:pt>
                <c:pt idx="272">
                  <c:v>619.63000499999998</c:v>
                </c:pt>
                <c:pt idx="273">
                  <c:v>608.19000200000005</c:v>
                </c:pt>
                <c:pt idx="274">
                  <c:v>597.01000999999997</c:v>
                </c:pt>
                <c:pt idx="275">
                  <c:v>586.09997599999997</c:v>
                </c:pt>
                <c:pt idx="276">
                  <c:v>575.45996100000002</c:v>
                </c:pt>
                <c:pt idx="277">
                  <c:v>565.089966</c:v>
                </c:pt>
                <c:pt idx="278">
                  <c:v>555</c:v>
                </c:pt>
                <c:pt idx="279">
                  <c:v>545.19000200000005</c:v>
                </c:pt>
                <c:pt idx="280">
                  <c:v>535.65997300000004</c:v>
                </c:pt>
                <c:pt idx="281">
                  <c:v>526.40997300000004</c:v>
                </c:pt>
                <c:pt idx="282">
                  <c:v>517.45001200000002</c:v>
                </c:pt>
                <c:pt idx="283">
                  <c:v>508.77999899999998</c:v>
                </c:pt>
                <c:pt idx="284">
                  <c:v>500.39999399999999</c:v>
                </c:pt>
                <c:pt idx="285">
                  <c:v>492.31997699999999</c:v>
                </c:pt>
                <c:pt idx="286">
                  <c:v>484.52999899999998</c:v>
                </c:pt>
                <c:pt idx="287">
                  <c:v>477.03997800000002</c:v>
                </c:pt>
                <c:pt idx="288">
                  <c:v>469.84997600000003</c:v>
                </c:pt>
                <c:pt idx="289">
                  <c:v>462.97000100000002</c:v>
                </c:pt>
                <c:pt idx="290">
                  <c:v>456.38998400000003</c:v>
                </c:pt>
                <c:pt idx="291">
                  <c:v>450.11999500000002</c:v>
                </c:pt>
                <c:pt idx="292">
                  <c:v>444.16000400000001</c:v>
                </c:pt>
                <c:pt idx="293">
                  <c:v>438.50997899999999</c:v>
                </c:pt>
                <c:pt idx="294">
                  <c:v>433.169983</c:v>
                </c:pt>
                <c:pt idx="295">
                  <c:v>428.14999399999999</c:v>
                </c:pt>
                <c:pt idx="296">
                  <c:v>423.44000199999999</c:v>
                </c:pt>
                <c:pt idx="297">
                  <c:v>419.04998799999998</c:v>
                </c:pt>
                <c:pt idx="298">
                  <c:v>414.97998000000001</c:v>
                </c:pt>
                <c:pt idx="299">
                  <c:v>411.22000100000002</c:v>
                </c:pt>
                <c:pt idx="300">
                  <c:v>407.77999899999998</c:v>
                </c:pt>
                <c:pt idx="301">
                  <c:v>404.669983</c:v>
                </c:pt>
                <c:pt idx="302">
                  <c:v>401.88000499999998</c:v>
                </c:pt>
                <c:pt idx="303">
                  <c:v>399.41000400000001</c:v>
                </c:pt>
                <c:pt idx="304">
                  <c:v>397.25997899999999</c:v>
                </c:pt>
                <c:pt idx="305">
                  <c:v>395.44000199999999</c:v>
                </c:pt>
                <c:pt idx="306">
                  <c:v>393.94000199999999</c:v>
                </c:pt>
                <c:pt idx="307">
                  <c:v>392.76998900000001</c:v>
                </c:pt>
                <c:pt idx="308">
                  <c:v>391.919983</c:v>
                </c:pt>
                <c:pt idx="309">
                  <c:v>391.39999399999999</c:v>
                </c:pt>
                <c:pt idx="310">
                  <c:v>391.209991</c:v>
                </c:pt>
                <c:pt idx="311">
                  <c:v>391.33999599999999</c:v>
                </c:pt>
                <c:pt idx="312">
                  <c:v>391.79998799999998</c:v>
                </c:pt>
                <c:pt idx="313">
                  <c:v>392.57998700000002</c:v>
                </c:pt>
                <c:pt idx="314">
                  <c:v>393.69000199999999</c:v>
                </c:pt>
                <c:pt idx="315">
                  <c:v>395.11999500000002</c:v>
                </c:pt>
                <c:pt idx="316">
                  <c:v>396.88000499999998</c:v>
                </c:pt>
                <c:pt idx="317">
                  <c:v>398.959991</c:v>
                </c:pt>
                <c:pt idx="318">
                  <c:v>401.36999500000002</c:v>
                </c:pt>
                <c:pt idx="319">
                  <c:v>404.10000600000001</c:v>
                </c:pt>
                <c:pt idx="320">
                  <c:v>407.14999399999999</c:v>
                </c:pt>
                <c:pt idx="321">
                  <c:v>410.51998900000001</c:v>
                </c:pt>
                <c:pt idx="322">
                  <c:v>414.209991</c:v>
                </c:pt>
                <c:pt idx="323">
                  <c:v>418.22000100000002</c:v>
                </c:pt>
                <c:pt idx="324">
                  <c:v>422.54998799999998</c:v>
                </c:pt>
                <c:pt idx="325">
                  <c:v>427.19998199999998</c:v>
                </c:pt>
                <c:pt idx="326">
                  <c:v>432.16000400000001</c:v>
                </c:pt>
                <c:pt idx="327">
                  <c:v>437.44000199999999</c:v>
                </c:pt>
                <c:pt idx="328">
                  <c:v>443.02999899999998</c:v>
                </c:pt>
                <c:pt idx="329">
                  <c:v>448.92999300000002</c:v>
                </c:pt>
                <c:pt idx="330">
                  <c:v>455.13998400000003</c:v>
                </c:pt>
                <c:pt idx="331">
                  <c:v>461.66000400000001</c:v>
                </c:pt>
                <c:pt idx="332">
                  <c:v>468.47998000000001</c:v>
                </c:pt>
                <c:pt idx="333">
                  <c:v>475.60998499999999</c:v>
                </c:pt>
                <c:pt idx="334">
                  <c:v>483.03997800000002</c:v>
                </c:pt>
                <c:pt idx="335">
                  <c:v>490.76998900000001</c:v>
                </c:pt>
                <c:pt idx="336">
                  <c:v>498.78997800000002</c:v>
                </c:pt>
                <c:pt idx="337">
                  <c:v>507.10998499999999</c:v>
                </c:pt>
                <c:pt idx="338">
                  <c:v>515.71997099999999</c:v>
                </c:pt>
                <c:pt idx="339">
                  <c:v>524.61999500000002</c:v>
                </c:pt>
                <c:pt idx="340">
                  <c:v>533.80999799999995</c:v>
                </c:pt>
                <c:pt idx="341">
                  <c:v>543.27996800000005</c:v>
                </c:pt>
                <c:pt idx="342">
                  <c:v>553.03997800000002</c:v>
                </c:pt>
                <c:pt idx="343">
                  <c:v>563.080017</c:v>
                </c:pt>
                <c:pt idx="344">
                  <c:v>573.39001499999995</c:v>
                </c:pt>
                <c:pt idx="345">
                  <c:v>583.97997999999995</c:v>
                </c:pt>
                <c:pt idx="346">
                  <c:v>594.839966</c:v>
                </c:pt>
                <c:pt idx="347">
                  <c:v>605.95996100000002</c:v>
                </c:pt>
                <c:pt idx="348">
                  <c:v>617.34997599999997</c:v>
                </c:pt>
                <c:pt idx="349">
                  <c:v>629</c:v>
                </c:pt>
                <c:pt idx="350">
                  <c:v>640.90997300000004</c:v>
                </c:pt>
                <c:pt idx="351">
                  <c:v>653.07000700000003</c:v>
                </c:pt>
                <c:pt idx="352">
                  <c:v>665.47997999999995</c:v>
                </c:pt>
                <c:pt idx="353">
                  <c:v>678.14001499999995</c:v>
                </c:pt>
                <c:pt idx="354">
                  <c:v>691.03997800000002</c:v>
                </c:pt>
                <c:pt idx="355">
                  <c:v>704.17999299999997</c:v>
                </c:pt>
                <c:pt idx="356">
                  <c:v>717.55999799999995</c:v>
                </c:pt>
                <c:pt idx="357">
                  <c:v>731.169983</c:v>
                </c:pt>
                <c:pt idx="358">
                  <c:v>745.01000999999997</c:v>
                </c:pt>
                <c:pt idx="359">
                  <c:v>759.07000700000003</c:v>
                </c:pt>
                <c:pt idx="360">
                  <c:v>773.34997599999997</c:v>
                </c:pt>
                <c:pt idx="361">
                  <c:v>787.84997599999997</c:v>
                </c:pt>
                <c:pt idx="362">
                  <c:v>802.55999799999995</c:v>
                </c:pt>
                <c:pt idx="363">
                  <c:v>817.47997999999995</c:v>
                </c:pt>
                <c:pt idx="364">
                  <c:v>832.59997599999997</c:v>
                </c:pt>
                <c:pt idx="365">
                  <c:v>847.919983</c:v>
                </c:pt>
                <c:pt idx="366">
                  <c:v>863.44000200000005</c:v>
                </c:pt>
                <c:pt idx="367">
                  <c:v>879.14996299999996</c:v>
                </c:pt>
                <c:pt idx="368">
                  <c:v>895.03997800000002</c:v>
                </c:pt>
                <c:pt idx="369">
                  <c:v>911.10998500000005</c:v>
                </c:pt>
                <c:pt idx="370">
                  <c:v>927.35998500000005</c:v>
                </c:pt>
                <c:pt idx="371">
                  <c:v>943.77996800000005</c:v>
                </c:pt>
                <c:pt idx="372">
                  <c:v>960.36999500000002</c:v>
                </c:pt>
                <c:pt idx="373">
                  <c:v>977.11999500000002</c:v>
                </c:pt>
                <c:pt idx="374">
                  <c:v>994.02996800000005</c:v>
                </c:pt>
                <c:pt idx="375">
                  <c:v>1011.089966</c:v>
                </c:pt>
                <c:pt idx="376">
                  <c:v>1028.299927</c:v>
                </c:pt>
                <c:pt idx="377">
                  <c:v>1045.650024</c:v>
                </c:pt>
                <c:pt idx="378">
                  <c:v>1063.1400149999999</c:v>
                </c:pt>
                <c:pt idx="379">
                  <c:v>1080.7700199999999</c:v>
                </c:pt>
                <c:pt idx="380">
                  <c:v>1098.5200199999999</c:v>
                </c:pt>
                <c:pt idx="381">
                  <c:v>1116.400024</c:v>
                </c:pt>
                <c:pt idx="382">
                  <c:v>1134.3900149999999</c:v>
                </c:pt>
                <c:pt idx="383">
                  <c:v>1152.5</c:v>
                </c:pt>
                <c:pt idx="384">
                  <c:v>1170.709961</c:v>
                </c:pt>
                <c:pt idx="385">
                  <c:v>1189.030029</c:v>
                </c:pt>
                <c:pt idx="386">
                  <c:v>1207.4399410000001</c:v>
                </c:pt>
                <c:pt idx="387">
                  <c:v>1225.9399410000001</c:v>
                </c:pt>
                <c:pt idx="388">
                  <c:v>1244.530029</c:v>
                </c:pt>
                <c:pt idx="389">
                  <c:v>1263.1999510000001</c:v>
                </c:pt>
                <c:pt idx="390">
                  <c:v>1281.9499510000001</c:v>
                </c:pt>
                <c:pt idx="391">
                  <c:v>1300.7700199999999</c:v>
                </c:pt>
                <c:pt idx="392">
                  <c:v>1319.650024</c:v>
                </c:pt>
                <c:pt idx="393">
                  <c:v>1338.589966</c:v>
                </c:pt>
                <c:pt idx="394">
                  <c:v>1357.589966</c:v>
                </c:pt>
                <c:pt idx="395">
                  <c:v>1376.630005</c:v>
                </c:pt>
                <c:pt idx="396">
                  <c:v>1395.719971</c:v>
                </c:pt>
                <c:pt idx="397">
                  <c:v>1414.849976</c:v>
                </c:pt>
                <c:pt idx="398">
                  <c:v>1434.01001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2CA-4D16-AA0C-53CFCEC9C1B9}"/>
            </c:ext>
          </c:extLst>
        </c:ser>
        <c:ser>
          <c:idx val="2"/>
          <c:order val="5"/>
          <c:tx>
            <c:v>Dominus</c:v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dominus!$B$2:$B$400</c:f>
              <c:numCache>
                <c:formatCode>0.00</c:formatCode>
                <c:ptCount val="399"/>
                <c:pt idx="0">
                  <c:v>865.19995100000006</c:v>
                </c:pt>
                <c:pt idx="1">
                  <c:v>855.339966</c:v>
                </c:pt>
                <c:pt idx="2">
                  <c:v>845.47997999999995</c:v>
                </c:pt>
                <c:pt idx="3">
                  <c:v>835.61999500000002</c:v>
                </c:pt>
                <c:pt idx="4">
                  <c:v>825.76000999999997</c:v>
                </c:pt>
                <c:pt idx="5">
                  <c:v>815.89996299999996</c:v>
                </c:pt>
                <c:pt idx="6">
                  <c:v>806.03997800000002</c:v>
                </c:pt>
                <c:pt idx="7">
                  <c:v>796.17999299999997</c:v>
                </c:pt>
                <c:pt idx="8">
                  <c:v>786.32000700000003</c:v>
                </c:pt>
                <c:pt idx="9">
                  <c:v>776.45996100000002</c:v>
                </c:pt>
                <c:pt idx="10">
                  <c:v>766.59997599999997</c:v>
                </c:pt>
                <c:pt idx="11">
                  <c:v>756.73999000000003</c:v>
                </c:pt>
                <c:pt idx="12">
                  <c:v>746.88000499999998</c:v>
                </c:pt>
                <c:pt idx="13">
                  <c:v>737.01995799999997</c:v>
                </c:pt>
                <c:pt idx="14">
                  <c:v>727.15997300000004</c:v>
                </c:pt>
                <c:pt idx="15">
                  <c:v>717.29998799999998</c:v>
                </c:pt>
                <c:pt idx="16">
                  <c:v>707.44000200000005</c:v>
                </c:pt>
                <c:pt idx="17">
                  <c:v>697.57995600000004</c:v>
                </c:pt>
                <c:pt idx="18">
                  <c:v>687.71997099999999</c:v>
                </c:pt>
                <c:pt idx="19">
                  <c:v>677.85998500000005</c:v>
                </c:pt>
                <c:pt idx="20">
                  <c:v>668</c:v>
                </c:pt>
                <c:pt idx="21">
                  <c:v>658.14001499999995</c:v>
                </c:pt>
                <c:pt idx="22">
                  <c:v>648.27996800000005</c:v>
                </c:pt>
                <c:pt idx="23">
                  <c:v>638.419983</c:v>
                </c:pt>
                <c:pt idx="24">
                  <c:v>628.55999799999995</c:v>
                </c:pt>
                <c:pt idx="25">
                  <c:v>618.70001200000002</c:v>
                </c:pt>
                <c:pt idx="26">
                  <c:v>608.839966</c:v>
                </c:pt>
                <c:pt idx="27">
                  <c:v>598.97997999999995</c:v>
                </c:pt>
                <c:pt idx="28">
                  <c:v>589.11999500000002</c:v>
                </c:pt>
                <c:pt idx="29">
                  <c:v>579.26000999999997</c:v>
                </c:pt>
                <c:pt idx="30">
                  <c:v>569.39996299999996</c:v>
                </c:pt>
                <c:pt idx="31">
                  <c:v>559.53997800000002</c:v>
                </c:pt>
                <c:pt idx="32">
                  <c:v>549.67999299999997</c:v>
                </c:pt>
                <c:pt idx="33">
                  <c:v>539.82000700000003</c:v>
                </c:pt>
                <c:pt idx="34">
                  <c:v>529.95996100000002</c:v>
                </c:pt>
                <c:pt idx="35">
                  <c:v>520.09997599999997</c:v>
                </c:pt>
                <c:pt idx="36">
                  <c:v>510.23998999999998</c:v>
                </c:pt>
                <c:pt idx="37">
                  <c:v>500.379974</c:v>
                </c:pt>
                <c:pt idx="38">
                  <c:v>490.51998900000001</c:v>
                </c:pt>
                <c:pt idx="39">
                  <c:v>480.66000400000001</c:v>
                </c:pt>
                <c:pt idx="40">
                  <c:v>470.79998799999998</c:v>
                </c:pt>
                <c:pt idx="41">
                  <c:v>460.94000199999999</c:v>
                </c:pt>
                <c:pt idx="42">
                  <c:v>451.07998700000002</c:v>
                </c:pt>
                <c:pt idx="43">
                  <c:v>441.22000100000002</c:v>
                </c:pt>
                <c:pt idx="44">
                  <c:v>431.35998499999999</c:v>
                </c:pt>
                <c:pt idx="45">
                  <c:v>421.5</c:v>
                </c:pt>
                <c:pt idx="46">
                  <c:v>411.63998400000003</c:v>
                </c:pt>
                <c:pt idx="47">
                  <c:v>401.77999899999998</c:v>
                </c:pt>
                <c:pt idx="48">
                  <c:v>391.919983</c:v>
                </c:pt>
                <c:pt idx="49">
                  <c:v>382.05999800000001</c:v>
                </c:pt>
                <c:pt idx="50">
                  <c:v>372.19998199999998</c:v>
                </c:pt>
                <c:pt idx="51">
                  <c:v>362.33999599999999</c:v>
                </c:pt>
                <c:pt idx="52">
                  <c:v>352.39999399999999</c:v>
                </c:pt>
                <c:pt idx="53">
                  <c:v>342.38998400000003</c:v>
                </c:pt>
                <c:pt idx="54">
                  <c:v>332.30999800000001</c:v>
                </c:pt>
                <c:pt idx="55">
                  <c:v>322.16000400000001</c:v>
                </c:pt>
                <c:pt idx="56">
                  <c:v>311.92999300000002</c:v>
                </c:pt>
                <c:pt idx="57">
                  <c:v>301.61999500000002</c:v>
                </c:pt>
                <c:pt idx="58">
                  <c:v>291.209991</c:v>
                </c:pt>
                <c:pt idx="59">
                  <c:v>280.69000199999999</c:v>
                </c:pt>
                <c:pt idx="60">
                  <c:v>270.04998799999998</c:v>
                </c:pt>
                <c:pt idx="61">
                  <c:v>259.27999899999998</c:v>
                </c:pt>
                <c:pt idx="62">
                  <c:v>248.36999499999999</c:v>
                </c:pt>
                <c:pt idx="63">
                  <c:v>237.31999200000001</c:v>
                </c:pt>
                <c:pt idx="64">
                  <c:v>226.11000100000001</c:v>
                </c:pt>
                <c:pt idx="65">
                  <c:v>214.73999000000001</c:v>
                </c:pt>
                <c:pt idx="66">
                  <c:v>203.199997</c:v>
                </c:pt>
                <c:pt idx="67">
                  <c:v>191.479996</c:v>
                </c:pt>
                <c:pt idx="68">
                  <c:v>179.58000200000001</c:v>
                </c:pt>
                <c:pt idx="69">
                  <c:v>167.48999000000001</c:v>
                </c:pt>
                <c:pt idx="70">
                  <c:v>155.209991</c:v>
                </c:pt>
                <c:pt idx="71">
                  <c:v>142.73999000000001</c:v>
                </c:pt>
                <c:pt idx="72">
                  <c:v>130.08000200000001</c:v>
                </c:pt>
                <c:pt idx="73">
                  <c:v>117.219994</c:v>
                </c:pt>
                <c:pt idx="74">
                  <c:v>104.15999600000001</c:v>
                </c:pt>
                <c:pt idx="75">
                  <c:v>90.900002000000001</c:v>
                </c:pt>
                <c:pt idx="76">
                  <c:v>77.439994999999996</c:v>
                </c:pt>
                <c:pt idx="77">
                  <c:v>63.779998999999997</c:v>
                </c:pt>
                <c:pt idx="78">
                  <c:v>49.919998</c:v>
                </c:pt>
                <c:pt idx="79">
                  <c:v>35.860000999999997</c:v>
                </c:pt>
                <c:pt idx="80">
                  <c:v>21.6</c:v>
                </c:pt>
                <c:pt idx="81">
                  <c:v>7.15</c:v>
                </c:pt>
                <c:pt idx="82">
                  <c:v>-7.5</c:v>
                </c:pt>
                <c:pt idx="83">
                  <c:v>-22.34</c:v>
                </c:pt>
                <c:pt idx="84">
                  <c:v>-37.369999</c:v>
                </c:pt>
                <c:pt idx="85">
                  <c:v>-52.59</c:v>
                </c:pt>
                <c:pt idx="86">
                  <c:v>-68</c:v>
                </c:pt>
                <c:pt idx="87">
                  <c:v>-83.589995999999999</c:v>
                </c:pt>
                <c:pt idx="88">
                  <c:v>-99.360000999999997</c:v>
                </c:pt>
                <c:pt idx="89">
                  <c:v>-115.30999799999999</c:v>
                </c:pt>
                <c:pt idx="90">
                  <c:v>-131.429993</c:v>
                </c:pt>
                <c:pt idx="91">
                  <c:v>-147.720001</c:v>
                </c:pt>
                <c:pt idx="92">
                  <c:v>-164.179993</c:v>
                </c:pt>
                <c:pt idx="93">
                  <c:v>-180.800003</c:v>
                </c:pt>
                <c:pt idx="94">
                  <c:v>-197.58000200000001</c:v>
                </c:pt>
                <c:pt idx="95">
                  <c:v>-214.509995</c:v>
                </c:pt>
                <c:pt idx="96">
                  <c:v>-231.58999600000001</c:v>
                </c:pt>
                <c:pt idx="97">
                  <c:v>-248.80999800000001</c:v>
                </c:pt>
                <c:pt idx="98">
                  <c:v>-266.169983</c:v>
                </c:pt>
                <c:pt idx="99">
                  <c:v>-283.669983</c:v>
                </c:pt>
                <c:pt idx="100">
                  <c:v>-301.29998799999998</c:v>
                </c:pt>
                <c:pt idx="101">
                  <c:v>-319.05999800000001</c:v>
                </c:pt>
                <c:pt idx="102">
                  <c:v>-336.94000199999999</c:v>
                </c:pt>
                <c:pt idx="103">
                  <c:v>-354.92999300000002</c:v>
                </c:pt>
                <c:pt idx="104">
                  <c:v>-373.03997800000002</c:v>
                </c:pt>
                <c:pt idx="105">
                  <c:v>-391.25</c:v>
                </c:pt>
                <c:pt idx="106">
                  <c:v>-409.56997699999999</c:v>
                </c:pt>
                <c:pt idx="107">
                  <c:v>-427.97998000000001</c:v>
                </c:pt>
                <c:pt idx="108">
                  <c:v>-446.47998000000001</c:v>
                </c:pt>
                <c:pt idx="109">
                  <c:v>-465.06997699999999</c:v>
                </c:pt>
                <c:pt idx="110">
                  <c:v>-483.73998999999998</c:v>
                </c:pt>
                <c:pt idx="111">
                  <c:v>-502.48998999999998</c:v>
                </c:pt>
                <c:pt idx="112">
                  <c:v>-521.30999799999995</c:v>
                </c:pt>
                <c:pt idx="113">
                  <c:v>-540.19000200000005</c:v>
                </c:pt>
                <c:pt idx="114">
                  <c:v>-559.13000499999998</c:v>
                </c:pt>
                <c:pt idx="115">
                  <c:v>-578.13000499999998</c:v>
                </c:pt>
                <c:pt idx="116">
                  <c:v>-597.169983</c:v>
                </c:pt>
                <c:pt idx="117">
                  <c:v>-616.26000999999997</c:v>
                </c:pt>
                <c:pt idx="118">
                  <c:v>-635.38000499999998</c:v>
                </c:pt>
                <c:pt idx="119">
                  <c:v>-654.53997800000002</c:v>
                </c:pt>
                <c:pt idx="120">
                  <c:v>-673.71997099999999</c:v>
                </c:pt>
                <c:pt idx="121">
                  <c:v>-692.919983</c:v>
                </c:pt>
                <c:pt idx="122">
                  <c:v>-712.13995399999999</c:v>
                </c:pt>
                <c:pt idx="123">
                  <c:v>-731.36999500000002</c:v>
                </c:pt>
                <c:pt idx="124">
                  <c:v>-750.59997599999997</c:v>
                </c:pt>
                <c:pt idx="125">
                  <c:v>-769.82995600000004</c:v>
                </c:pt>
                <c:pt idx="126">
                  <c:v>-789.05999799999995</c:v>
                </c:pt>
                <c:pt idx="127">
                  <c:v>-808.26995799999997</c:v>
                </c:pt>
                <c:pt idx="128">
                  <c:v>-827.46997099999999</c:v>
                </c:pt>
                <c:pt idx="129">
                  <c:v>-846.63995399999999</c:v>
                </c:pt>
                <c:pt idx="130">
                  <c:v>-865.77996800000005</c:v>
                </c:pt>
                <c:pt idx="131">
                  <c:v>-884.88995399999999</c:v>
                </c:pt>
                <c:pt idx="132">
                  <c:v>-903.95996100000002</c:v>
                </c:pt>
                <c:pt idx="133">
                  <c:v>-922.97997999999995</c:v>
                </c:pt>
                <c:pt idx="134">
                  <c:v>-941.94995100000006</c:v>
                </c:pt>
                <c:pt idx="135">
                  <c:v>-960.86999500000002</c:v>
                </c:pt>
                <c:pt idx="136">
                  <c:v>-979.71997099999999</c:v>
                </c:pt>
                <c:pt idx="137">
                  <c:v>-998.50994900000001</c:v>
                </c:pt>
                <c:pt idx="138">
                  <c:v>-1017.219971</c:v>
                </c:pt>
                <c:pt idx="139">
                  <c:v>-1035.8599850000001</c:v>
                </c:pt>
                <c:pt idx="140">
                  <c:v>-1054.410034</c:v>
                </c:pt>
                <c:pt idx="141">
                  <c:v>-1072.869995</c:v>
                </c:pt>
                <c:pt idx="142">
                  <c:v>-1091.23999</c:v>
                </c:pt>
                <c:pt idx="143">
                  <c:v>-1109.51001</c:v>
                </c:pt>
                <c:pt idx="144">
                  <c:v>-1127.669922</c:v>
                </c:pt>
                <c:pt idx="145">
                  <c:v>-1145.719971</c:v>
                </c:pt>
                <c:pt idx="146">
                  <c:v>-1163.650024</c:v>
                </c:pt>
                <c:pt idx="147">
                  <c:v>-1181.459961</c:v>
                </c:pt>
                <c:pt idx="148">
                  <c:v>-1199.150024</c:v>
                </c:pt>
                <c:pt idx="149">
                  <c:v>-1216.709961</c:v>
                </c:pt>
                <c:pt idx="150">
                  <c:v>-1234.130005</c:v>
                </c:pt>
                <c:pt idx="151">
                  <c:v>-1251.4099120000001</c:v>
                </c:pt>
                <c:pt idx="152">
                  <c:v>-1268.5399170000001</c:v>
                </c:pt>
                <c:pt idx="153">
                  <c:v>-1285.5200199999999</c:v>
                </c:pt>
                <c:pt idx="154">
                  <c:v>-1302.339966</c:v>
                </c:pt>
                <c:pt idx="155">
                  <c:v>-1319</c:v>
                </c:pt>
                <c:pt idx="156">
                  <c:v>-1335.48999</c:v>
                </c:pt>
                <c:pt idx="157">
                  <c:v>-1351.809937</c:v>
                </c:pt>
                <c:pt idx="158">
                  <c:v>-1367.959961</c:v>
                </c:pt>
                <c:pt idx="159">
                  <c:v>-1383.929932</c:v>
                </c:pt>
                <c:pt idx="160">
                  <c:v>-1399.709961</c:v>
                </c:pt>
                <c:pt idx="161">
                  <c:v>-1415.299927</c:v>
                </c:pt>
                <c:pt idx="162">
                  <c:v>-1430.6999510000001</c:v>
                </c:pt>
                <c:pt idx="163">
                  <c:v>-1445.900024</c:v>
                </c:pt>
                <c:pt idx="164">
                  <c:v>-1460.8900149999999</c:v>
                </c:pt>
                <c:pt idx="165">
                  <c:v>-1475.679932</c:v>
                </c:pt>
                <c:pt idx="166">
                  <c:v>-1490.26001</c:v>
                </c:pt>
                <c:pt idx="167">
                  <c:v>-1504.619995</c:v>
                </c:pt>
                <c:pt idx="168">
                  <c:v>-1518.76001</c:v>
                </c:pt>
                <c:pt idx="169">
                  <c:v>-1532.669922</c:v>
                </c:pt>
                <c:pt idx="170">
                  <c:v>-1546.3599850000001</c:v>
                </c:pt>
                <c:pt idx="171">
                  <c:v>-1559.809937</c:v>
                </c:pt>
                <c:pt idx="172">
                  <c:v>-1573.0299070000001</c:v>
                </c:pt>
                <c:pt idx="173">
                  <c:v>-1586.01001</c:v>
                </c:pt>
                <c:pt idx="174">
                  <c:v>-1598.73999</c:v>
                </c:pt>
                <c:pt idx="175">
                  <c:v>-1611.219971</c:v>
                </c:pt>
                <c:pt idx="176">
                  <c:v>-1623.4499510000001</c:v>
                </c:pt>
                <c:pt idx="177">
                  <c:v>-1635.429932</c:v>
                </c:pt>
                <c:pt idx="178">
                  <c:v>-1647.1499020000001</c:v>
                </c:pt>
                <c:pt idx="179">
                  <c:v>-1658.6099850000001</c:v>
                </c:pt>
                <c:pt idx="180">
                  <c:v>-1669.799927</c:v>
                </c:pt>
                <c:pt idx="181">
                  <c:v>-1680.719971</c:v>
                </c:pt>
                <c:pt idx="182">
                  <c:v>-1691.369995</c:v>
                </c:pt>
                <c:pt idx="183">
                  <c:v>-1701.75</c:v>
                </c:pt>
                <c:pt idx="184">
                  <c:v>-1711.849976</c:v>
                </c:pt>
                <c:pt idx="185">
                  <c:v>-1721.669922</c:v>
                </c:pt>
                <c:pt idx="186">
                  <c:v>-1731.1999510000001</c:v>
                </c:pt>
                <c:pt idx="187">
                  <c:v>-1740.4499510000001</c:v>
                </c:pt>
                <c:pt idx="188">
                  <c:v>-1749.4099120000001</c:v>
                </c:pt>
                <c:pt idx="189">
                  <c:v>-1758.079956</c:v>
                </c:pt>
                <c:pt idx="190">
                  <c:v>-1766.4499510000001</c:v>
                </c:pt>
                <c:pt idx="191">
                  <c:v>-1774.5299070000001</c:v>
                </c:pt>
                <c:pt idx="192">
                  <c:v>-1782.309937</c:v>
                </c:pt>
                <c:pt idx="193">
                  <c:v>-1789.7899170000001</c:v>
                </c:pt>
                <c:pt idx="194">
                  <c:v>-1796.959961</c:v>
                </c:pt>
                <c:pt idx="195">
                  <c:v>-1803.829956</c:v>
                </c:pt>
                <c:pt idx="196">
                  <c:v>-1810.3900149999999</c:v>
                </c:pt>
                <c:pt idx="197">
                  <c:v>-1816.6400149999999</c:v>
                </c:pt>
                <c:pt idx="198">
                  <c:v>-1822.579956</c:v>
                </c:pt>
                <c:pt idx="199">
                  <c:v>-1828.209961</c:v>
                </c:pt>
                <c:pt idx="200">
                  <c:v>-1833.5200199999999</c:v>
                </c:pt>
                <c:pt idx="201">
                  <c:v>-1838.5200199999999</c:v>
                </c:pt>
                <c:pt idx="202">
                  <c:v>-1843.1999510000001</c:v>
                </c:pt>
                <c:pt idx="203">
                  <c:v>-1847.559937</c:v>
                </c:pt>
                <c:pt idx="204">
                  <c:v>-1851.599976</c:v>
                </c:pt>
                <c:pt idx="205">
                  <c:v>-1855.3199460000001</c:v>
                </c:pt>
                <c:pt idx="206">
                  <c:v>-1858.719971</c:v>
                </c:pt>
                <c:pt idx="207">
                  <c:v>-1861.7899170000001</c:v>
                </c:pt>
                <c:pt idx="208">
                  <c:v>-1864.5399170000001</c:v>
                </c:pt>
                <c:pt idx="209">
                  <c:v>-1866.959961</c:v>
                </c:pt>
                <c:pt idx="210">
                  <c:v>-1869.059937</c:v>
                </c:pt>
                <c:pt idx="211">
                  <c:v>-1870.829956</c:v>
                </c:pt>
                <c:pt idx="212">
                  <c:v>-1872.2698969999999</c:v>
                </c:pt>
                <c:pt idx="213">
                  <c:v>-1873.380005</c:v>
                </c:pt>
                <c:pt idx="214">
                  <c:v>-1874.169922</c:v>
                </c:pt>
                <c:pt idx="215">
                  <c:v>-1874.630005</c:v>
                </c:pt>
                <c:pt idx="216">
                  <c:v>-1874.76001</c:v>
                </c:pt>
                <c:pt idx="217">
                  <c:v>-1874.559937</c:v>
                </c:pt>
                <c:pt idx="218">
                  <c:v>-1874.0299070000001</c:v>
                </c:pt>
                <c:pt idx="219">
                  <c:v>-1873.179932</c:v>
                </c:pt>
                <c:pt idx="220">
                  <c:v>-1872</c:v>
                </c:pt>
                <c:pt idx="221">
                  <c:v>-1870.48999</c:v>
                </c:pt>
                <c:pt idx="222">
                  <c:v>-1868.6599120000001</c:v>
                </c:pt>
                <c:pt idx="223">
                  <c:v>-1866.5</c:v>
                </c:pt>
                <c:pt idx="224">
                  <c:v>-1864.01001</c:v>
                </c:pt>
                <c:pt idx="225">
                  <c:v>-1861.1999510000001</c:v>
                </c:pt>
                <c:pt idx="226">
                  <c:v>-1858.059937</c:v>
                </c:pt>
                <c:pt idx="227">
                  <c:v>-1854.599976</c:v>
                </c:pt>
                <c:pt idx="228">
                  <c:v>-1850.8199460000001</c:v>
                </c:pt>
                <c:pt idx="229">
                  <c:v>-1846.719971</c:v>
                </c:pt>
                <c:pt idx="230">
                  <c:v>-1842.299927</c:v>
                </c:pt>
                <c:pt idx="231">
                  <c:v>-1837.559937</c:v>
                </c:pt>
                <c:pt idx="232">
                  <c:v>-1832.5</c:v>
                </c:pt>
                <c:pt idx="233">
                  <c:v>-1827.130005</c:v>
                </c:pt>
                <c:pt idx="234">
                  <c:v>-1821.4399410000001</c:v>
                </c:pt>
                <c:pt idx="235">
                  <c:v>-1815.4399410000001</c:v>
                </c:pt>
                <c:pt idx="236">
                  <c:v>-1809.130005</c:v>
                </c:pt>
                <c:pt idx="237">
                  <c:v>-1802.51001</c:v>
                </c:pt>
                <c:pt idx="238">
                  <c:v>-1795.579956</c:v>
                </c:pt>
                <c:pt idx="239">
                  <c:v>-1788.349976</c:v>
                </c:pt>
                <c:pt idx="240">
                  <c:v>-1780.809937</c:v>
                </c:pt>
                <c:pt idx="241">
                  <c:v>-1772.969971</c:v>
                </c:pt>
                <c:pt idx="242">
                  <c:v>-1764.829956</c:v>
                </c:pt>
                <c:pt idx="243">
                  <c:v>-1756.3999020000001</c:v>
                </c:pt>
                <c:pt idx="244">
                  <c:v>-1747.669922</c:v>
                </c:pt>
                <c:pt idx="245">
                  <c:v>-1738.6499020000001</c:v>
                </c:pt>
                <c:pt idx="246">
                  <c:v>-1729.339966</c:v>
                </c:pt>
                <c:pt idx="247">
                  <c:v>-1719.75</c:v>
                </c:pt>
                <c:pt idx="248">
                  <c:v>-1709.880005</c:v>
                </c:pt>
                <c:pt idx="249">
                  <c:v>-1699.7299800000001</c:v>
                </c:pt>
                <c:pt idx="250">
                  <c:v>-1689.299927</c:v>
                </c:pt>
                <c:pt idx="251">
                  <c:v>-1678.589966</c:v>
                </c:pt>
                <c:pt idx="252">
                  <c:v>-1667.6099850000001</c:v>
                </c:pt>
                <c:pt idx="253">
                  <c:v>-1656.369995</c:v>
                </c:pt>
                <c:pt idx="254">
                  <c:v>-1644.8599850000001</c:v>
                </c:pt>
                <c:pt idx="255">
                  <c:v>-1633.089966</c:v>
                </c:pt>
                <c:pt idx="256">
                  <c:v>-1621.059937</c:v>
                </c:pt>
                <c:pt idx="257">
                  <c:v>-1608.7799070000001</c:v>
                </c:pt>
                <c:pt idx="258">
                  <c:v>-1596.25</c:v>
                </c:pt>
                <c:pt idx="259">
                  <c:v>-1583.469971</c:v>
                </c:pt>
                <c:pt idx="260">
                  <c:v>-1570.4499510000001</c:v>
                </c:pt>
                <c:pt idx="261">
                  <c:v>-1557.1899410000001</c:v>
                </c:pt>
                <c:pt idx="262">
                  <c:v>-1543.6899410000001</c:v>
                </c:pt>
                <c:pt idx="263">
                  <c:v>-1529.959961</c:v>
                </c:pt>
                <c:pt idx="264">
                  <c:v>-1516</c:v>
                </c:pt>
                <c:pt idx="265">
                  <c:v>-1501.8199460000001</c:v>
                </c:pt>
                <c:pt idx="266">
                  <c:v>-1487.419922</c:v>
                </c:pt>
                <c:pt idx="267">
                  <c:v>-1472.799927</c:v>
                </c:pt>
                <c:pt idx="268">
                  <c:v>-1457.969971</c:v>
                </c:pt>
                <c:pt idx="269">
                  <c:v>-1442.929932</c:v>
                </c:pt>
                <c:pt idx="270">
                  <c:v>-1427.6899410000001</c:v>
                </c:pt>
                <c:pt idx="271">
                  <c:v>-1412.25</c:v>
                </c:pt>
                <c:pt idx="272">
                  <c:v>-1396.619995</c:v>
                </c:pt>
                <c:pt idx="273">
                  <c:v>-1380.799927</c:v>
                </c:pt>
                <c:pt idx="274">
                  <c:v>-1364.799927</c:v>
                </c:pt>
                <c:pt idx="275">
                  <c:v>-1348.619995</c:v>
                </c:pt>
                <c:pt idx="276">
                  <c:v>-1332.26001</c:v>
                </c:pt>
                <c:pt idx="277">
                  <c:v>-1315.7299800000001</c:v>
                </c:pt>
                <c:pt idx="278">
                  <c:v>-1299.0399170000001</c:v>
                </c:pt>
                <c:pt idx="279">
                  <c:v>-1282.1899410000001</c:v>
                </c:pt>
                <c:pt idx="280">
                  <c:v>-1265.179932</c:v>
                </c:pt>
                <c:pt idx="281">
                  <c:v>-1248.0200199999999</c:v>
                </c:pt>
                <c:pt idx="282">
                  <c:v>-1230.709961</c:v>
                </c:pt>
                <c:pt idx="283">
                  <c:v>-1213.26001</c:v>
                </c:pt>
                <c:pt idx="284">
                  <c:v>-1195.679932</c:v>
                </c:pt>
                <c:pt idx="285">
                  <c:v>-1177.969971</c:v>
                </c:pt>
                <c:pt idx="286">
                  <c:v>-1160.130005</c:v>
                </c:pt>
                <c:pt idx="287">
                  <c:v>-1142.169922</c:v>
                </c:pt>
                <c:pt idx="288">
                  <c:v>-1124.099976</c:v>
                </c:pt>
                <c:pt idx="289">
                  <c:v>-1105.919922</c:v>
                </c:pt>
                <c:pt idx="290">
                  <c:v>-1087.630005</c:v>
                </c:pt>
                <c:pt idx="291">
                  <c:v>-1069.23999</c:v>
                </c:pt>
                <c:pt idx="292">
                  <c:v>-1050.76001</c:v>
                </c:pt>
                <c:pt idx="293">
                  <c:v>-1032.1899410000001</c:v>
                </c:pt>
                <c:pt idx="294">
                  <c:v>-1013.539978</c:v>
                </c:pt>
                <c:pt idx="295">
                  <c:v>-994.80999799999995</c:v>
                </c:pt>
                <c:pt idx="296">
                  <c:v>-976.00994900000001</c:v>
                </c:pt>
                <c:pt idx="297">
                  <c:v>-957.13995399999999</c:v>
                </c:pt>
                <c:pt idx="298">
                  <c:v>-938.20996100000002</c:v>
                </c:pt>
                <c:pt idx="299">
                  <c:v>-919.22997999999995</c:v>
                </c:pt>
                <c:pt idx="300">
                  <c:v>-900.19995100000006</c:v>
                </c:pt>
                <c:pt idx="301">
                  <c:v>-881.11999500000002</c:v>
                </c:pt>
                <c:pt idx="302">
                  <c:v>-862</c:v>
                </c:pt>
                <c:pt idx="303">
                  <c:v>-842.84997599999997</c:v>
                </c:pt>
                <c:pt idx="304">
                  <c:v>-823.669983</c:v>
                </c:pt>
                <c:pt idx="305">
                  <c:v>-804.46997099999999</c:v>
                </c:pt>
                <c:pt idx="306">
                  <c:v>-785.25</c:v>
                </c:pt>
                <c:pt idx="307">
                  <c:v>-766.01995799999997</c:v>
                </c:pt>
                <c:pt idx="308">
                  <c:v>-746.78997800000002</c:v>
                </c:pt>
                <c:pt idx="309">
                  <c:v>-727.55999799999995</c:v>
                </c:pt>
                <c:pt idx="310">
                  <c:v>-708.32995600000004</c:v>
                </c:pt>
                <c:pt idx="311">
                  <c:v>-689.10998500000005</c:v>
                </c:pt>
                <c:pt idx="312">
                  <c:v>-669.90997300000004</c:v>
                </c:pt>
                <c:pt idx="313">
                  <c:v>-650.72997999999995</c:v>
                </c:pt>
                <c:pt idx="314">
                  <c:v>-631.57995600000004</c:v>
                </c:pt>
                <c:pt idx="315">
                  <c:v>-612.45996100000002</c:v>
                </c:pt>
                <c:pt idx="316">
                  <c:v>-593.38000499999998</c:v>
                </c:pt>
                <c:pt idx="317">
                  <c:v>-574.34997599999997</c:v>
                </c:pt>
                <c:pt idx="318">
                  <c:v>-555.36999500000002</c:v>
                </c:pt>
                <c:pt idx="319">
                  <c:v>-536.44000200000005</c:v>
                </c:pt>
                <c:pt idx="320">
                  <c:v>-517.580017</c:v>
                </c:pt>
                <c:pt idx="321">
                  <c:v>-498.77999899999998</c:v>
                </c:pt>
                <c:pt idx="322">
                  <c:v>-480.04998799999998</c:v>
                </c:pt>
                <c:pt idx="323">
                  <c:v>-461.39999399999999</c:v>
                </c:pt>
                <c:pt idx="324">
                  <c:v>-442.83999599999999</c:v>
                </c:pt>
                <c:pt idx="325">
                  <c:v>-424.35998499999999</c:v>
                </c:pt>
                <c:pt idx="326">
                  <c:v>-405.97998000000001</c:v>
                </c:pt>
                <c:pt idx="327">
                  <c:v>-387.69998199999998</c:v>
                </c:pt>
                <c:pt idx="328">
                  <c:v>-369.51998900000001</c:v>
                </c:pt>
                <c:pt idx="329">
                  <c:v>-351.44998199999998</c:v>
                </c:pt>
                <c:pt idx="330">
                  <c:v>-333.5</c:v>
                </c:pt>
                <c:pt idx="331">
                  <c:v>-315.669983</c:v>
                </c:pt>
                <c:pt idx="332">
                  <c:v>-297.959991</c:v>
                </c:pt>
                <c:pt idx="333">
                  <c:v>-280.38000499999998</c:v>
                </c:pt>
                <c:pt idx="334">
                  <c:v>-262.94000199999999</c:v>
                </c:pt>
                <c:pt idx="335">
                  <c:v>-245.63999899999999</c:v>
                </c:pt>
                <c:pt idx="336">
                  <c:v>-228.48999000000001</c:v>
                </c:pt>
                <c:pt idx="337">
                  <c:v>-211.48999000000001</c:v>
                </c:pt>
                <c:pt idx="338">
                  <c:v>-194.63999899999999</c:v>
                </c:pt>
                <c:pt idx="339">
                  <c:v>-177.959991</c:v>
                </c:pt>
                <c:pt idx="340">
                  <c:v>-161.44000199999999</c:v>
                </c:pt>
                <c:pt idx="341">
                  <c:v>-145.08999600000001</c:v>
                </c:pt>
                <c:pt idx="342">
                  <c:v>-128.91999799999999</c:v>
                </c:pt>
                <c:pt idx="343">
                  <c:v>-112.93</c:v>
                </c:pt>
                <c:pt idx="344">
                  <c:v>-97.119995000000003</c:v>
                </c:pt>
                <c:pt idx="345">
                  <c:v>-81.5</c:v>
                </c:pt>
                <c:pt idx="346">
                  <c:v>-66.069999999999993</c:v>
                </c:pt>
                <c:pt idx="347">
                  <c:v>-50.84</c:v>
                </c:pt>
                <c:pt idx="348">
                  <c:v>-35.82</c:v>
                </c:pt>
                <c:pt idx="349">
                  <c:v>-21</c:v>
                </c:pt>
                <c:pt idx="350">
                  <c:v>-6.39</c:v>
                </c:pt>
                <c:pt idx="351">
                  <c:v>8</c:v>
                </c:pt>
                <c:pt idx="352">
                  <c:v>22.17</c:v>
                </c:pt>
                <c:pt idx="353">
                  <c:v>36.119999</c:v>
                </c:pt>
                <c:pt idx="354">
                  <c:v>49.84</c:v>
                </c:pt>
                <c:pt idx="355">
                  <c:v>63.329998000000003</c:v>
                </c:pt>
                <c:pt idx="356">
                  <c:v>76.580001999999993</c:v>
                </c:pt>
                <c:pt idx="357">
                  <c:v>89.589995999999999</c:v>
                </c:pt>
                <c:pt idx="358">
                  <c:v>102.360001</c:v>
                </c:pt>
                <c:pt idx="359">
                  <c:v>114.879997</c:v>
                </c:pt>
                <c:pt idx="360">
                  <c:v>127.14999400000001</c:v>
                </c:pt>
                <c:pt idx="361">
                  <c:v>139.16000399999999</c:v>
                </c:pt>
                <c:pt idx="362">
                  <c:v>150.91999799999999</c:v>
                </c:pt>
                <c:pt idx="363">
                  <c:v>162.41000399999999</c:v>
                </c:pt>
                <c:pt idx="364">
                  <c:v>173.63999899999999</c:v>
                </c:pt>
                <c:pt idx="365">
                  <c:v>184.59999099999999</c:v>
                </c:pt>
                <c:pt idx="366">
                  <c:v>195.28999300000001</c:v>
                </c:pt>
                <c:pt idx="367">
                  <c:v>205.709991</c:v>
                </c:pt>
                <c:pt idx="368">
                  <c:v>215.84999099999999</c:v>
                </c:pt>
                <c:pt idx="369">
                  <c:v>225.709991</c:v>
                </c:pt>
                <c:pt idx="370">
                  <c:v>235.28999300000001</c:v>
                </c:pt>
                <c:pt idx="371">
                  <c:v>244.58000200000001</c:v>
                </c:pt>
                <c:pt idx="372">
                  <c:v>253.58000200000001</c:v>
                </c:pt>
                <c:pt idx="373">
                  <c:v>262.290009</c:v>
                </c:pt>
                <c:pt idx="374">
                  <c:v>270.709991</c:v>
                </c:pt>
                <c:pt idx="375">
                  <c:v>278.82998700000002</c:v>
                </c:pt>
                <c:pt idx="376">
                  <c:v>286.64999399999999</c:v>
                </c:pt>
                <c:pt idx="377">
                  <c:v>294.169983</c:v>
                </c:pt>
                <c:pt idx="378">
                  <c:v>301.38998400000003</c:v>
                </c:pt>
                <c:pt idx="379">
                  <c:v>308.29998799999998</c:v>
                </c:pt>
                <c:pt idx="380">
                  <c:v>314.89999399999999</c:v>
                </c:pt>
                <c:pt idx="381">
                  <c:v>321.19000199999999</c:v>
                </c:pt>
                <c:pt idx="382">
                  <c:v>327.169983</c:v>
                </c:pt>
                <c:pt idx="383">
                  <c:v>332.83999599999999</c:v>
                </c:pt>
                <c:pt idx="384">
                  <c:v>338.19998199999998</c:v>
                </c:pt>
                <c:pt idx="385">
                  <c:v>343.23998999999998</c:v>
                </c:pt>
                <c:pt idx="386">
                  <c:v>347.959991</c:v>
                </c:pt>
                <c:pt idx="387">
                  <c:v>352.35998499999999</c:v>
                </c:pt>
                <c:pt idx="388">
                  <c:v>356.44000199999999</c:v>
                </c:pt>
                <c:pt idx="389">
                  <c:v>360.19998199999998</c:v>
                </c:pt>
                <c:pt idx="390">
                  <c:v>363.63998400000003</c:v>
                </c:pt>
                <c:pt idx="391">
                  <c:v>366.75997899999999</c:v>
                </c:pt>
                <c:pt idx="392">
                  <c:v>369.54998799999998</c:v>
                </c:pt>
                <c:pt idx="393">
                  <c:v>372.01998900000001</c:v>
                </c:pt>
                <c:pt idx="394">
                  <c:v>374.16000400000001</c:v>
                </c:pt>
                <c:pt idx="395">
                  <c:v>375.97998000000001</c:v>
                </c:pt>
                <c:pt idx="396">
                  <c:v>377.47000100000002</c:v>
                </c:pt>
                <c:pt idx="397">
                  <c:v>378.63000499999998</c:v>
                </c:pt>
                <c:pt idx="398">
                  <c:v>379.459991</c:v>
                </c:pt>
              </c:numCache>
            </c:numRef>
          </c:xVal>
          <c:yVal>
            <c:numRef>
              <c:f>dominus!$C$2:$C$400</c:f>
              <c:numCache>
                <c:formatCode>0.00</c:formatCode>
                <c:ptCount val="399"/>
                <c:pt idx="0">
                  <c:v>1074.48999</c:v>
                </c:pt>
                <c:pt idx="1">
                  <c:v>1091</c:v>
                </c:pt>
                <c:pt idx="2">
                  <c:v>1107.51001</c:v>
                </c:pt>
                <c:pt idx="3">
                  <c:v>1124.0200199999999</c:v>
                </c:pt>
                <c:pt idx="4">
                  <c:v>1140.530029</c:v>
                </c:pt>
                <c:pt idx="5">
                  <c:v>1157.0399170000001</c:v>
                </c:pt>
                <c:pt idx="6">
                  <c:v>1173.549927</c:v>
                </c:pt>
                <c:pt idx="7">
                  <c:v>1190.059937</c:v>
                </c:pt>
                <c:pt idx="8">
                  <c:v>1206.5699460000001</c:v>
                </c:pt>
                <c:pt idx="9">
                  <c:v>1223.079956</c:v>
                </c:pt>
                <c:pt idx="10">
                  <c:v>1239.589966</c:v>
                </c:pt>
                <c:pt idx="11">
                  <c:v>1256.099976</c:v>
                </c:pt>
                <c:pt idx="12">
                  <c:v>1272.6099850000001</c:v>
                </c:pt>
                <c:pt idx="13">
                  <c:v>1289.119995</c:v>
                </c:pt>
                <c:pt idx="14">
                  <c:v>1305.630005</c:v>
                </c:pt>
                <c:pt idx="15">
                  <c:v>1322.1400149999999</c:v>
                </c:pt>
                <c:pt idx="16">
                  <c:v>1338.650024</c:v>
                </c:pt>
                <c:pt idx="17">
                  <c:v>1355.1599120000001</c:v>
                </c:pt>
                <c:pt idx="18">
                  <c:v>1371.669922</c:v>
                </c:pt>
                <c:pt idx="19">
                  <c:v>1388.179932</c:v>
                </c:pt>
                <c:pt idx="20">
                  <c:v>1404.6899410000001</c:v>
                </c:pt>
                <c:pt idx="21">
                  <c:v>1421.1999510000001</c:v>
                </c:pt>
                <c:pt idx="22">
                  <c:v>1437.709961</c:v>
                </c:pt>
                <c:pt idx="23">
                  <c:v>1454.219971</c:v>
                </c:pt>
                <c:pt idx="24">
                  <c:v>1470.7299800000001</c:v>
                </c:pt>
                <c:pt idx="25">
                  <c:v>1487.23999</c:v>
                </c:pt>
                <c:pt idx="26">
                  <c:v>1503.75</c:v>
                </c:pt>
                <c:pt idx="27">
                  <c:v>1520.26001</c:v>
                </c:pt>
                <c:pt idx="28">
                  <c:v>1536.7700199999999</c:v>
                </c:pt>
                <c:pt idx="29">
                  <c:v>1553.2799070000001</c:v>
                </c:pt>
                <c:pt idx="30">
                  <c:v>1569.7899170000001</c:v>
                </c:pt>
                <c:pt idx="31">
                  <c:v>1586.299927</c:v>
                </c:pt>
                <c:pt idx="32">
                  <c:v>1602.809937</c:v>
                </c:pt>
                <c:pt idx="33">
                  <c:v>1619.3199460000001</c:v>
                </c:pt>
                <c:pt idx="34">
                  <c:v>1635.829956</c:v>
                </c:pt>
                <c:pt idx="35">
                  <c:v>1652.339966</c:v>
                </c:pt>
                <c:pt idx="36">
                  <c:v>1668.849976</c:v>
                </c:pt>
                <c:pt idx="37">
                  <c:v>1685.3599850000001</c:v>
                </c:pt>
                <c:pt idx="38">
                  <c:v>1701.869995</c:v>
                </c:pt>
                <c:pt idx="39">
                  <c:v>1718.380005</c:v>
                </c:pt>
                <c:pt idx="40">
                  <c:v>1734.8900149999999</c:v>
                </c:pt>
                <c:pt idx="41">
                  <c:v>1751.3999020000001</c:v>
                </c:pt>
                <c:pt idx="42">
                  <c:v>1767.9099120000001</c:v>
                </c:pt>
                <c:pt idx="43">
                  <c:v>1784.419922</c:v>
                </c:pt>
                <c:pt idx="44">
                  <c:v>1800.929932</c:v>
                </c:pt>
                <c:pt idx="45">
                  <c:v>1817.4399410000001</c:v>
                </c:pt>
                <c:pt idx="46">
                  <c:v>1833.9499510000001</c:v>
                </c:pt>
                <c:pt idx="47">
                  <c:v>1850.459961</c:v>
                </c:pt>
                <c:pt idx="48">
                  <c:v>1866.969971</c:v>
                </c:pt>
                <c:pt idx="49">
                  <c:v>1883.4799800000001</c:v>
                </c:pt>
                <c:pt idx="50">
                  <c:v>1899.98999</c:v>
                </c:pt>
                <c:pt idx="51">
                  <c:v>1916.5</c:v>
                </c:pt>
                <c:pt idx="52">
                  <c:v>1932.969971</c:v>
                </c:pt>
                <c:pt idx="53">
                  <c:v>1949.3999020000001</c:v>
                </c:pt>
                <c:pt idx="54">
                  <c:v>1965.7799070000001</c:v>
                </c:pt>
                <c:pt idx="55">
                  <c:v>1982.119995</c:v>
                </c:pt>
                <c:pt idx="56">
                  <c:v>1998.4099120000001</c:v>
                </c:pt>
                <c:pt idx="57">
                  <c:v>2014.6499020000001</c:v>
                </c:pt>
                <c:pt idx="58">
                  <c:v>2030.8199460000001</c:v>
                </c:pt>
                <c:pt idx="59">
                  <c:v>2046.919922</c:v>
                </c:pt>
                <c:pt idx="60">
                  <c:v>2062.9499510000001</c:v>
                </c:pt>
                <c:pt idx="61">
                  <c:v>2078.889893</c:v>
                </c:pt>
                <c:pt idx="62">
                  <c:v>2094.7299800000001</c:v>
                </c:pt>
                <c:pt idx="63">
                  <c:v>2110.469971</c:v>
                </c:pt>
                <c:pt idx="64">
                  <c:v>2126.0998540000001</c:v>
                </c:pt>
                <c:pt idx="65">
                  <c:v>2141.6098630000001</c:v>
                </c:pt>
                <c:pt idx="66">
                  <c:v>2157</c:v>
                </c:pt>
                <c:pt idx="67">
                  <c:v>2172.25</c:v>
                </c:pt>
                <c:pt idx="68">
                  <c:v>2187.3598630000001</c:v>
                </c:pt>
                <c:pt idx="69">
                  <c:v>2202.320068</c:v>
                </c:pt>
                <c:pt idx="70">
                  <c:v>2217.1298830000001</c:v>
                </c:pt>
                <c:pt idx="71">
                  <c:v>2231.780029</c:v>
                </c:pt>
                <c:pt idx="72">
                  <c:v>2246.26001</c:v>
                </c:pt>
                <c:pt idx="73">
                  <c:v>2260.5600589999999</c:v>
                </c:pt>
                <c:pt idx="74">
                  <c:v>2274.679932</c:v>
                </c:pt>
                <c:pt idx="75">
                  <c:v>2288.6098630000001</c:v>
                </c:pt>
                <c:pt idx="76">
                  <c:v>2302.3498540000001</c:v>
                </c:pt>
                <c:pt idx="77">
                  <c:v>2315.889893</c:v>
                </c:pt>
                <c:pt idx="78">
                  <c:v>2329.2299800000001</c:v>
                </c:pt>
                <c:pt idx="79">
                  <c:v>2342.3598630000001</c:v>
                </c:pt>
                <c:pt idx="80">
                  <c:v>2355.2700199999999</c:v>
                </c:pt>
                <c:pt idx="81">
                  <c:v>2367.959961</c:v>
                </c:pt>
                <c:pt idx="82">
                  <c:v>2380.419922</c:v>
                </c:pt>
                <c:pt idx="83">
                  <c:v>2392.6499020000001</c:v>
                </c:pt>
                <c:pt idx="84">
                  <c:v>2404.6499020000001</c:v>
                </c:pt>
                <c:pt idx="85">
                  <c:v>2416.4099120000001</c:v>
                </c:pt>
                <c:pt idx="86">
                  <c:v>2427.919922</c:v>
                </c:pt>
                <c:pt idx="87">
                  <c:v>2439.179932</c:v>
                </c:pt>
                <c:pt idx="88">
                  <c:v>2450.1899410000001</c:v>
                </c:pt>
                <c:pt idx="89">
                  <c:v>2460.9399410000001</c:v>
                </c:pt>
                <c:pt idx="90">
                  <c:v>2471.429932</c:v>
                </c:pt>
                <c:pt idx="91">
                  <c:v>2481.6599120000001</c:v>
                </c:pt>
                <c:pt idx="92">
                  <c:v>2491.6198730000001</c:v>
                </c:pt>
                <c:pt idx="93">
                  <c:v>2501.3100589999999</c:v>
                </c:pt>
                <c:pt idx="94">
                  <c:v>2510.719971</c:v>
                </c:pt>
                <c:pt idx="95">
                  <c:v>2519.8498540000001</c:v>
                </c:pt>
                <c:pt idx="96">
                  <c:v>2528.6999510000001</c:v>
                </c:pt>
                <c:pt idx="97">
                  <c:v>2537.2700199999999</c:v>
                </c:pt>
                <c:pt idx="98">
                  <c:v>2545.5500489999999</c:v>
                </c:pt>
                <c:pt idx="99">
                  <c:v>2553.540039</c:v>
                </c:pt>
                <c:pt idx="100">
                  <c:v>2561.2299800000001</c:v>
                </c:pt>
                <c:pt idx="101">
                  <c:v>2568.6298830000001</c:v>
                </c:pt>
                <c:pt idx="102">
                  <c:v>2575.7299800000001</c:v>
                </c:pt>
                <c:pt idx="103">
                  <c:v>2582.530029</c:v>
                </c:pt>
                <c:pt idx="104">
                  <c:v>2589.0200199999999</c:v>
                </c:pt>
                <c:pt idx="105">
                  <c:v>2595.209961</c:v>
                </c:pt>
                <c:pt idx="106">
                  <c:v>2601.0898440000001</c:v>
                </c:pt>
                <c:pt idx="107">
                  <c:v>2606.6599120000001</c:v>
                </c:pt>
                <c:pt idx="108">
                  <c:v>2611.919922</c:v>
                </c:pt>
                <c:pt idx="109">
                  <c:v>2616.8598630000001</c:v>
                </c:pt>
                <c:pt idx="110">
                  <c:v>2621.48999</c:v>
                </c:pt>
                <c:pt idx="111">
                  <c:v>2625.8000489999999</c:v>
                </c:pt>
                <c:pt idx="112">
                  <c:v>2629.790039</c:v>
                </c:pt>
                <c:pt idx="113">
                  <c:v>2633.459961</c:v>
                </c:pt>
                <c:pt idx="114">
                  <c:v>2636.8100589999999</c:v>
                </c:pt>
                <c:pt idx="115">
                  <c:v>2639.8398440000001</c:v>
                </c:pt>
                <c:pt idx="116">
                  <c:v>2642.5500489999999</c:v>
                </c:pt>
                <c:pt idx="117">
                  <c:v>2644.929932</c:v>
                </c:pt>
                <c:pt idx="118">
                  <c:v>2646.98999</c:v>
                </c:pt>
                <c:pt idx="119">
                  <c:v>2648.719971</c:v>
                </c:pt>
                <c:pt idx="120">
                  <c:v>2650.1298830000001</c:v>
                </c:pt>
                <c:pt idx="121">
                  <c:v>2651.209961</c:v>
                </c:pt>
                <c:pt idx="122">
                  <c:v>2651.959961</c:v>
                </c:pt>
                <c:pt idx="123">
                  <c:v>2652.389893</c:v>
                </c:pt>
                <c:pt idx="124">
                  <c:v>2652.48999</c:v>
                </c:pt>
                <c:pt idx="125">
                  <c:v>2652.26001</c:v>
                </c:pt>
                <c:pt idx="126">
                  <c:v>2651.6999510000001</c:v>
                </c:pt>
                <c:pt idx="127">
                  <c:v>2650.8198240000002</c:v>
                </c:pt>
                <c:pt idx="128">
                  <c:v>2649.6098630000001</c:v>
                </c:pt>
                <c:pt idx="129">
                  <c:v>2648.0698240000002</c:v>
                </c:pt>
                <c:pt idx="130">
                  <c:v>2646.209961</c:v>
                </c:pt>
                <c:pt idx="131">
                  <c:v>2644.0200199999999</c:v>
                </c:pt>
                <c:pt idx="132">
                  <c:v>2641.51001</c:v>
                </c:pt>
                <c:pt idx="133">
                  <c:v>2638.669922</c:v>
                </c:pt>
                <c:pt idx="134">
                  <c:v>2635.51001</c:v>
                </c:pt>
                <c:pt idx="135">
                  <c:v>2632.0200199999999</c:v>
                </c:pt>
                <c:pt idx="136">
                  <c:v>2628.209961</c:v>
                </c:pt>
                <c:pt idx="137">
                  <c:v>2624.0798340000001</c:v>
                </c:pt>
                <c:pt idx="138">
                  <c:v>2619.6298830000001</c:v>
                </c:pt>
                <c:pt idx="139">
                  <c:v>2614.8598630000001</c:v>
                </c:pt>
                <c:pt idx="140">
                  <c:v>2609.780029</c:v>
                </c:pt>
                <c:pt idx="141">
                  <c:v>2604.3798830000001</c:v>
                </c:pt>
                <c:pt idx="142">
                  <c:v>2598.669922</c:v>
                </c:pt>
                <c:pt idx="143">
                  <c:v>2592.639893</c:v>
                </c:pt>
                <c:pt idx="144">
                  <c:v>2586.3000489999999</c:v>
                </c:pt>
                <c:pt idx="145">
                  <c:v>2579.6499020000001</c:v>
                </c:pt>
                <c:pt idx="146">
                  <c:v>2572.6999510000001</c:v>
                </c:pt>
                <c:pt idx="147">
                  <c:v>2565.4399410000001</c:v>
                </c:pt>
                <c:pt idx="148">
                  <c:v>2557.8798830000001</c:v>
                </c:pt>
                <c:pt idx="149">
                  <c:v>2550.0200199999999</c:v>
                </c:pt>
                <c:pt idx="150">
                  <c:v>2541.8598630000001</c:v>
                </c:pt>
                <c:pt idx="151">
                  <c:v>2533.4099120000001</c:v>
                </c:pt>
                <c:pt idx="152">
                  <c:v>2524.6599120000001</c:v>
                </c:pt>
                <c:pt idx="153">
                  <c:v>2515.6198730000001</c:v>
                </c:pt>
                <c:pt idx="154">
                  <c:v>2506.290039</c:v>
                </c:pt>
                <c:pt idx="155">
                  <c:v>2496.679932</c:v>
                </c:pt>
                <c:pt idx="156">
                  <c:v>2486.780029</c:v>
                </c:pt>
                <c:pt idx="157">
                  <c:v>2476.5998540000001</c:v>
                </c:pt>
                <c:pt idx="158">
                  <c:v>2466.1499020000001</c:v>
                </c:pt>
                <c:pt idx="159">
                  <c:v>2455.419922</c:v>
                </c:pt>
                <c:pt idx="160">
                  <c:v>2444.419922</c:v>
                </c:pt>
                <c:pt idx="161">
                  <c:v>2433.1599120000001</c:v>
                </c:pt>
                <c:pt idx="162">
                  <c:v>2421.6298830000001</c:v>
                </c:pt>
                <c:pt idx="163">
                  <c:v>2409.8398440000001</c:v>
                </c:pt>
                <c:pt idx="164">
                  <c:v>2397.790039</c:v>
                </c:pt>
                <c:pt idx="165">
                  <c:v>2385.48999</c:v>
                </c:pt>
                <c:pt idx="166">
                  <c:v>2372.9399410000001</c:v>
                </c:pt>
                <c:pt idx="167">
                  <c:v>2360.139893</c:v>
                </c:pt>
                <c:pt idx="168">
                  <c:v>2347.0998540000001</c:v>
                </c:pt>
                <c:pt idx="169">
                  <c:v>2333.820068</c:v>
                </c:pt>
                <c:pt idx="170">
                  <c:v>2320.3000489999999</c:v>
                </c:pt>
                <c:pt idx="171">
                  <c:v>2306.5500489999999</c:v>
                </c:pt>
                <c:pt idx="172">
                  <c:v>2292.570068</c:v>
                </c:pt>
                <c:pt idx="173">
                  <c:v>2278.3698730000001</c:v>
                </c:pt>
                <c:pt idx="174">
                  <c:v>2263.9499510000001</c:v>
                </c:pt>
                <c:pt idx="175">
                  <c:v>2249.320068</c:v>
                </c:pt>
                <c:pt idx="176">
                  <c:v>2234.4799800000001</c:v>
                </c:pt>
                <c:pt idx="177">
                  <c:v>2219.429932</c:v>
                </c:pt>
                <c:pt idx="178">
                  <c:v>2204.179932</c:v>
                </c:pt>
                <c:pt idx="179">
                  <c:v>2188.7299800000001</c:v>
                </c:pt>
                <c:pt idx="180">
                  <c:v>2173.0898440000001</c:v>
                </c:pt>
                <c:pt idx="181">
                  <c:v>2157.26001</c:v>
                </c:pt>
                <c:pt idx="182">
                  <c:v>2141.23999</c:v>
                </c:pt>
                <c:pt idx="183">
                  <c:v>2125.040039</c:v>
                </c:pt>
                <c:pt idx="184">
                  <c:v>2108.669922</c:v>
                </c:pt>
                <c:pt idx="185">
                  <c:v>2092.1298830000001</c:v>
                </c:pt>
                <c:pt idx="186">
                  <c:v>2075.419922</c:v>
                </c:pt>
                <c:pt idx="187">
                  <c:v>2058.5500489999999</c:v>
                </c:pt>
                <c:pt idx="188">
                  <c:v>2041.5299070000001</c:v>
                </c:pt>
                <c:pt idx="189">
                  <c:v>2024.3599850000001</c:v>
                </c:pt>
                <c:pt idx="190">
                  <c:v>2007.0399170000001</c:v>
                </c:pt>
                <c:pt idx="191">
                  <c:v>1989.579956</c:v>
                </c:pt>
                <c:pt idx="192">
                  <c:v>1971.98999</c:v>
                </c:pt>
                <c:pt idx="193">
                  <c:v>1954.2698969999999</c:v>
                </c:pt>
                <c:pt idx="194">
                  <c:v>1936.419922</c:v>
                </c:pt>
                <c:pt idx="195">
                  <c:v>1918.4499510000001</c:v>
                </c:pt>
                <c:pt idx="196">
                  <c:v>1900.369995</c:v>
                </c:pt>
                <c:pt idx="197">
                  <c:v>1882.179932</c:v>
                </c:pt>
                <c:pt idx="198">
                  <c:v>1863.880005</c:v>
                </c:pt>
                <c:pt idx="199">
                  <c:v>1845.48999</c:v>
                </c:pt>
                <c:pt idx="200">
                  <c:v>1827</c:v>
                </c:pt>
                <c:pt idx="201">
                  <c:v>1808.429932</c:v>
                </c:pt>
                <c:pt idx="202">
                  <c:v>1789.7700199999999</c:v>
                </c:pt>
                <c:pt idx="203">
                  <c:v>1771.0399170000001</c:v>
                </c:pt>
                <c:pt idx="204">
                  <c:v>1752.2299800000001</c:v>
                </c:pt>
                <c:pt idx="205">
                  <c:v>1733.3599850000001</c:v>
                </c:pt>
                <c:pt idx="206">
                  <c:v>1714.429932</c:v>
                </c:pt>
                <c:pt idx="207">
                  <c:v>1695.4399410000001</c:v>
                </c:pt>
                <c:pt idx="208">
                  <c:v>1676.3999020000001</c:v>
                </c:pt>
                <c:pt idx="209">
                  <c:v>1657.3199460000001</c:v>
                </c:pt>
                <c:pt idx="210">
                  <c:v>1638.1999510000001</c:v>
                </c:pt>
                <c:pt idx="211">
                  <c:v>1619.049927</c:v>
                </c:pt>
                <c:pt idx="212">
                  <c:v>1599.869995</c:v>
                </c:pt>
                <c:pt idx="213">
                  <c:v>1580.669922</c:v>
                </c:pt>
                <c:pt idx="214">
                  <c:v>1561.4499510000001</c:v>
                </c:pt>
                <c:pt idx="215">
                  <c:v>1542.219971</c:v>
                </c:pt>
                <c:pt idx="216">
                  <c:v>1522.98999</c:v>
                </c:pt>
                <c:pt idx="217">
                  <c:v>1503.76001</c:v>
                </c:pt>
                <c:pt idx="218">
                  <c:v>1484.5299070000001</c:v>
                </c:pt>
                <c:pt idx="219">
                  <c:v>1465.309937</c:v>
                </c:pt>
                <c:pt idx="220">
                  <c:v>1446.1099850000001</c:v>
                </c:pt>
                <c:pt idx="221">
                  <c:v>1426.929932</c:v>
                </c:pt>
                <c:pt idx="222">
                  <c:v>1407.780029</c:v>
                </c:pt>
                <c:pt idx="223">
                  <c:v>1388.669922</c:v>
                </c:pt>
                <c:pt idx="224">
                  <c:v>1369.599976</c:v>
                </c:pt>
                <c:pt idx="225">
                  <c:v>1350.5699460000001</c:v>
                </c:pt>
                <c:pt idx="226">
                  <c:v>1331.589966</c:v>
                </c:pt>
                <c:pt idx="227">
                  <c:v>1312.669922</c:v>
                </c:pt>
                <c:pt idx="228">
                  <c:v>1293.809937</c:v>
                </c:pt>
                <c:pt idx="229">
                  <c:v>1275.0200199999999</c:v>
                </c:pt>
                <c:pt idx="230">
                  <c:v>1256.299927</c:v>
                </c:pt>
                <c:pt idx="231">
                  <c:v>1237.6599120000001</c:v>
                </c:pt>
                <c:pt idx="232">
                  <c:v>1219.099976</c:v>
                </c:pt>
                <c:pt idx="233">
                  <c:v>1200.630005</c:v>
                </c:pt>
                <c:pt idx="234">
                  <c:v>1182.26001</c:v>
                </c:pt>
                <c:pt idx="235">
                  <c:v>1163.98999</c:v>
                </c:pt>
                <c:pt idx="236">
                  <c:v>1145.8199460000001</c:v>
                </c:pt>
                <c:pt idx="237">
                  <c:v>1127.76001</c:v>
                </c:pt>
                <c:pt idx="238">
                  <c:v>1109.8199460000001</c:v>
                </c:pt>
                <c:pt idx="239">
                  <c:v>1092</c:v>
                </c:pt>
                <c:pt idx="240">
                  <c:v>1074.299927</c:v>
                </c:pt>
                <c:pt idx="241">
                  <c:v>1056.7299800000001</c:v>
                </c:pt>
                <c:pt idx="242">
                  <c:v>1039.299927</c:v>
                </c:pt>
                <c:pt idx="243">
                  <c:v>1022.009949</c:v>
                </c:pt>
                <c:pt idx="244">
                  <c:v>1004.869995</c:v>
                </c:pt>
                <c:pt idx="245">
                  <c:v>987.88000499999998</c:v>
                </c:pt>
                <c:pt idx="246">
                  <c:v>971.04998799999998</c:v>
                </c:pt>
                <c:pt idx="247">
                  <c:v>954.38000499999998</c:v>
                </c:pt>
                <c:pt idx="248">
                  <c:v>937.86999500000002</c:v>
                </c:pt>
                <c:pt idx="249">
                  <c:v>921.52996800000005</c:v>
                </c:pt>
                <c:pt idx="250">
                  <c:v>905.36999500000002</c:v>
                </c:pt>
                <c:pt idx="251">
                  <c:v>889.38995399999999</c:v>
                </c:pt>
                <c:pt idx="252">
                  <c:v>873.589966</c:v>
                </c:pt>
                <c:pt idx="253">
                  <c:v>857.97997999999995</c:v>
                </c:pt>
                <c:pt idx="254">
                  <c:v>842.57000700000003</c:v>
                </c:pt>
                <c:pt idx="255">
                  <c:v>827.35998500000005</c:v>
                </c:pt>
                <c:pt idx="256">
                  <c:v>812.34997599999997</c:v>
                </c:pt>
                <c:pt idx="257">
                  <c:v>797.54998799999998</c:v>
                </c:pt>
                <c:pt idx="258">
                  <c:v>782.95996100000002</c:v>
                </c:pt>
                <c:pt idx="259">
                  <c:v>768.57995600000004</c:v>
                </c:pt>
                <c:pt idx="260">
                  <c:v>754.419983</c:v>
                </c:pt>
                <c:pt idx="261">
                  <c:v>740.48999000000003</c:v>
                </c:pt>
                <c:pt idx="262">
                  <c:v>726.78997800000002</c:v>
                </c:pt>
                <c:pt idx="263">
                  <c:v>713.32000700000003</c:v>
                </c:pt>
                <c:pt idx="264">
                  <c:v>700.089966</c:v>
                </c:pt>
                <c:pt idx="265">
                  <c:v>687.09997599999997</c:v>
                </c:pt>
                <c:pt idx="266">
                  <c:v>674.34997599999997</c:v>
                </c:pt>
                <c:pt idx="267">
                  <c:v>661.84997599999997</c:v>
                </c:pt>
                <c:pt idx="268">
                  <c:v>649.59997599999997</c:v>
                </c:pt>
                <c:pt idx="269">
                  <c:v>637.59997599999997</c:v>
                </c:pt>
                <c:pt idx="270">
                  <c:v>625.85998500000005</c:v>
                </c:pt>
                <c:pt idx="271">
                  <c:v>614.38000499999998</c:v>
                </c:pt>
                <c:pt idx="272">
                  <c:v>603.169983</c:v>
                </c:pt>
                <c:pt idx="273">
                  <c:v>592.22997999999995</c:v>
                </c:pt>
                <c:pt idx="274">
                  <c:v>581.55999799999995</c:v>
                </c:pt>
                <c:pt idx="275">
                  <c:v>571.15997300000004</c:v>
                </c:pt>
                <c:pt idx="276">
                  <c:v>561.03997800000002</c:v>
                </c:pt>
                <c:pt idx="277">
                  <c:v>551.20001200000002</c:v>
                </c:pt>
                <c:pt idx="278">
                  <c:v>541.64001499999995</c:v>
                </c:pt>
                <c:pt idx="279">
                  <c:v>532.36999500000002</c:v>
                </c:pt>
                <c:pt idx="280">
                  <c:v>523.39001499999995</c:v>
                </c:pt>
                <c:pt idx="281">
                  <c:v>514.70001200000002</c:v>
                </c:pt>
                <c:pt idx="282">
                  <c:v>506.29998799999998</c:v>
                </c:pt>
                <c:pt idx="283">
                  <c:v>498.19998199999998</c:v>
                </c:pt>
                <c:pt idx="284">
                  <c:v>490.39999399999999</c:v>
                </c:pt>
                <c:pt idx="285">
                  <c:v>482.89999399999999</c:v>
                </c:pt>
                <c:pt idx="286">
                  <c:v>475.69998199999998</c:v>
                </c:pt>
                <c:pt idx="287">
                  <c:v>468.80999800000001</c:v>
                </c:pt>
                <c:pt idx="288">
                  <c:v>462.22998000000001</c:v>
                </c:pt>
                <c:pt idx="289">
                  <c:v>455.959991</c:v>
                </c:pt>
                <c:pt idx="290">
                  <c:v>450</c:v>
                </c:pt>
                <c:pt idx="291">
                  <c:v>444.34997600000003</c:v>
                </c:pt>
                <c:pt idx="292">
                  <c:v>439.01998900000001</c:v>
                </c:pt>
                <c:pt idx="293">
                  <c:v>434</c:v>
                </c:pt>
                <c:pt idx="294">
                  <c:v>429.29998799999998</c:v>
                </c:pt>
                <c:pt idx="295">
                  <c:v>424.919983</c:v>
                </c:pt>
                <c:pt idx="296">
                  <c:v>420.85998499999999</c:v>
                </c:pt>
                <c:pt idx="297">
                  <c:v>417.11999500000002</c:v>
                </c:pt>
                <c:pt idx="298">
                  <c:v>413.69998199999998</c:v>
                </c:pt>
                <c:pt idx="299">
                  <c:v>410.60998499999999</c:v>
                </c:pt>
                <c:pt idx="300">
                  <c:v>407.83999599999999</c:v>
                </c:pt>
                <c:pt idx="301">
                  <c:v>405.38998400000003</c:v>
                </c:pt>
                <c:pt idx="302">
                  <c:v>403.26998900000001</c:v>
                </c:pt>
                <c:pt idx="303">
                  <c:v>401.47998000000001</c:v>
                </c:pt>
                <c:pt idx="304">
                  <c:v>400.00997899999999</c:v>
                </c:pt>
                <c:pt idx="305">
                  <c:v>398.86999500000002</c:v>
                </c:pt>
                <c:pt idx="306">
                  <c:v>398.05999800000001</c:v>
                </c:pt>
                <c:pt idx="307">
                  <c:v>397.57998700000002</c:v>
                </c:pt>
                <c:pt idx="308">
                  <c:v>397.42999300000002</c:v>
                </c:pt>
                <c:pt idx="309">
                  <c:v>397.60000600000001</c:v>
                </c:pt>
                <c:pt idx="310">
                  <c:v>398.10000600000001</c:v>
                </c:pt>
                <c:pt idx="311">
                  <c:v>398.92999300000002</c:v>
                </c:pt>
                <c:pt idx="312">
                  <c:v>400.08999599999999</c:v>
                </c:pt>
                <c:pt idx="313">
                  <c:v>401.56997699999999</c:v>
                </c:pt>
                <c:pt idx="314">
                  <c:v>403.38000499999998</c:v>
                </c:pt>
                <c:pt idx="315">
                  <c:v>405.51998900000001</c:v>
                </c:pt>
                <c:pt idx="316">
                  <c:v>407.97998000000001</c:v>
                </c:pt>
                <c:pt idx="317">
                  <c:v>410.76998900000001</c:v>
                </c:pt>
                <c:pt idx="318">
                  <c:v>413.88000499999998</c:v>
                </c:pt>
                <c:pt idx="319">
                  <c:v>417.31997699999999</c:v>
                </c:pt>
                <c:pt idx="320">
                  <c:v>421.07998700000002</c:v>
                </c:pt>
                <c:pt idx="321">
                  <c:v>425.16000400000001</c:v>
                </c:pt>
                <c:pt idx="322">
                  <c:v>429.55999800000001</c:v>
                </c:pt>
                <c:pt idx="323">
                  <c:v>434.27999899999998</c:v>
                </c:pt>
                <c:pt idx="324">
                  <c:v>439.31997699999999</c:v>
                </c:pt>
                <c:pt idx="325">
                  <c:v>444.669983</c:v>
                </c:pt>
                <c:pt idx="326">
                  <c:v>450.33999599999999</c:v>
                </c:pt>
                <c:pt idx="327">
                  <c:v>456.31997699999999</c:v>
                </c:pt>
                <c:pt idx="328">
                  <c:v>462.60998499999999</c:v>
                </c:pt>
                <c:pt idx="329">
                  <c:v>469.209991</c:v>
                </c:pt>
                <c:pt idx="330">
                  <c:v>476.11999500000002</c:v>
                </c:pt>
                <c:pt idx="331">
                  <c:v>483.32998700000002</c:v>
                </c:pt>
                <c:pt idx="332">
                  <c:v>490.84997600000003</c:v>
                </c:pt>
                <c:pt idx="333">
                  <c:v>498.669983</c:v>
                </c:pt>
                <c:pt idx="334">
                  <c:v>506.77999899999998</c:v>
                </c:pt>
                <c:pt idx="335">
                  <c:v>515.19000200000005</c:v>
                </c:pt>
                <c:pt idx="336">
                  <c:v>523.89996299999996</c:v>
                </c:pt>
                <c:pt idx="337">
                  <c:v>532.89996299999996</c:v>
                </c:pt>
                <c:pt idx="338">
                  <c:v>542.19000200000005</c:v>
                </c:pt>
                <c:pt idx="339">
                  <c:v>551.76000999999997</c:v>
                </c:pt>
                <c:pt idx="340">
                  <c:v>561.60998500000005</c:v>
                </c:pt>
                <c:pt idx="341">
                  <c:v>571.73999000000003</c:v>
                </c:pt>
                <c:pt idx="342">
                  <c:v>582.14996299999996</c:v>
                </c:pt>
                <c:pt idx="343">
                  <c:v>592.839966</c:v>
                </c:pt>
                <c:pt idx="344">
                  <c:v>603.79998799999998</c:v>
                </c:pt>
                <c:pt idx="345">
                  <c:v>615.02996800000005</c:v>
                </c:pt>
                <c:pt idx="346">
                  <c:v>626.51995799999997</c:v>
                </c:pt>
                <c:pt idx="347">
                  <c:v>638.26995799999997</c:v>
                </c:pt>
                <c:pt idx="348">
                  <c:v>650.27996800000005</c:v>
                </c:pt>
                <c:pt idx="349">
                  <c:v>662.54998799999998</c:v>
                </c:pt>
                <c:pt idx="350">
                  <c:v>675.07000700000003</c:v>
                </c:pt>
                <c:pt idx="351">
                  <c:v>687.82995600000004</c:v>
                </c:pt>
                <c:pt idx="352">
                  <c:v>700.839966</c:v>
                </c:pt>
                <c:pt idx="353">
                  <c:v>714.089966</c:v>
                </c:pt>
                <c:pt idx="354">
                  <c:v>727.57000700000003</c:v>
                </c:pt>
                <c:pt idx="355">
                  <c:v>741.28997800000002</c:v>
                </c:pt>
                <c:pt idx="356">
                  <c:v>755.22997999999995</c:v>
                </c:pt>
                <c:pt idx="357">
                  <c:v>769.39996299999996</c:v>
                </c:pt>
                <c:pt idx="358">
                  <c:v>783.78997800000002</c:v>
                </c:pt>
                <c:pt idx="359">
                  <c:v>798.38995399999999</c:v>
                </c:pt>
                <c:pt idx="360">
                  <c:v>813.20001200000002</c:v>
                </c:pt>
                <c:pt idx="361">
                  <c:v>828.21997099999999</c:v>
                </c:pt>
                <c:pt idx="362">
                  <c:v>843.44000200000005</c:v>
                </c:pt>
                <c:pt idx="363">
                  <c:v>858.85998500000005</c:v>
                </c:pt>
                <c:pt idx="364">
                  <c:v>874.47997999999995</c:v>
                </c:pt>
                <c:pt idx="365">
                  <c:v>890.28997800000002</c:v>
                </c:pt>
                <c:pt idx="366">
                  <c:v>906.27996800000005</c:v>
                </c:pt>
                <c:pt idx="367">
                  <c:v>922.44995100000006</c:v>
                </c:pt>
                <c:pt idx="368">
                  <c:v>938.79998799999998</c:v>
                </c:pt>
                <c:pt idx="369">
                  <c:v>955.32000700000003</c:v>
                </c:pt>
                <c:pt idx="370">
                  <c:v>972</c:v>
                </c:pt>
                <c:pt idx="371">
                  <c:v>988.839966</c:v>
                </c:pt>
                <c:pt idx="372">
                  <c:v>1005.839966</c:v>
                </c:pt>
                <c:pt idx="373">
                  <c:v>1022.98999</c:v>
                </c:pt>
                <c:pt idx="374">
                  <c:v>1040.2899170000001</c:v>
                </c:pt>
                <c:pt idx="375">
                  <c:v>1057.7299800000001</c:v>
                </c:pt>
                <c:pt idx="376">
                  <c:v>1075.299927</c:v>
                </c:pt>
                <c:pt idx="377">
                  <c:v>1093</c:v>
                </c:pt>
                <c:pt idx="378">
                  <c:v>1110.829956</c:v>
                </c:pt>
                <c:pt idx="379">
                  <c:v>1128.780029</c:v>
                </c:pt>
                <c:pt idx="380">
                  <c:v>1146.849976</c:v>
                </c:pt>
                <c:pt idx="381">
                  <c:v>1165.030029</c:v>
                </c:pt>
                <c:pt idx="382">
                  <c:v>1183.309937</c:v>
                </c:pt>
                <c:pt idx="383">
                  <c:v>1201.6899410000001</c:v>
                </c:pt>
                <c:pt idx="384">
                  <c:v>1220.1599120000001</c:v>
                </c:pt>
                <c:pt idx="385">
                  <c:v>1238.719971</c:v>
                </c:pt>
                <c:pt idx="386">
                  <c:v>1257.369995</c:v>
                </c:pt>
                <c:pt idx="387">
                  <c:v>1276.089966</c:v>
                </c:pt>
                <c:pt idx="388">
                  <c:v>1294.8900149999999</c:v>
                </c:pt>
                <c:pt idx="389">
                  <c:v>1313.75</c:v>
                </c:pt>
                <c:pt idx="390">
                  <c:v>1332.679932</c:v>
                </c:pt>
                <c:pt idx="391">
                  <c:v>1351.6599120000001</c:v>
                </c:pt>
                <c:pt idx="392">
                  <c:v>1370.6899410000001</c:v>
                </c:pt>
                <c:pt idx="393">
                  <c:v>1389.7700199999999</c:v>
                </c:pt>
                <c:pt idx="394">
                  <c:v>1408.8900149999999</c:v>
                </c:pt>
                <c:pt idx="395">
                  <c:v>1428.0399170000001</c:v>
                </c:pt>
                <c:pt idx="396">
                  <c:v>1447.219971</c:v>
                </c:pt>
                <c:pt idx="397">
                  <c:v>1466.419922</c:v>
                </c:pt>
                <c:pt idx="398">
                  <c:v>1485.6400149999999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2CA-4D16-AA0C-53CFCEC9C1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5940104"/>
        <c:axId val="795932560"/>
      </c:scatterChart>
      <c:valAx>
        <c:axId val="79594010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95932560"/>
        <c:crosses val="autoZero"/>
        <c:crossBetween val="midCat"/>
      </c:valAx>
      <c:valAx>
        <c:axId val="79593256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795940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angvel!$B$1</c:f>
              <c:strCache>
                <c:ptCount val="1"/>
                <c:pt idx="0">
                  <c:v>Octane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angvel!$A$52:$A$150</c:f>
              <c:numCache>
                <c:formatCode>0.00</c:formatCode>
                <c:ptCount val="99"/>
                <c:pt idx="0">
                  <c:v>0</c:v>
                </c:pt>
                <c:pt idx="1">
                  <c:v>8.3333333333333297E-3</c:v>
                </c:pt>
                <c:pt idx="2">
                  <c:v>1.6666666666666701E-2</c:v>
                </c:pt>
                <c:pt idx="3">
                  <c:v>2.5000000000000001E-2</c:v>
                </c:pt>
                <c:pt idx="4">
                  <c:v>3.3333333333333298E-2</c:v>
                </c:pt>
                <c:pt idx="5">
                  <c:v>4.1666666666666699E-2</c:v>
                </c:pt>
                <c:pt idx="6">
                  <c:v>0.05</c:v>
                </c:pt>
                <c:pt idx="7">
                  <c:v>5.83333333333333E-2</c:v>
                </c:pt>
                <c:pt idx="8">
                  <c:v>6.6666666666666596E-2</c:v>
                </c:pt>
                <c:pt idx="9">
                  <c:v>7.4999999999999997E-2</c:v>
                </c:pt>
                <c:pt idx="10">
                  <c:v>8.3333333333333301E-2</c:v>
                </c:pt>
                <c:pt idx="11">
                  <c:v>9.1666666666666605E-2</c:v>
                </c:pt>
                <c:pt idx="12">
                  <c:v>0.1</c:v>
                </c:pt>
                <c:pt idx="13">
                  <c:v>0.108333333333333</c:v>
                </c:pt>
                <c:pt idx="14">
                  <c:v>0.116666666666667</c:v>
                </c:pt>
                <c:pt idx="15">
                  <c:v>0.125</c:v>
                </c:pt>
                <c:pt idx="16">
                  <c:v>0.133333333333333</c:v>
                </c:pt>
                <c:pt idx="17">
                  <c:v>0.141666666666667</c:v>
                </c:pt>
                <c:pt idx="18">
                  <c:v>0.15</c:v>
                </c:pt>
                <c:pt idx="19">
                  <c:v>0.15833333333333299</c:v>
                </c:pt>
                <c:pt idx="20">
                  <c:v>0.16666666666666699</c:v>
                </c:pt>
                <c:pt idx="21">
                  <c:v>0.17499999999999999</c:v>
                </c:pt>
                <c:pt idx="22">
                  <c:v>0.18333333333333299</c:v>
                </c:pt>
                <c:pt idx="23">
                  <c:v>0.19166666666666701</c:v>
                </c:pt>
                <c:pt idx="24">
                  <c:v>0.2</c:v>
                </c:pt>
                <c:pt idx="25">
                  <c:v>0.20833333333333301</c:v>
                </c:pt>
                <c:pt idx="26">
                  <c:v>0.21666666666666701</c:v>
                </c:pt>
                <c:pt idx="27">
                  <c:v>0.22500000000000001</c:v>
                </c:pt>
                <c:pt idx="28">
                  <c:v>0.233333333333333</c:v>
                </c:pt>
                <c:pt idx="29">
                  <c:v>0.241666666666667</c:v>
                </c:pt>
                <c:pt idx="30">
                  <c:v>0.25</c:v>
                </c:pt>
                <c:pt idx="31">
                  <c:v>0.25833333333333303</c:v>
                </c:pt>
                <c:pt idx="32">
                  <c:v>0.266666666666667</c:v>
                </c:pt>
                <c:pt idx="33">
                  <c:v>0.27500000000000002</c:v>
                </c:pt>
                <c:pt idx="34">
                  <c:v>0.28333333333333299</c:v>
                </c:pt>
                <c:pt idx="35">
                  <c:v>0.29166666666666702</c:v>
                </c:pt>
                <c:pt idx="36">
                  <c:v>0.3</c:v>
                </c:pt>
                <c:pt idx="37">
                  <c:v>0.30833333333333302</c:v>
                </c:pt>
                <c:pt idx="38">
                  <c:v>0.31666666666666698</c:v>
                </c:pt>
                <c:pt idx="39">
                  <c:v>0.32500000000000001</c:v>
                </c:pt>
                <c:pt idx="40">
                  <c:v>0.33333333333333298</c:v>
                </c:pt>
                <c:pt idx="41">
                  <c:v>0.34166666666666701</c:v>
                </c:pt>
                <c:pt idx="42">
                  <c:v>0.35</c:v>
                </c:pt>
                <c:pt idx="43">
                  <c:v>0.358333333333333</c:v>
                </c:pt>
                <c:pt idx="44">
                  <c:v>0.36666666666666697</c:v>
                </c:pt>
                <c:pt idx="45">
                  <c:v>0.375</c:v>
                </c:pt>
                <c:pt idx="46">
                  <c:v>0.38333333333333303</c:v>
                </c:pt>
                <c:pt idx="47">
                  <c:v>0.391666666666666</c:v>
                </c:pt>
                <c:pt idx="48">
                  <c:v>0.4</c:v>
                </c:pt>
                <c:pt idx="49">
                  <c:v>0.40833333333333299</c:v>
                </c:pt>
                <c:pt idx="50">
                  <c:v>0.41666666666666602</c:v>
                </c:pt>
                <c:pt idx="51">
                  <c:v>0.42499999999999999</c:v>
                </c:pt>
                <c:pt idx="52">
                  <c:v>0.43333333333333302</c:v>
                </c:pt>
                <c:pt idx="53">
                  <c:v>0.44166666666666599</c:v>
                </c:pt>
                <c:pt idx="54">
                  <c:v>0.45</c:v>
                </c:pt>
                <c:pt idx="55">
                  <c:v>0.45833333333333298</c:v>
                </c:pt>
                <c:pt idx="56">
                  <c:v>0.46666666666666601</c:v>
                </c:pt>
                <c:pt idx="57">
                  <c:v>0.47499999999999998</c:v>
                </c:pt>
                <c:pt idx="58">
                  <c:v>0.483333333333333</c:v>
                </c:pt>
                <c:pt idx="59">
                  <c:v>0.49166666666666597</c:v>
                </c:pt>
                <c:pt idx="60">
                  <c:v>0.5</c:v>
                </c:pt>
                <c:pt idx="61">
                  <c:v>0.50833333333333297</c:v>
                </c:pt>
                <c:pt idx="62">
                  <c:v>0.51666666666666605</c:v>
                </c:pt>
                <c:pt idx="63">
                  <c:v>0.52500000000000002</c:v>
                </c:pt>
                <c:pt idx="64">
                  <c:v>0.53333333333333299</c:v>
                </c:pt>
                <c:pt idx="65">
                  <c:v>0.54166666666666596</c:v>
                </c:pt>
                <c:pt idx="66">
                  <c:v>0.55000000000000004</c:v>
                </c:pt>
                <c:pt idx="67">
                  <c:v>0.55833333333333302</c:v>
                </c:pt>
                <c:pt idx="68">
                  <c:v>0.56666666666666599</c:v>
                </c:pt>
                <c:pt idx="69">
                  <c:v>0.57499999999999996</c:v>
                </c:pt>
                <c:pt idx="70">
                  <c:v>0.58333333333333304</c:v>
                </c:pt>
                <c:pt idx="71">
                  <c:v>0.59166666666666601</c:v>
                </c:pt>
                <c:pt idx="72">
                  <c:v>0.6</c:v>
                </c:pt>
                <c:pt idx="73">
                  <c:v>0.60833333333333295</c:v>
                </c:pt>
                <c:pt idx="74">
                  <c:v>0.61666666666666603</c:v>
                </c:pt>
                <c:pt idx="75">
                  <c:v>0.625</c:v>
                </c:pt>
                <c:pt idx="76">
                  <c:v>0.63333333333333297</c:v>
                </c:pt>
                <c:pt idx="77">
                  <c:v>0.64166666666666605</c:v>
                </c:pt>
                <c:pt idx="78">
                  <c:v>0.65</c:v>
                </c:pt>
                <c:pt idx="79">
                  <c:v>0.65833333333333299</c:v>
                </c:pt>
                <c:pt idx="80">
                  <c:v>0.66666666666666596</c:v>
                </c:pt>
                <c:pt idx="81">
                  <c:v>0.67500000000000004</c:v>
                </c:pt>
                <c:pt idx="82">
                  <c:v>0.68333333333333302</c:v>
                </c:pt>
                <c:pt idx="83">
                  <c:v>0.69166666666666599</c:v>
                </c:pt>
                <c:pt idx="84">
                  <c:v>0.7</c:v>
                </c:pt>
                <c:pt idx="85">
                  <c:v>0.70833333333333304</c:v>
                </c:pt>
                <c:pt idx="86">
                  <c:v>0.71666666666666601</c:v>
                </c:pt>
                <c:pt idx="87">
                  <c:v>0.72499999999999998</c:v>
                </c:pt>
                <c:pt idx="88">
                  <c:v>0.73333333333333295</c:v>
                </c:pt>
                <c:pt idx="89">
                  <c:v>0.74166666666666603</c:v>
                </c:pt>
                <c:pt idx="90">
                  <c:v>0.75</c:v>
                </c:pt>
                <c:pt idx="91">
                  <c:v>0.75833333333333297</c:v>
                </c:pt>
                <c:pt idx="92">
                  <c:v>0.76666666666666605</c:v>
                </c:pt>
                <c:pt idx="93">
                  <c:v>0.77500000000000002</c:v>
                </c:pt>
                <c:pt idx="94">
                  <c:v>0.78333333333333299</c:v>
                </c:pt>
                <c:pt idx="95">
                  <c:v>0.79166666666666596</c:v>
                </c:pt>
                <c:pt idx="96">
                  <c:v>0.8</c:v>
                </c:pt>
                <c:pt idx="97">
                  <c:v>0.80833333333333302</c:v>
                </c:pt>
                <c:pt idx="98">
                  <c:v>0.81666666666666599</c:v>
                </c:pt>
              </c:numCache>
            </c:numRef>
          </c:cat>
          <c:val>
            <c:numRef>
              <c:f>angvel!$B$52:$B$150</c:f>
              <c:numCache>
                <c:formatCode>0.0</c:formatCode>
                <c:ptCount val="99"/>
                <c:pt idx="0">
                  <c:v>6.9999999999999999E-4</c:v>
                </c:pt>
                <c:pt idx="1">
                  <c:v>0.2894167583261204</c:v>
                </c:pt>
                <c:pt idx="2">
                  <c:v>0.52081996889520277</c:v>
                </c:pt>
                <c:pt idx="3">
                  <c:v>0.71651901579790622</c:v>
                </c:pt>
                <c:pt idx="4">
                  <c:v>0.8822154442084994</c:v>
                </c:pt>
                <c:pt idx="5">
                  <c:v>1.0227112691273132</c:v>
                </c:pt>
                <c:pt idx="6">
                  <c:v>1.1422075818344055</c:v>
                </c:pt>
                <c:pt idx="7">
                  <c:v>1.2443043799649665</c:v>
                </c:pt>
                <c:pt idx="8">
                  <c:v>1.3318022375713297</c:v>
                </c:pt>
                <c:pt idx="9">
                  <c:v>1.4071008883516491</c:v>
                </c:pt>
                <c:pt idx="10">
                  <c:v>1.4722001766064288</c:v>
                </c:pt>
                <c:pt idx="11">
                  <c:v>1.5287999999999999</c:v>
                </c:pt>
                <c:pt idx="12">
                  <c:v>1.5781001077244752</c:v>
                </c:pt>
                <c:pt idx="13">
                  <c:v>1.6213003608215228</c:v>
                </c:pt>
                <c:pt idx="14">
                  <c:v>1.6592006268079817</c:v>
                </c:pt>
                <c:pt idx="15">
                  <c:v>1.6926008743941972</c:v>
                </c:pt>
                <c:pt idx="16">
                  <c:v>1.7221010945934621</c:v>
                </c:pt>
                <c:pt idx="17">
                  <c:v>1.7483012383453831</c:v>
                </c:pt>
                <c:pt idx="18">
                  <c:v>1.771601222058734</c:v>
                </c:pt>
                <c:pt idx="19">
                  <c:v>1.7923012079446914</c:v>
                </c:pt>
                <c:pt idx="20">
                  <c:v>1.810801104483869</c:v>
                </c:pt>
                <c:pt idx="21">
                  <c:v>1.8274009302832259</c:v>
                </c:pt>
                <c:pt idx="22">
                  <c:v>1.8423007816314902</c:v>
                </c:pt>
                <c:pt idx="23">
                  <c:v>1.8557007140161368</c:v>
                </c:pt>
                <c:pt idx="24">
                  <c:v>1.867700653209716</c:v>
                </c:pt>
                <c:pt idx="25">
                  <c:v>1.8785005988819914</c:v>
                </c:pt>
                <c:pt idx="26">
                  <c:v>1.8882004898844826</c:v>
                </c:pt>
                <c:pt idx="27">
                  <c:v>1.8970003584606936</c:v>
                </c:pt>
                <c:pt idx="28">
                  <c:v>1.9049002782298081</c:v>
                </c:pt>
                <c:pt idx="29">
                  <c:v>1.9121002091940682</c:v>
                </c:pt>
                <c:pt idx="30">
                  <c:v>1.9186001511518758</c:v>
                </c:pt>
                <c:pt idx="31">
                  <c:v>1.924500103923094</c:v>
                </c:pt>
                <c:pt idx="32">
                  <c:v>1.9298000673644926</c:v>
                </c:pt>
                <c:pt idx="33">
                  <c:v>1.9346000439367306</c:v>
                </c:pt>
                <c:pt idx="34">
                  <c:v>1.939000043837029</c:v>
                </c:pt>
                <c:pt idx="35">
                  <c:v>1.9430000257334017</c:v>
                </c:pt>
                <c:pt idx="36">
                  <c:v>1.9466000256858109</c:v>
                </c:pt>
                <c:pt idx="37">
                  <c:v>1.9499000256423404</c:v>
                </c:pt>
                <c:pt idx="38">
                  <c:v>1.9529000256029492</c:v>
                </c:pt>
                <c:pt idx="39">
                  <c:v>1.9556000255676005</c:v>
                </c:pt>
                <c:pt idx="40">
                  <c:v>1.9580000255362613</c:v>
                </c:pt>
                <c:pt idx="41">
                  <c:v>1.9602000255076011</c:v>
                </c:pt>
                <c:pt idx="42">
                  <c:v>1.9622000254816021</c:v>
                </c:pt>
                <c:pt idx="43">
                  <c:v>1.9641000254569521</c:v>
                </c:pt>
                <c:pt idx="44">
                  <c:v>1.9658000228914436</c:v>
                </c:pt>
                <c:pt idx="45">
                  <c:v>1.9673000228739896</c:v>
                </c:pt>
                <c:pt idx="46">
                  <c:v>1.9687000228577232</c:v>
                </c:pt>
                <c:pt idx="47">
                  <c:v>1.9700000228426395</c:v>
                </c:pt>
                <c:pt idx="48">
                  <c:v>1.9711000228298918</c:v>
                </c:pt>
                <c:pt idx="49">
                  <c:v>1.9721000228183154</c:v>
                </c:pt>
                <c:pt idx="50">
                  <c:v>1.9731000228067508</c:v>
                </c:pt>
                <c:pt idx="51">
                  <c:v>1.9740000227963523</c:v>
                </c:pt>
                <c:pt idx="52">
                  <c:v>1.9748000405104311</c:v>
                </c:pt>
                <c:pt idx="53">
                  <c:v>1.9755000430270813</c:v>
                </c:pt>
                <c:pt idx="54">
                  <c:v>1.976100043014017</c:v>
                </c:pt>
                <c:pt idx="55">
                  <c:v>1.9767000430009607</c:v>
                </c:pt>
                <c:pt idx="56">
                  <c:v>1.9772000252882864</c:v>
                </c:pt>
                <c:pt idx="57">
                  <c:v>1.9777000126409465</c:v>
                </c:pt>
                <c:pt idx="58">
                  <c:v>1.9781000126383903</c:v>
                </c:pt>
                <c:pt idx="59">
                  <c:v>1.9785000126358352</c:v>
                </c:pt>
                <c:pt idx="60">
                  <c:v>1.9789000126332812</c:v>
                </c:pt>
                <c:pt idx="61">
                  <c:v>1.9792000126313662</c:v>
                </c:pt>
                <c:pt idx="62">
                  <c:v>1.9795000101035616</c:v>
                </c:pt>
                <c:pt idx="63">
                  <c:v>1.9798000227295685</c:v>
                </c:pt>
                <c:pt idx="64">
                  <c:v>1.9801000227261247</c:v>
                </c:pt>
                <c:pt idx="65">
                  <c:v>1.9803000227238294</c:v>
                </c:pt>
                <c:pt idx="66">
                  <c:v>1.9805000227215348</c:v>
                </c:pt>
                <c:pt idx="67">
                  <c:v>1.9807000227192404</c:v>
                </c:pt>
                <c:pt idx="68">
                  <c:v>1.9809000100964209</c:v>
                </c:pt>
                <c:pt idx="69">
                  <c:v>1.9811000025238505</c:v>
                </c:pt>
                <c:pt idx="70">
                  <c:v>1.9812000025237231</c:v>
                </c:pt>
                <c:pt idx="71">
                  <c:v>1.9813000025235956</c:v>
                </c:pt>
                <c:pt idx="72">
                  <c:v>1.9814000025234684</c:v>
                </c:pt>
                <c:pt idx="73">
                  <c:v>1.9815000025233409</c:v>
                </c:pt>
                <c:pt idx="74">
                  <c:v>1.9816000025232134</c:v>
                </c:pt>
                <c:pt idx="75">
                  <c:v>1.9817000025230862</c:v>
                </c:pt>
                <c:pt idx="76">
                  <c:v>1.9818000100918358</c:v>
                </c:pt>
                <c:pt idx="77">
                  <c:v>1.9819000100913264</c:v>
                </c:pt>
                <c:pt idx="78">
                  <c:v>1.9820000227043388</c:v>
                </c:pt>
                <c:pt idx="79">
                  <c:v>1.9821000227031935</c:v>
                </c:pt>
                <c:pt idx="80">
                  <c:v>1.982200022702048</c:v>
                </c:pt>
                <c:pt idx="81">
                  <c:v>1.9823000252232252</c:v>
                </c:pt>
                <c:pt idx="82">
                  <c:v>1.9823000126116126</c:v>
                </c:pt>
                <c:pt idx="83">
                  <c:v>1.9823000050446449</c:v>
                </c:pt>
                <c:pt idx="84">
                  <c:v>1.9823000050446449</c:v>
                </c:pt>
                <c:pt idx="85">
                  <c:v>1.9823000025223225</c:v>
                </c:pt>
                <c:pt idx="86">
                  <c:v>1.9823000025223225</c:v>
                </c:pt>
                <c:pt idx="87">
                  <c:v>1.9823000025223225</c:v>
                </c:pt>
                <c:pt idx="88">
                  <c:v>1.9823000025223225</c:v>
                </c:pt>
                <c:pt idx="89">
                  <c:v>1.9823000100892902</c:v>
                </c:pt>
                <c:pt idx="90">
                  <c:v>1.9823000100892902</c:v>
                </c:pt>
                <c:pt idx="91">
                  <c:v>1.9823000227009027</c:v>
                </c:pt>
                <c:pt idx="92">
                  <c:v>1.9824000226997576</c:v>
                </c:pt>
                <c:pt idx="93">
                  <c:v>1.9824000226997576</c:v>
                </c:pt>
                <c:pt idx="94">
                  <c:v>1.9824000226997576</c:v>
                </c:pt>
                <c:pt idx="95">
                  <c:v>1.9824000428773199</c:v>
                </c:pt>
                <c:pt idx="96">
                  <c:v>1.9824000504439057</c:v>
                </c:pt>
                <c:pt idx="97">
                  <c:v>1.9824000630548819</c:v>
                </c:pt>
                <c:pt idx="98">
                  <c:v>1.9825000630517013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67-4958-A6CB-C5CE11EE9999}"/>
            </c:ext>
          </c:extLst>
        </c:ser>
        <c:ser>
          <c:idx val="1"/>
          <c:order val="1"/>
          <c:tx>
            <c:strRef>
              <c:f>angvel!$C$1</c:f>
              <c:strCache>
                <c:ptCount val="1"/>
                <c:pt idx="0">
                  <c:v>Hybrid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angvel!$A$52:$A$150</c:f>
              <c:numCache>
                <c:formatCode>0.00</c:formatCode>
                <c:ptCount val="99"/>
                <c:pt idx="0">
                  <c:v>0</c:v>
                </c:pt>
                <c:pt idx="1">
                  <c:v>8.3333333333333297E-3</c:v>
                </c:pt>
                <c:pt idx="2">
                  <c:v>1.6666666666666701E-2</c:v>
                </c:pt>
                <c:pt idx="3">
                  <c:v>2.5000000000000001E-2</c:v>
                </c:pt>
                <c:pt idx="4">
                  <c:v>3.3333333333333298E-2</c:v>
                </c:pt>
                <c:pt idx="5">
                  <c:v>4.1666666666666699E-2</c:v>
                </c:pt>
                <c:pt idx="6">
                  <c:v>0.05</c:v>
                </c:pt>
                <c:pt idx="7">
                  <c:v>5.83333333333333E-2</c:v>
                </c:pt>
                <c:pt idx="8">
                  <c:v>6.6666666666666596E-2</c:v>
                </c:pt>
                <c:pt idx="9">
                  <c:v>7.4999999999999997E-2</c:v>
                </c:pt>
                <c:pt idx="10">
                  <c:v>8.3333333333333301E-2</c:v>
                </c:pt>
                <c:pt idx="11">
                  <c:v>9.1666666666666605E-2</c:v>
                </c:pt>
                <c:pt idx="12">
                  <c:v>0.1</c:v>
                </c:pt>
                <c:pt idx="13">
                  <c:v>0.108333333333333</c:v>
                </c:pt>
                <c:pt idx="14">
                  <c:v>0.116666666666667</c:v>
                </c:pt>
                <c:pt idx="15">
                  <c:v>0.125</c:v>
                </c:pt>
                <c:pt idx="16">
                  <c:v>0.133333333333333</c:v>
                </c:pt>
                <c:pt idx="17">
                  <c:v>0.141666666666667</c:v>
                </c:pt>
                <c:pt idx="18">
                  <c:v>0.15</c:v>
                </c:pt>
                <c:pt idx="19">
                  <c:v>0.15833333333333299</c:v>
                </c:pt>
                <c:pt idx="20">
                  <c:v>0.16666666666666699</c:v>
                </c:pt>
                <c:pt idx="21">
                  <c:v>0.17499999999999999</c:v>
                </c:pt>
                <c:pt idx="22">
                  <c:v>0.18333333333333299</c:v>
                </c:pt>
                <c:pt idx="23">
                  <c:v>0.19166666666666701</c:v>
                </c:pt>
                <c:pt idx="24">
                  <c:v>0.2</c:v>
                </c:pt>
                <c:pt idx="25">
                  <c:v>0.20833333333333301</c:v>
                </c:pt>
                <c:pt idx="26">
                  <c:v>0.21666666666666701</c:v>
                </c:pt>
                <c:pt idx="27">
                  <c:v>0.22500000000000001</c:v>
                </c:pt>
                <c:pt idx="28">
                  <c:v>0.233333333333333</c:v>
                </c:pt>
                <c:pt idx="29">
                  <c:v>0.241666666666667</c:v>
                </c:pt>
                <c:pt idx="30">
                  <c:v>0.25</c:v>
                </c:pt>
                <c:pt idx="31">
                  <c:v>0.25833333333333303</c:v>
                </c:pt>
                <c:pt idx="32">
                  <c:v>0.266666666666667</c:v>
                </c:pt>
                <c:pt idx="33">
                  <c:v>0.27500000000000002</c:v>
                </c:pt>
                <c:pt idx="34">
                  <c:v>0.28333333333333299</c:v>
                </c:pt>
                <c:pt idx="35">
                  <c:v>0.29166666666666702</c:v>
                </c:pt>
                <c:pt idx="36">
                  <c:v>0.3</c:v>
                </c:pt>
                <c:pt idx="37">
                  <c:v>0.30833333333333302</c:v>
                </c:pt>
                <c:pt idx="38">
                  <c:v>0.31666666666666698</c:v>
                </c:pt>
                <c:pt idx="39">
                  <c:v>0.32500000000000001</c:v>
                </c:pt>
                <c:pt idx="40">
                  <c:v>0.33333333333333298</c:v>
                </c:pt>
                <c:pt idx="41">
                  <c:v>0.34166666666666701</c:v>
                </c:pt>
                <c:pt idx="42">
                  <c:v>0.35</c:v>
                </c:pt>
                <c:pt idx="43">
                  <c:v>0.358333333333333</c:v>
                </c:pt>
                <c:pt idx="44">
                  <c:v>0.36666666666666697</c:v>
                </c:pt>
                <c:pt idx="45">
                  <c:v>0.375</c:v>
                </c:pt>
                <c:pt idx="46">
                  <c:v>0.38333333333333303</c:v>
                </c:pt>
                <c:pt idx="47">
                  <c:v>0.391666666666666</c:v>
                </c:pt>
                <c:pt idx="48">
                  <c:v>0.4</c:v>
                </c:pt>
                <c:pt idx="49">
                  <c:v>0.40833333333333299</c:v>
                </c:pt>
                <c:pt idx="50">
                  <c:v>0.41666666666666602</c:v>
                </c:pt>
                <c:pt idx="51">
                  <c:v>0.42499999999999999</c:v>
                </c:pt>
                <c:pt idx="52">
                  <c:v>0.43333333333333302</c:v>
                </c:pt>
                <c:pt idx="53">
                  <c:v>0.44166666666666599</c:v>
                </c:pt>
                <c:pt idx="54">
                  <c:v>0.45</c:v>
                </c:pt>
                <c:pt idx="55">
                  <c:v>0.45833333333333298</c:v>
                </c:pt>
                <c:pt idx="56">
                  <c:v>0.46666666666666601</c:v>
                </c:pt>
                <c:pt idx="57">
                  <c:v>0.47499999999999998</c:v>
                </c:pt>
                <c:pt idx="58">
                  <c:v>0.483333333333333</c:v>
                </c:pt>
                <c:pt idx="59">
                  <c:v>0.49166666666666597</c:v>
                </c:pt>
                <c:pt idx="60">
                  <c:v>0.5</c:v>
                </c:pt>
                <c:pt idx="61">
                  <c:v>0.50833333333333297</c:v>
                </c:pt>
                <c:pt idx="62">
                  <c:v>0.51666666666666605</c:v>
                </c:pt>
                <c:pt idx="63">
                  <c:v>0.52500000000000002</c:v>
                </c:pt>
                <c:pt idx="64">
                  <c:v>0.53333333333333299</c:v>
                </c:pt>
                <c:pt idx="65">
                  <c:v>0.54166666666666596</c:v>
                </c:pt>
                <c:pt idx="66">
                  <c:v>0.55000000000000004</c:v>
                </c:pt>
                <c:pt idx="67">
                  <c:v>0.55833333333333302</c:v>
                </c:pt>
                <c:pt idx="68">
                  <c:v>0.56666666666666599</c:v>
                </c:pt>
                <c:pt idx="69">
                  <c:v>0.57499999999999996</c:v>
                </c:pt>
                <c:pt idx="70">
                  <c:v>0.58333333333333304</c:v>
                </c:pt>
                <c:pt idx="71">
                  <c:v>0.59166666666666601</c:v>
                </c:pt>
                <c:pt idx="72">
                  <c:v>0.6</c:v>
                </c:pt>
                <c:pt idx="73">
                  <c:v>0.60833333333333295</c:v>
                </c:pt>
                <c:pt idx="74">
                  <c:v>0.61666666666666603</c:v>
                </c:pt>
                <c:pt idx="75">
                  <c:v>0.625</c:v>
                </c:pt>
                <c:pt idx="76">
                  <c:v>0.63333333333333297</c:v>
                </c:pt>
                <c:pt idx="77">
                  <c:v>0.64166666666666605</c:v>
                </c:pt>
                <c:pt idx="78">
                  <c:v>0.65</c:v>
                </c:pt>
                <c:pt idx="79">
                  <c:v>0.65833333333333299</c:v>
                </c:pt>
                <c:pt idx="80">
                  <c:v>0.66666666666666596</c:v>
                </c:pt>
                <c:pt idx="81">
                  <c:v>0.67500000000000004</c:v>
                </c:pt>
                <c:pt idx="82">
                  <c:v>0.68333333333333302</c:v>
                </c:pt>
                <c:pt idx="83">
                  <c:v>0.69166666666666599</c:v>
                </c:pt>
                <c:pt idx="84">
                  <c:v>0.7</c:v>
                </c:pt>
                <c:pt idx="85">
                  <c:v>0.70833333333333304</c:v>
                </c:pt>
                <c:pt idx="86">
                  <c:v>0.71666666666666601</c:v>
                </c:pt>
                <c:pt idx="87">
                  <c:v>0.72499999999999998</c:v>
                </c:pt>
                <c:pt idx="88">
                  <c:v>0.73333333333333295</c:v>
                </c:pt>
                <c:pt idx="89">
                  <c:v>0.74166666666666603</c:v>
                </c:pt>
                <c:pt idx="90">
                  <c:v>0.75</c:v>
                </c:pt>
                <c:pt idx="91">
                  <c:v>0.75833333333333297</c:v>
                </c:pt>
                <c:pt idx="92">
                  <c:v>0.76666666666666605</c:v>
                </c:pt>
                <c:pt idx="93">
                  <c:v>0.77500000000000002</c:v>
                </c:pt>
                <c:pt idx="94">
                  <c:v>0.78333333333333299</c:v>
                </c:pt>
                <c:pt idx="95">
                  <c:v>0.79166666666666596</c:v>
                </c:pt>
                <c:pt idx="96">
                  <c:v>0.8</c:v>
                </c:pt>
                <c:pt idx="97">
                  <c:v>0.80833333333333302</c:v>
                </c:pt>
                <c:pt idx="98">
                  <c:v>0.81666666666666599</c:v>
                </c:pt>
              </c:numCache>
            </c:numRef>
          </c:cat>
          <c:val>
            <c:numRef>
              <c:f>angvel!$C$52:$C$150</c:f>
              <c:numCache>
                <c:formatCode>0.0</c:formatCode>
                <c:ptCount val="99"/>
                <c:pt idx="0">
                  <c:v>7.6157731058639085E-4</c:v>
                </c:pt>
                <c:pt idx="1">
                  <c:v>0.27551388349772871</c:v>
                </c:pt>
                <c:pt idx="2">
                  <c:v>0.49781632154842015</c:v>
                </c:pt>
                <c:pt idx="3">
                  <c:v>0.68761539395217153</c:v>
                </c:pt>
                <c:pt idx="4">
                  <c:v>0.84981245578068576</c:v>
                </c:pt>
                <c:pt idx="5">
                  <c:v>0.98880911201303157</c:v>
                </c:pt>
                <c:pt idx="6">
                  <c:v>1.1083058693339127</c:v>
                </c:pt>
                <c:pt idx="7">
                  <c:v>1.2114034711853849</c:v>
                </c:pt>
                <c:pt idx="8">
                  <c:v>1.3007016337346546</c:v>
                </c:pt>
                <c:pt idx="9">
                  <c:v>1.3784006166568556</c:v>
                </c:pt>
                <c:pt idx="10">
                  <c:v>1.4463001279125989</c:v>
                </c:pt>
                <c:pt idx="11">
                  <c:v>1.5059000431635561</c:v>
                </c:pt>
                <c:pt idx="12">
                  <c:v>1.5584001604209363</c:v>
                </c:pt>
                <c:pt idx="13">
                  <c:v>1.604800361415712</c:v>
                </c:pt>
                <c:pt idx="14">
                  <c:v>1.6459005468132029</c:v>
                </c:pt>
                <c:pt idx="15">
                  <c:v>1.6825007726595553</c:v>
                </c:pt>
                <c:pt idx="16">
                  <c:v>1.7152008920240218</c:v>
                </c:pt>
                <c:pt idx="17">
                  <c:v>1.7445010203493718</c:v>
                </c:pt>
                <c:pt idx="18">
                  <c:v>1.7707010645504226</c:v>
                </c:pt>
                <c:pt idx="19">
                  <c:v>1.7943009641640391</c:v>
                </c:pt>
                <c:pt idx="20">
                  <c:v>1.8156008729894355</c:v>
                </c:pt>
                <c:pt idx="21">
                  <c:v>1.8348007902766992</c:v>
                </c:pt>
                <c:pt idx="22">
                  <c:v>1.8521007154039977</c:v>
                </c:pt>
                <c:pt idx="23">
                  <c:v>1.8678006478208533</c:v>
                </c:pt>
                <c:pt idx="24">
                  <c:v>1.8820005871412473</c:v>
                </c:pt>
                <c:pt idx="25">
                  <c:v>1.8949004775977023</c:v>
                </c:pt>
                <c:pt idx="26">
                  <c:v>1.90670038023807</c:v>
                </c:pt>
                <c:pt idx="27">
                  <c:v>1.9174002946698427</c:v>
                </c:pt>
                <c:pt idx="28">
                  <c:v>1.9271002594571982</c:v>
                </c:pt>
                <c:pt idx="29">
                  <c:v>1.9360002298553582</c:v>
                </c:pt>
                <c:pt idx="30">
                  <c:v>1.944100205750722</c:v>
                </c:pt>
                <c:pt idx="31">
                  <c:v>1.9515001870356046</c:v>
                </c:pt>
                <c:pt idx="32">
                  <c:v>1.958200173628835</c:v>
                </c:pt>
                <c:pt idx="33">
                  <c:v>1.9643001730896426</c:v>
                </c:pt>
                <c:pt idx="34">
                  <c:v>1.9699001345245906</c:v>
                </c:pt>
                <c:pt idx="35">
                  <c:v>1.9750001012658203</c:v>
                </c:pt>
                <c:pt idx="36">
                  <c:v>1.9797000732434193</c:v>
                </c:pt>
                <c:pt idx="37">
                  <c:v>1.9840000504032251</c:v>
                </c:pt>
                <c:pt idx="38">
                  <c:v>1.9879000326978216</c:v>
                </c:pt>
                <c:pt idx="39">
                  <c:v>1.9915000326387144</c:v>
                </c:pt>
                <c:pt idx="40">
                  <c:v>1.9948000325847199</c:v>
                </c:pt>
                <c:pt idx="41">
                  <c:v>1.9978000325357892</c:v>
                </c:pt>
                <c:pt idx="42">
                  <c:v>2.0005000324918769</c:v>
                </c:pt>
                <c:pt idx="43">
                  <c:v>2.0030000324513231</c:v>
                </c:pt>
                <c:pt idx="44">
                  <c:v>2.0053000249339252</c:v>
                </c:pt>
                <c:pt idx="45">
                  <c:v>2.0074000249078412</c:v>
                </c:pt>
                <c:pt idx="46">
                  <c:v>2.0093000223958595</c:v>
                </c:pt>
                <c:pt idx="47">
                  <c:v>2.0111000397792247</c:v>
                </c:pt>
                <c:pt idx="48">
                  <c:v>2.0127000397476027</c:v>
                </c:pt>
                <c:pt idx="49">
                  <c:v>2.014200039718002</c:v>
                </c:pt>
                <c:pt idx="50">
                  <c:v>2.0156000223258581</c:v>
                </c:pt>
                <c:pt idx="51">
                  <c:v>2.0168000099166994</c:v>
                </c:pt>
                <c:pt idx="52">
                  <c:v>2.0179000024778233</c:v>
                </c:pt>
                <c:pt idx="53">
                  <c:v>2.0189000024765962</c:v>
                </c:pt>
                <c:pt idx="54">
                  <c:v>2.0199000024753699</c:v>
                </c:pt>
                <c:pt idx="55">
                  <c:v>2.0208000024742674</c:v>
                </c:pt>
                <c:pt idx="56">
                  <c:v>2.0216000024732881</c:v>
                </c:pt>
                <c:pt idx="57">
                  <c:v>2.0223000024724325</c:v>
                </c:pt>
                <c:pt idx="58">
                  <c:v>2.0230000098863075</c:v>
                </c:pt>
                <c:pt idx="59">
                  <c:v>2.0236000222375963</c:v>
                </c:pt>
                <c:pt idx="60">
                  <c:v>2.0242000222310046</c:v>
                </c:pt>
                <c:pt idx="61">
                  <c:v>2.0247000222255149</c:v>
                </c:pt>
                <c:pt idx="62">
                  <c:v>2.0252000222200275</c:v>
                </c:pt>
                <c:pt idx="63">
                  <c:v>2.0256000098736173</c:v>
                </c:pt>
                <c:pt idx="64">
                  <c:v>2.0260000024679168</c:v>
                </c:pt>
                <c:pt idx="65">
                  <c:v>2.0264000000000002</c:v>
                </c:pt>
                <c:pt idx="66">
                  <c:v>2.0266999999999999</c:v>
                </c:pt>
                <c:pt idx="67">
                  <c:v>2.0270000000000001</c:v>
                </c:pt>
                <c:pt idx="68">
                  <c:v>2.0272999999999999</c:v>
                </c:pt>
                <c:pt idx="69">
                  <c:v>2.0276000000000001</c:v>
                </c:pt>
                <c:pt idx="70">
                  <c:v>2.0278</c:v>
                </c:pt>
                <c:pt idx="71">
                  <c:v>2.0280000024654834</c:v>
                </c:pt>
                <c:pt idx="72">
                  <c:v>2.0282000098609605</c:v>
                </c:pt>
                <c:pt idx="73">
                  <c:v>2.0284000098599879</c:v>
                </c:pt>
                <c:pt idx="74">
                  <c:v>2.0286000098590158</c:v>
                </c:pt>
                <c:pt idx="75">
                  <c:v>2.0288000098580441</c:v>
                </c:pt>
                <c:pt idx="76">
                  <c:v>2.0289000024643897</c:v>
                </c:pt>
                <c:pt idx="77">
                  <c:v>2.0289999999999999</c:v>
                </c:pt>
                <c:pt idx="78">
                  <c:v>2.0291000000000001</c:v>
                </c:pt>
                <c:pt idx="79">
                  <c:v>2.0291999999999999</c:v>
                </c:pt>
                <c:pt idx="80">
                  <c:v>2.0293000000000001</c:v>
                </c:pt>
                <c:pt idx="81">
                  <c:v>2.0293999999999999</c:v>
                </c:pt>
                <c:pt idx="82">
                  <c:v>2.0295000000000001</c:v>
                </c:pt>
                <c:pt idx="83">
                  <c:v>2.0296000024635394</c:v>
                </c:pt>
                <c:pt idx="84">
                  <c:v>2.0297000024634184</c:v>
                </c:pt>
                <c:pt idx="85">
                  <c:v>2.0298000024632969</c:v>
                </c:pt>
                <c:pt idx="86">
                  <c:v>2.0299000024631755</c:v>
                </c:pt>
                <c:pt idx="87">
                  <c:v>2.0299000024631755</c:v>
                </c:pt>
                <c:pt idx="88">
                  <c:v>2.0299000024631755</c:v>
                </c:pt>
                <c:pt idx="89">
                  <c:v>2.0300000098522162</c:v>
                </c:pt>
                <c:pt idx="90">
                  <c:v>2.0300000221674872</c:v>
                </c:pt>
                <c:pt idx="91">
                  <c:v>2.0300000221674872</c:v>
                </c:pt>
                <c:pt idx="92">
                  <c:v>2.0301000221663954</c:v>
                </c:pt>
                <c:pt idx="93">
                  <c:v>2.0301000098517314</c:v>
                </c:pt>
                <c:pt idx="94">
                  <c:v>2.0301000024629325</c:v>
                </c:pt>
                <c:pt idx="95">
                  <c:v>2.0301999999999998</c:v>
                </c:pt>
                <c:pt idx="96">
                  <c:v>2.0301999999999998</c:v>
                </c:pt>
                <c:pt idx="97">
                  <c:v>2.0301999999999998</c:v>
                </c:pt>
                <c:pt idx="98">
                  <c:v>2.0301999999999998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67-4958-A6CB-C5CE11EE9999}"/>
            </c:ext>
          </c:extLst>
        </c:ser>
        <c:ser>
          <c:idx val="2"/>
          <c:order val="2"/>
          <c:tx>
            <c:strRef>
              <c:f>angvel!$D$1</c:f>
              <c:strCache>
                <c:ptCount val="1"/>
                <c:pt idx="0">
                  <c:v>Dominus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angvel!$A$52:$A$150</c:f>
              <c:numCache>
                <c:formatCode>0.00</c:formatCode>
                <c:ptCount val="99"/>
                <c:pt idx="0">
                  <c:v>0</c:v>
                </c:pt>
                <c:pt idx="1">
                  <c:v>8.3333333333333297E-3</c:v>
                </c:pt>
                <c:pt idx="2">
                  <c:v>1.6666666666666701E-2</c:v>
                </c:pt>
                <c:pt idx="3">
                  <c:v>2.5000000000000001E-2</c:v>
                </c:pt>
                <c:pt idx="4">
                  <c:v>3.3333333333333298E-2</c:v>
                </c:pt>
                <c:pt idx="5">
                  <c:v>4.1666666666666699E-2</c:v>
                </c:pt>
                <c:pt idx="6">
                  <c:v>0.05</c:v>
                </c:pt>
                <c:pt idx="7">
                  <c:v>5.83333333333333E-2</c:v>
                </c:pt>
                <c:pt idx="8">
                  <c:v>6.6666666666666596E-2</c:v>
                </c:pt>
                <c:pt idx="9">
                  <c:v>7.4999999999999997E-2</c:v>
                </c:pt>
                <c:pt idx="10">
                  <c:v>8.3333333333333301E-2</c:v>
                </c:pt>
                <c:pt idx="11">
                  <c:v>9.1666666666666605E-2</c:v>
                </c:pt>
                <c:pt idx="12">
                  <c:v>0.1</c:v>
                </c:pt>
                <c:pt idx="13">
                  <c:v>0.108333333333333</c:v>
                </c:pt>
                <c:pt idx="14">
                  <c:v>0.116666666666667</c:v>
                </c:pt>
                <c:pt idx="15">
                  <c:v>0.125</c:v>
                </c:pt>
                <c:pt idx="16">
                  <c:v>0.133333333333333</c:v>
                </c:pt>
                <c:pt idx="17">
                  <c:v>0.141666666666667</c:v>
                </c:pt>
                <c:pt idx="18">
                  <c:v>0.15</c:v>
                </c:pt>
                <c:pt idx="19">
                  <c:v>0.15833333333333299</c:v>
                </c:pt>
                <c:pt idx="20">
                  <c:v>0.16666666666666699</c:v>
                </c:pt>
                <c:pt idx="21">
                  <c:v>0.17499999999999999</c:v>
                </c:pt>
                <c:pt idx="22">
                  <c:v>0.18333333333333299</c:v>
                </c:pt>
                <c:pt idx="23">
                  <c:v>0.19166666666666701</c:v>
                </c:pt>
                <c:pt idx="24">
                  <c:v>0.2</c:v>
                </c:pt>
                <c:pt idx="25">
                  <c:v>0.20833333333333301</c:v>
                </c:pt>
                <c:pt idx="26">
                  <c:v>0.21666666666666701</c:v>
                </c:pt>
                <c:pt idx="27">
                  <c:v>0.22500000000000001</c:v>
                </c:pt>
                <c:pt idx="28">
                  <c:v>0.233333333333333</c:v>
                </c:pt>
                <c:pt idx="29">
                  <c:v>0.241666666666667</c:v>
                </c:pt>
                <c:pt idx="30">
                  <c:v>0.25</c:v>
                </c:pt>
                <c:pt idx="31">
                  <c:v>0.25833333333333303</c:v>
                </c:pt>
                <c:pt idx="32">
                  <c:v>0.266666666666667</c:v>
                </c:pt>
                <c:pt idx="33">
                  <c:v>0.27500000000000002</c:v>
                </c:pt>
                <c:pt idx="34">
                  <c:v>0.28333333333333299</c:v>
                </c:pt>
                <c:pt idx="35">
                  <c:v>0.29166666666666702</c:v>
                </c:pt>
                <c:pt idx="36">
                  <c:v>0.3</c:v>
                </c:pt>
                <c:pt idx="37">
                  <c:v>0.30833333333333302</c:v>
                </c:pt>
                <c:pt idx="38">
                  <c:v>0.31666666666666698</c:v>
                </c:pt>
                <c:pt idx="39">
                  <c:v>0.32500000000000001</c:v>
                </c:pt>
                <c:pt idx="40">
                  <c:v>0.33333333333333298</c:v>
                </c:pt>
                <c:pt idx="41">
                  <c:v>0.34166666666666701</c:v>
                </c:pt>
                <c:pt idx="42">
                  <c:v>0.35</c:v>
                </c:pt>
                <c:pt idx="43">
                  <c:v>0.358333333333333</c:v>
                </c:pt>
                <c:pt idx="44">
                  <c:v>0.36666666666666697</c:v>
                </c:pt>
                <c:pt idx="45">
                  <c:v>0.375</c:v>
                </c:pt>
                <c:pt idx="46">
                  <c:v>0.38333333333333303</c:v>
                </c:pt>
                <c:pt idx="47">
                  <c:v>0.391666666666666</c:v>
                </c:pt>
                <c:pt idx="48">
                  <c:v>0.4</c:v>
                </c:pt>
                <c:pt idx="49">
                  <c:v>0.40833333333333299</c:v>
                </c:pt>
                <c:pt idx="50">
                  <c:v>0.41666666666666602</c:v>
                </c:pt>
                <c:pt idx="51">
                  <c:v>0.42499999999999999</c:v>
                </c:pt>
                <c:pt idx="52">
                  <c:v>0.43333333333333302</c:v>
                </c:pt>
                <c:pt idx="53">
                  <c:v>0.44166666666666599</c:v>
                </c:pt>
                <c:pt idx="54">
                  <c:v>0.45</c:v>
                </c:pt>
                <c:pt idx="55">
                  <c:v>0.45833333333333298</c:v>
                </c:pt>
                <c:pt idx="56">
                  <c:v>0.46666666666666601</c:v>
                </c:pt>
                <c:pt idx="57">
                  <c:v>0.47499999999999998</c:v>
                </c:pt>
                <c:pt idx="58">
                  <c:v>0.483333333333333</c:v>
                </c:pt>
                <c:pt idx="59">
                  <c:v>0.49166666666666597</c:v>
                </c:pt>
                <c:pt idx="60">
                  <c:v>0.5</c:v>
                </c:pt>
                <c:pt idx="61">
                  <c:v>0.50833333333333297</c:v>
                </c:pt>
                <c:pt idx="62">
                  <c:v>0.51666666666666605</c:v>
                </c:pt>
                <c:pt idx="63">
                  <c:v>0.52500000000000002</c:v>
                </c:pt>
                <c:pt idx="64">
                  <c:v>0.53333333333333299</c:v>
                </c:pt>
                <c:pt idx="65">
                  <c:v>0.54166666666666596</c:v>
                </c:pt>
                <c:pt idx="66">
                  <c:v>0.55000000000000004</c:v>
                </c:pt>
                <c:pt idx="67">
                  <c:v>0.55833333333333302</c:v>
                </c:pt>
                <c:pt idx="68">
                  <c:v>0.56666666666666599</c:v>
                </c:pt>
                <c:pt idx="69">
                  <c:v>0.57499999999999996</c:v>
                </c:pt>
                <c:pt idx="70">
                  <c:v>0.58333333333333304</c:v>
                </c:pt>
                <c:pt idx="71">
                  <c:v>0.59166666666666601</c:v>
                </c:pt>
                <c:pt idx="72">
                  <c:v>0.6</c:v>
                </c:pt>
                <c:pt idx="73">
                  <c:v>0.60833333333333295</c:v>
                </c:pt>
                <c:pt idx="74">
                  <c:v>0.61666666666666603</c:v>
                </c:pt>
                <c:pt idx="75">
                  <c:v>0.625</c:v>
                </c:pt>
                <c:pt idx="76">
                  <c:v>0.63333333333333297</c:v>
                </c:pt>
                <c:pt idx="77">
                  <c:v>0.64166666666666605</c:v>
                </c:pt>
                <c:pt idx="78">
                  <c:v>0.65</c:v>
                </c:pt>
                <c:pt idx="79">
                  <c:v>0.65833333333333299</c:v>
                </c:pt>
                <c:pt idx="80">
                  <c:v>0.66666666666666596</c:v>
                </c:pt>
                <c:pt idx="81">
                  <c:v>0.67500000000000004</c:v>
                </c:pt>
                <c:pt idx="82">
                  <c:v>0.68333333333333302</c:v>
                </c:pt>
                <c:pt idx="83">
                  <c:v>0.69166666666666599</c:v>
                </c:pt>
                <c:pt idx="84">
                  <c:v>0.7</c:v>
                </c:pt>
                <c:pt idx="85">
                  <c:v>0.70833333333333304</c:v>
                </c:pt>
                <c:pt idx="86">
                  <c:v>0.71666666666666601</c:v>
                </c:pt>
                <c:pt idx="87">
                  <c:v>0.72499999999999998</c:v>
                </c:pt>
                <c:pt idx="88">
                  <c:v>0.73333333333333295</c:v>
                </c:pt>
                <c:pt idx="89">
                  <c:v>0.74166666666666603</c:v>
                </c:pt>
                <c:pt idx="90">
                  <c:v>0.75</c:v>
                </c:pt>
                <c:pt idx="91">
                  <c:v>0.75833333333333297</c:v>
                </c:pt>
                <c:pt idx="92">
                  <c:v>0.76666666666666605</c:v>
                </c:pt>
                <c:pt idx="93">
                  <c:v>0.77500000000000002</c:v>
                </c:pt>
                <c:pt idx="94">
                  <c:v>0.78333333333333299</c:v>
                </c:pt>
                <c:pt idx="95">
                  <c:v>0.79166666666666596</c:v>
                </c:pt>
                <c:pt idx="96">
                  <c:v>0.8</c:v>
                </c:pt>
                <c:pt idx="97">
                  <c:v>0.80833333333333302</c:v>
                </c:pt>
                <c:pt idx="98">
                  <c:v>0.81666666666666599</c:v>
                </c:pt>
              </c:numCache>
            </c:numRef>
          </c:cat>
          <c:val>
            <c:numRef>
              <c:f>angvel!$D$52:$D$150</c:f>
              <c:numCache>
                <c:formatCode>0.0</c:formatCode>
                <c:ptCount val="99"/>
                <c:pt idx="0">
                  <c:v>8.2462112512353219E-4</c:v>
                </c:pt>
                <c:pt idx="1">
                  <c:v>0.27304267065790289</c:v>
                </c:pt>
                <c:pt idx="2">
                  <c:v>0.49364656384907613</c:v>
                </c:pt>
                <c:pt idx="3">
                  <c:v>0.68223906367196541</c:v>
                </c:pt>
                <c:pt idx="4">
                  <c:v>0.84382788529415165</c:v>
                </c:pt>
                <c:pt idx="5">
                  <c:v>0.98251747567155268</c:v>
                </c:pt>
                <c:pt idx="6">
                  <c:v>1.10200943734616</c:v>
                </c:pt>
                <c:pt idx="7">
                  <c:v>1.2053040487777347</c:v>
                </c:pt>
                <c:pt idx="8">
                  <c:v>1.2951012084003319</c:v>
                </c:pt>
                <c:pt idx="9">
                  <c:v>1.3734001237803934</c:v>
                </c:pt>
                <c:pt idx="10">
                  <c:v>1.4420000554785011</c:v>
                </c:pt>
                <c:pt idx="11">
                  <c:v>1.5023004160286981</c:v>
                </c:pt>
                <c:pt idx="12">
                  <c:v>1.5555009836062466</c:v>
                </c:pt>
                <c:pt idx="13">
                  <c:v>1.6027014600355238</c:v>
                </c:pt>
                <c:pt idx="14">
                  <c:v>1.6447018118795882</c:v>
                </c:pt>
                <c:pt idx="15">
                  <c:v>1.6821019796671068</c:v>
                </c:pt>
                <c:pt idx="16">
                  <c:v>1.7156020313580886</c:v>
                </c:pt>
                <c:pt idx="17">
                  <c:v>1.7457018789014349</c:v>
                </c:pt>
                <c:pt idx="18">
                  <c:v>1.7727015484846849</c:v>
                </c:pt>
                <c:pt idx="19">
                  <c:v>1.7971012575812193</c:v>
                </c:pt>
                <c:pt idx="20">
                  <c:v>1.8191010032430854</c:v>
                </c:pt>
                <c:pt idx="21">
                  <c:v>1.8390007830340909</c:v>
                </c:pt>
                <c:pt idx="22">
                  <c:v>1.8571007134778661</c:v>
                </c:pt>
                <c:pt idx="23">
                  <c:v>1.8735005898050845</c:v>
                </c:pt>
                <c:pt idx="24">
                  <c:v>1.8884004792416254</c:v>
                </c:pt>
                <c:pt idx="25">
                  <c:v>1.9019003811977113</c:v>
                </c:pt>
                <c:pt idx="26">
                  <c:v>1.9142003395674132</c:v>
                </c:pt>
                <c:pt idx="27">
                  <c:v>1.9254003038329459</c:v>
                </c:pt>
                <c:pt idx="28">
                  <c:v>1.9357002738027393</c:v>
                </c:pt>
                <c:pt idx="29">
                  <c:v>1.9451002493444907</c:v>
                </c:pt>
                <c:pt idx="30">
                  <c:v>1.9536001868345529</c:v>
                </c:pt>
                <c:pt idx="31">
                  <c:v>1.9614001351075716</c:v>
                </c:pt>
                <c:pt idx="32">
                  <c:v>1.9685001016002004</c:v>
                </c:pt>
                <c:pt idx="33">
                  <c:v>1.9750000658227838</c:v>
                </c:pt>
                <c:pt idx="34">
                  <c:v>1.981000042907622</c:v>
                </c:pt>
                <c:pt idx="35">
                  <c:v>1.9865000226529068</c:v>
                </c:pt>
                <c:pt idx="36">
                  <c:v>1.9915000100426814</c:v>
                </c:pt>
                <c:pt idx="37">
                  <c:v>1.9961000025048845</c:v>
                </c:pt>
                <c:pt idx="38">
                  <c:v>2.0003000000000002</c:v>
                </c:pt>
                <c:pt idx="39">
                  <c:v>2.0042</c:v>
                </c:pt>
                <c:pt idx="40">
                  <c:v>2.0077000024904117</c:v>
                </c:pt>
                <c:pt idx="41">
                  <c:v>2.0110000024863255</c:v>
                </c:pt>
                <c:pt idx="42">
                  <c:v>2.0140000099304864</c:v>
                </c:pt>
                <c:pt idx="43">
                  <c:v>2.0167000223136808</c:v>
                </c:pt>
                <c:pt idx="44">
                  <c:v>2.019200022286054</c:v>
                </c:pt>
                <c:pt idx="45">
                  <c:v>2.0215000222606974</c:v>
                </c:pt>
                <c:pt idx="46">
                  <c:v>2.0236000395335041</c:v>
                </c:pt>
                <c:pt idx="47">
                  <c:v>2.0255000394964204</c:v>
                </c:pt>
                <c:pt idx="48">
                  <c:v>2.0273000394613523</c:v>
                </c:pt>
                <c:pt idx="49">
                  <c:v>2.028900039430233</c:v>
                </c:pt>
                <c:pt idx="50">
                  <c:v>2.030400039401103</c:v>
                </c:pt>
                <c:pt idx="51">
                  <c:v>2.0318000393739539</c:v>
                </c:pt>
                <c:pt idx="52">
                  <c:v>2.0331000393487777</c:v>
                </c:pt>
                <c:pt idx="53">
                  <c:v>2.0343000393255659</c:v>
                </c:pt>
                <c:pt idx="54">
                  <c:v>2.0354000393043132</c:v>
                </c:pt>
                <c:pt idx="55">
                  <c:v>2.0364000392850121</c:v>
                </c:pt>
                <c:pt idx="56">
                  <c:v>2.0373000392676577</c:v>
                </c:pt>
                <c:pt idx="57">
                  <c:v>2.0381000392522446</c:v>
                </c:pt>
                <c:pt idx="58">
                  <c:v>2.038900039236843</c:v>
                </c:pt>
                <c:pt idx="59">
                  <c:v>2.0396000392233766</c:v>
                </c:pt>
                <c:pt idx="60">
                  <c:v>2.0402000392118418</c:v>
                </c:pt>
                <c:pt idx="61">
                  <c:v>2.0408000392003132</c:v>
                </c:pt>
                <c:pt idx="62">
                  <c:v>2.0413000391907112</c:v>
                </c:pt>
                <c:pt idx="63">
                  <c:v>2.0418000391811142</c:v>
                </c:pt>
                <c:pt idx="64">
                  <c:v>2.0423000220339813</c:v>
                </c:pt>
                <c:pt idx="65">
                  <c:v>2.0427000220296665</c:v>
                </c:pt>
                <c:pt idx="66">
                  <c:v>2.0431000097890459</c:v>
                </c:pt>
                <c:pt idx="67">
                  <c:v>2.0435000097871296</c:v>
                </c:pt>
                <c:pt idx="68">
                  <c:v>2.0438000024464231</c:v>
                </c:pt>
                <c:pt idx="69">
                  <c:v>2.044100002446064</c:v>
                </c:pt>
                <c:pt idx="70">
                  <c:v>2.0444000024457054</c:v>
                </c:pt>
                <c:pt idx="71">
                  <c:v>2.044600002445466</c:v>
                </c:pt>
                <c:pt idx="72">
                  <c:v>2.0448000024452266</c:v>
                </c:pt>
                <c:pt idx="73">
                  <c:v>2.0450000024449877</c:v>
                </c:pt>
                <c:pt idx="74">
                  <c:v>2.0452000024447488</c:v>
                </c:pt>
                <c:pt idx="75">
                  <c:v>2.0454000024445094</c:v>
                </c:pt>
                <c:pt idx="76">
                  <c:v>2.0455999999999999</c:v>
                </c:pt>
                <c:pt idx="77">
                  <c:v>2.0457999999999998</c:v>
                </c:pt>
                <c:pt idx="78">
                  <c:v>2.0459000000000001</c:v>
                </c:pt>
                <c:pt idx="79">
                  <c:v>2.0460000024437925</c:v>
                </c:pt>
                <c:pt idx="80">
                  <c:v>2.0461000024436733</c:v>
                </c:pt>
                <c:pt idx="81">
                  <c:v>2.0462000097742155</c:v>
                </c:pt>
                <c:pt idx="82">
                  <c:v>2.0463000097737378</c:v>
                </c:pt>
                <c:pt idx="83">
                  <c:v>2.0464000097732606</c:v>
                </c:pt>
                <c:pt idx="84">
                  <c:v>2.046500021988761</c:v>
                </c:pt>
                <c:pt idx="85">
                  <c:v>2.046600021987687</c:v>
                </c:pt>
                <c:pt idx="86">
                  <c:v>2.0467000219866125</c:v>
                </c:pt>
                <c:pt idx="87">
                  <c:v>2.0468000390854013</c:v>
                </c:pt>
                <c:pt idx="88">
                  <c:v>2.0469000390834915</c:v>
                </c:pt>
                <c:pt idx="89">
                  <c:v>2.0469000390834915</c:v>
                </c:pt>
                <c:pt idx="90">
                  <c:v>2.0469000390834915</c:v>
                </c:pt>
                <c:pt idx="91">
                  <c:v>2.0470000390815826</c:v>
                </c:pt>
                <c:pt idx="92">
                  <c:v>2.0470000390815826</c:v>
                </c:pt>
                <c:pt idx="93">
                  <c:v>2.0470000390815826</c:v>
                </c:pt>
                <c:pt idx="94">
                  <c:v>2.0471000390796732</c:v>
                </c:pt>
                <c:pt idx="95">
                  <c:v>2.0471000390796732</c:v>
                </c:pt>
                <c:pt idx="96">
                  <c:v>2.0471000390796732</c:v>
                </c:pt>
                <c:pt idx="97">
                  <c:v>2.0471000390796732</c:v>
                </c:pt>
                <c:pt idx="98">
                  <c:v>2.0471000390796732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67-4958-A6CB-C5CE11EE9999}"/>
            </c:ext>
          </c:extLst>
        </c:ser>
        <c:ser>
          <c:idx val="3"/>
          <c:order val="3"/>
          <c:tx>
            <c:strRef>
              <c:f>angvel!$E$1</c:f>
              <c:strCache>
                <c:ptCount val="1"/>
                <c:pt idx="0">
                  <c:v>Plank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angvel!$A$52:$A$150</c:f>
              <c:numCache>
                <c:formatCode>0.00</c:formatCode>
                <c:ptCount val="99"/>
                <c:pt idx="0">
                  <c:v>0</c:v>
                </c:pt>
                <c:pt idx="1">
                  <c:v>8.3333333333333297E-3</c:v>
                </c:pt>
                <c:pt idx="2">
                  <c:v>1.6666666666666701E-2</c:v>
                </c:pt>
                <c:pt idx="3">
                  <c:v>2.5000000000000001E-2</c:v>
                </c:pt>
                <c:pt idx="4">
                  <c:v>3.3333333333333298E-2</c:v>
                </c:pt>
                <c:pt idx="5">
                  <c:v>4.1666666666666699E-2</c:v>
                </c:pt>
                <c:pt idx="6">
                  <c:v>0.05</c:v>
                </c:pt>
                <c:pt idx="7">
                  <c:v>5.83333333333333E-2</c:v>
                </c:pt>
                <c:pt idx="8">
                  <c:v>6.6666666666666596E-2</c:v>
                </c:pt>
                <c:pt idx="9">
                  <c:v>7.4999999999999997E-2</c:v>
                </c:pt>
                <c:pt idx="10">
                  <c:v>8.3333333333333301E-2</c:v>
                </c:pt>
                <c:pt idx="11">
                  <c:v>9.1666666666666605E-2</c:v>
                </c:pt>
                <c:pt idx="12">
                  <c:v>0.1</c:v>
                </c:pt>
                <c:pt idx="13">
                  <c:v>0.108333333333333</c:v>
                </c:pt>
                <c:pt idx="14">
                  <c:v>0.116666666666667</c:v>
                </c:pt>
                <c:pt idx="15">
                  <c:v>0.125</c:v>
                </c:pt>
                <c:pt idx="16">
                  <c:v>0.133333333333333</c:v>
                </c:pt>
                <c:pt idx="17">
                  <c:v>0.141666666666667</c:v>
                </c:pt>
                <c:pt idx="18">
                  <c:v>0.15</c:v>
                </c:pt>
                <c:pt idx="19">
                  <c:v>0.15833333333333299</c:v>
                </c:pt>
                <c:pt idx="20">
                  <c:v>0.16666666666666699</c:v>
                </c:pt>
                <c:pt idx="21">
                  <c:v>0.17499999999999999</c:v>
                </c:pt>
                <c:pt idx="22">
                  <c:v>0.18333333333333299</c:v>
                </c:pt>
                <c:pt idx="23">
                  <c:v>0.19166666666666701</c:v>
                </c:pt>
                <c:pt idx="24">
                  <c:v>0.2</c:v>
                </c:pt>
                <c:pt idx="25">
                  <c:v>0.20833333333333301</c:v>
                </c:pt>
                <c:pt idx="26">
                  <c:v>0.21666666666666701</c:v>
                </c:pt>
                <c:pt idx="27">
                  <c:v>0.22500000000000001</c:v>
                </c:pt>
                <c:pt idx="28">
                  <c:v>0.233333333333333</c:v>
                </c:pt>
                <c:pt idx="29">
                  <c:v>0.241666666666667</c:v>
                </c:pt>
                <c:pt idx="30">
                  <c:v>0.25</c:v>
                </c:pt>
                <c:pt idx="31">
                  <c:v>0.25833333333333303</c:v>
                </c:pt>
                <c:pt idx="32">
                  <c:v>0.266666666666667</c:v>
                </c:pt>
                <c:pt idx="33">
                  <c:v>0.27500000000000002</c:v>
                </c:pt>
                <c:pt idx="34">
                  <c:v>0.28333333333333299</c:v>
                </c:pt>
                <c:pt idx="35">
                  <c:v>0.29166666666666702</c:v>
                </c:pt>
                <c:pt idx="36">
                  <c:v>0.3</c:v>
                </c:pt>
                <c:pt idx="37">
                  <c:v>0.30833333333333302</c:v>
                </c:pt>
                <c:pt idx="38">
                  <c:v>0.31666666666666698</c:v>
                </c:pt>
                <c:pt idx="39">
                  <c:v>0.32500000000000001</c:v>
                </c:pt>
                <c:pt idx="40">
                  <c:v>0.33333333333333298</c:v>
                </c:pt>
                <c:pt idx="41">
                  <c:v>0.34166666666666701</c:v>
                </c:pt>
                <c:pt idx="42">
                  <c:v>0.35</c:v>
                </c:pt>
                <c:pt idx="43">
                  <c:v>0.358333333333333</c:v>
                </c:pt>
                <c:pt idx="44">
                  <c:v>0.36666666666666697</c:v>
                </c:pt>
                <c:pt idx="45">
                  <c:v>0.375</c:v>
                </c:pt>
                <c:pt idx="46">
                  <c:v>0.38333333333333303</c:v>
                </c:pt>
                <c:pt idx="47">
                  <c:v>0.391666666666666</c:v>
                </c:pt>
                <c:pt idx="48">
                  <c:v>0.4</c:v>
                </c:pt>
                <c:pt idx="49">
                  <c:v>0.40833333333333299</c:v>
                </c:pt>
                <c:pt idx="50">
                  <c:v>0.41666666666666602</c:v>
                </c:pt>
                <c:pt idx="51">
                  <c:v>0.42499999999999999</c:v>
                </c:pt>
                <c:pt idx="52">
                  <c:v>0.43333333333333302</c:v>
                </c:pt>
                <c:pt idx="53">
                  <c:v>0.44166666666666599</c:v>
                </c:pt>
                <c:pt idx="54">
                  <c:v>0.45</c:v>
                </c:pt>
                <c:pt idx="55">
                  <c:v>0.45833333333333298</c:v>
                </c:pt>
                <c:pt idx="56">
                  <c:v>0.46666666666666601</c:v>
                </c:pt>
                <c:pt idx="57">
                  <c:v>0.47499999999999998</c:v>
                </c:pt>
                <c:pt idx="58">
                  <c:v>0.483333333333333</c:v>
                </c:pt>
                <c:pt idx="59">
                  <c:v>0.49166666666666597</c:v>
                </c:pt>
                <c:pt idx="60">
                  <c:v>0.5</c:v>
                </c:pt>
                <c:pt idx="61">
                  <c:v>0.50833333333333297</c:v>
                </c:pt>
                <c:pt idx="62">
                  <c:v>0.51666666666666605</c:v>
                </c:pt>
                <c:pt idx="63">
                  <c:v>0.52500000000000002</c:v>
                </c:pt>
                <c:pt idx="64">
                  <c:v>0.53333333333333299</c:v>
                </c:pt>
                <c:pt idx="65">
                  <c:v>0.54166666666666596</c:v>
                </c:pt>
                <c:pt idx="66">
                  <c:v>0.55000000000000004</c:v>
                </c:pt>
                <c:pt idx="67">
                  <c:v>0.55833333333333302</c:v>
                </c:pt>
                <c:pt idx="68">
                  <c:v>0.56666666666666599</c:v>
                </c:pt>
                <c:pt idx="69">
                  <c:v>0.57499999999999996</c:v>
                </c:pt>
                <c:pt idx="70">
                  <c:v>0.58333333333333304</c:v>
                </c:pt>
                <c:pt idx="71">
                  <c:v>0.59166666666666601</c:v>
                </c:pt>
                <c:pt idx="72">
                  <c:v>0.6</c:v>
                </c:pt>
                <c:pt idx="73">
                  <c:v>0.60833333333333295</c:v>
                </c:pt>
                <c:pt idx="74">
                  <c:v>0.61666666666666603</c:v>
                </c:pt>
                <c:pt idx="75">
                  <c:v>0.625</c:v>
                </c:pt>
                <c:pt idx="76">
                  <c:v>0.63333333333333297</c:v>
                </c:pt>
                <c:pt idx="77">
                  <c:v>0.64166666666666605</c:v>
                </c:pt>
                <c:pt idx="78">
                  <c:v>0.65</c:v>
                </c:pt>
                <c:pt idx="79">
                  <c:v>0.65833333333333299</c:v>
                </c:pt>
                <c:pt idx="80">
                  <c:v>0.66666666666666596</c:v>
                </c:pt>
                <c:pt idx="81">
                  <c:v>0.67500000000000004</c:v>
                </c:pt>
                <c:pt idx="82">
                  <c:v>0.68333333333333302</c:v>
                </c:pt>
                <c:pt idx="83">
                  <c:v>0.69166666666666599</c:v>
                </c:pt>
                <c:pt idx="84">
                  <c:v>0.7</c:v>
                </c:pt>
                <c:pt idx="85">
                  <c:v>0.70833333333333304</c:v>
                </c:pt>
                <c:pt idx="86">
                  <c:v>0.71666666666666601</c:v>
                </c:pt>
                <c:pt idx="87">
                  <c:v>0.72499999999999998</c:v>
                </c:pt>
                <c:pt idx="88">
                  <c:v>0.73333333333333295</c:v>
                </c:pt>
                <c:pt idx="89">
                  <c:v>0.74166666666666603</c:v>
                </c:pt>
                <c:pt idx="90">
                  <c:v>0.75</c:v>
                </c:pt>
                <c:pt idx="91">
                  <c:v>0.75833333333333297</c:v>
                </c:pt>
                <c:pt idx="92">
                  <c:v>0.76666666666666605</c:v>
                </c:pt>
                <c:pt idx="93">
                  <c:v>0.77500000000000002</c:v>
                </c:pt>
                <c:pt idx="94">
                  <c:v>0.78333333333333299</c:v>
                </c:pt>
                <c:pt idx="95">
                  <c:v>0.79166666666666596</c:v>
                </c:pt>
                <c:pt idx="96">
                  <c:v>0.8</c:v>
                </c:pt>
                <c:pt idx="97">
                  <c:v>0.80833333333333302</c:v>
                </c:pt>
                <c:pt idx="98">
                  <c:v>0.81666666666666599</c:v>
                </c:pt>
              </c:numCache>
            </c:numRef>
          </c:cat>
          <c:val>
            <c:numRef>
              <c:f>angvel!$E$52:$E$150</c:f>
              <c:numCache>
                <c:formatCode>0.0</c:formatCode>
                <c:ptCount val="99"/>
                <c:pt idx="0">
                  <c:v>0</c:v>
                </c:pt>
                <c:pt idx="1">
                  <c:v>0.26110446185387182</c:v>
                </c:pt>
                <c:pt idx="2">
                  <c:v>0.47380643727159305</c:v>
                </c:pt>
                <c:pt idx="3">
                  <c:v>0.65700670468420641</c:v>
                </c:pt>
                <c:pt idx="4">
                  <c:v>0.81500624537484367</c:v>
                </c:pt>
                <c:pt idx="5">
                  <c:v>0.95150507092710757</c:v>
                </c:pt>
                <c:pt idx="6">
                  <c:v>1.069803888570237</c:v>
                </c:pt>
                <c:pt idx="7">
                  <c:v>1.172602716183107</c:v>
                </c:pt>
                <c:pt idx="8">
                  <c:v>1.2623017151220226</c:v>
                </c:pt>
                <c:pt idx="9">
                  <c:v>1.3409009322093859</c:v>
                </c:pt>
                <c:pt idx="10">
                  <c:v>1.4100004148935559</c:v>
                </c:pt>
                <c:pt idx="11">
                  <c:v>1.4709001155754935</c:v>
                </c:pt>
                <c:pt idx="12">
                  <c:v>1.5249000032789033</c:v>
                </c:pt>
                <c:pt idx="13">
                  <c:v>1.5728000158952187</c:v>
                </c:pt>
                <c:pt idx="14">
                  <c:v>1.6155000773754236</c:v>
                </c:pt>
                <c:pt idx="15">
                  <c:v>1.6537001511761436</c:v>
                </c:pt>
                <c:pt idx="16">
                  <c:v>1.6880002517772323</c:v>
                </c:pt>
                <c:pt idx="17">
                  <c:v>1.7188003287176787</c:v>
                </c:pt>
                <c:pt idx="18">
                  <c:v>1.7465004151158967</c:v>
                </c:pt>
                <c:pt idx="19">
                  <c:v>1.7715004628845008</c:v>
                </c:pt>
                <c:pt idx="20">
                  <c:v>1.7941004570536176</c:v>
                </c:pt>
                <c:pt idx="21">
                  <c:v>1.8146004518901673</c:v>
                </c:pt>
                <c:pt idx="22">
                  <c:v>1.8332004473052039</c:v>
                </c:pt>
                <c:pt idx="23">
                  <c:v>1.8501004432192325</c:v>
                </c:pt>
                <c:pt idx="24">
                  <c:v>1.8655003993566981</c:v>
                </c:pt>
                <c:pt idx="25">
                  <c:v>1.8795003963819745</c:v>
                </c:pt>
                <c:pt idx="26">
                  <c:v>1.892300309147573</c:v>
                </c:pt>
                <c:pt idx="27">
                  <c:v>1.9040003072478742</c:v>
                </c:pt>
                <c:pt idx="28">
                  <c:v>1.9147002324123743</c:v>
                </c:pt>
                <c:pt idx="29">
                  <c:v>1.9244001922677103</c:v>
                </c:pt>
                <c:pt idx="30">
                  <c:v>1.9333001913826005</c:v>
                </c:pt>
                <c:pt idx="31">
                  <c:v>1.9415001339170697</c:v>
                </c:pt>
                <c:pt idx="32">
                  <c:v>1.949000105182142</c:v>
                </c:pt>
                <c:pt idx="33">
                  <c:v>1.9558001048164406</c:v>
                </c:pt>
                <c:pt idx="34">
                  <c:v>1.9621000815452814</c:v>
                </c:pt>
                <c:pt idx="35">
                  <c:v>1.9679000635194865</c:v>
                </c:pt>
                <c:pt idx="36">
                  <c:v>1.9732000329414148</c:v>
                </c:pt>
                <c:pt idx="37">
                  <c:v>1.9781000252767806</c:v>
                </c:pt>
                <c:pt idx="38">
                  <c:v>1.9825000126103405</c:v>
                </c:pt>
                <c:pt idx="39">
                  <c:v>1.9866000125843148</c:v>
                </c:pt>
                <c:pt idx="40">
                  <c:v>1.9903000050243682</c:v>
                </c:pt>
                <c:pt idx="41">
                  <c:v>1.9938000050155482</c:v>
                </c:pt>
                <c:pt idx="42">
                  <c:v>1.9970000025037558</c:v>
                </c:pt>
                <c:pt idx="43">
                  <c:v>1.999900002500125</c:v>
                </c:pt>
                <c:pt idx="44">
                  <c:v>2.0026000024967545</c:v>
                </c:pt>
                <c:pt idx="45">
                  <c:v>2.0050000024937655</c:v>
                </c:pt>
                <c:pt idx="46">
                  <c:v>2.0073000024909082</c:v>
                </c:pt>
                <c:pt idx="47">
                  <c:v>2.009400002488305</c:v>
                </c:pt>
                <c:pt idx="48">
                  <c:v>2.0113000024859544</c:v>
                </c:pt>
                <c:pt idx="49">
                  <c:v>2.0130000024838548</c:v>
                </c:pt>
                <c:pt idx="50">
                  <c:v>2.0146000024818824</c:v>
                </c:pt>
                <c:pt idx="51">
                  <c:v>2.0161000024800355</c:v>
                </c:pt>
                <c:pt idx="52">
                  <c:v>2.017500002478315</c:v>
                </c:pt>
                <c:pt idx="53">
                  <c:v>2.0187000024768413</c:v>
                </c:pt>
                <c:pt idx="54">
                  <c:v>2.0199000024753699</c:v>
                </c:pt>
                <c:pt idx="55">
                  <c:v>2.0210000024740227</c:v>
                </c:pt>
                <c:pt idx="56">
                  <c:v>2.0220000024727991</c:v>
                </c:pt>
                <c:pt idx="57">
                  <c:v>2.0228999999999999</c:v>
                </c:pt>
                <c:pt idx="58">
                  <c:v>2.0236999999999998</c:v>
                </c:pt>
                <c:pt idx="59">
                  <c:v>2.0245000000000002</c:v>
                </c:pt>
                <c:pt idx="60">
                  <c:v>2.0251999999999999</c:v>
                </c:pt>
                <c:pt idx="61">
                  <c:v>2.0257999999999998</c:v>
                </c:pt>
                <c:pt idx="62">
                  <c:v>2.0264000000000002</c:v>
                </c:pt>
                <c:pt idx="63">
                  <c:v>2.0268999999999999</c:v>
                </c:pt>
                <c:pt idx="64">
                  <c:v>2.0274000000000001</c:v>
                </c:pt>
                <c:pt idx="65">
                  <c:v>2.0279000024656044</c:v>
                </c:pt>
                <c:pt idx="66">
                  <c:v>2.0283000024651185</c:v>
                </c:pt>
                <c:pt idx="67">
                  <c:v>2.0287000024646327</c:v>
                </c:pt>
                <c:pt idx="68">
                  <c:v>2.0291000024641468</c:v>
                </c:pt>
                <c:pt idx="69">
                  <c:v>2.0294000098551295</c:v>
                </c:pt>
                <c:pt idx="70">
                  <c:v>2.029700009853673</c:v>
                </c:pt>
                <c:pt idx="71">
                  <c:v>2.0300000098522162</c:v>
                </c:pt>
                <c:pt idx="72">
                  <c:v>2.0302000098512458</c:v>
                </c:pt>
                <c:pt idx="73">
                  <c:v>2.0304000098502759</c:v>
                </c:pt>
                <c:pt idx="74">
                  <c:v>2.0306000098493056</c:v>
                </c:pt>
                <c:pt idx="75">
                  <c:v>2.0308000098483356</c:v>
                </c:pt>
                <c:pt idx="76">
                  <c:v>2.0310000098473657</c:v>
                </c:pt>
                <c:pt idx="77">
                  <c:v>2.0312000098463963</c:v>
                </c:pt>
                <c:pt idx="78">
                  <c:v>2.0314000098454268</c:v>
                </c:pt>
                <c:pt idx="79">
                  <c:v>2.0315000098449421</c:v>
                </c:pt>
                <c:pt idx="80">
                  <c:v>2.0316000098444578</c:v>
                </c:pt>
                <c:pt idx="81">
                  <c:v>2.031700002460993</c:v>
                </c:pt>
                <c:pt idx="82">
                  <c:v>2.0318000000000001</c:v>
                </c:pt>
                <c:pt idx="83">
                  <c:v>2.0318999999999998</c:v>
                </c:pt>
                <c:pt idx="84">
                  <c:v>2.032</c:v>
                </c:pt>
                <c:pt idx="85">
                  <c:v>2.0320999999999998</c:v>
                </c:pt>
                <c:pt idx="86">
                  <c:v>2.0322</c:v>
                </c:pt>
                <c:pt idx="87">
                  <c:v>2.0323000000000002</c:v>
                </c:pt>
                <c:pt idx="88">
                  <c:v>2.0324000024601454</c:v>
                </c:pt>
                <c:pt idx="89">
                  <c:v>2.0325000024600248</c:v>
                </c:pt>
                <c:pt idx="90">
                  <c:v>2.0326000024599034</c:v>
                </c:pt>
                <c:pt idx="91">
                  <c:v>2.032600009839614</c:v>
                </c:pt>
                <c:pt idx="92">
                  <c:v>2.032600009839614</c:v>
                </c:pt>
                <c:pt idx="93">
                  <c:v>2.032600009839614</c:v>
                </c:pt>
                <c:pt idx="94">
                  <c:v>2.032600009839614</c:v>
                </c:pt>
                <c:pt idx="95">
                  <c:v>2.0327000098391306</c:v>
                </c:pt>
                <c:pt idx="96">
                  <c:v>2.0327000098391306</c:v>
                </c:pt>
                <c:pt idx="97">
                  <c:v>2.0327000098391306</c:v>
                </c:pt>
                <c:pt idx="98">
                  <c:v>2.0327000098391306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67-4958-A6CB-C5CE11EE9999}"/>
            </c:ext>
          </c:extLst>
        </c:ser>
        <c:ser>
          <c:idx val="4"/>
          <c:order val="4"/>
          <c:tx>
            <c:strRef>
              <c:f>angvel!$F$1</c:f>
              <c:strCache>
                <c:ptCount val="1"/>
                <c:pt idx="0">
                  <c:v>Batmobile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angvel!$A$52:$A$150</c:f>
              <c:numCache>
                <c:formatCode>0.00</c:formatCode>
                <c:ptCount val="99"/>
                <c:pt idx="0">
                  <c:v>0</c:v>
                </c:pt>
                <c:pt idx="1">
                  <c:v>8.3333333333333297E-3</c:v>
                </c:pt>
                <c:pt idx="2">
                  <c:v>1.6666666666666701E-2</c:v>
                </c:pt>
                <c:pt idx="3">
                  <c:v>2.5000000000000001E-2</c:v>
                </c:pt>
                <c:pt idx="4">
                  <c:v>3.3333333333333298E-2</c:v>
                </c:pt>
                <c:pt idx="5">
                  <c:v>4.1666666666666699E-2</c:v>
                </c:pt>
                <c:pt idx="6">
                  <c:v>0.05</c:v>
                </c:pt>
                <c:pt idx="7">
                  <c:v>5.83333333333333E-2</c:v>
                </c:pt>
                <c:pt idx="8">
                  <c:v>6.6666666666666596E-2</c:v>
                </c:pt>
                <c:pt idx="9">
                  <c:v>7.4999999999999997E-2</c:v>
                </c:pt>
                <c:pt idx="10">
                  <c:v>8.3333333333333301E-2</c:v>
                </c:pt>
                <c:pt idx="11">
                  <c:v>9.1666666666666605E-2</c:v>
                </c:pt>
                <c:pt idx="12">
                  <c:v>0.1</c:v>
                </c:pt>
                <c:pt idx="13">
                  <c:v>0.108333333333333</c:v>
                </c:pt>
                <c:pt idx="14">
                  <c:v>0.116666666666667</c:v>
                </c:pt>
                <c:pt idx="15">
                  <c:v>0.125</c:v>
                </c:pt>
                <c:pt idx="16">
                  <c:v>0.133333333333333</c:v>
                </c:pt>
                <c:pt idx="17">
                  <c:v>0.141666666666667</c:v>
                </c:pt>
                <c:pt idx="18">
                  <c:v>0.15</c:v>
                </c:pt>
                <c:pt idx="19">
                  <c:v>0.15833333333333299</c:v>
                </c:pt>
                <c:pt idx="20">
                  <c:v>0.16666666666666699</c:v>
                </c:pt>
                <c:pt idx="21">
                  <c:v>0.17499999999999999</c:v>
                </c:pt>
                <c:pt idx="22">
                  <c:v>0.18333333333333299</c:v>
                </c:pt>
                <c:pt idx="23">
                  <c:v>0.19166666666666701</c:v>
                </c:pt>
                <c:pt idx="24">
                  <c:v>0.2</c:v>
                </c:pt>
                <c:pt idx="25">
                  <c:v>0.20833333333333301</c:v>
                </c:pt>
                <c:pt idx="26">
                  <c:v>0.21666666666666701</c:v>
                </c:pt>
                <c:pt idx="27">
                  <c:v>0.22500000000000001</c:v>
                </c:pt>
                <c:pt idx="28">
                  <c:v>0.233333333333333</c:v>
                </c:pt>
                <c:pt idx="29">
                  <c:v>0.241666666666667</c:v>
                </c:pt>
                <c:pt idx="30">
                  <c:v>0.25</c:v>
                </c:pt>
                <c:pt idx="31">
                  <c:v>0.25833333333333303</c:v>
                </c:pt>
                <c:pt idx="32">
                  <c:v>0.266666666666667</c:v>
                </c:pt>
                <c:pt idx="33">
                  <c:v>0.27500000000000002</c:v>
                </c:pt>
                <c:pt idx="34">
                  <c:v>0.28333333333333299</c:v>
                </c:pt>
                <c:pt idx="35">
                  <c:v>0.29166666666666702</c:v>
                </c:pt>
                <c:pt idx="36">
                  <c:v>0.3</c:v>
                </c:pt>
                <c:pt idx="37">
                  <c:v>0.30833333333333302</c:v>
                </c:pt>
                <c:pt idx="38">
                  <c:v>0.31666666666666698</c:v>
                </c:pt>
                <c:pt idx="39">
                  <c:v>0.32500000000000001</c:v>
                </c:pt>
                <c:pt idx="40">
                  <c:v>0.33333333333333298</c:v>
                </c:pt>
                <c:pt idx="41">
                  <c:v>0.34166666666666701</c:v>
                </c:pt>
                <c:pt idx="42">
                  <c:v>0.35</c:v>
                </c:pt>
                <c:pt idx="43">
                  <c:v>0.358333333333333</c:v>
                </c:pt>
                <c:pt idx="44">
                  <c:v>0.36666666666666697</c:v>
                </c:pt>
                <c:pt idx="45">
                  <c:v>0.375</c:v>
                </c:pt>
                <c:pt idx="46">
                  <c:v>0.38333333333333303</c:v>
                </c:pt>
                <c:pt idx="47">
                  <c:v>0.391666666666666</c:v>
                </c:pt>
                <c:pt idx="48">
                  <c:v>0.4</c:v>
                </c:pt>
                <c:pt idx="49">
                  <c:v>0.40833333333333299</c:v>
                </c:pt>
                <c:pt idx="50">
                  <c:v>0.41666666666666602</c:v>
                </c:pt>
                <c:pt idx="51">
                  <c:v>0.42499999999999999</c:v>
                </c:pt>
                <c:pt idx="52">
                  <c:v>0.43333333333333302</c:v>
                </c:pt>
                <c:pt idx="53">
                  <c:v>0.44166666666666599</c:v>
                </c:pt>
                <c:pt idx="54">
                  <c:v>0.45</c:v>
                </c:pt>
                <c:pt idx="55">
                  <c:v>0.45833333333333298</c:v>
                </c:pt>
                <c:pt idx="56">
                  <c:v>0.46666666666666601</c:v>
                </c:pt>
                <c:pt idx="57">
                  <c:v>0.47499999999999998</c:v>
                </c:pt>
                <c:pt idx="58">
                  <c:v>0.483333333333333</c:v>
                </c:pt>
                <c:pt idx="59">
                  <c:v>0.49166666666666597</c:v>
                </c:pt>
                <c:pt idx="60">
                  <c:v>0.5</c:v>
                </c:pt>
                <c:pt idx="61">
                  <c:v>0.50833333333333297</c:v>
                </c:pt>
                <c:pt idx="62">
                  <c:v>0.51666666666666605</c:v>
                </c:pt>
                <c:pt idx="63">
                  <c:v>0.52500000000000002</c:v>
                </c:pt>
                <c:pt idx="64">
                  <c:v>0.53333333333333299</c:v>
                </c:pt>
                <c:pt idx="65">
                  <c:v>0.54166666666666596</c:v>
                </c:pt>
                <c:pt idx="66">
                  <c:v>0.55000000000000004</c:v>
                </c:pt>
                <c:pt idx="67">
                  <c:v>0.55833333333333302</c:v>
                </c:pt>
                <c:pt idx="68">
                  <c:v>0.56666666666666599</c:v>
                </c:pt>
                <c:pt idx="69">
                  <c:v>0.57499999999999996</c:v>
                </c:pt>
                <c:pt idx="70">
                  <c:v>0.58333333333333304</c:v>
                </c:pt>
                <c:pt idx="71">
                  <c:v>0.59166666666666601</c:v>
                </c:pt>
                <c:pt idx="72">
                  <c:v>0.6</c:v>
                </c:pt>
                <c:pt idx="73">
                  <c:v>0.60833333333333295</c:v>
                </c:pt>
                <c:pt idx="74">
                  <c:v>0.61666666666666603</c:v>
                </c:pt>
                <c:pt idx="75">
                  <c:v>0.625</c:v>
                </c:pt>
                <c:pt idx="76">
                  <c:v>0.63333333333333297</c:v>
                </c:pt>
                <c:pt idx="77">
                  <c:v>0.64166666666666605</c:v>
                </c:pt>
                <c:pt idx="78">
                  <c:v>0.65</c:v>
                </c:pt>
                <c:pt idx="79">
                  <c:v>0.65833333333333299</c:v>
                </c:pt>
                <c:pt idx="80">
                  <c:v>0.66666666666666596</c:v>
                </c:pt>
                <c:pt idx="81">
                  <c:v>0.67500000000000004</c:v>
                </c:pt>
                <c:pt idx="82">
                  <c:v>0.68333333333333302</c:v>
                </c:pt>
                <c:pt idx="83">
                  <c:v>0.69166666666666599</c:v>
                </c:pt>
                <c:pt idx="84">
                  <c:v>0.7</c:v>
                </c:pt>
                <c:pt idx="85">
                  <c:v>0.70833333333333304</c:v>
                </c:pt>
                <c:pt idx="86">
                  <c:v>0.71666666666666601</c:v>
                </c:pt>
                <c:pt idx="87">
                  <c:v>0.72499999999999998</c:v>
                </c:pt>
                <c:pt idx="88">
                  <c:v>0.73333333333333295</c:v>
                </c:pt>
                <c:pt idx="89">
                  <c:v>0.74166666666666603</c:v>
                </c:pt>
                <c:pt idx="90">
                  <c:v>0.75</c:v>
                </c:pt>
                <c:pt idx="91">
                  <c:v>0.75833333333333297</c:v>
                </c:pt>
                <c:pt idx="92">
                  <c:v>0.76666666666666605</c:v>
                </c:pt>
                <c:pt idx="93">
                  <c:v>0.77500000000000002</c:v>
                </c:pt>
                <c:pt idx="94">
                  <c:v>0.78333333333333299</c:v>
                </c:pt>
                <c:pt idx="95">
                  <c:v>0.79166666666666596</c:v>
                </c:pt>
                <c:pt idx="96">
                  <c:v>0.8</c:v>
                </c:pt>
                <c:pt idx="97">
                  <c:v>0.80833333333333302</c:v>
                </c:pt>
                <c:pt idx="98">
                  <c:v>0.81666666666666599</c:v>
                </c:pt>
              </c:numCache>
            </c:numRef>
          </c:cat>
          <c:val>
            <c:numRef>
              <c:f>angvel!$F$52:$F$150</c:f>
              <c:numCache>
                <c:formatCode>0.0</c:formatCode>
                <c:ptCount val="99"/>
                <c:pt idx="0">
                  <c:v>0</c:v>
                </c:pt>
                <c:pt idx="1">
                  <c:v>0.26100398464391306</c:v>
                </c:pt>
                <c:pt idx="2">
                  <c:v>0.47340533372576188</c:v>
                </c:pt>
                <c:pt idx="3">
                  <c:v>0.65620574517448416</c:v>
                </c:pt>
                <c:pt idx="4">
                  <c:v>0.81360511306161298</c:v>
                </c:pt>
                <c:pt idx="5">
                  <c:v>0.9494039709207035</c:v>
                </c:pt>
                <c:pt idx="6">
                  <c:v>1.0669028587458185</c:v>
                </c:pt>
                <c:pt idx="7">
                  <c:v>1.1688019036603252</c:v>
                </c:pt>
                <c:pt idx="8">
                  <c:v>1.2575011013911679</c:v>
                </c:pt>
                <c:pt idx="9">
                  <c:v>1.3351005879708091</c:v>
                </c:pt>
                <c:pt idx="10">
                  <c:v>1.4031002066851819</c:v>
                </c:pt>
                <c:pt idx="11">
                  <c:v>1.4630000580997937</c:v>
                </c:pt>
                <c:pt idx="12">
                  <c:v>1.5159000032983705</c:v>
                </c:pt>
                <c:pt idx="13">
                  <c:v>1.5628000063987713</c:v>
                </c:pt>
                <c:pt idx="14">
                  <c:v>1.6045000560922396</c:v>
                </c:pt>
                <c:pt idx="15">
                  <c:v>1.6417000974599469</c:v>
                </c:pt>
                <c:pt idx="16">
                  <c:v>1.6750001492537248</c:v>
                </c:pt>
                <c:pt idx="17">
                  <c:v>1.7048002111684526</c:v>
                </c:pt>
                <c:pt idx="18">
                  <c:v>1.7316002454377282</c:v>
                </c:pt>
                <c:pt idx="19">
                  <c:v>1.7558002790750433</c:v>
                </c:pt>
                <c:pt idx="20">
                  <c:v>1.7776002756525437</c:v>
                </c:pt>
                <c:pt idx="21">
                  <c:v>1.7973002726311482</c:v>
                </c:pt>
                <c:pt idx="22">
                  <c:v>1.8151002699575578</c:v>
                </c:pt>
                <c:pt idx="23">
                  <c:v>1.8313002675694665</c:v>
                </c:pt>
                <c:pt idx="24">
                  <c:v>1.8460002654387675</c:v>
                </c:pt>
                <c:pt idx="25">
                  <c:v>1.8593002285806346</c:v>
                </c:pt>
                <c:pt idx="26">
                  <c:v>1.8714002271026902</c:v>
                </c:pt>
                <c:pt idx="27">
                  <c:v>1.8825001965471346</c:v>
                </c:pt>
                <c:pt idx="28">
                  <c:v>1.8926001373771482</c:v>
                </c:pt>
                <c:pt idx="29">
                  <c:v>1.9018000893889977</c:v>
                </c:pt>
                <c:pt idx="30">
                  <c:v>1.9102000523505385</c:v>
                </c:pt>
                <c:pt idx="31">
                  <c:v>1.9179000521403611</c:v>
                </c:pt>
                <c:pt idx="32">
                  <c:v>1.9249000441581376</c:v>
                </c:pt>
                <c:pt idx="33">
                  <c:v>1.9313000414228754</c:v>
                </c:pt>
                <c:pt idx="34">
                  <c:v>1.9371000232306024</c:v>
                </c:pt>
                <c:pt idx="35">
                  <c:v>1.9425000102960102</c:v>
                </c:pt>
                <c:pt idx="36">
                  <c:v>1.9474000102701039</c:v>
                </c:pt>
                <c:pt idx="37">
                  <c:v>1.9519000102464266</c:v>
                </c:pt>
                <c:pt idx="38">
                  <c:v>1.9560000102249488</c:v>
                </c:pt>
                <c:pt idx="39">
                  <c:v>1.9598000127564037</c:v>
                </c:pt>
                <c:pt idx="40">
                  <c:v>1.9632000127343114</c:v>
                </c:pt>
                <c:pt idx="41">
                  <c:v>1.9664000127135881</c:v>
                </c:pt>
                <c:pt idx="42">
                  <c:v>1.9693000126948663</c:v>
                </c:pt>
                <c:pt idx="43">
                  <c:v>1.971900005071251</c:v>
                </c:pt>
                <c:pt idx="44">
                  <c:v>1.974300002532543</c:v>
                </c:pt>
                <c:pt idx="45">
                  <c:v>1.9765000025297241</c:v>
                </c:pt>
                <c:pt idx="46">
                  <c:v>1.9786000025270392</c:v>
                </c:pt>
                <c:pt idx="47">
                  <c:v>1.9805000025246149</c:v>
                </c:pt>
                <c:pt idx="48">
                  <c:v>1.9822000025224498</c:v>
                </c:pt>
                <c:pt idx="49">
                  <c:v>1.9838000050408306</c:v>
                </c:pt>
                <c:pt idx="50">
                  <c:v>1.9853000125925553</c:v>
                </c:pt>
                <c:pt idx="51">
                  <c:v>1.9866000125843148</c:v>
                </c:pt>
                <c:pt idx="52">
                  <c:v>1.9878000125767179</c:v>
                </c:pt>
                <c:pt idx="53">
                  <c:v>1.988900012569762</c:v>
                </c:pt>
                <c:pt idx="54">
                  <c:v>1.9899000125634454</c:v>
                </c:pt>
                <c:pt idx="55">
                  <c:v>1.9909000125571348</c:v>
                </c:pt>
                <c:pt idx="56">
                  <c:v>1.9918000100411688</c:v>
                </c:pt>
                <c:pt idx="57">
                  <c:v>1.9926000025092843</c:v>
                </c:pt>
                <c:pt idx="58">
                  <c:v>1.9933000025084031</c:v>
                </c:pt>
                <c:pt idx="59">
                  <c:v>1.994</c:v>
                </c:pt>
                <c:pt idx="60">
                  <c:v>1.9945999999999999</c:v>
                </c:pt>
                <c:pt idx="61">
                  <c:v>1.9952000000000001</c:v>
                </c:pt>
                <c:pt idx="62">
                  <c:v>1.9957</c:v>
                </c:pt>
                <c:pt idx="63">
                  <c:v>1.9962</c:v>
                </c:pt>
                <c:pt idx="64">
                  <c:v>1.9965999999999999</c:v>
                </c:pt>
                <c:pt idx="65">
                  <c:v>1.9970000000000001</c:v>
                </c:pt>
                <c:pt idx="66">
                  <c:v>1.9974000000000001</c:v>
                </c:pt>
                <c:pt idx="67">
                  <c:v>1.9977000025028784</c:v>
                </c:pt>
                <c:pt idx="68">
                  <c:v>1.9980000025025024</c:v>
                </c:pt>
                <c:pt idx="69">
                  <c:v>1.9983000050042536</c:v>
                </c:pt>
                <c:pt idx="70">
                  <c:v>1.9986000050035024</c:v>
                </c:pt>
                <c:pt idx="71">
                  <c:v>1.9988000125075045</c:v>
                </c:pt>
                <c:pt idx="72">
                  <c:v>1.9990000125062533</c:v>
                </c:pt>
                <c:pt idx="73">
                  <c:v>1.999200012505002</c:v>
                </c:pt>
                <c:pt idx="74">
                  <c:v>1.9994000125037512</c:v>
                </c:pt>
                <c:pt idx="75">
                  <c:v>1.9996000125025004</c:v>
                </c:pt>
                <c:pt idx="76">
                  <c:v>1.9998000125012503</c:v>
                </c:pt>
                <c:pt idx="77">
                  <c:v>1.99990000500025</c:v>
                </c:pt>
                <c:pt idx="78">
                  <c:v>2.0000000024999998</c:v>
                </c:pt>
                <c:pt idx="79">
                  <c:v>2.0001000024998752</c:v>
                </c:pt>
                <c:pt idx="80">
                  <c:v>2.0002000024997497</c:v>
                </c:pt>
                <c:pt idx="81">
                  <c:v>2.0003000024996251</c:v>
                </c:pt>
                <c:pt idx="82">
                  <c:v>2.0004</c:v>
                </c:pt>
                <c:pt idx="83">
                  <c:v>2.0005000000000002</c:v>
                </c:pt>
                <c:pt idx="84">
                  <c:v>2.0006000024992501</c:v>
                </c:pt>
                <c:pt idx="85">
                  <c:v>2.0007000024991255</c:v>
                </c:pt>
                <c:pt idx="86">
                  <c:v>2.000800002499</c:v>
                </c:pt>
                <c:pt idx="87">
                  <c:v>2.0009000024988759</c:v>
                </c:pt>
                <c:pt idx="88">
                  <c:v>2.001000004997501</c:v>
                </c:pt>
                <c:pt idx="89">
                  <c:v>2.001000004997501</c:v>
                </c:pt>
                <c:pt idx="90">
                  <c:v>2.0010000024987504</c:v>
                </c:pt>
                <c:pt idx="91">
                  <c:v>2.0010000099950025</c:v>
                </c:pt>
                <c:pt idx="92">
                  <c:v>2.0010000099950025</c:v>
                </c:pt>
                <c:pt idx="93">
                  <c:v>2.0010000099950025</c:v>
                </c:pt>
                <c:pt idx="94">
                  <c:v>2.0010000099950025</c:v>
                </c:pt>
                <c:pt idx="95">
                  <c:v>2.0010000099950025</c:v>
                </c:pt>
                <c:pt idx="96">
                  <c:v>2.0010000099950025</c:v>
                </c:pt>
                <c:pt idx="97">
                  <c:v>2.0010000099950025</c:v>
                </c:pt>
                <c:pt idx="98">
                  <c:v>2.001000012493753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67-4958-A6CB-C5CE11EE9999}"/>
            </c:ext>
          </c:extLst>
        </c:ser>
        <c:ser>
          <c:idx val="5"/>
          <c:order val="5"/>
          <c:tx>
            <c:strRef>
              <c:f>angvel!$G$1</c:f>
              <c:strCache>
                <c:ptCount val="1"/>
                <c:pt idx="0">
                  <c:v>Breakout</c:v>
                </c:pt>
              </c:strCache>
            </c:strRef>
          </c:tx>
          <c:spPr>
            <a:ln w="1270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angvel!$A$52:$A$150</c:f>
              <c:numCache>
                <c:formatCode>0.00</c:formatCode>
                <c:ptCount val="99"/>
                <c:pt idx="0">
                  <c:v>0</c:v>
                </c:pt>
                <c:pt idx="1">
                  <c:v>8.3333333333333297E-3</c:v>
                </c:pt>
                <c:pt idx="2">
                  <c:v>1.6666666666666701E-2</c:v>
                </c:pt>
                <c:pt idx="3">
                  <c:v>2.5000000000000001E-2</c:v>
                </c:pt>
                <c:pt idx="4">
                  <c:v>3.3333333333333298E-2</c:v>
                </c:pt>
                <c:pt idx="5">
                  <c:v>4.1666666666666699E-2</c:v>
                </c:pt>
                <c:pt idx="6">
                  <c:v>0.05</c:v>
                </c:pt>
                <c:pt idx="7">
                  <c:v>5.83333333333333E-2</c:v>
                </c:pt>
                <c:pt idx="8">
                  <c:v>6.6666666666666596E-2</c:v>
                </c:pt>
                <c:pt idx="9">
                  <c:v>7.4999999999999997E-2</c:v>
                </c:pt>
                <c:pt idx="10">
                  <c:v>8.3333333333333301E-2</c:v>
                </c:pt>
                <c:pt idx="11">
                  <c:v>9.1666666666666605E-2</c:v>
                </c:pt>
                <c:pt idx="12">
                  <c:v>0.1</c:v>
                </c:pt>
                <c:pt idx="13">
                  <c:v>0.108333333333333</c:v>
                </c:pt>
                <c:pt idx="14">
                  <c:v>0.116666666666667</c:v>
                </c:pt>
                <c:pt idx="15">
                  <c:v>0.125</c:v>
                </c:pt>
                <c:pt idx="16">
                  <c:v>0.133333333333333</c:v>
                </c:pt>
                <c:pt idx="17">
                  <c:v>0.141666666666667</c:v>
                </c:pt>
                <c:pt idx="18">
                  <c:v>0.15</c:v>
                </c:pt>
                <c:pt idx="19">
                  <c:v>0.15833333333333299</c:v>
                </c:pt>
                <c:pt idx="20">
                  <c:v>0.16666666666666699</c:v>
                </c:pt>
                <c:pt idx="21">
                  <c:v>0.17499999999999999</c:v>
                </c:pt>
                <c:pt idx="22">
                  <c:v>0.18333333333333299</c:v>
                </c:pt>
                <c:pt idx="23">
                  <c:v>0.19166666666666701</c:v>
                </c:pt>
                <c:pt idx="24">
                  <c:v>0.2</c:v>
                </c:pt>
                <c:pt idx="25">
                  <c:v>0.20833333333333301</c:v>
                </c:pt>
                <c:pt idx="26">
                  <c:v>0.21666666666666701</c:v>
                </c:pt>
                <c:pt idx="27">
                  <c:v>0.22500000000000001</c:v>
                </c:pt>
                <c:pt idx="28">
                  <c:v>0.233333333333333</c:v>
                </c:pt>
                <c:pt idx="29">
                  <c:v>0.241666666666667</c:v>
                </c:pt>
                <c:pt idx="30">
                  <c:v>0.25</c:v>
                </c:pt>
                <c:pt idx="31">
                  <c:v>0.25833333333333303</c:v>
                </c:pt>
                <c:pt idx="32">
                  <c:v>0.266666666666667</c:v>
                </c:pt>
                <c:pt idx="33">
                  <c:v>0.27500000000000002</c:v>
                </c:pt>
                <c:pt idx="34">
                  <c:v>0.28333333333333299</c:v>
                </c:pt>
                <c:pt idx="35">
                  <c:v>0.29166666666666702</c:v>
                </c:pt>
                <c:pt idx="36">
                  <c:v>0.3</c:v>
                </c:pt>
                <c:pt idx="37">
                  <c:v>0.30833333333333302</c:v>
                </c:pt>
                <c:pt idx="38">
                  <c:v>0.31666666666666698</c:v>
                </c:pt>
                <c:pt idx="39">
                  <c:v>0.32500000000000001</c:v>
                </c:pt>
                <c:pt idx="40">
                  <c:v>0.33333333333333298</c:v>
                </c:pt>
                <c:pt idx="41">
                  <c:v>0.34166666666666701</c:v>
                </c:pt>
                <c:pt idx="42">
                  <c:v>0.35</c:v>
                </c:pt>
                <c:pt idx="43">
                  <c:v>0.358333333333333</c:v>
                </c:pt>
                <c:pt idx="44">
                  <c:v>0.36666666666666697</c:v>
                </c:pt>
                <c:pt idx="45">
                  <c:v>0.375</c:v>
                </c:pt>
                <c:pt idx="46">
                  <c:v>0.38333333333333303</c:v>
                </c:pt>
                <c:pt idx="47">
                  <c:v>0.391666666666666</c:v>
                </c:pt>
                <c:pt idx="48">
                  <c:v>0.4</c:v>
                </c:pt>
                <c:pt idx="49">
                  <c:v>0.40833333333333299</c:v>
                </c:pt>
                <c:pt idx="50">
                  <c:v>0.41666666666666602</c:v>
                </c:pt>
                <c:pt idx="51">
                  <c:v>0.42499999999999999</c:v>
                </c:pt>
                <c:pt idx="52">
                  <c:v>0.43333333333333302</c:v>
                </c:pt>
                <c:pt idx="53">
                  <c:v>0.44166666666666599</c:v>
                </c:pt>
                <c:pt idx="54">
                  <c:v>0.45</c:v>
                </c:pt>
                <c:pt idx="55">
                  <c:v>0.45833333333333298</c:v>
                </c:pt>
                <c:pt idx="56">
                  <c:v>0.46666666666666601</c:v>
                </c:pt>
                <c:pt idx="57">
                  <c:v>0.47499999999999998</c:v>
                </c:pt>
                <c:pt idx="58">
                  <c:v>0.483333333333333</c:v>
                </c:pt>
                <c:pt idx="59">
                  <c:v>0.49166666666666597</c:v>
                </c:pt>
                <c:pt idx="60">
                  <c:v>0.5</c:v>
                </c:pt>
                <c:pt idx="61">
                  <c:v>0.50833333333333297</c:v>
                </c:pt>
                <c:pt idx="62">
                  <c:v>0.51666666666666605</c:v>
                </c:pt>
                <c:pt idx="63">
                  <c:v>0.52500000000000002</c:v>
                </c:pt>
                <c:pt idx="64">
                  <c:v>0.53333333333333299</c:v>
                </c:pt>
                <c:pt idx="65">
                  <c:v>0.54166666666666596</c:v>
                </c:pt>
                <c:pt idx="66">
                  <c:v>0.55000000000000004</c:v>
                </c:pt>
                <c:pt idx="67">
                  <c:v>0.55833333333333302</c:v>
                </c:pt>
                <c:pt idx="68">
                  <c:v>0.56666666666666599</c:v>
                </c:pt>
                <c:pt idx="69">
                  <c:v>0.57499999999999996</c:v>
                </c:pt>
                <c:pt idx="70">
                  <c:v>0.58333333333333304</c:v>
                </c:pt>
                <c:pt idx="71">
                  <c:v>0.59166666666666601</c:v>
                </c:pt>
                <c:pt idx="72">
                  <c:v>0.6</c:v>
                </c:pt>
                <c:pt idx="73">
                  <c:v>0.60833333333333295</c:v>
                </c:pt>
                <c:pt idx="74">
                  <c:v>0.61666666666666603</c:v>
                </c:pt>
                <c:pt idx="75">
                  <c:v>0.625</c:v>
                </c:pt>
                <c:pt idx="76">
                  <c:v>0.63333333333333297</c:v>
                </c:pt>
                <c:pt idx="77">
                  <c:v>0.64166666666666605</c:v>
                </c:pt>
                <c:pt idx="78">
                  <c:v>0.65</c:v>
                </c:pt>
                <c:pt idx="79">
                  <c:v>0.65833333333333299</c:v>
                </c:pt>
                <c:pt idx="80">
                  <c:v>0.66666666666666596</c:v>
                </c:pt>
                <c:pt idx="81">
                  <c:v>0.67500000000000004</c:v>
                </c:pt>
                <c:pt idx="82">
                  <c:v>0.68333333333333302</c:v>
                </c:pt>
                <c:pt idx="83">
                  <c:v>0.69166666666666599</c:v>
                </c:pt>
                <c:pt idx="84">
                  <c:v>0.7</c:v>
                </c:pt>
                <c:pt idx="85">
                  <c:v>0.70833333333333304</c:v>
                </c:pt>
                <c:pt idx="86">
                  <c:v>0.71666666666666601</c:v>
                </c:pt>
                <c:pt idx="87">
                  <c:v>0.72499999999999998</c:v>
                </c:pt>
                <c:pt idx="88">
                  <c:v>0.73333333333333295</c:v>
                </c:pt>
                <c:pt idx="89">
                  <c:v>0.74166666666666603</c:v>
                </c:pt>
                <c:pt idx="90">
                  <c:v>0.75</c:v>
                </c:pt>
                <c:pt idx="91">
                  <c:v>0.75833333333333297</c:v>
                </c:pt>
                <c:pt idx="92">
                  <c:v>0.76666666666666605</c:v>
                </c:pt>
                <c:pt idx="93">
                  <c:v>0.77500000000000002</c:v>
                </c:pt>
                <c:pt idx="94">
                  <c:v>0.78333333333333299</c:v>
                </c:pt>
                <c:pt idx="95">
                  <c:v>0.79166666666666596</c:v>
                </c:pt>
                <c:pt idx="96">
                  <c:v>0.8</c:v>
                </c:pt>
                <c:pt idx="97">
                  <c:v>0.80833333333333302</c:v>
                </c:pt>
                <c:pt idx="98">
                  <c:v>0.81666666666666599</c:v>
                </c:pt>
              </c:numCache>
            </c:numRef>
          </c:cat>
          <c:val>
            <c:numRef>
              <c:f>angvel!$G$52:$G$150</c:f>
              <c:numCache>
                <c:formatCode>0.0</c:formatCode>
                <c:ptCount val="99"/>
                <c:pt idx="0">
                  <c:v>5.0000000000000001E-4</c:v>
                </c:pt>
                <c:pt idx="1">
                  <c:v>0.26293715979298177</c:v>
                </c:pt>
                <c:pt idx="2">
                  <c:v>0.47604169985411987</c:v>
                </c:pt>
                <c:pt idx="3">
                  <c:v>0.65893449598575426</c:v>
                </c:pt>
                <c:pt idx="4">
                  <c:v>0.81612450643268897</c:v>
                </c:pt>
                <c:pt idx="5">
                  <c:v>0.95161490110233138</c:v>
                </c:pt>
                <c:pt idx="6">
                  <c:v>1.0688076721281523</c:v>
                </c:pt>
                <c:pt idx="7">
                  <c:v>1.170503220841361</c:v>
                </c:pt>
                <c:pt idx="8">
                  <c:v>1.2592008259209491</c:v>
                </c:pt>
                <c:pt idx="9">
                  <c:v>1.3369000373999547</c:v>
                </c:pt>
                <c:pt idx="10">
                  <c:v>1.4053001138546883</c:v>
                </c:pt>
                <c:pt idx="11">
                  <c:v>1.465700443474041</c:v>
                </c:pt>
                <c:pt idx="12">
                  <c:v>1.5193008852758563</c:v>
                </c:pt>
                <c:pt idx="13">
                  <c:v>1.5671012762422216</c:v>
                </c:pt>
                <c:pt idx="14">
                  <c:v>1.6098015312453891</c:v>
                </c:pt>
                <c:pt idx="15">
                  <c:v>1.6481016898237801</c:v>
                </c:pt>
                <c:pt idx="16">
                  <c:v>1.6826016551756986</c:v>
                </c:pt>
                <c:pt idx="17">
                  <c:v>1.7137015171843666</c:v>
                </c:pt>
                <c:pt idx="18">
                  <c:v>1.7418013147313904</c:v>
                </c:pt>
                <c:pt idx="19">
                  <c:v>1.7673010439650625</c:v>
                </c:pt>
                <c:pt idx="20">
                  <c:v>1.7905008098294735</c:v>
                </c:pt>
                <c:pt idx="21">
                  <c:v>1.8116006099579456</c:v>
                </c:pt>
                <c:pt idx="22">
                  <c:v>1.8309004424053208</c:v>
                </c:pt>
                <c:pt idx="23">
                  <c:v>1.8485003922098584</c:v>
                </c:pt>
                <c:pt idx="24">
                  <c:v>1.8646003030140266</c:v>
                </c:pt>
                <c:pt idx="25">
                  <c:v>1.8793002261480203</c:v>
                </c:pt>
                <c:pt idx="26">
                  <c:v>1.8928001954775893</c:v>
                </c:pt>
                <c:pt idx="27">
                  <c:v>1.9052001705857577</c:v>
                </c:pt>
                <c:pt idx="28">
                  <c:v>1.9166001513096049</c:v>
                </c:pt>
                <c:pt idx="29">
                  <c:v>1.9271001375123193</c:v>
                </c:pt>
                <c:pt idx="30">
                  <c:v>1.9367001368306866</c:v>
                </c:pt>
                <c:pt idx="31">
                  <c:v>1.9456001027960499</c:v>
                </c:pt>
                <c:pt idx="32">
                  <c:v>1.9537000742181487</c:v>
                </c:pt>
                <c:pt idx="33">
                  <c:v>1.9612000509891896</c:v>
                </c:pt>
                <c:pt idx="34">
                  <c:v>1.9681000330267768</c:v>
                </c:pt>
                <c:pt idx="35">
                  <c:v>1.9745000126614332</c:v>
                </c:pt>
                <c:pt idx="36">
                  <c:v>1.9804000050494848</c:v>
                </c:pt>
                <c:pt idx="37">
                  <c:v>1.9859</c:v>
                </c:pt>
                <c:pt idx="38">
                  <c:v>1.9908999999999999</c:v>
                </c:pt>
                <c:pt idx="39">
                  <c:v>1.9955000000000001</c:v>
                </c:pt>
                <c:pt idx="40">
                  <c:v>1.9998</c:v>
                </c:pt>
                <c:pt idx="41">
                  <c:v>2.0038</c:v>
                </c:pt>
                <c:pt idx="42">
                  <c:v>2.0074999999999998</c:v>
                </c:pt>
                <c:pt idx="43">
                  <c:v>2.0108999999999999</c:v>
                </c:pt>
                <c:pt idx="44">
                  <c:v>2.0139999999999998</c:v>
                </c:pt>
                <c:pt idx="45">
                  <c:v>2.0169000000000001</c:v>
                </c:pt>
                <c:pt idx="46">
                  <c:v>2.0196000000000001</c:v>
                </c:pt>
                <c:pt idx="47">
                  <c:v>2.0221</c:v>
                </c:pt>
                <c:pt idx="48">
                  <c:v>2.0244</c:v>
                </c:pt>
                <c:pt idx="49">
                  <c:v>2.0265</c:v>
                </c:pt>
                <c:pt idx="50">
                  <c:v>2.0285000000000002</c:v>
                </c:pt>
                <c:pt idx="51">
                  <c:v>2.0303</c:v>
                </c:pt>
                <c:pt idx="52">
                  <c:v>2.032</c:v>
                </c:pt>
                <c:pt idx="53">
                  <c:v>2.0335000000000001</c:v>
                </c:pt>
                <c:pt idx="54">
                  <c:v>2.0348999999999999</c:v>
                </c:pt>
                <c:pt idx="55">
                  <c:v>2.0362</c:v>
                </c:pt>
                <c:pt idx="56">
                  <c:v>2.0373999999999999</c:v>
                </c:pt>
                <c:pt idx="57">
                  <c:v>2.0385</c:v>
                </c:pt>
                <c:pt idx="58">
                  <c:v>2.0396000000000001</c:v>
                </c:pt>
                <c:pt idx="59">
                  <c:v>2.0406000024502595</c:v>
                </c:pt>
                <c:pt idx="60">
                  <c:v>2.0415000097967182</c:v>
                </c:pt>
                <c:pt idx="61">
                  <c:v>2.0423000097928803</c:v>
                </c:pt>
                <c:pt idx="62">
                  <c:v>2.0431000097890459</c:v>
                </c:pt>
                <c:pt idx="63">
                  <c:v>2.0438000097856932</c:v>
                </c:pt>
                <c:pt idx="64">
                  <c:v>2.0445000024455857</c:v>
                </c:pt>
                <c:pt idx="65">
                  <c:v>2.0451000000000001</c:v>
                </c:pt>
                <c:pt idx="66">
                  <c:v>2.0457000000000001</c:v>
                </c:pt>
                <c:pt idx="67">
                  <c:v>2.0461999999999998</c:v>
                </c:pt>
                <c:pt idx="68">
                  <c:v>2.0467</c:v>
                </c:pt>
                <c:pt idx="69">
                  <c:v>2.0470999999999999</c:v>
                </c:pt>
                <c:pt idx="70">
                  <c:v>2.0475000024420025</c:v>
                </c:pt>
                <c:pt idx="71">
                  <c:v>2.0479000097661015</c:v>
                </c:pt>
                <c:pt idx="72">
                  <c:v>2.0483000097641946</c:v>
                </c:pt>
                <c:pt idx="73">
                  <c:v>2.0486000097627648</c:v>
                </c:pt>
                <c:pt idx="74">
                  <c:v>2.0489000024403339</c:v>
                </c:pt>
                <c:pt idx="75">
                  <c:v>2.0491999999999999</c:v>
                </c:pt>
                <c:pt idx="76">
                  <c:v>2.0495000000000001</c:v>
                </c:pt>
                <c:pt idx="77">
                  <c:v>2.0497000000000001</c:v>
                </c:pt>
                <c:pt idx="78">
                  <c:v>2.0499000000000001</c:v>
                </c:pt>
                <c:pt idx="79">
                  <c:v>2.0501</c:v>
                </c:pt>
                <c:pt idx="80">
                  <c:v>2.0503000024386675</c:v>
                </c:pt>
                <c:pt idx="81">
                  <c:v>2.0505000097537183</c:v>
                </c:pt>
                <c:pt idx="82">
                  <c:v>2.0507000097527674</c:v>
                </c:pt>
                <c:pt idx="83">
                  <c:v>2.0509000097518162</c:v>
                </c:pt>
                <c:pt idx="84">
                  <c:v>2.0510000024378354</c:v>
                </c:pt>
                <c:pt idx="85">
                  <c:v>2.0510999999999999</c:v>
                </c:pt>
                <c:pt idx="86">
                  <c:v>2.0512000000000001</c:v>
                </c:pt>
                <c:pt idx="87">
                  <c:v>2.0512999999999999</c:v>
                </c:pt>
                <c:pt idx="88">
                  <c:v>2.0514000000000001</c:v>
                </c:pt>
                <c:pt idx="89">
                  <c:v>2.051500002437241</c:v>
                </c:pt>
                <c:pt idx="90">
                  <c:v>2.0516000097484892</c:v>
                </c:pt>
                <c:pt idx="91">
                  <c:v>2.0517000097480138</c:v>
                </c:pt>
                <c:pt idx="92">
                  <c:v>2.0518000219319621</c:v>
                </c:pt>
                <c:pt idx="93">
                  <c:v>2.0519000219308929</c:v>
                </c:pt>
                <c:pt idx="94">
                  <c:v>2.0520000219298247</c:v>
                </c:pt>
                <c:pt idx="95">
                  <c:v>2.052100021928756</c:v>
                </c:pt>
                <c:pt idx="96">
                  <c:v>2.0522000219276872</c:v>
                </c:pt>
                <c:pt idx="97">
                  <c:v>2.0522000219276872</c:v>
                </c:pt>
                <c:pt idx="98">
                  <c:v>2.0522000219276872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67-4958-A6CB-C5CE11EE9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485600"/>
        <c:axId val="668485928"/>
      </c:lineChart>
      <c:catAx>
        <c:axId val="668485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chemeClr val="bg1"/>
                    </a:solidFill>
                  </a:rPr>
                  <a:t>Time in 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85928"/>
        <c:crosses val="autoZero"/>
        <c:auto val="1"/>
        <c:lblAlgn val="ctr"/>
        <c:lblOffset val="50"/>
        <c:tickLblSkip val="30"/>
        <c:tickMarkSkip val="30"/>
        <c:noMultiLvlLbl val="0"/>
      </c:catAx>
      <c:valAx>
        <c:axId val="66848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chemeClr val="bg1"/>
                    </a:solidFill>
                  </a:rPr>
                  <a:t>Angular</a:t>
                </a:r>
                <a:r>
                  <a:rPr lang="en-GB" baseline="0">
                    <a:solidFill>
                      <a:schemeClr val="bg1"/>
                    </a:solidFill>
                  </a:rPr>
                  <a:t> velocity in rad/s</a:t>
                </a:r>
                <a:endParaRPr lang="en-GB">
                  <a:solidFill>
                    <a:schemeClr val="bg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8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2"/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angvel!$I$1</c:f>
              <c:strCache>
                <c:ptCount val="1"/>
                <c:pt idx="0">
                  <c:v>% Hybrid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angvel!$I$53:$I$150</c:f>
              <c:numCache>
                <c:formatCode>0.0%</c:formatCode>
                <c:ptCount val="98"/>
                <c:pt idx="0">
                  <c:v>-4.8037559776430316E-2</c:v>
                </c:pt>
                <c:pt idx="1">
                  <c:v>-4.4168136247885181E-2</c:v>
                </c:pt>
                <c:pt idx="2">
                  <c:v>-4.0338945943462545E-2</c:v>
                </c:pt>
                <c:pt idx="3">
                  <c:v>-3.6729110378343921E-2</c:v>
                </c:pt>
                <c:pt idx="4">
                  <c:v>-3.3149294564056797E-2</c:v>
                </c:pt>
                <c:pt idx="5">
                  <c:v>-2.9680868031050966E-2</c:v>
                </c:pt>
                <c:pt idx="6">
                  <c:v>-2.6441206275033657E-2</c:v>
                </c:pt>
                <c:pt idx="7">
                  <c:v>-2.3352268797347864E-2</c:v>
                </c:pt>
                <c:pt idx="8">
                  <c:v>-2.0396740512625522E-2</c:v>
                </c:pt>
                <c:pt idx="9">
                  <c:v>-1.7592749345766379E-2</c:v>
                </c:pt>
                <c:pt idx="10">
                  <c:v>-1.4979040316878467E-2</c:v>
                </c:pt>
                <c:pt idx="11">
                  <c:v>-1.2483331828641031E-2</c:v>
                </c:pt>
                <c:pt idx="12">
                  <c:v>-1.0177015810599155E-2</c:v>
                </c:pt>
                <c:pt idx="13">
                  <c:v>-8.0159564671609118E-3</c:v>
                </c:pt>
                <c:pt idx="14">
                  <c:v>-5.9672081513350017E-3</c:v>
                </c:pt>
                <c:pt idx="15">
                  <c:v>-4.0068510444034589E-3</c:v>
                </c:pt>
                <c:pt idx="16">
                  <c:v>-2.1736631609365897E-3</c:v>
                </c:pt>
                <c:pt idx="17">
                  <c:v>-5.0810391023847767E-4</c:v>
                </c:pt>
                <c:pt idx="18">
                  <c:v>1.1157478500172235E-3</c:v>
                </c:pt>
                <c:pt idx="19">
                  <c:v>2.6506326363957555E-3</c:v>
                </c:pt>
                <c:pt idx="20">
                  <c:v>4.0493905146072873E-3</c:v>
                </c:pt>
                <c:pt idx="21">
                  <c:v>5.3193994543219159E-3</c:v>
                </c:pt>
                <c:pt idx="22">
                  <c:v>6.5204123236712874E-3</c:v>
                </c:pt>
                <c:pt idx="23">
                  <c:v>7.6564378274197598E-3</c:v>
                </c:pt>
                <c:pt idx="24">
                  <c:v>8.7303026283149787E-3</c:v>
                </c:pt>
                <c:pt idx="25">
                  <c:v>9.7976303113442853E-3</c:v>
                </c:pt>
                <c:pt idx="26">
                  <c:v>1.0753786164649171E-2</c:v>
                </c:pt>
                <c:pt idx="27">
                  <c:v>1.165414351664662E-2</c:v>
                </c:pt>
                <c:pt idx="28">
                  <c:v>1.2499355706552473E-2</c:v>
                </c:pt>
                <c:pt idx="29">
                  <c:v>1.3290968721928254E-2</c:v>
                </c:pt>
                <c:pt idx="30">
                  <c:v>1.4029660511563957E-2</c:v>
                </c:pt>
                <c:pt idx="31">
                  <c:v>1.4716605489152101E-2</c:v>
                </c:pt>
                <c:pt idx="32">
                  <c:v>1.5352077162406719E-2</c:v>
                </c:pt>
                <c:pt idx="33">
                  <c:v>1.5936095920046744E-2</c:v>
                </c:pt>
                <c:pt idx="34">
                  <c:v>1.6469415907670815E-2</c:v>
                </c:pt>
                <c:pt idx="35">
                  <c:v>1.7004031193283753E-2</c:v>
                </c:pt>
                <c:pt idx="36">
                  <c:v>1.7488088780167832E-2</c:v>
                </c:pt>
                <c:pt idx="37">
                  <c:v>1.7922068019875281E-2</c:v>
                </c:pt>
                <c:pt idx="38">
                  <c:v>1.8357540704518227E-2</c:v>
                </c:pt>
                <c:pt idx="39">
                  <c:v>1.8794691812314746E-2</c:v>
                </c:pt>
                <c:pt idx="40">
                  <c:v>1.9181719487250559E-2</c:v>
                </c:pt>
                <c:pt idx="41">
                  <c:v>1.9518910668077538E-2</c:v>
                </c:pt>
                <c:pt idx="42">
                  <c:v>1.9805512188882046E-2</c:v>
                </c:pt>
                <c:pt idx="43">
                  <c:v>2.0093601374763459E-2</c:v>
                </c:pt>
                <c:pt idx="44">
                  <c:v>2.0383267202564337E-2</c:v>
                </c:pt>
                <c:pt idx="45">
                  <c:v>2.062274550045573E-2</c:v>
                </c:pt>
                <c:pt idx="46">
                  <c:v>2.0862952517776812E-2</c:v>
                </c:pt>
                <c:pt idx="47">
                  <c:v>2.1104975108257706E-2</c:v>
                </c:pt>
                <c:pt idx="48">
                  <c:v>2.1347810157986702E-2</c:v>
                </c:pt>
                <c:pt idx="49">
                  <c:v>2.1539708594524587E-2</c:v>
                </c:pt>
                <c:pt idx="50">
                  <c:v>2.168185746002016E-2</c:v>
                </c:pt>
                <c:pt idx="51">
                  <c:v>2.182497522951854E-2</c:v>
                </c:pt>
                <c:pt idx="52">
                  <c:v>2.1969100736142E-2</c:v>
                </c:pt>
                <c:pt idx="53">
                  <c:v>2.2164849201939951E-2</c:v>
                </c:pt>
                <c:pt idx="54">
                  <c:v>2.2309889469297239E-2</c:v>
                </c:pt>
                <c:pt idx="55">
                  <c:v>2.245598655529446E-2</c:v>
                </c:pt>
                <c:pt idx="56">
                  <c:v>2.2551443366746415E-2</c:v>
                </c:pt>
                <c:pt idx="57">
                  <c:v>2.2698547576484485E-2</c:v>
                </c:pt>
                <c:pt idx="58">
                  <c:v>2.2795051460059002E-2</c:v>
                </c:pt>
                <c:pt idx="59">
                  <c:v>2.2891510085668143E-2</c:v>
                </c:pt>
                <c:pt idx="60">
                  <c:v>2.2989091200366296E-2</c:v>
                </c:pt>
                <c:pt idx="61">
                  <c:v>2.3086644043045501E-2</c:v>
                </c:pt>
                <c:pt idx="62">
                  <c:v>2.3133643104470636E-2</c:v>
                </c:pt>
                <c:pt idx="63">
                  <c:v>2.3180636945096644E-2</c:v>
                </c:pt>
                <c:pt idx="64">
                  <c:v>2.3279289373921097E-2</c:v>
                </c:pt>
                <c:pt idx="65">
                  <c:v>2.3327430824756412E-2</c:v>
                </c:pt>
                <c:pt idx="66">
                  <c:v>2.3375562553483498E-2</c:v>
                </c:pt>
                <c:pt idx="67">
                  <c:v>2.3423691083388043E-2</c:v>
                </c:pt>
                <c:pt idx="68">
                  <c:v>2.3471807287320345E-2</c:v>
                </c:pt>
                <c:pt idx="69">
                  <c:v>2.3521097020450243E-2</c:v>
                </c:pt>
                <c:pt idx="70">
                  <c:v>2.3570383022462948E-2</c:v>
                </c:pt>
                <c:pt idx="71">
                  <c:v>2.3619666537745276E-2</c:v>
                </c:pt>
                <c:pt idx="72">
                  <c:v>2.3668941345910799E-2</c:v>
                </c:pt>
                <c:pt idx="73">
                  <c:v>2.3718211180841831E-2</c:v>
                </c:pt>
                <c:pt idx="74">
                  <c:v>2.3767476043291325E-2</c:v>
                </c:pt>
                <c:pt idx="75">
                  <c:v>2.3766269115303551E-2</c:v>
                </c:pt>
                <c:pt idx="76">
                  <c:v>2.3765068706217418E-2</c:v>
                </c:pt>
                <c:pt idx="77">
                  <c:v>2.3763863146376574E-2</c:v>
                </c:pt>
                <c:pt idx="78">
                  <c:v>2.3762664223458962E-2</c:v>
                </c:pt>
                <c:pt idx="79">
                  <c:v>2.3761465421510586E-2</c:v>
                </c:pt>
                <c:pt idx="80">
                  <c:v>2.3760265437857031E-2</c:v>
                </c:pt>
                <c:pt idx="81">
                  <c:v>2.381071840190474E-2</c:v>
                </c:pt>
                <c:pt idx="82">
                  <c:v>2.3861170003795396E-2</c:v>
                </c:pt>
                <c:pt idx="83">
                  <c:v>2.391161645469797E-2</c:v>
                </c:pt>
                <c:pt idx="84">
                  <c:v>2.3962064208512546E-2</c:v>
                </c:pt>
                <c:pt idx="85">
                  <c:v>2.4012510659479291E-2</c:v>
                </c:pt>
                <c:pt idx="86">
                  <c:v>2.4012510659479291E-2</c:v>
                </c:pt>
                <c:pt idx="87">
                  <c:v>2.4012510659479291E-2</c:v>
                </c:pt>
                <c:pt idx="88">
                  <c:v>2.4062956928894597E-2</c:v>
                </c:pt>
                <c:pt idx="89">
                  <c:v>2.4062963141511684E-2</c:v>
                </c:pt>
                <c:pt idx="90">
                  <c:v>2.4062956626309751E-2</c:v>
                </c:pt>
                <c:pt idx="91">
                  <c:v>2.4061742796833263E-2</c:v>
                </c:pt>
                <c:pt idx="92">
                  <c:v>2.406173658483568E-2</c:v>
                </c:pt>
                <c:pt idx="93">
                  <c:v>2.4061732857636908E-2</c:v>
                </c:pt>
                <c:pt idx="94">
                  <c:v>2.4112165097263327E-2</c:v>
                </c:pt>
                <c:pt idx="95">
                  <c:v>2.4112161188348802E-2</c:v>
                </c:pt>
                <c:pt idx="96">
                  <c:v>2.4112154673491037E-2</c:v>
                </c:pt>
                <c:pt idx="97">
                  <c:v>2.4060497064939845E-2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67-4958-A6CB-C5CE11EE9999}"/>
            </c:ext>
          </c:extLst>
        </c:ser>
        <c:ser>
          <c:idx val="1"/>
          <c:order val="1"/>
          <c:tx>
            <c:strRef>
              <c:f>angvel!$J$1</c:f>
              <c:strCache>
                <c:ptCount val="1"/>
                <c:pt idx="0">
                  <c:v>% Dominus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angvel!$J$53:$J$150</c:f>
              <c:numCache>
                <c:formatCode>0.0%</c:formatCode>
                <c:ptCount val="98"/>
                <c:pt idx="0">
                  <c:v>-5.65761560004997E-2</c:v>
                </c:pt>
                <c:pt idx="1">
                  <c:v>-5.217427646595163E-2</c:v>
                </c:pt>
                <c:pt idx="2">
                  <c:v>-4.7842348032825166E-2</c:v>
                </c:pt>
                <c:pt idx="3">
                  <c:v>-4.3512680679477445E-2</c:v>
                </c:pt>
                <c:pt idx="4">
                  <c:v>-3.930121302961509E-2</c:v>
                </c:pt>
                <c:pt idx="5">
                  <c:v>-3.5193379143646175E-2</c:v>
                </c:pt>
                <c:pt idx="6">
                  <c:v>-3.1343079567340171E-2</c:v>
                </c:pt>
                <c:pt idx="7">
                  <c:v>-2.7557416661144529E-2</c:v>
                </c:pt>
                <c:pt idx="8">
                  <c:v>-2.3950496265221277E-2</c:v>
                </c:pt>
                <c:pt idx="9">
                  <c:v>-2.0513597001151074E-2</c:v>
                </c:pt>
                <c:pt idx="10">
                  <c:v>-1.7333584491955656E-2</c:v>
                </c:pt>
                <c:pt idx="11">
                  <c:v>-1.4320462946305179E-2</c:v>
                </c:pt>
                <c:pt idx="12">
                  <c:v>-1.1471594798495466E-2</c:v>
                </c:pt>
                <c:pt idx="13">
                  <c:v>-8.7384338543113893E-3</c:v>
                </c:pt>
                <c:pt idx="14">
                  <c:v>-6.2028177380257787E-3</c:v>
                </c:pt>
                <c:pt idx="15">
                  <c:v>-3.7739150481799211E-3</c:v>
                </c:pt>
                <c:pt idx="16">
                  <c:v>-1.4867915133482956E-3</c:v>
                </c:pt>
                <c:pt idx="17">
                  <c:v>6.2109148054889651E-4</c:v>
                </c:pt>
                <c:pt idx="18">
                  <c:v>2.6781489714178264E-3</c:v>
                </c:pt>
                <c:pt idx="19">
                  <c:v>4.5835507492593131E-3</c:v>
                </c:pt>
                <c:pt idx="20">
                  <c:v>6.3477327600283129E-3</c:v>
                </c:pt>
                <c:pt idx="21">
                  <c:v>8.0333960631930879E-3</c:v>
                </c:pt>
                <c:pt idx="22">
                  <c:v>9.5919970577718061E-3</c:v>
                </c:pt>
                <c:pt idx="23">
                  <c:v>1.1083053377068719E-2</c:v>
                </c:pt>
                <c:pt idx="24">
                  <c:v>1.2456627551594268E-2</c:v>
                </c:pt>
                <c:pt idx="25">
                  <c:v>1.3769644601946407E-2</c:v>
                </c:pt>
                <c:pt idx="26">
                  <c:v>1.4970975227067029E-2</c:v>
                </c:pt>
                <c:pt idx="27">
                  <c:v>1.6168823074325545E-2</c:v>
                </c:pt>
                <c:pt idx="28">
                  <c:v>1.72585306940225E-2</c:v>
                </c:pt>
                <c:pt idx="29">
                  <c:v>1.8242485627692817E-2</c:v>
                </c:pt>
                <c:pt idx="30">
                  <c:v>1.9173826548128936E-2</c:v>
                </c:pt>
                <c:pt idx="31">
                  <c:v>2.0053908635499162E-2</c:v>
                </c:pt>
                <c:pt idx="32">
                  <c:v>2.0882880682584259E-2</c:v>
                </c:pt>
                <c:pt idx="33">
                  <c:v>2.166064885046648E-2</c:v>
                </c:pt>
                <c:pt idx="34">
                  <c:v>2.2388057819549223E-2</c:v>
                </c:pt>
                <c:pt idx="35">
                  <c:v>2.3065850079320604E-2</c:v>
                </c:pt>
                <c:pt idx="36">
                  <c:v>2.3693510567201814E-2</c:v>
                </c:pt>
                <c:pt idx="37">
                  <c:v>2.4271582659443292E-2</c:v>
                </c:pt>
                <c:pt idx="38">
                  <c:v>2.4851694516772938E-2</c:v>
                </c:pt>
                <c:pt idx="39">
                  <c:v>2.5383031821227142E-2</c:v>
                </c:pt>
                <c:pt idx="40">
                  <c:v>2.5915710803834813E-2</c:v>
                </c:pt>
                <c:pt idx="41">
                  <c:v>2.6398931697175332E-2</c:v>
                </c:pt>
                <c:pt idx="42">
                  <c:v>2.6780711865471929E-2</c:v>
                </c:pt>
                <c:pt idx="43">
                  <c:v>2.7164512551010045E-2</c:v>
                </c:pt>
                <c:pt idx="44">
                  <c:v>2.7550449223056495E-2</c:v>
                </c:pt>
                <c:pt idx="45">
                  <c:v>2.7886430658993655E-2</c:v>
                </c:pt>
                <c:pt idx="46">
                  <c:v>2.8172596959515017E-2</c:v>
                </c:pt>
                <c:pt idx="47">
                  <c:v>2.851200648396035E-2</c:v>
                </c:pt>
                <c:pt idx="48">
                  <c:v>2.8801792989558983E-2</c:v>
                </c:pt>
                <c:pt idx="49">
                  <c:v>2.904060409103959E-2</c:v>
                </c:pt>
                <c:pt idx="50">
                  <c:v>2.9280656489417245E-2</c:v>
                </c:pt>
                <c:pt idx="51">
                  <c:v>2.952197571521098E-2</c:v>
                </c:pt>
                <c:pt idx="52">
                  <c:v>2.9764614030777015E-2</c:v>
                </c:pt>
                <c:pt idx="53">
                  <c:v>3.0008600273015551E-2</c:v>
                </c:pt>
                <c:pt idx="54">
                  <c:v>3.020184903391665E-2</c:v>
                </c:pt>
                <c:pt idx="55">
                  <c:v>3.0396527013299091E-2</c:v>
                </c:pt>
                <c:pt idx="56">
                  <c:v>3.0540540135125083E-2</c:v>
                </c:pt>
                <c:pt idx="57">
                  <c:v>3.073657864111623E-2</c:v>
                </c:pt>
                <c:pt idx="58">
                  <c:v>3.0881994539965429E-2</c:v>
                </c:pt>
                <c:pt idx="59">
                  <c:v>3.0976818529092842E-2</c:v>
                </c:pt>
                <c:pt idx="60">
                  <c:v>3.1123699563365026E-2</c:v>
                </c:pt>
                <c:pt idx="61">
                  <c:v>3.1220019586621017E-2</c:v>
                </c:pt>
                <c:pt idx="62">
                  <c:v>3.1316302525376205E-2</c:v>
                </c:pt>
                <c:pt idx="63">
                  <c:v>3.1412554211388777E-2</c:v>
                </c:pt>
                <c:pt idx="64">
                  <c:v>3.1510376503459447E-2</c:v>
                </c:pt>
                <c:pt idx="65">
                  <c:v>3.1608172860047912E-2</c:v>
                </c:pt>
                <c:pt idx="66">
                  <c:v>3.1705955645758621E-2</c:v>
                </c:pt>
                <c:pt idx="67">
                  <c:v>3.1753239451465465E-2</c:v>
                </c:pt>
                <c:pt idx="68">
                  <c:v>3.1800514785701672E-2</c:v>
                </c:pt>
                <c:pt idx="69">
                  <c:v>3.189985859149802E-2</c:v>
                </c:pt>
                <c:pt idx="70">
                  <c:v>3.1948720456894231E-2</c:v>
                </c:pt>
                <c:pt idx="71">
                  <c:v>3.1997577390235898E-2</c:v>
                </c:pt>
                <c:pt idx="72">
                  <c:v>3.204642939226976E-2</c:v>
                </c:pt>
                <c:pt idx="73">
                  <c:v>3.209527646374255E-2</c:v>
                </c:pt>
                <c:pt idx="74">
                  <c:v>3.2144118605399896E-2</c:v>
                </c:pt>
                <c:pt idx="75">
                  <c:v>3.2192950642485618E-2</c:v>
                </c:pt>
                <c:pt idx="76">
                  <c:v>3.224178292714619E-2</c:v>
                </c:pt>
                <c:pt idx="77">
                  <c:v>3.2240149628491421E-2</c:v>
                </c:pt>
                <c:pt idx="78">
                  <c:v>3.2238524296797078E-2</c:v>
                </c:pt>
                <c:pt idx="79">
                  <c:v>3.2236897896166683E-2</c:v>
                </c:pt>
                <c:pt idx="80">
                  <c:v>3.2235274044247975E-2</c:v>
                </c:pt>
                <c:pt idx="81">
                  <c:v>3.2285727061973635E-2</c:v>
                </c:pt>
                <c:pt idx="82">
                  <c:v>3.2336177453206494E-2</c:v>
                </c:pt>
                <c:pt idx="83">
                  <c:v>3.238663006645659E-2</c:v>
                </c:pt>
                <c:pt idx="84">
                  <c:v>3.2437077830574479E-2</c:v>
                </c:pt>
                <c:pt idx="85">
                  <c:v>3.2487524281060276E-2</c:v>
                </c:pt>
                <c:pt idx="86">
                  <c:v>3.2537979357820435E-2</c:v>
                </c:pt>
                <c:pt idx="87">
                  <c:v>3.2588425807885013E-2</c:v>
                </c:pt>
                <c:pt idx="88">
                  <c:v>3.2588421866219575E-2</c:v>
                </c:pt>
                <c:pt idx="89">
                  <c:v>3.2588421866219575E-2</c:v>
                </c:pt>
                <c:pt idx="90">
                  <c:v>3.2638861746329129E-2</c:v>
                </c:pt>
                <c:pt idx="91">
                  <c:v>3.2586771409459869E-2</c:v>
                </c:pt>
                <c:pt idx="92">
                  <c:v>3.2586771409459869E-2</c:v>
                </c:pt>
                <c:pt idx="93">
                  <c:v>3.2637215314295087E-2</c:v>
                </c:pt>
                <c:pt idx="94">
                  <c:v>3.2637204803751763E-2</c:v>
                </c:pt>
                <c:pt idx="95">
                  <c:v>3.2637200862298155E-2</c:v>
                </c:pt>
                <c:pt idx="96">
                  <c:v>3.263719429320866E-2</c:v>
                </c:pt>
                <c:pt idx="97">
                  <c:v>3.258510667007597E-2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67-4958-A6CB-C5CE11EE9999}"/>
            </c:ext>
          </c:extLst>
        </c:ser>
        <c:ser>
          <c:idx val="2"/>
          <c:order val="2"/>
          <c:tx>
            <c:strRef>
              <c:f>angvel!$K$1</c:f>
              <c:strCache>
                <c:ptCount val="1"/>
                <c:pt idx="0">
                  <c:v>% Plank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angvel!$K$53:$K$150</c:f>
              <c:numCache>
                <c:formatCode>0.0%</c:formatCode>
                <c:ptCount val="98"/>
                <c:pt idx="0">
                  <c:v>-9.7825352740444127E-2</c:v>
                </c:pt>
                <c:pt idx="1">
                  <c:v>-9.0268296976665274E-2</c:v>
                </c:pt>
                <c:pt idx="2">
                  <c:v>-8.3057545998870164E-2</c:v>
                </c:pt>
                <c:pt idx="3">
                  <c:v>-7.6182296824279794E-2</c:v>
                </c:pt>
                <c:pt idx="4">
                  <c:v>-6.9624927728591857E-2</c:v>
                </c:pt>
                <c:pt idx="5">
                  <c:v>-6.3389259899577E-2</c:v>
                </c:pt>
                <c:pt idx="6">
                  <c:v>-5.7623894069936732E-2</c:v>
                </c:pt>
                <c:pt idx="7">
                  <c:v>-5.2185317375684881E-2</c:v>
                </c:pt>
                <c:pt idx="8">
                  <c:v>-4.7047057314997032E-2</c:v>
                </c:pt>
                <c:pt idx="9">
                  <c:v>-4.2249527408867449E-2</c:v>
                </c:pt>
                <c:pt idx="10">
                  <c:v>-3.7872765845438527E-2</c:v>
                </c:pt>
                <c:pt idx="11">
                  <c:v>-3.3711489014650153E-2</c:v>
                </c:pt>
                <c:pt idx="12">
                  <c:v>-2.991447241874956E-2</c:v>
                </c:pt>
                <c:pt idx="13">
                  <c:v>-2.6338315407119062E-2</c:v>
                </c:pt>
                <c:pt idx="14">
                  <c:v>-2.2982809359576084E-2</c:v>
                </c:pt>
                <c:pt idx="15">
                  <c:v>-1.9801882086533329E-2</c:v>
                </c:pt>
                <c:pt idx="16">
                  <c:v>-1.6874042631019548E-2</c:v>
                </c:pt>
                <c:pt idx="17">
                  <c:v>-1.4168429458221055E-2</c:v>
                </c:pt>
                <c:pt idx="18">
                  <c:v>-1.1605607901165049E-2</c:v>
                </c:pt>
                <c:pt idx="19">
                  <c:v>-9.2227950319323515E-3</c:v>
                </c:pt>
                <c:pt idx="20">
                  <c:v>-7.0047454726176461E-3</c:v>
                </c:pt>
                <c:pt idx="21">
                  <c:v>-4.9396572031128461E-3</c:v>
                </c:pt>
                <c:pt idx="22">
                  <c:v>-3.0178739247149755E-3</c:v>
                </c:pt>
                <c:pt idx="23">
                  <c:v>-1.1780548715002448E-3</c:v>
                </c:pt>
                <c:pt idx="24">
                  <c:v>5.3223166422111667E-4</c:v>
                </c:pt>
                <c:pt idx="25">
                  <c:v>2.1712838679228685E-3</c:v>
                </c:pt>
                <c:pt idx="26">
                  <c:v>3.690009206356093E-3</c:v>
                </c:pt>
                <c:pt idx="27">
                  <c:v>5.1446022107115574E-3</c:v>
                </c:pt>
                <c:pt idx="28">
                  <c:v>6.4327083980741939E-3</c:v>
                </c:pt>
                <c:pt idx="29">
                  <c:v>7.6618571211406472E-3</c:v>
                </c:pt>
                <c:pt idx="30">
                  <c:v>8.8334783455303878E-3</c:v>
                </c:pt>
                <c:pt idx="31">
                  <c:v>9.9492367848605934E-3</c:v>
                </c:pt>
                <c:pt idx="32">
                  <c:v>1.0958368860867873E-2</c:v>
                </c:pt>
                <c:pt idx="33">
                  <c:v>1.1913376578651658E-2</c:v>
                </c:pt>
                <c:pt idx="34">
                  <c:v>1.2815253451520681E-2</c:v>
                </c:pt>
                <c:pt idx="35">
                  <c:v>1.3664855083022287E-2</c:v>
                </c:pt>
                <c:pt idx="36">
                  <c:v>1.4462279739265282E-2</c:v>
                </c:pt>
                <c:pt idx="37">
                  <c:v>1.5156939228495592E-2</c:v>
                </c:pt>
                <c:pt idx="38">
                  <c:v>1.5851905610257289E-2</c:v>
                </c:pt>
                <c:pt idx="39">
                  <c:v>1.6496414232303414E-2</c:v>
                </c:pt>
                <c:pt idx="40">
                  <c:v>1.7141097373083891E-2</c:v>
                </c:pt>
                <c:pt idx="41">
                  <c:v>1.7735183248513309E-2</c:v>
                </c:pt>
                <c:pt idx="42">
                  <c:v>1.8227165917807042E-2</c:v>
                </c:pt>
                <c:pt idx="43">
                  <c:v>1.8720103355774009E-2</c:v>
                </c:pt>
                <c:pt idx="44">
                  <c:v>1.9163309704383957E-2</c:v>
                </c:pt>
                <c:pt idx="45">
                  <c:v>1.9606836585065013E-2</c:v>
                </c:pt>
                <c:pt idx="46">
                  <c:v>1.999998943594572E-2</c:v>
                </c:pt>
                <c:pt idx="47">
                  <c:v>2.0394692907743872E-2</c:v>
                </c:pt>
                <c:pt idx="48">
                  <c:v>2.0739302871205068E-2</c:v>
                </c:pt>
                <c:pt idx="49">
                  <c:v>2.1032881858719765E-2</c:v>
                </c:pt>
                <c:pt idx="50">
                  <c:v>2.1327243767730319E-2</c:v>
                </c:pt>
                <c:pt idx="51">
                  <c:v>2.1622423076742114E-2</c:v>
                </c:pt>
                <c:pt idx="52">
                  <c:v>2.1867860546114892E-2</c:v>
                </c:pt>
                <c:pt idx="53">
                  <c:v>2.2164849201939951E-2</c:v>
                </c:pt>
                <c:pt idx="54">
                  <c:v>2.241106819920291E-2</c:v>
                </c:pt>
                <c:pt idx="55">
                  <c:v>2.2658292844185413E-2</c:v>
                </c:pt>
                <c:pt idx="56">
                  <c:v>2.2854824831949561E-2</c:v>
                </c:pt>
                <c:pt idx="57">
                  <c:v>2.3052417506831846E-2</c:v>
                </c:pt>
                <c:pt idx="58">
                  <c:v>2.3249930285763387E-2</c:v>
                </c:pt>
                <c:pt idx="59">
                  <c:v>2.3396830093051602E-2</c:v>
                </c:pt>
                <c:pt idx="60">
                  <c:v>2.3544860080451535E-2</c:v>
                </c:pt>
                <c:pt idx="61">
                  <c:v>2.3692846505206644E-2</c:v>
                </c:pt>
                <c:pt idx="62">
                  <c:v>2.3790270092781451E-2</c:v>
                </c:pt>
                <c:pt idx="63">
                  <c:v>2.3887670688854667E-2</c:v>
                </c:pt>
                <c:pt idx="64">
                  <c:v>2.4036751601054451E-2</c:v>
                </c:pt>
                <c:pt idx="65">
                  <c:v>2.4135308858971305E-2</c:v>
                </c:pt>
                <c:pt idx="66">
                  <c:v>2.4233846213367771E-2</c:v>
                </c:pt>
                <c:pt idx="67">
                  <c:v>2.4332370196403774E-2</c:v>
                </c:pt>
                <c:pt idx="68">
                  <c:v>2.4380398399750813E-2</c:v>
                </c:pt>
                <c:pt idx="69">
                  <c:v>2.4480116731359303E-2</c:v>
                </c:pt>
                <c:pt idx="70">
                  <c:v>2.4579824997017719E-2</c:v>
                </c:pt>
                <c:pt idx="71">
                  <c:v>2.4629053833464587E-2</c:v>
                </c:pt>
                <c:pt idx="72">
                  <c:v>2.4678277701066564E-2</c:v>
                </c:pt>
                <c:pt idx="73">
                  <c:v>2.472749660057505E-2</c:v>
                </c:pt>
                <c:pt idx="74">
                  <c:v>2.477671053274233E-2</c:v>
                </c:pt>
                <c:pt idx="75">
                  <c:v>2.4825915584312686E-2</c:v>
                </c:pt>
                <c:pt idx="76">
                  <c:v>2.4875119584260919E-2</c:v>
                </c:pt>
                <c:pt idx="77">
                  <c:v>2.4924312096467061E-2</c:v>
                </c:pt>
                <c:pt idx="78">
                  <c:v>2.4923054626868169E-2</c:v>
                </c:pt>
                <c:pt idx="79">
                  <c:v>2.4921797284145786E-2</c:v>
                </c:pt>
                <c:pt idx="80">
                  <c:v>2.4920535039697045E-2</c:v>
                </c:pt>
                <c:pt idx="81">
                  <c:v>2.4970986769642822E-2</c:v>
                </c:pt>
                <c:pt idx="82">
                  <c:v>2.5021437133194047E-2</c:v>
                </c:pt>
                <c:pt idx="83">
                  <c:v>2.5071883584157906E-2</c:v>
                </c:pt>
                <c:pt idx="84">
                  <c:v>2.5122331339509918E-2</c:v>
                </c:pt>
                <c:pt idx="85">
                  <c:v>2.517277779053817E-2</c:v>
                </c:pt>
                <c:pt idx="86">
                  <c:v>2.52232242415662E-2</c:v>
                </c:pt>
                <c:pt idx="87">
                  <c:v>2.5273671933650155E-2</c:v>
                </c:pt>
                <c:pt idx="88">
                  <c:v>2.5324114470681724E-2</c:v>
                </c:pt>
                <c:pt idx="89">
                  <c:v>2.5374560921455735E-2</c:v>
                </c:pt>
                <c:pt idx="90">
                  <c:v>2.537455812071121E-2</c:v>
                </c:pt>
                <c:pt idx="91">
                  <c:v>2.5322834223685531E-2</c:v>
                </c:pt>
                <c:pt idx="92">
                  <c:v>2.5322834223685531E-2</c:v>
                </c:pt>
                <c:pt idx="93">
                  <c:v>2.5322834223685531E-2</c:v>
                </c:pt>
                <c:pt idx="94">
                  <c:v>2.5373267692631707E-2</c:v>
                </c:pt>
                <c:pt idx="95">
                  <c:v>2.5373263778903477E-2</c:v>
                </c:pt>
                <c:pt idx="96">
                  <c:v>2.5373257256023463E-2</c:v>
                </c:pt>
                <c:pt idx="97">
                  <c:v>2.5321536035744385E-2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67-4958-A6CB-C5CE11EE9999}"/>
            </c:ext>
          </c:extLst>
        </c:ser>
        <c:ser>
          <c:idx val="3"/>
          <c:order val="3"/>
          <c:tx>
            <c:strRef>
              <c:f>angvel!$L$1</c:f>
              <c:strCache>
                <c:ptCount val="1"/>
                <c:pt idx="0">
                  <c:v>% Batmobile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angvel!$L$53:$L$150</c:f>
              <c:numCache>
                <c:formatCode>0.0%</c:formatCode>
                <c:ptCount val="98"/>
                <c:pt idx="0">
                  <c:v>-9.8172524101701408E-2</c:v>
                </c:pt>
                <c:pt idx="1">
                  <c:v>-9.1038435546202057E-2</c:v>
                </c:pt>
                <c:pt idx="2">
                  <c:v>-8.4175394223498734E-2</c:v>
                </c:pt>
                <c:pt idx="3">
                  <c:v>-7.7770494267918711E-2</c:v>
                </c:pt>
                <c:pt idx="4">
                  <c:v>-7.167936877156289E-2</c:v>
                </c:pt>
                <c:pt idx="5">
                  <c:v>-6.5929104557024831E-2</c:v>
                </c:pt>
                <c:pt idx="6">
                  <c:v>-6.0678462215785989E-2</c:v>
                </c:pt>
                <c:pt idx="7">
                  <c:v>-5.5789916914133597E-2</c:v>
                </c:pt>
                <c:pt idx="8">
                  <c:v>-5.1169252309395508E-2</c:v>
                </c:pt>
                <c:pt idx="9">
                  <c:v>-4.6936531471235998E-2</c:v>
                </c:pt>
                <c:pt idx="10">
                  <c:v>-4.3040255036764896E-2</c:v>
                </c:pt>
                <c:pt idx="11">
                  <c:v>-3.9414549255556097E-2</c:v>
                </c:pt>
                <c:pt idx="12">
                  <c:v>-3.6082366868227411E-2</c:v>
                </c:pt>
                <c:pt idx="13">
                  <c:v>-3.2968026790694216E-2</c:v>
                </c:pt>
                <c:pt idx="14">
                  <c:v>-3.0072521941989616E-2</c:v>
                </c:pt>
                <c:pt idx="15">
                  <c:v>-2.7350859649071024E-2</c:v>
                </c:pt>
                <c:pt idx="16">
                  <c:v>-2.488188318055562E-2</c:v>
                </c:pt>
                <c:pt idx="17">
                  <c:v>-2.2578995838872684E-2</c:v>
                </c:pt>
                <c:pt idx="18">
                  <c:v>-2.0365398800074042E-2</c:v>
                </c:pt>
                <c:pt idx="19">
                  <c:v>-1.8334884349868186E-2</c:v>
                </c:pt>
                <c:pt idx="20">
                  <c:v>-1.6471841046623803E-2</c:v>
                </c:pt>
                <c:pt idx="21">
                  <c:v>-1.4764424976167256E-2</c:v>
                </c:pt>
                <c:pt idx="22">
                  <c:v>-1.3148912571069982E-2</c:v>
                </c:pt>
                <c:pt idx="23">
                  <c:v>-1.1618771848505571E-2</c:v>
                </c:pt>
                <c:pt idx="24">
                  <c:v>-1.0221114815073262E-2</c:v>
                </c:pt>
                <c:pt idx="25">
                  <c:v>-8.8974994296396881E-3</c:v>
                </c:pt>
                <c:pt idx="26">
                  <c:v>-7.643731773105733E-3</c:v>
                </c:pt>
                <c:pt idx="27">
                  <c:v>-6.4571048643503604E-3</c:v>
                </c:pt>
                <c:pt idx="28">
                  <c:v>-5.3868096219767958E-3</c:v>
                </c:pt>
                <c:pt idx="29">
                  <c:v>-4.3782435836325906E-3</c:v>
                </c:pt>
                <c:pt idx="30">
                  <c:v>-3.4294889198908107E-3</c:v>
                </c:pt>
                <c:pt idx="31">
                  <c:v>-2.5391351618341274E-3</c:v>
                </c:pt>
                <c:pt idx="32">
                  <c:v>-1.705780233075993E-3</c:v>
                </c:pt>
                <c:pt idx="33">
                  <c:v>-9.7989714464719047E-4</c:v>
                </c:pt>
                <c:pt idx="34">
                  <c:v>-2.5734196128113229E-4</c:v>
                </c:pt>
                <c:pt idx="35">
                  <c:v>4.1096505380511239E-4</c:v>
                </c:pt>
                <c:pt idx="36">
                  <c:v>1.0256857160804156E-3</c:v>
                </c:pt>
                <c:pt idx="37">
                  <c:v>1.5873749712520535E-3</c:v>
                </c:pt>
                <c:pt idx="38">
                  <c:v>2.1476718827431185E-3</c:v>
                </c:pt>
                <c:pt idx="39">
                  <c:v>2.6557646221816444E-3</c:v>
                </c:pt>
                <c:pt idx="40">
                  <c:v>3.1629359888318831E-3</c:v>
                </c:pt>
                <c:pt idx="41">
                  <c:v>3.6183809606880057E-3</c:v>
                </c:pt>
                <c:pt idx="42">
                  <c:v>3.9712741271842322E-3</c:v>
                </c:pt>
                <c:pt idx="43">
                  <c:v>4.3239289562104766E-3</c:v>
                </c:pt>
                <c:pt idx="44">
                  <c:v>4.6764497274260908E-3</c:v>
                </c:pt>
                <c:pt idx="45">
                  <c:v>5.0286887562207561E-3</c:v>
                </c:pt>
                <c:pt idx="46">
                  <c:v>5.3299388630585476E-3</c:v>
                </c:pt>
                <c:pt idx="47">
                  <c:v>5.6313629770150531E-3</c:v>
                </c:pt>
                <c:pt idx="48">
                  <c:v>5.9327529471830953E-3</c:v>
                </c:pt>
                <c:pt idx="49">
                  <c:v>6.1831583015492519E-3</c:v>
                </c:pt>
                <c:pt idx="50">
                  <c:v>6.3829734764204726E-3</c:v>
                </c:pt>
                <c:pt idx="51">
                  <c:v>6.5829308282405741E-3</c:v>
                </c:pt>
                <c:pt idx="52">
                  <c:v>6.7830773226142949E-3</c:v>
                </c:pt>
                <c:pt idx="53">
                  <c:v>6.9834366930028313E-3</c:v>
                </c:pt>
                <c:pt idx="54">
                  <c:v>7.1836744307529621E-3</c:v>
                </c:pt>
                <c:pt idx="55">
                  <c:v>7.3841718420744051E-3</c:v>
                </c:pt>
                <c:pt idx="56">
                  <c:v>7.5339989751230796E-3</c:v>
                </c:pt>
                <c:pt idx="57">
                  <c:v>7.684136177593448E-3</c:v>
                </c:pt>
                <c:pt idx="58">
                  <c:v>7.8342114051923595E-3</c:v>
                </c:pt>
                <c:pt idx="59">
                  <c:v>7.9336941060641486E-3</c:v>
                </c:pt>
                <c:pt idx="60">
                  <c:v>8.0840679398348492E-3</c:v>
                </c:pt>
                <c:pt idx="61">
                  <c:v>8.183879673529848E-3</c:v>
                </c:pt>
                <c:pt idx="62">
                  <c:v>8.2836534408261553E-3</c:v>
                </c:pt>
                <c:pt idx="63">
                  <c:v>8.3329009062675929E-3</c:v>
                </c:pt>
                <c:pt idx="64">
                  <c:v>8.4330541254049596E-3</c:v>
                </c:pt>
                <c:pt idx="65">
                  <c:v>8.5331871166767215E-3</c:v>
                </c:pt>
                <c:pt idx="66">
                  <c:v>8.5828139489285693E-3</c:v>
                </c:pt>
                <c:pt idx="67">
                  <c:v>8.6324359225224967E-3</c:v>
                </c:pt>
                <c:pt idx="68">
                  <c:v>8.6820465693255855E-3</c:v>
                </c:pt>
                <c:pt idx="69">
                  <c:v>8.7825572671182961E-3</c:v>
                </c:pt>
                <c:pt idx="70">
                  <c:v>8.8325896944525528E-3</c:v>
                </c:pt>
                <c:pt idx="71">
                  <c:v>8.8826132837236393E-3</c:v>
                </c:pt>
                <c:pt idx="72">
                  <c:v>8.9326318239317803E-3</c:v>
                </c:pt>
                <c:pt idx="73">
                  <c:v>8.9826453158421415E-3</c:v>
                </c:pt>
                <c:pt idx="74">
                  <c:v>9.0326537602181123E-3</c:v>
                </c:pt>
                <c:pt idx="75">
                  <c:v>9.0826533039427559E-3</c:v>
                </c:pt>
                <c:pt idx="76">
                  <c:v>9.0821912393521664E-3</c:v>
                </c:pt>
                <c:pt idx="77">
                  <c:v>9.0817253226369576E-3</c:v>
                </c:pt>
                <c:pt idx="78">
                  <c:v>9.0812671361222286E-3</c:v>
                </c:pt>
                <c:pt idx="79">
                  <c:v>9.0808089958374083E-3</c:v>
                </c:pt>
                <c:pt idx="80">
                  <c:v>9.0803496177995768E-3</c:v>
                </c:pt>
                <c:pt idx="81">
                  <c:v>9.130801227479779E-3</c:v>
                </c:pt>
                <c:pt idx="82">
                  <c:v>9.1812515305651488E-3</c:v>
                </c:pt>
                <c:pt idx="83">
                  <c:v>9.2316992423118194E-3</c:v>
                </c:pt>
                <c:pt idx="84">
                  <c:v>9.2821469774455601E-3</c:v>
                </c:pt>
                <c:pt idx="85">
                  <c:v>9.3325934284103074E-3</c:v>
                </c:pt>
                <c:pt idx="86">
                  <c:v>9.3830398793757208E-3</c:v>
                </c:pt>
                <c:pt idx="87">
                  <c:v>9.433487590871259E-3</c:v>
                </c:pt>
                <c:pt idx="88">
                  <c:v>9.4334837375944502E-3</c:v>
                </c:pt>
                <c:pt idx="89">
                  <c:v>9.4334824770634373E-3</c:v>
                </c:pt>
                <c:pt idx="90">
                  <c:v>9.4334798365289796E-3</c:v>
                </c:pt>
                <c:pt idx="91">
                  <c:v>9.3825600697452494E-3</c:v>
                </c:pt>
                <c:pt idx="92">
                  <c:v>9.3825600697452494E-3</c:v>
                </c:pt>
                <c:pt idx="93">
                  <c:v>9.3825600697452494E-3</c:v>
                </c:pt>
                <c:pt idx="94">
                  <c:v>9.3825497958959225E-3</c:v>
                </c:pt>
                <c:pt idx="95">
                  <c:v>9.382545943202425E-3</c:v>
                </c:pt>
                <c:pt idx="96">
                  <c:v>9.3825395220468177E-3</c:v>
                </c:pt>
                <c:pt idx="97">
                  <c:v>9.3316261557008229E-3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67-4958-A6CB-C5CE11EE9999}"/>
            </c:ext>
          </c:extLst>
        </c:ser>
        <c:ser>
          <c:idx val="4"/>
          <c:order val="4"/>
          <c:tx>
            <c:strRef>
              <c:f>angvel!$N$1</c:f>
              <c:strCache>
                <c:ptCount val="1"/>
                <c:pt idx="0">
                  <c:v>Break vs. Plank</c:v>
                </c:pt>
              </c:strCache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angvel!$N$53:$N$150</c:f>
              <c:numCache>
                <c:formatCode>0.0%</c:formatCode>
                <c:ptCount val="98"/>
                <c:pt idx="0">
                  <c:v>7.0190219121404329E-3</c:v>
                </c:pt>
                <c:pt idx="1">
                  <c:v>4.7176703537388232E-3</c:v>
                </c:pt>
                <c:pt idx="2">
                  <c:v>2.9342033921471167E-3</c:v>
                </c:pt>
                <c:pt idx="3">
                  <c:v>1.3720889431110272E-3</c:v>
                </c:pt>
                <c:pt idx="4">
                  <c:v>1.1542784014473284E-4</c:v>
                </c:pt>
                <c:pt idx="5">
                  <c:v>-9.3121407832619241E-4</c:v>
                </c:pt>
                <c:pt idx="6">
                  <c:v>-1.7904575119694899E-3</c:v>
                </c:pt>
                <c:pt idx="7">
                  <c:v>-2.4565356791690363E-3</c:v>
                </c:pt>
                <c:pt idx="8">
                  <c:v>-2.9837363173720322E-3</c:v>
                </c:pt>
                <c:pt idx="9">
                  <c:v>-3.3335458551778663E-3</c:v>
                </c:pt>
                <c:pt idx="10">
                  <c:v>-3.535027325372142E-3</c:v>
                </c:pt>
                <c:pt idx="11">
                  <c:v>-3.6717935543364444E-3</c:v>
                </c:pt>
                <c:pt idx="12">
                  <c:v>-3.6233084914825131E-3</c:v>
                </c:pt>
                <c:pt idx="13">
                  <c:v>-3.5274192863503639E-3</c:v>
                </c:pt>
                <c:pt idx="14">
                  <c:v>-3.3854150333006983E-3</c:v>
                </c:pt>
                <c:pt idx="15">
                  <c:v>-3.1982202584683872E-3</c:v>
                </c:pt>
                <c:pt idx="16">
                  <c:v>-2.9664943903728869E-3</c:v>
                </c:pt>
                <c:pt idx="17">
                  <c:v>-2.6905807429735695E-3</c:v>
                </c:pt>
                <c:pt idx="18">
                  <c:v>-2.3705435067177261E-3</c:v>
                </c:pt>
                <c:pt idx="19">
                  <c:v>-2.0063799716408814E-3</c:v>
                </c:pt>
                <c:pt idx="20">
                  <c:v>-1.6531693955531557E-3</c:v>
                </c:pt>
                <c:pt idx="21">
                  <c:v>-1.2546390675739483E-3</c:v>
                </c:pt>
                <c:pt idx="22">
                  <c:v>-8.6484548189713628E-4</c:v>
                </c:pt>
                <c:pt idx="23">
                  <c:v>-4.8249592601634639E-4</c:v>
                </c:pt>
                <c:pt idx="24">
                  <c:v>-1.0650183119920165E-4</c:v>
                </c:pt>
                <c:pt idx="25">
                  <c:v>2.6416860347144855E-4</c:v>
                </c:pt>
                <c:pt idx="26">
                  <c:v>6.3018022282679276E-4</c:v>
                </c:pt>
                <c:pt idx="27">
                  <c:v>9.9228007866103418E-4</c:v>
                </c:pt>
                <c:pt idx="28">
                  <c:v>1.4030061187155773E-3</c:v>
                </c:pt>
                <c:pt idx="29">
                  <c:v>1.7586226201398159E-3</c:v>
                </c:pt>
                <c:pt idx="30">
                  <c:v>2.1117530755501157E-3</c:v>
                </c:pt>
                <c:pt idx="31">
                  <c:v>2.4114770561121102E-3</c:v>
                </c:pt>
                <c:pt idx="32">
                  <c:v>2.7609908392227656E-3</c:v>
                </c:pt>
                <c:pt idx="33">
                  <c:v>3.0579232618808128E-3</c:v>
                </c:pt>
                <c:pt idx="34">
                  <c:v>3.3538030026498689E-3</c:v>
                </c:pt>
                <c:pt idx="35">
                  <c:v>3.6488809993262539E-3</c:v>
                </c:pt>
                <c:pt idx="36">
                  <c:v>3.9431649681760383E-3</c:v>
                </c:pt>
                <c:pt idx="37">
                  <c:v>4.2370680132299832E-3</c:v>
                </c:pt>
                <c:pt idx="38">
                  <c:v>4.4800097449448906E-3</c:v>
                </c:pt>
                <c:pt idx="39">
                  <c:v>4.7731472399386021E-3</c:v>
                </c:pt>
                <c:pt idx="40">
                  <c:v>5.0155456712288604E-3</c:v>
                </c:pt>
                <c:pt idx="41">
                  <c:v>5.2578855698945937E-3</c:v>
                </c:pt>
                <c:pt idx="42">
                  <c:v>5.5002737567495519E-3</c:v>
                </c:pt>
                <c:pt idx="43">
                  <c:v>5.6925983666396007E-3</c:v>
                </c:pt>
                <c:pt idx="44">
                  <c:v>5.9351608436077896E-3</c:v>
                </c:pt>
                <c:pt idx="45">
                  <c:v>6.1276328868771213E-3</c:v>
                </c:pt>
                <c:pt idx="46">
                  <c:v>6.320293369149077E-3</c:v>
                </c:pt>
                <c:pt idx="47">
                  <c:v>6.5131991735962735E-3</c:v>
                </c:pt>
                <c:pt idx="48">
                  <c:v>6.7064071035705108E-3</c:v>
                </c:pt>
                <c:pt idx="49">
                  <c:v>6.899631440977716E-3</c:v>
                </c:pt>
                <c:pt idx="50">
                  <c:v>7.0433001847611809E-3</c:v>
                </c:pt>
                <c:pt idx="51">
                  <c:v>7.1871115260833118E-3</c:v>
                </c:pt>
                <c:pt idx="52">
                  <c:v>7.3314496978253985E-3</c:v>
                </c:pt>
                <c:pt idx="53">
                  <c:v>7.4261089688834048E-3</c:v>
                </c:pt>
                <c:pt idx="54">
                  <c:v>7.5210279601038987E-3</c:v>
                </c:pt>
                <c:pt idx="55">
                  <c:v>7.6162203305476517E-3</c:v>
                </c:pt>
                <c:pt idx="56">
                  <c:v>7.711701023283446E-3</c:v>
                </c:pt>
                <c:pt idx="57">
                  <c:v>7.8568957849485255E-3</c:v>
                </c:pt>
                <c:pt idx="58">
                  <c:v>7.9525820944723602E-3</c:v>
                </c:pt>
                <c:pt idx="59">
                  <c:v>8.0485926312059419E-3</c:v>
                </c:pt>
                <c:pt idx="60">
                  <c:v>8.1449352319480361E-3</c:v>
                </c:pt>
                <c:pt idx="61">
                  <c:v>8.2412207802238235E-3</c:v>
                </c:pt>
                <c:pt idx="62">
                  <c:v>8.3378606668771393E-3</c:v>
                </c:pt>
                <c:pt idx="63">
                  <c:v>8.4344492678236627E-3</c:v>
                </c:pt>
                <c:pt idx="64">
                  <c:v>8.481679330086811E-3</c:v>
                </c:pt>
                <c:pt idx="65">
                  <c:v>8.5786114054795526E-3</c:v>
                </c:pt>
                <c:pt idx="66">
                  <c:v>8.626212606154926E-3</c:v>
                </c:pt>
                <c:pt idx="67">
                  <c:v>8.6737950394162322E-3</c:v>
                </c:pt>
                <c:pt idx="68">
                  <c:v>8.7217847930010084E-3</c:v>
                </c:pt>
                <c:pt idx="69">
                  <c:v>8.7697652371854229E-3</c:v>
                </c:pt>
                <c:pt idx="70">
                  <c:v>8.8177339049315684E-3</c:v>
                </c:pt>
                <c:pt idx="71">
                  <c:v>8.9153777091524056E-3</c:v>
                </c:pt>
                <c:pt idx="72">
                  <c:v>8.9637508984403702E-3</c:v>
                </c:pt>
                <c:pt idx="73">
                  <c:v>9.012110953543484E-3</c:v>
                </c:pt>
                <c:pt idx="74">
                  <c:v>9.0604638873517107E-3</c:v>
                </c:pt>
                <c:pt idx="75">
                  <c:v>9.1088084997226204E-3</c:v>
                </c:pt>
                <c:pt idx="76">
                  <c:v>9.1079116108327973E-3</c:v>
                </c:pt>
                <c:pt idx="77">
                  <c:v>9.1070148985481492E-3</c:v>
                </c:pt>
                <c:pt idx="78">
                  <c:v>9.155791319182649E-3</c:v>
                </c:pt>
                <c:pt idx="79">
                  <c:v>9.2045641384110866E-3</c:v>
                </c:pt>
                <c:pt idx="80">
                  <c:v>9.253338224123997E-3</c:v>
                </c:pt>
                <c:pt idx="81">
                  <c:v>9.3021014631200494E-3</c:v>
                </c:pt>
                <c:pt idx="82">
                  <c:v>9.3508586799628812E-3</c:v>
                </c:pt>
                <c:pt idx="83">
                  <c:v>9.3503949005095954E-3</c:v>
                </c:pt>
                <c:pt idx="84">
                  <c:v>9.3499335662614591E-3</c:v>
                </c:pt>
                <c:pt idx="85">
                  <c:v>9.3494734770200871E-3</c:v>
                </c:pt>
                <c:pt idx="86">
                  <c:v>9.3490134330560526E-3</c:v>
                </c:pt>
                <c:pt idx="87">
                  <c:v>9.3485522125840159E-3</c:v>
                </c:pt>
                <c:pt idx="88">
                  <c:v>9.3480934584107001E-3</c:v>
                </c:pt>
                <c:pt idx="89">
                  <c:v>9.3476371472949182E-3</c:v>
                </c:pt>
                <c:pt idx="90">
                  <c:v>9.3968315536450131E-3</c:v>
                </c:pt>
                <c:pt idx="91">
                  <c:v>9.4460356191099493E-3</c:v>
                </c:pt>
                <c:pt idx="92">
                  <c:v>9.495233689781335E-3</c:v>
                </c:pt>
                <c:pt idx="93">
                  <c:v>9.5444317604531648E-3</c:v>
                </c:pt>
                <c:pt idx="94">
                  <c:v>9.5439622156350268E-3</c:v>
                </c:pt>
                <c:pt idx="95">
                  <c:v>9.5931578659753658E-3</c:v>
                </c:pt>
                <c:pt idx="96">
                  <c:v>9.5931578659753658E-3</c:v>
                </c:pt>
                <c:pt idx="97">
                  <c:v>9.5931578659753658E-3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67-4958-A6CB-C5CE11EE9999}"/>
            </c:ext>
          </c:extLst>
        </c:ser>
        <c:ser>
          <c:idx val="5"/>
          <c:order val="5"/>
          <c:tx>
            <c:strRef>
              <c:f>angvel!$M$1</c:f>
              <c:strCache>
                <c:ptCount val="1"/>
                <c:pt idx="0">
                  <c:v>% Breakout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angvel!$M$53:$M$150</c:f>
              <c:numCache>
                <c:formatCode>0.0%</c:formatCode>
                <c:ptCount val="98"/>
                <c:pt idx="0">
                  <c:v>-9.1492969122751733E-2</c:v>
                </c:pt>
                <c:pt idx="1">
                  <c:v>-8.5976482691455747E-2</c:v>
                </c:pt>
                <c:pt idx="2">
                  <c:v>-8.0367050339936297E-2</c:v>
                </c:pt>
                <c:pt idx="3">
                  <c:v>-7.491473676830207E-2</c:v>
                </c:pt>
                <c:pt idx="4">
                  <c:v>-6.9517536543475145E-2</c:v>
                </c:pt>
                <c:pt idx="5">
                  <c:v>-6.4261445006670082E-2</c:v>
                </c:pt>
                <c:pt idx="6">
                  <c:v>-5.9311178447899793E-2</c:v>
                </c:pt>
                <c:pt idx="7">
                  <c:v>-5.4513657960791773E-2</c:v>
                </c:pt>
                <c:pt idx="8">
                  <c:v>-4.9890417618832839E-2</c:v>
                </c:pt>
                <c:pt idx="9">
                  <c:v>-4.544223252706836E-2</c:v>
                </c:pt>
                <c:pt idx="10">
                  <c:v>-4.1273911908659699E-2</c:v>
                </c:pt>
                <c:pt idx="11">
                  <c:v>-3.7259500940915458E-2</c:v>
                </c:pt>
                <c:pt idx="12">
                  <c:v>-3.3429391548299048E-2</c:v>
                </c:pt>
                <c:pt idx="13">
                  <c:v>-2.9772828411732233E-2</c:v>
                </c:pt>
                <c:pt idx="14">
                  <c:v>-2.6290418044563446E-2</c:v>
                </c:pt>
                <c:pt idx="15">
                  <c:v>-2.2936771564556757E-2</c:v>
                </c:pt>
                <c:pt idx="16">
                  <c:v>-1.9790480268584654E-2</c:v>
                </c:pt>
                <c:pt idx="17">
                  <c:v>-1.6820888897736141E-2</c:v>
                </c:pt>
                <c:pt idx="18">
                  <c:v>-1.3948639809431174E-2</c:v>
                </c:pt>
                <c:pt idx="19">
                  <c:v>-1.1210670572338599E-2</c:v>
                </c:pt>
                <c:pt idx="20">
                  <c:v>-8.6463348373317928E-3</c:v>
                </c:pt>
                <c:pt idx="21">
                  <c:v>-6.1880987837792389E-3</c:v>
                </c:pt>
                <c:pt idx="22">
                  <c:v>-3.8801094119834678E-3</c:v>
                </c:pt>
                <c:pt idx="23">
                  <c:v>-1.6599823908405309E-3</c:v>
                </c:pt>
                <c:pt idx="24">
                  <c:v>4.2567314937502765E-4</c:v>
                </c:pt>
                <c:pt idx="25">
                  <c:v>2.4360260564215697E-3</c:v>
                </c:pt>
                <c:pt idx="26">
                  <c:v>4.3225148000065605E-3</c:v>
                </c:pt>
                <c:pt idx="27">
                  <c:v>6.1419871756589473E-3</c:v>
                </c:pt>
                <c:pt idx="28">
                  <c:v>7.8447396460321617E-3</c:v>
                </c:pt>
                <c:pt idx="29">
                  <c:v>9.4339540565260283E-3</c:v>
                </c:pt>
                <c:pt idx="30">
                  <c:v>1.096388554614447E-2</c:v>
                </c:pt>
                <c:pt idx="31">
                  <c:v>1.2384706197205331E-2</c:v>
                </c:pt>
                <c:pt idx="32">
                  <c:v>1.3749615656128311E-2</c:v>
                </c:pt>
                <c:pt idx="33">
                  <c:v>1.5007730031899813E-2</c:v>
                </c:pt>
                <c:pt idx="34">
                  <c:v>1.6212036289676046E-2</c:v>
                </c:pt>
                <c:pt idx="35">
                  <c:v>1.736359751241956E-2</c:v>
                </c:pt>
                <c:pt idx="36">
                  <c:v>1.8462471862269236E-2</c:v>
                </c:pt>
                <c:pt idx="37">
                  <c:v>1.9458228224109142E-2</c:v>
                </c:pt>
                <c:pt idx="38">
                  <c:v>2.0402932046811983E-2</c:v>
                </c:pt>
                <c:pt idx="39">
                  <c:v>2.1348301286303828E-2</c:v>
                </c:pt>
                <c:pt idx="40">
                  <c:v>2.224261500104241E-2</c:v>
                </c:pt>
                <c:pt idx="41">
                  <c:v>2.3086318382489646E-2</c:v>
                </c:pt>
                <c:pt idx="42">
                  <c:v>2.3827694076914208E-2</c:v>
                </c:pt>
                <c:pt idx="43">
                  <c:v>2.4519267752199925E-2</c:v>
                </c:pt>
                <c:pt idx="44">
                  <c:v>2.5212207873383186E-2</c:v>
                </c:pt>
                <c:pt idx="45">
                  <c:v>2.5854612968608359E-2</c:v>
                </c:pt>
                <c:pt idx="46">
                  <c:v>2.6446688605709756E-2</c:v>
                </c:pt>
                <c:pt idx="47">
                  <c:v>2.704072677833258E-2</c:v>
                </c:pt>
                <c:pt idx="48">
                  <c:v>2.7584796182874127E-2</c:v>
                </c:pt>
                <c:pt idx="49">
                  <c:v>2.8077632432664146E-2</c:v>
                </c:pt>
                <c:pt idx="50">
                  <c:v>2.8520758132461133E-2</c:v>
                </c:pt>
                <c:pt idx="51">
                  <c:v>2.8964937368942012E-2</c:v>
                </c:pt>
                <c:pt idx="52">
                  <c:v>2.9359633363533089E-2</c:v>
                </c:pt>
                <c:pt idx="53">
                  <c:v>2.9755556756275947E-2</c:v>
                </c:pt>
                <c:pt idx="54">
                  <c:v>3.0100650429848885E-2</c:v>
                </c:pt>
                <c:pt idx="55">
                  <c:v>3.0447083725348323E-2</c:v>
                </c:pt>
                <c:pt idx="56">
                  <c:v>3.074277543127657E-2</c:v>
                </c:pt>
                <c:pt idx="57">
                  <c:v>3.1090433733722556E-2</c:v>
                </c:pt>
                <c:pt idx="58">
                  <c:v>3.1387409359523888E-2</c:v>
                </c:pt>
                <c:pt idx="59">
                  <c:v>3.1633734278538217E-2</c:v>
                </c:pt>
                <c:pt idx="60">
                  <c:v>3.1881566672800288E-2</c:v>
                </c:pt>
                <c:pt idx="61">
                  <c:v>3.2129325264391939E-2</c:v>
                </c:pt>
                <c:pt idx="62">
                  <c:v>3.232649071691962E-2</c:v>
                </c:pt>
                <c:pt idx="63">
                  <c:v>3.2523599303230011E-2</c:v>
                </c:pt>
                <c:pt idx="64">
                  <c:v>3.2722302950358273E-2</c:v>
                </c:pt>
                <c:pt idx="65">
                  <c:v>3.2920967700303061E-2</c:v>
                </c:pt>
                <c:pt idx="66">
                  <c:v>3.306910512922423E-2</c:v>
                </c:pt>
                <c:pt idx="67">
                  <c:v>3.3217219227726691E-2</c:v>
                </c:pt>
                <c:pt idx="68">
                  <c:v>3.3314823780762115E-2</c:v>
                </c:pt>
                <c:pt idx="69">
                  <c:v>3.346456684525756E-2</c:v>
                </c:pt>
                <c:pt idx="70">
                  <c:v>3.3614297258202752E-2</c:v>
                </c:pt>
                <c:pt idx="71">
                  <c:v>3.3764008860161399E-2</c:v>
                </c:pt>
                <c:pt idx="72">
                  <c:v>3.386323853342188E-2</c:v>
                </c:pt>
                <c:pt idx="73">
                  <c:v>3.3962454497086236E-2</c:v>
                </c:pt>
                <c:pt idx="74">
                  <c:v>3.4061662911123447E-2</c:v>
                </c:pt>
                <c:pt idx="75">
                  <c:v>3.4160858594923127E-2</c:v>
                </c:pt>
                <c:pt idx="76">
                  <c:v>3.4209591585576238E-2</c:v>
                </c:pt>
                <c:pt idx="77">
                  <c:v>3.4258313076613867E-2</c:v>
                </c:pt>
                <c:pt idx="78">
                  <c:v>3.4307036233251154E-2</c:v>
                </c:pt>
                <c:pt idx="79">
                  <c:v>3.4355755704103208E-2</c:v>
                </c:pt>
                <c:pt idx="80">
                  <c:v>3.4404471403269632E-2</c:v>
                </c:pt>
                <c:pt idx="81">
                  <c:v>3.4505370885328457E-2</c:v>
                </c:pt>
                <c:pt idx="82">
                  <c:v>3.4606267735759033E-2</c:v>
                </c:pt>
                <c:pt idx="83">
                  <c:v>3.4656710497078969E-2</c:v>
                </c:pt>
                <c:pt idx="84">
                  <c:v>3.4707157034825631E-2</c:v>
                </c:pt>
                <c:pt idx="85">
                  <c:v>3.4757603485853661E-2</c:v>
                </c:pt>
                <c:pt idx="86">
                  <c:v>3.4808049936881469E-2</c:v>
                </c:pt>
                <c:pt idx="87">
                  <c:v>3.4858496387909499E-2</c:v>
                </c:pt>
                <c:pt idx="88">
                  <c:v>3.4908940117915677E-2</c:v>
                </c:pt>
                <c:pt idx="89">
                  <c:v>3.4959390257016443E-2</c:v>
                </c:pt>
                <c:pt idx="90">
                  <c:v>3.5009830122764596E-2</c:v>
                </c:pt>
                <c:pt idx="91">
                  <c:v>3.5008070236849154E-2</c:v>
                </c:pt>
                <c:pt idx="92">
                  <c:v>3.5058514142108255E-2</c:v>
                </c:pt>
                <c:pt idx="93">
                  <c:v>3.5108958047368022E-2</c:v>
                </c:pt>
                <c:pt idx="94">
                  <c:v>3.5159391416412333E-2</c:v>
                </c:pt>
                <c:pt idx="95">
                  <c:v>3.5209831369884981E-2</c:v>
                </c:pt>
                <c:pt idx="96">
                  <c:v>3.5209824784429911E-2</c:v>
                </c:pt>
                <c:pt idx="97">
                  <c:v>3.5157607394319834E-2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67-4958-A6CB-C5CE11EE9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485600"/>
        <c:axId val="668485928"/>
      </c:lineChart>
      <c:catAx>
        <c:axId val="668485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Title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85928"/>
        <c:crosses val="autoZero"/>
        <c:auto val="1"/>
        <c:lblAlgn val="ctr"/>
        <c:lblOffset val="50"/>
        <c:tickLblSkip val="30"/>
        <c:tickMarkSkip val="30"/>
        <c:noMultiLvlLbl val="0"/>
      </c:catAx>
      <c:valAx>
        <c:axId val="66848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Title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8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tx2"/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angvel!$AW$1</c:f>
              <c:strCache>
                <c:ptCount val="1"/>
                <c:pt idx="0">
                  <c:v>Octane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angvel!$A$52:$A$150</c:f>
              <c:numCache>
                <c:formatCode>0.00</c:formatCode>
                <c:ptCount val="99"/>
                <c:pt idx="0">
                  <c:v>0</c:v>
                </c:pt>
                <c:pt idx="1">
                  <c:v>8.3333333333333297E-3</c:v>
                </c:pt>
                <c:pt idx="2">
                  <c:v>1.6666666666666701E-2</c:v>
                </c:pt>
                <c:pt idx="3">
                  <c:v>2.5000000000000001E-2</c:v>
                </c:pt>
                <c:pt idx="4">
                  <c:v>3.3333333333333298E-2</c:v>
                </c:pt>
                <c:pt idx="5">
                  <c:v>4.1666666666666699E-2</c:v>
                </c:pt>
                <c:pt idx="6">
                  <c:v>0.05</c:v>
                </c:pt>
                <c:pt idx="7">
                  <c:v>5.83333333333333E-2</c:v>
                </c:pt>
                <c:pt idx="8">
                  <c:v>6.6666666666666596E-2</c:v>
                </c:pt>
                <c:pt idx="9">
                  <c:v>7.4999999999999997E-2</c:v>
                </c:pt>
                <c:pt idx="10">
                  <c:v>8.3333333333333301E-2</c:v>
                </c:pt>
                <c:pt idx="11">
                  <c:v>9.1666666666666605E-2</c:v>
                </c:pt>
                <c:pt idx="12">
                  <c:v>0.1</c:v>
                </c:pt>
                <c:pt idx="13">
                  <c:v>0.108333333333333</c:v>
                </c:pt>
                <c:pt idx="14">
                  <c:v>0.116666666666667</c:v>
                </c:pt>
                <c:pt idx="15">
                  <c:v>0.125</c:v>
                </c:pt>
                <c:pt idx="16">
                  <c:v>0.133333333333333</c:v>
                </c:pt>
                <c:pt idx="17">
                  <c:v>0.141666666666667</c:v>
                </c:pt>
                <c:pt idx="18">
                  <c:v>0.15</c:v>
                </c:pt>
                <c:pt idx="19">
                  <c:v>0.15833333333333299</c:v>
                </c:pt>
                <c:pt idx="20">
                  <c:v>0.16666666666666699</c:v>
                </c:pt>
                <c:pt idx="21">
                  <c:v>0.17499999999999999</c:v>
                </c:pt>
                <c:pt idx="22">
                  <c:v>0.18333333333333299</c:v>
                </c:pt>
                <c:pt idx="23">
                  <c:v>0.19166666666666701</c:v>
                </c:pt>
                <c:pt idx="24">
                  <c:v>0.2</c:v>
                </c:pt>
                <c:pt idx="25">
                  <c:v>0.20833333333333301</c:v>
                </c:pt>
                <c:pt idx="26">
                  <c:v>0.21666666666666701</c:v>
                </c:pt>
                <c:pt idx="27">
                  <c:v>0.22500000000000001</c:v>
                </c:pt>
                <c:pt idx="28">
                  <c:v>0.233333333333333</c:v>
                </c:pt>
                <c:pt idx="29">
                  <c:v>0.241666666666667</c:v>
                </c:pt>
                <c:pt idx="30">
                  <c:v>0.25</c:v>
                </c:pt>
                <c:pt idx="31">
                  <c:v>0.25833333333333303</c:v>
                </c:pt>
                <c:pt idx="32">
                  <c:v>0.266666666666667</c:v>
                </c:pt>
                <c:pt idx="33">
                  <c:v>0.27500000000000002</c:v>
                </c:pt>
                <c:pt idx="34">
                  <c:v>0.28333333333333299</c:v>
                </c:pt>
                <c:pt idx="35">
                  <c:v>0.29166666666666702</c:v>
                </c:pt>
                <c:pt idx="36">
                  <c:v>0.3</c:v>
                </c:pt>
                <c:pt idx="37">
                  <c:v>0.30833333333333302</c:v>
                </c:pt>
                <c:pt idx="38">
                  <c:v>0.31666666666666698</c:v>
                </c:pt>
                <c:pt idx="39">
                  <c:v>0.32500000000000001</c:v>
                </c:pt>
                <c:pt idx="40">
                  <c:v>0.33333333333333298</c:v>
                </c:pt>
                <c:pt idx="41">
                  <c:v>0.34166666666666701</c:v>
                </c:pt>
                <c:pt idx="42">
                  <c:v>0.35</c:v>
                </c:pt>
                <c:pt idx="43">
                  <c:v>0.358333333333333</c:v>
                </c:pt>
                <c:pt idx="44">
                  <c:v>0.36666666666666697</c:v>
                </c:pt>
                <c:pt idx="45">
                  <c:v>0.375</c:v>
                </c:pt>
                <c:pt idx="46">
                  <c:v>0.38333333333333303</c:v>
                </c:pt>
                <c:pt idx="47">
                  <c:v>0.391666666666666</c:v>
                </c:pt>
                <c:pt idx="48">
                  <c:v>0.4</c:v>
                </c:pt>
                <c:pt idx="49">
                  <c:v>0.40833333333333299</c:v>
                </c:pt>
                <c:pt idx="50">
                  <c:v>0.41666666666666602</c:v>
                </c:pt>
                <c:pt idx="51">
                  <c:v>0.42499999999999999</c:v>
                </c:pt>
                <c:pt idx="52">
                  <c:v>0.43333333333333302</c:v>
                </c:pt>
                <c:pt idx="53">
                  <c:v>0.44166666666666599</c:v>
                </c:pt>
                <c:pt idx="54">
                  <c:v>0.45</c:v>
                </c:pt>
                <c:pt idx="55">
                  <c:v>0.45833333333333298</c:v>
                </c:pt>
                <c:pt idx="56">
                  <c:v>0.46666666666666601</c:v>
                </c:pt>
                <c:pt idx="57">
                  <c:v>0.47499999999999998</c:v>
                </c:pt>
                <c:pt idx="58">
                  <c:v>0.483333333333333</c:v>
                </c:pt>
                <c:pt idx="59">
                  <c:v>0.49166666666666597</c:v>
                </c:pt>
                <c:pt idx="60">
                  <c:v>0.5</c:v>
                </c:pt>
                <c:pt idx="61">
                  <c:v>0.50833333333333297</c:v>
                </c:pt>
                <c:pt idx="62">
                  <c:v>0.51666666666666605</c:v>
                </c:pt>
                <c:pt idx="63">
                  <c:v>0.52500000000000002</c:v>
                </c:pt>
                <c:pt idx="64">
                  <c:v>0.53333333333333299</c:v>
                </c:pt>
                <c:pt idx="65">
                  <c:v>0.54166666666666596</c:v>
                </c:pt>
                <c:pt idx="66">
                  <c:v>0.55000000000000004</c:v>
                </c:pt>
                <c:pt idx="67">
                  <c:v>0.55833333333333302</c:v>
                </c:pt>
                <c:pt idx="68">
                  <c:v>0.56666666666666599</c:v>
                </c:pt>
                <c:pt idx="69">
                  <c:v>0.57499999999999996</c:v>
                </c:pt>
                <c:pt idx="70">
                  <c:v>0.58333333333333304</c:v>
                </c:pt>
                <c:pt idx="71">
                  <c:v>0.59166666666666601</c:v>
                </c:pt>
                <c:pt idx="72">
                  <c:v>0.6</c:v>
                </c:pt>
                <c:pt idx="73">
                  <c:v>0.60833333333333295</c:v>
                </c:pt>
                <c:pt idx="74">
                  <c:v>0.61666666666666603</c:v>
                </c:pt>
                <c:pt idx="75">
                  <c:v>0.625</c:v>
                </c:pt>
                <c:pt idx="76">
                  <c:v>0.63333333333333297</c:v>
                </c:pt>
                <c:pt idx="77">
                  <c:v>0.64166666666666605</c:v>
                </c:pt>
                <c:pt idx="78">
                  <c:v>0.65</c:v>
                </c:pt>
                <c:pt idx="79">
                  <c:v>0.65833333333333299</c:v>
                </c:pt>
                <c:pt idx="80">
                  <c:v>0.66666666666666596</c:v>
                </c:pt>
                <c:pt idx="81">
                  <c:v>0.67500000000000004</c:v>
                </c:pt>
                <c:pt idx="82">
                  <c:v>0.68333333333333302</c:v>
                </c:pt>
                <c:pt idx="83">
                  <c:v>0.69166666666666599</c:v>
                </c:pt>
                <c:pt idx="84">
                  <c:v>0.7</c:v>
                </c:pt>
                <c:pt idx="85">
                  <c:v>0.70833333333333304</c:v>
                </c:pt>
                <c:pt idx="86">
                  <c:v>0.71666666666666601</c:v>
                </c:pt>
                <c:pt idx="87">
                  <c:v>0.72499999999999998</c:v>
                </c:pt>
                <c:pt idx="88">
                  <c:v>0.73333333333333295</c:v>
                </c:pt>
                <c:pt idx="89">
                  <c:v>0.74166666666666603</c:v>
                </c:pt>
                <c:pt idx="90">
                  <c:v>0.75</c:v>
                </c:pt>
                <c:pt idx="91">
                  <c:v>0.75833333333333297</c:v>
                </c:pt>
                <c:pt idx="92">
                  <c:v>0.76666666666666605</c:v>
                </c:pt>
                <c:pt idx="93">
                  <c:v>0.77500000000000002</c:v>
                </c:pt>
                <c:pt idx="94">
                  <c:v>0.78333333333333299</c:v>
                </c:pt>
                <c:pt idx="95">
                  <c:v>0.79166666666666596</c:v>
                </c:pt>
                <c:pt idx="96">
                  <c:v>0.8</c:v>
                </c:pt>
                <c:pt idx="97">
                  <c:v>0.80833333333333302</c:v>
                </c:pt>
                <c:pt idx="98">
                  <c:v>0.81666666666666599</c:v>
                </c:pt>
              </c:numCache>
            </c:numRef>
          </c:cat>
          <c:val>
            <c:numRef>
              <c:f>angvel!$AW$52:$AW$150</c:f>
              <c:numCache>
                <c:formatCode>0%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67-4958-A6CB-C5CE11EE9999}"/>
            </c:ext>
          </c:extLst>
        </c:ser>
        <c:ser>
          <c:idx val="1"/>
          <c:order val="1"/>
          <c:tx>
            <c:strRef>
              <c:f>angvel!$AX$1</c:f>
              <c:strCache>
                <c:ptCount val="1"/>
                <c:pt idx="0">
                  <c:v>Hybrid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angvel!$A$52:$A$150</c:f>
              <c:numCache>
                <c:formatCode>0.00</c:formatCode>
                <c:ptCount val="99"/>
                <c:pt idx="0">
                  <c:v>0</c:v>
                </c:pt>
                <c:pt idx="1">
                  <c:v>8.3333333333333297E-3</c:v>
                </c:pt>
                <c:pt idx="2">
                  <c:v>1.6666666666666701E-2</c:v>
                </c:pt>
                <c:pt idx="3">
                  <c:v>2.5000000000000001E-2</c:v>
                </c:pt>
                <c:pt idx="4">
                  <c:v>3.3333333333333298E-2</c:v>
                </c:pt>
                <c:pt idx="5">
                  <c:v>4.1666666666666699E-2</c:v>
                </c:pt>
                <c:pt idx="6">
                  <c:v>0.05</c:v>
                </c:pt>
                <c:pt idx="7">
                  <c:v>5.83333333333333E-2</c:v>
                </c:pt>
                <c:pt idx="8">
                  <c:v>6.6666666666666596E-2</c:v>
                </c:pt>
                <c:pt idx="9">
                  <c:v>7.4999999999999997E-2</c:v>
                </c:pt>
                <c:pt idx="10">
                  <c:v>8.3333333333333301E-2</c:v>
                </c:pt>
                <c:pt idx="11">
                  <c:v>9.1666666666666605E-2</c:v>
                </c:pt>
                <c:pt idx="12">
                  <c:v>0.1</c:v>
                </c:pt>
                <c:pt idx="13">
                  <c:v>0.108333333333333</c:v>
                </c:pt>
                <c:pt idx="14">
                  <c:v>0.116666666666667</c:v>
                </c:pt>
                <c:pt idx="15">
                  <c:v>0.125</c:v>
                </c:pt>
                <c:pt idx="16">
                  <c:v>0.133333333333333</c:v>
                </c:pt>
                <c:pt idx="17">
                  <c:v>0.141666666666667</c:v>
                </c:pt>
                <c:pt idx="18">
                  <c:v>0.15</c:v>
                </c:pt>
                <c:pt idx="19">
                  <c:v>0.15833333333333299</c:v>
                </c:pt>
                <c:pt idx="20">
                  <c:v>0.16666666666666699</c:v>
                </c:pt>
                <c:pt idx="21">
                  <c:v>0.17499999999999999</c:v>
                </c:pt>
                <c:pt idx="22">
                  <c:v>0.18333333333333299</c:v>
                </c:pt>
                <c:pt idx="23">
                  <c:v>0.19166666666666701</c:v>
                </c:pt>
                <c:pt idx="24">
                  <c:v>0.2</c:v>
                </c:pt>
                <c:pt idx="25">
                  <c:v>0.20833333333333301</c:v>
                </c:pt>
                <c:pt idx="26">
                  <c:v>0.21666666666666701</c:v>
                </c:pt>
                <c:pt idx="27">
                  <c:v>0.22500000000000001</c:v>
                </c:pt>
                <c:pt idx="28">
                  <c:v>0.233333333333333</c:v>
                </c:pt>
                <c:pt idx="29">
                  <c:v>0.241666666666667</c:v>
                </c:pt>
                <c:pt idx="30">
                  <c:v>0.25</c:v>
                </c:pt>
                <c:pt idx="31">
                  <c:v>0.25833333333333303</c:v>
                </c:pt>
                <c:pt idx="32">
                  <c:v>0.266666666666667</c:v>
                </c:pt>
                <c:pt idx="33">
                  <c:v>0.27500000000000002</c:v>
                </c:pt>
                <c:pt idx="34">
                  <c:v>0.28333333333333299</c:v>
                </c:pt>
                <c:pt idx="35">
                  <c:v>0.29166666666666702</c:v>
                </c:pt>
                <c:pt idx="36">
                  <c:v>0.3</c:v>
                </c:pt>
                <c:pt idx="37">
                  <c:v>0.30833333333333302</c:v>
                </c:pt>
                <c:pt idx="38">
                  <c:v>0.31666666666666698</c:v>
                </c:pt>
                <c:pt idx="39">
                  <c:v>0.32500000000000001</c:v>
                </c:pt>
                <c:pt idx="40">
                  <c:v>0.33333333333333298</c:v>
                </c:pt>
                <c:pt idx="41">
                  <c:v>0.34166666666666701</c:v>
                </c:pt>
                <c:pt idx="42">
                  <c:v>0.35</c:v>
                </c:pt>
                <c:pt idx="43">
                  <c:v>0.358333333333333</c:v>
                </c:pt>
                <c:pt idx="44">
                  <c:v>0.36666666666666697</c:v>
                </c:pt>
                <c:pt idx="45">
                  <c:v>0.375</c:v>
                </c:pt>
                <c:pt idx="46">
                  <c:v>0.38333333333333303</c:v>
                </c:pt>
                <c:pt idx="47">
                  <c:v>0.391666666666666</c:v>
                </c:pt>
                <c:pt idx="48">
                  <c:v>0.4</c:v>
                </c:pt>
                <c:pt idx="49">
                  <c:v>0.40833333333333299</c:v>
                </c:pt>
                <c:pt idx="50">
                  <c:v>0.41666666666666602</c:v>
                </c:pt>
                <c:pt idx="51">
                  <c:v>0.42499999999999999</c:v>
                </c:pt>
                <c:pt idx="52">
                  <c:v>0.43333333333333302</c:v>
                </c:pt>
                <c:pt idx="53">
                  <c:v>0.44166666666666599</c:v>
                </c:pt>
                <c:pt idx="54">
                  <c:v>0.45</c:v>
                </c:pt>
                <c:pt idx="55">
                  <c:v>0.45833333333333298</c:v>
                </c:pt>
                <c:pt idx="56">
                  <c:v>0.46666666666666601</c:v>
                </c:pt>
                <c:pt idx="57">
                  <c:v>0.47499999999999998</c:v>
                </c:pt>
                <c:pt idx="58">
                  <c:v>0.483333333333333</c:v>
                </c:pt>
                <c:pt idx="59">
                  <c:v>0.49166666666666597</c:v>
                </c:pt>
                <c:pt idx="60">
                  <c:v>0.5</c:v>
                </c:pt>
                <c:pt idx="61">
                  <c:v>0.50833333333333297</c:v>
                </c:pt>
                <c:pt idx="62">
                  <c:v>0.51666666666666605</c:v>
                </c:pt>
                <c:pt idx="63">
                  <c:v>0.52500000000000002</c:v>
                </c:pt>
                <c:pt idx="64">
                  <c:v>0.53333333333333299</c:v>
                </c:pt>
                <c:pt idx="65">
                  <c:v>0.54166666666666596</c:v>
                </c:pt>
                <c:pt idx="66">
                  <c:v>0.55000000000000004</c:v>
                </c:pt>
                <c:pt idx="67">
                  <c:v>0.55833333333333302</c:v>
                </c:pt>
                <c:pt idx="68">
                  <c:v>0.56666666666666599</c:v>
                </c:pt>
                <c:pt idx="69">
                  <c:v>0.57499999999999996</c:v>
                </c:pt>
                <c:pt idx="70">
                  <c:v>0.58333333333333304</c:v>
                </c:pt>
                <c:pt idx="71">
                  <c:v>0.59166666666666601</c:v>
                </c:pt>
                <c:pt idx="72">
                  <c:v>0.6</c:v>
                </c:pt>
                <c:pt idx="73">
                  <c:v>0.60833333333333295</c:v>
                </c:pt>
                <c:pt idx="74">
                  <c:v>0.61666666666666603</c:v>
                </c:pt>
                <c:pt idx="75">
                  <c:v>0.625</c:v>
                </c:pt>
                <c:pt idx="76">
                  <c:v>0.63333333333333297</c:v>
                </c:pt>
                <c:pt idx="77">
                  <c:v>0.64166666666666605</c:v>
                </c:pt>
                <c:pt idx="78">
                  <c:v>0.65</c:v>
                </c:pt>
                <c:pt idx="79">
                  <c:v>0.65833333333333299</c:v>
                </c:pt>
                <c:pt idx="80">
                  <c:v>0.66666666666666596</c:v>
                </c:pt>
                <c:pt idx="81">
                  <c:v>0.67500000000000004</c:v>
                </c:pt>
                <c:pt idx="82">
                  <c:v>0.68333333333333302</c:v>
                </c:pt>
                <c:pt idx="83">
                  <c:v>0.69166666666666599</c:v>
                </c:pt>
                <c:pt idx="84">
                  <c:v>0.7</c:v>
                </c:pt>
                <c:pt idx="85">
                  <c:v>0.70833333333333304</c:v>
                </c:pt>
                <c:pt idx="86">
                  <c:v>0.71666666666666601</c:v>
                </c:pt>
                <c:pt idx="87">
                  <c:v>0.72499999999999998</c:v>
                </c:pt>
                <c:pt idx="88">
                  <c:v>0.73333333333333295</c:v>
                </c:pt>
                <c:pt idx="89">
                  <c:v>0.74166666666666603</c:v>
                </c:pt>
                <c:pt idx="90">
                  <c:v>0.75</c:v>
                </c:pt>
                <c:pt idx="91">
                  <c:v>0.75833333333333297</c:v>
                </c:pt>
                <c:pt idx="92">
                  <c:v>0.76666666666666605</c:v>
                </c:pt>
                <c:pt idx="93">
                  <c:v>0.77500000000000002</c:v>
                </c:pt>
                <c:pt idx="94">
                  <c:v>0.78333333333333299</c:v>
                </c:pt>
                <c:pt idx="95">
                  <c:v>0.79166666666666596</c:v>
                </c:pt>
                <c:pt idx="96">
                  <c:v>0.8</c:v>
                </c:pt>
                <c:pt idx="97">
                  <c:v>0.80833333333333302</c:v>
                </c:pt>
                <c:pt idx="98">
                  <c:v>0.81666666666666599</c:v>
                </c:pt>
              </c:numCache>
            </c:numRef>
          </c:cat>
          <c:val>
            <c:numRef>
              <c:f>angvel!$AX$52:$AX$150</c:f>
              <c:numCache>
                <c:formatCode>0.0%</c:formatCode>
                <c:ptCount val="99"/>
                <c:pt idx="0">
                  <c:v>3.106043405198201E-5</c:v>
                </c:pt>
                <c:pt idx="1">
                  <c:v>-7.012799400103375E-3</c:v>
                </c:pt>
                <c:pt idx="2">
                  <c:v>-1.1603352997487099E-2</c:v>
                </c:pt>
                <c:pt idx="3">
                  <c:v>-1.4579380483714757E-2</c:v>
                </c:pt>
                <c:pt idx="4">
                  <c:v>-1.6344508643930229E-2</c:v>
                </c:pt>
                <c:pt idx="5">
                  <c:v>-1.7100709745852476E-2</c:v>
                </c:pt>
                <c:pt idx="6">
                  <c:v>-1.7100485476602371E-2</c:v>
                </c:pt>
                <c:pt idx="7">
                  <c:v>-1.659566645030321E-2</c:v>
                </c:pt>
                <c:pt idx="8">
                  <c:v>-1.5687568119601463E-2</c:v>
                </c:pt>
                <c:pt idx="9">
                  <c:v>-1.4476807898250696E-2</c:v>
                </c:pt>
                <c:pt idx="10">
                  <c:v>-1.3064337281654851E-2</c:v>
                </c:pt>
                <c:pt idx="11">
                  <c:v>-1.1551050091960315E-2</c:v>
                </c:pt>
                <c:pt idx="12">
                  <c:v>-9.9369217041499446E-3</c:v>
                </c:pt>
                <c:pt idx="13">
                  <c:v>-8.322824405962213E-3</c:v>
                </c:pt>
                <c:pt idx="14">
                  <c:v>-6.7087414768519484E-3</c:v>
                </c:pt>
                <c:pt idx="15">
                  <c:v>-5.0946288634516109E-3</c:v>
                </c:pt>
                <c:pt idx="16">
                  <c:v>-3.4805561466138913E-3</c:v>
                </c:pt>
                <c:pt idx="17">
                  <c:v>-1.9168817105557439E-3</c:v>
                </c:pt>
                <c:pt idx="18">
                  <c:v>-4.5405170601072191E-4</c:v>
                </c:pt>
                <c:pt idx="19">
                  <c:v>1.0087042707710716E-3</c:v>
                </c:pt>
                <c:pt idx="20">
                  <c:v>2.4210685999800328E-3</c:v>
                </c:pt>
                <c:pt idx="21">
                  <c:v>3.7325901558937758E-3</c:v>
                </c:pt>
                <c:pt idx="22">
                  <c:v>4.9432200555058221E-3</c:v>
                </c:pt>
                <c:pt idx="23">
                  <c:v>6.1033713943623733E-3</c:v>
                </c:pt>
                <c:pt idx="24">
                  <c:v>7.2130814190867094E-3</c:v>
                </c:pt>
                <c:pt idx="25">
                  <c:v>8.272322166379598E-3</c:v>
                </c:pt>
                <c:pt idx="26">
                  <c:v>9.3315966355876027E-3</c:v>
                </c:pt>
                <c:pt idx="27">
                  <c:v>1.02900056409569E-2</c:v>
                </c:pt>
                <c:pt idx="28">
                  <c:v>1.1197972862117546E-2</c:v>
                </c:pt>
                <c:pt idx="29">
                  <c:v>1.2055495904607952E-2</c:v>
                </c:pt>
                <c:pt idx="30">
                  <c:v>1.2862574812815082E-2</c:v>
                </c:pt>
                <c:pt idx="31">
                  <c:v>1.3619209623284736E-2</c:v>
                </c:pt>
                <c:pt idx="32">
                  <c:v>1.4325400367320445E-2</c:v>
                </c:pt>
                <c:pt idx="33">
                  <c:v>1.4981149616710468E-2</c:v>
                </c:pt>
                <c:pt idx="34">
                  <c:v>1.5586426556495123E-2</c:v>
                </c:pt>
                <c:pt idx="35">
                  <c:v>1.6141273892413207E-2</c:v>
                </c:pt>
                <c:pt idx="36">
                  <c:v>1.6696114761916615E-2</c:v>
                </c:pt>
                <c:pt idx="37">
                  <c:v>1.7200516881464727E-2</c:v>
                </c:pt>
                <c:pt idx="38">
                  <c:v>1.7654480227160953E-2</c:v>
                </c:pt>
                <c:pt idx="39">
                  <c:v>1.8108452471850296E-2</c:v>
                </c:pt>
                <c:pt idx="40">
                  <c:v>1.8562424717096068E-2</c:v>
                </c:pt>
                <c:pt idx="41">
                  <c:v>1.8965955601692147E-2</c:v>
                </c:pt>
                <c:pt idx="42">
                  <c:v>1.9319045125624646E-2</c:v>
                </c:pt>
                <c:pt idx="43">
                  <c:v>1.962169328871817E-2</c:v>
                </c:pt>
                <c:pt idx="44">
                  <c:v>1.9924338962033328E-2</c:v>
                </c:pt>
                <c:pt idx="45">
                  <c:v>2.0226987128795823E-2</c:v>
                </c:pt>
                <c:pt idx="46">
                  <c:v>2.0479192679186076E-2</c:v>
                </c:pt>
                <c:pt idx="47">
                  <c:v>2.0731408264463624E-2</c:v>
                </c:pt>
                <c:pt idx="48">
                  <c:v>2.0983615064206186E-2</c:v>
                </c:pt>
                <c:pt idx="49">
                  <c:v>2.1235821864377492E-2</c:v>
                </c:pt>
                <c:pt idx="50">
                  <c:v>2.1437578544787034E-2</c:v>
                </c:pt>
                <c:pt idx="51">
                  <c:v>2.1588896376241302E-2</c:v>
                </c:pt>
                <c:pt idx="52">
                  <c:v>2.1740207774306131E-2</c:v>
                </c:pt>
                <c:pt idx="53">
                  <c:v>2.1891530589812351E-2</c:v>
                </c:pt>
                <c:pt idx="54">
                  <c:v>2.2093296043194027E-2</c:v>
                </c:pt>
                <c:pt idx="55">
                  <c:v>2.2244620134781463E-2</c:v>
                </c:pt>
                <c:pt idx="56">
                  <c:v>2.2395953154359417E-2</c:v>
                </c:pt>
                <c:pt idx="57">
                  <c:v>2.249684225712352E-2</c:v>
                </c:pt>
                <c:pt idx="58">
                  <c:v>2.264817008363023E-2</c:v>
                </c:pt>
                <c:pt idx="59">
                  <c:v>2.2749059038782552E-2</c:v>
                </c:pt>
                <c:pt idx="60">
                  <c:v>2.2849941760451093E-2</c:v>
                </c:pt>
                <c:pt idx="61">
                  <c:v>2.2950824482353162E-2</c:v>
                </c:pt>
                <c:pt idx="62">
                  <c:v>2.305170847834952E-2</c:v>
                </c:pt>
                <c:pt idx="63">
                  <c:v>2.3102137243774884E-2</c:v>
                </c:pt>
                <c:pt idx="64">
                  <c:v>2.3152574871828341E-2</c:v>
                </c:pt>
                <c:pt idx="65">
                  <c:v>2.325345635184059E-2</c:v>
                </c:pt>
                <c:pt idx="66">
                  <c:v>2.3303897714850506E-2</c:v>
                </c:pt>
                <c:pt idx="67">
                  <c:v>2.3354339077860536E-2</c:v>
                </c:pt>
                <c:pt idx="68">
                  <c:v>2.3404786806835057E-2</c:v>
                </c:pt>
                <c:pt idx="69">
                  <c:v>2.3455231988395376E-2</c:v>
                </c:pt>
                <c:pt idx="70">
                  <c:v>2.3505673350312263E-2</c:v>
                </c:pt>
                <c:pt idx="71">
                  <c:v>2.3556115955852538E-2</c:v>
                </c:pt>
                <c:pt idx="72">
                  <c:v>2.3606561048148685E-2</c:v>
                </c:pt>
                <c:pt idx="73">
                  <c:v>2.3657002409575002E-2</c:v>
                </c:pt>
                <c:pt idx="74">
                  <c:v>2.3707443771001542E-2</c:v>
                </c:pt>
                <c:pt idx="75">
                  <c:v>2.3757885132428193E-2</c:v>
                </c:pt>
                <c:pt idx="76">
                  <c:v>2.3757877585187857E-2</c:v>
                </c:pt>
                <c:pt idx="77">
                  <c:v>2.3757876342373013E-2</c:v>
                </c:pt>
                <c:pt idx="78">
                  <c:v>2.3757869980197893E-2</c:v>
                </c:pt>
                <c:pt idx="79">
                  <c:v>2.375786998077549E-2</c:v>
                </c:pt>
                <c:pt idx="80">
                  <c:v>2.3757869981353423E-2</c:v>
                </c:pt>
                <c:pt idx="81">
                  <c:v>2.3757868709637163E-2</c:v>
                </c:pt>
                <c:pt idx="82">
                  <c:v>2.380831643295904E-2</c:v>
                </c:pt>
                <c:pt idx="83">
                  <c:v>2.3858762854336014E-2</c:v>
                </c:pt>
                <c:pt idx="84">
                  <c:v>2.3909204216127567E-2</c:v>
                </c:pt>
                <c:pt idx="85">
                  <c:v>2.3959646850212644E-2</c:v>
                </c:pt>
                <c:pt idx="86">
                  <c:v>2.4010088212003976E-2</c:v>
                </c:pt>
                <c:pt idx="87">
                  <c:v>2.4010088212003976E-2</c:v>
                </c:pt>
                <c:pt idx="88">
                  <c:v>2.4010088212003976E-2</c:v>
                </c:pt>
                <c:pt idx="89">
                  <c:v>2.4060529484107765E-2</c:v>
                </c:pt>
                <c:pt idx="90">
                  <c:v>2.4060535696098187E-2</c:v>
                </c:pt>
                <c:pt idx="91">
                  <c:v>2.4060529334629131E-2</c:v>
                </c:pt>
                <c:pt idx="92">
                  <c:v>2.4060529334656012E-2</c:v>
                </c:pt>
                <c:pt idx="93">
                  <c:v>2.4060523122971803E-2</c:v>
                </c:pt>
                <c:pt idx="94">
                  <c:v>2.4060519395961009E-2</c:v>
                </c:pt>
                <c:pt idx="95">
                  <c:v>2.4110949337639583E-2</c:v>
                </c:pt>
                <c:pt idx="96">
                  <c:v>2.4110945520950656E-2</c:v>
                </c:pt>
                <c:pt idx="97">
                  <c:v>2.4110939159802489E-2</c:v>
                </c:pt>
                <c:pt idx="98">
                  <c:v>2.4060497799554211E-2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67-4958-A6CB-C5CE11EE9999}"/>
            </c:ext>
          </c:extLst>
        </c:ser>
        <c:ser>
          <c:idx val="2"/>
          <c:order val="2"/>
          <c:tx>
            <c:strRef>
              <c:f>angvel!$AY$1</c:f>
              <c:strCache>
                <c:ptCount val="1"/>
                <c:pt idx="0">
                  <c:v>Dominus</c:v>
                </c:pt>
              </c:strCache>
            </c:strRef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angvel!$A$52:$A$150</c:f>
              <c:numCache>
                <c:formatCode>0.00</c:formatCode>
                <c:ptCount val="99"/>
                <c:pt idx="0">
                  <c:v>0</c:v>
                </c:pt>
                <c:pt idx="1">
                  <c:v>8.3333333333333297E-3</c:v>
                </c:pt>
                <c:pt idx="2">
                  <c:v>1.6666666666666701E-2</c:v>
                </c:pt>
                <c:pt idx="3">
                  <c:v>2.5000000000000001E-2</c:v>
                </c:pt>
                <c:pt idx="4">
                  <c:v>3.3333333333333298E-2</c:v>
                </c:pt>
                <c:pt idx="5">
                  <c:v>4.1666666666666699E-2</c:v>
                </c:pt>
                <c:pt idx="6">
                  <c:v>0.05</c:v>
                </c:pt>
                <c:pt idx="7">
                  <c:v>5.83333333333333E-2</c:v>
                </c:pt>
                <c:pt idx="8">
                  <c:v>6.6666666666666596E-2</c:v>
                </c:pt>
                <c:pt idx="9">
                  <c:v>7.4999999999999997E-2</c:v>
                </c:pt>
                <c:pt idx="10">
                  <c:v>8.3333333333333301E-2</c:v>
                </c:pt>
                <c:pt idx="11">
                  <c:v>9.1666666666666605E-2</c:v>
                </c:pt>
                <c:pt idx="12">
                  <c:v>0.1</c:v>
                </c:pt>
                <c:pt idx="13">
                  <c:v>0.108333333333333</c:v>
                </c:pt>
                <c:pt idx="14">
                  <c:v>0.116666666666667</c:v>
                </c:pt>
                <c:pt idx="15">
                  <c:v>0.125</c:v>
                </c:pt>
                <c:pt idx="16">
                  <c:v>0.133333333333333</c:v>
                </c:pt>
                <c:pt idx="17">
                  <c:v>0.141666666666667</c:v>
                </c:pt>
                <c:pt idx="18">
                  <c:v>0.15</c:v>
                </c:pt>
                <c:pt idx="19">
                  <c:v>0.15833333333333299</c:v>
                </c:pt>
                <c:pt idx="20">
                  <c:v>0.16666666666666699</c:v>
                </c:pt>
                <c:pt idx="21">
                  <c:v>0.17499999999999999</c:v>
                </c:pt>
                <c:pt idx="22">
                  <c:v>0.18333333333333299</c:v>
                </c:pt>
                <c:pt idx="23">
                  <c:v>0.19166666666666701</c:v>
                </c:pt>
                <c:pt idx="24">
                  <c:v>0.2</c:v>
                </c:pt>
                <c:pt idx="25">
                  <c:v>0.20833333333333301</c:v>
                </c:pt>
                <c:pt idx="26">
                  <c:v>0.21666666666666701</c:v>
                </c:pt>
                <c:pt idx="27">
                  <c:v>0.22500000000000001</c:v>
                </c:pt>
                <c:pt idx="28">
                  <c:v>0.233333333333333</c:v>
                </c:pt>
                <c:pt idx="29">
                  <c:v>0.241666666666667</c:v>
                </c:pt>
                <c:pt idx="30">
                  <c:v>0.25</c:v>
                </c:pt>
                <c:pt idx="31">
                  <c:v>0.25833333333333303</c:v>
                </c:pt>
                <c:pt idx="32">
                  <c:v>0.266666666666667</c:v>
                </c:pt>
                <c:pt idx="33">
                  <c:v>0.27500000000000002</c:v>
                </c:pt>
                <c:pt idx="34">
                  <c:v>0.28333333333333299</c:v>
                </c:pt>
                <c:pt idx="35">
                  <c:v>0.29166666666666702</c:v>
                </c:pt>
                <c:pt idx="36">
                  <c:v>0.3</c:v>
                </c:pt>
                <c:pt idx="37">
                  <c:v>0.30833333333333302</c:v>
                </c:pt>
                <c:pt idx="38">
                  <c:v>0.31666666666666698</c:v>
                </c:pt>
                <c:pt idx="39">
                  <c:v>0.32500000000000001</c:v>
                </c:pt>
                <c:pt idx="40">
                  <c:v>0.33333333333333298</c:v>
                </c:pt>
                <c:pt idx="41">
                  <c:v>0.34166666666666701</c:v>
                </c:pt>
                <c:pt idx="42">
                  <c:v>0.35</c:v>
                </c:pt>
                <c:pt idx="43">
                  <c:v>0.358333333333333</c:v>
                </c:pt>
                <c:pt idx="44">
                  <c:v>0.36666666666666697</c:v>
                </c:pt>
                <c:pt idx="45">
                  <c:v>0.375</c:v>
                </c:pt>
                <c:pt idx="46">
                  <c:v>0.38333333333333303</c:v>
                </c:pt>
                <c:pt idx="47">
                  <c:v>0.391666666666666</c:v>
                </c:pt>
                <c:pt idx="48">
                  <c:v>0.4</c:v>
                </c:pt>
                <c:pt idx="49">
                  <c:v>0.40833333333333299</c:v>
                </c:pt>
                <c:pt idx="50">
                  <c:v>0.41666666666666602</c:v>
                </c:pt>
                <c:pt idx="51">
                  <c:v>0.42499999999999999</c:v>
                </c:pt>
                <c:pt idx="52">
                  <c:v>0.43333333333333302</c:v>
                </c:pt>
                <c:pt idx="53">
                  <c:v>0.44166666666666599</c:v>
                </c:pt>
                <c:pt idx="54">
                  <c:v>0.45</c:v>
                </c:pt>
                <c:pt idx="55">
                  <c:v>0.45833333333333298</c:v>
                </c:pt>
                <c:pt idx="56">
                  <c:v>0.46666666666666601</c:v>
                </c:pt>
                <c:pt idx="57">
                  <c:v>0.47499999999999998</c:v>
                </c:pt>
                <c:pt idx="58">
                  <c:v>0.483333333333333</c:v>
                </c:pt>
                <c:pt idx="59">
                  <c:v>0.49166666666666597</c:v>
                </c:pt>
                <c:pt idx="60">
                  <c:v>0.5</c:v>
                </c:pt>
                <c:pt idx="61">
                  <c:v>0.50833333333333297</c:v>
                </c:pt>
                <c:pt idx="62">
                  <c:v>0.51666666666666605</c:v>
                </c:pt>
                <c:pt idx="63">
                  <c:v>0.52500000000000002</c:v>
                </c:pt>
                <c:pt idx="64">
                  <c:v>0.53333333333333299</c:v>
                </c:pt>
                <c:pt idx="65">
                  <c:v>0.54166666666666596</c:v>
                </c:pt>
                <c:pt idx="66">
                  <c:v>0.55000000000000004</c:v>
                </c:pt>
                <c:pt idx="67">
                  <c:v>0.55833333333333302</c:v>
                </c:pt>
                <c:pt idx="68">
                  <c:v>0.56666666666666599</c:v>
                </c:pt>
                <c:pt idx="69">
                  <c:v>0.57499999999999996</c:v>
                </c:pt>
                <c:pt idx="70">
                  <c:v>0.58333333333333304</c:v>
                </c:pt>
                <c:pt idx="71">
                  <c:v>0.59166666666666601</c:v>
                </c:pt>
                <c:pt idx="72">
                  <c:v>0.6</c:v>
                </c:pt>
                <c:pt idx="73">
                  <c:v>0.60833333333333295</c:v>
                </c:pt>
                <c:pt idx="74">
                  <c:v>0.61666666666666603</c:v>
                </c:pt>
                <c:pt idx="75">
                  <c:v>0.625</c:v>
                </c:pt>
                <c:pt idx="76">
                  <c:v>0.63333333333333297</c:v>
                </c:pt>
                <c:pt idx="77">
                  <c:v>0.64166666666666605</c:v>
                </c:pt>
                <c:pt idx="78">
                  <c:v>0.65</c:v>
                </c:pt>
                <c:pt idx="79">
                  <c:v>0.65833333333333299</c:v>
                </c:pt>
                <c:pt idx="80">
                  <c:v>0.66666666666666596</c:v>
                </c:pt>
                <c:pt idx="81">
                  <c:v>0.67500000000000004</c:v>
                </c:pt>
                <c:pt idx="82">
                  <c:v>0.68333333333333302</c:v>
                </c:pt>
                <c:pt idx="83">
                  <c:v>0.69166666666666599</c:v>
                </c:pt>
                <c:pt idx="84">
                  <c:v>0.7</c:v>
                </c:pt>
                <c:pt idx="85">
                  <c:v>0.70833333333333304</c:v>
                </c:pt>
                <c:pt idx="86">
                  <c:v>0.71666666666666601</c:v>
                </c:pt>
                <c:pt idx="87">
                  <c:v>0.72499999999999998</c:v>
                </c:pt>
                <c:pt idx="88">
                  <c:v>0.73333333333333295</c:v>
                </c:pt>
                <c:pt idx="89">
                  <c:v>0.74166666666666603</c:v>
                </c:pt>
                <c:pt idx="90">
                  <c:v>0.75</c:v>
                </c:pt>
                <c:pt idx="91">
                  <c:v>0.75833333333333297</c:v>
                </c:pt>
                <c:pt idx="92">
                  <c:v>0.76666666666666605</c:v>
                </c:pt>
                <c:pt idx="93">
                  <c:v>0.77500000000000002</c:v>
                </c:pt>
                <c:pt idx="94">
                  <c:v>0.78333333333333299</c:v>
                </c:pt>
                <c:pt idx="95">
                  <c:v>0.79166666666666596</c:v>
                </c:pt>
                <c:pt idx="96">
                  <c:v>0.8</c:v>
                </c:pt>
                <c:pt idx="97">
                  <c:v>0.80833333333333302</c:v>
                </c:pt>
                <c:pt idx="98">
                  <c:v>0.81666666666666599</c:v>
                </c:pt>
              </c:numCache>
            </c:numRef>
          </c:cat>
          <c:val>
            <c:numRef>
              <c:f>angvel!$AY$52:$AY$150</c:f>
              <c:numCache>
                <c:formatCode>0.0%</c:formatCode>
                <c:ptCount val="99"/>
                <c:pt idx="0">
                  <c:v>6.2860592668344771E-5</c:v>
                </c:pt>
                <c:pt idx="1">
                  <c:v>-8.2593128107878791E-3</c:v>
                </c:pt>
                <c:pt idx="2">
                  <c:v>-1.370663556698995E-2</c:v>
                </c:pt>
                <c:pt idx="3">
                  <c:v>-1.7291274694744539E-2</c:v>
                </c:pt>
                <c:pt idx="4">
                  <c:v>-1.9363207498366924E-2</c:v>
                </c:pt>
                <c:pt idx="5">
                  <c:v>-2.0274296799307652E-2</c:v>
                </c:pt>
                <c:pt idx="6">
                  <c:v>-2.0276491519347722E-2</c:v>
                </c:pt>
                <c:pt idx="7">
                  <c:v>-1.9672298177864773E-2</c:v>
                </c:pt>
                <c:pt idx="8">
                  <c:v>-1.8512498927771969E-2</c:v>
                </c:pt>
                <c:pt idx="9">
                  <c:v>-1.6999124604480581E-2</c:v>
                </c:pt>
                <c:pt idx="10">
                  <c:v>-1.5233352378062115E-2</c:v>
                </c:pt>
                <c:pt idx="11">
                  <c:v>-1.3366751040398464E-2</c:v>
                </c:pt>
                <c:pt idx="12">
                  <c:v>-1.1399305971994348E-2</c:v>
                </c:pt>
                <c:pt idx="13">
                  <c:v>-9.3815388460722002E-3</c:v>
                </c:pt>
                <c:pt idx="14">
                  <c:v>-7.31339970237007E-3</c:v>
                </c:pt>
                <c:pt idx="15">
                  <c:v>-5.2957854798153757E-3</c:v>
                </c:pt>
                <c:pt idx="16">
                  <c:v>-3.2782160035841265E-3</c:v>
                </c:pt>
                <c:pt idx="17">
                  <c:v>-1.3111523029716843E-3</c:v>
                </c:pt>
                <c:pt idx="18">
                  <c:v>5.550196340736533E-4</c:v>
                </c:pt>
                <c:pt idx="19">
                  <c:v>2.421210406265552E-3</c:v>
                </c:pt>
                <c:pt idx="20">
                  <c:v>4.1865819665359875E-3</c:v>
                </c:pt>
                <c:pt idx="21">
                  <c:v>5.8511237004327948E-3</c:v>
                </c:pt>
                <c:pt idx="22">
                  <c:v>7.4652871765689202E-3</c:v>
                </c:pt>
                <c:pt idx="23">
                  <c:v>8.9784997560168056E-3</c:v>
                </c:pt>
                <c:pt idx="24">
                  <c:v>1.0441274151614496E-2</c:v>
                </c:pt>
                <c:pt idx="25">
                  <c:v>1.1803168870593461E-2</c:v>
                </c:pt>
                <c:pt idx="26">
                  <c:v>1.3114678259699598E-2</c:v>
                </c:pt>
                <c:pt idx="27">
                  <c:v>1.4325319211159088E-2</c:v>
                </c:pt>
                <c:pt idx="28">
                  <c:v>1.5535937217527634E-2</c:v>
                </c:pt>
                <c:pt idx="29">
                  <c:v>1.6645669663778537E-2</c:v>
                </c:pt>
                <c:pt idx="30">
                  <c:v>1.7654494647239012E-2</c:v>
                </c:pt>
                <c:pt idx="31">
                  <c:v>1.8612878253485322E-2</c:v>
                </c:pt>
                <c:pt idx="32">
                  <c:v>1.9520824305914217E-2</c:v>
                </c:pt>
                <c:pt idx="33">
                  <c:v>2.0378321228074488E-2</c:v>
                </c:pt>
                <c:pt idx="34">
                  <c:v>2.1185371509287312E-2</c:v>
                </c:pt>
                <c:pt idx="35">
                  <c:v>2.1941990852038299E-2</c:v>
                </c:pt>
                <c:pt idx="36">
                  <c:v>2.2648163581210731E-2</c:v>
                </c:pt>
                <c:pt idx="37">
                  <c:v>2.3303897505054252E-2</c:v>
                </c:pt>
                <c:pt idx="38">
                  <c:v>2.3909192603657203E-2</c:v>
                </c:pt>
                <c:pt idx="39">
                  <c:v>2.4514488963718682E-2</c:v>
                </c:pt>
                <c:pt idx="40">
                  <c:v>2.5069345216102806E-2</c:v>
                </c:pt>
                <c:pt idx="41">
                  <c:v>2.5624200208876888E-2</c:v>
                </c:pt>
                <c:pt idx="42">
                  <c:v>2.6128617595453311E-2</c:v>
                </c:pt>
                <c:pt idx="43">
                  <c:v>2.6532154748959841E-2</c:v>
                </c:pt>
                <c:pt idx="44">
                  <c:v>2.6935686923922692E-2</c:v>
                </c:pt>
                <c:pt idx="45">
                  <c:v>2.7339217814757302E-2</c:v>
                </c:pt>
                <c:pt idx="46">
                  <c:v>2.7692316068569495E-2</c:v>
                </c:pt>
                <c:pt idx="47">
                  <c:v>2.7994964228587993E-2</c:v>
                </c:pt>
                <c:pt idx="48">
                  <c:v>2.8348053750297472E-2</c:v>
                </c:pt>
                <c:pt idx="49">
                  <c:v>2.8650701911555391E-2</c:v>
                </c:pt>
                <c:pt idx="50">
                  <c:v>2.8902908711958206E-2</c:v>
                </c:pt>
                <c:pt idx="51">
                  <c:v>2.9155115512771956E-2</c:v>
                </c:pt>
                <c:pt idx="52">
                  <c:v>2.9407313374113158E-2</c:v>
                </c:pt>
                <c:pt idx="53">
                  <c:v>2.965951890223522E-2</c:v>
                </c:pt>
                <c:pt idx="54">
                  <c:v>2.9911725707367894E-2</c:v>
                </c:pt>
                <c:pt idx="55">
                  <c:v>3.0113491151628324E-2</c:v>
                </c:pt>
                <c:pt idx="56">
                  <c:v>3.0315265524799039E-2</c:v>
                </c:pt>
                <c:pt idx="57">
                  <c:v>3.0466595982072756E-2</c:v>
                </c:pt>
                <c:pt idx="58">
                  <c:v>3.0668361423003807E-2</c:v>
                </c:pt>
                <c:pt idx="59">
                  <c:v>3.08196855030578E-2</c:v>
                </c:pt>
                <c:pt idx="60">
                  <c:v>3.0920568222232946E-2</c:v>
                </c:pt>
                <c:pt idx="61">
                  <c:v>3.1071892302941485E-2</c:v>
                </c:pt>
                <c:pt idx="62">
                  <c:v>3.1172776296862444E-2</c:v>
                </c:pt>
                <c:pt idx="63">
                  <c:v>3.1273652646996955E-2</c:v>
                </c:pt>
                <c:pt idx="64">
                  <c:v>3.1374526723191874E-2</c:v>
                </c:pt>
                <c:pt idx="65">
                  <c:v>3.1475409445878406E-2</c:v>
                </c:pt>
                <c:pt idx="66">
                  <c:v>3.1576285996405343E-2</c:v>
                </c:pt>
                <c:pt idx="67">
                  <c:v>3.1677168720301276E-2</c:v>
                </c:pt>
                <c:pt idx="68">
                  <c:v>3.1727612746523588E-2</c:v>
                </c:pt>
                <c:pt idx="69">
                  <c:v>3.1778057927902684E-2</c:v>
                </c:pt>
                <c:pt idx="70">
                  <c:v>3.1878940651491286E-2</c:v>
                </c:pt>
                <c:pt idx="71">
                  <c:v>3.1929382013287433E-2</c:v>
                </c:pt>
                <c:pt idx="72">
                  <c:v>3.1979823375083469E-2</c:v>
                </c:pt>
                <c:pt idx="73">
                  <c:v>3.2030264736879838E-2</c:v>
                </c:pt>
                <c:pt idx="74">
                  <c:v>3.2080706098676214E-2</c:v>
                </c:pt>
                <c:pt idx="75">
                  <c:v>3.2131147460472242E-2</c:v>
                </c:pt>
                <c:pt idx="76">
                  <c:v>3.2181583771500578E-2</c:v>
                </c:pt>
                <c:pt idx="77">
                  <c:v>3.2232025133610114E-2</c:v>
                </c:pt>
                <c:pt idx="78">
                  <c:v>3.2232018771434993E-2</c:v>
                </c:pt>
                <c:pt idx="79">
                  <c:v>3.2232020004694918E-2</c:v>
                </c:pt>
                <c:pt idx="80">
                  <c:v>3.2232020005212594E-2</c:v>
                </c:pt>
                <c:pt idx="81">
                  <c:v>3.2232022431121748E-2</c:v>
                </c:pt>
                <c:pt idx="82">
                  <c:v>3.2282470154202596E-2</c:v>
                </c:pt>
                <c:pt idx="83">
                  <c:v>3.2332915332696069E-2</c:v>
                </c:pt>
                <c:pt idx="84">
                  <c:v>3.2383362856213418E-2</c:v>
                </c:pt>
                <c:pt idx="85">
                  <c:v>3.2433805489818002E-2</c:v>
                </c:pt>
                <c:pt idx="86">
                  <c:v>3.248424685112862E-2</c:v>
                </c:pt>
                <c:pt idx="87">
                  <c:v>3.2534696837843165E-2</c:v>
                </c:pt>
                <c:pt idx="88">
                  <c:v>3.2585138198732426E-2</c:v>
                </c:pt>
                <c:pt idx="89">
                  <c:v>3.2585134381850858E-2</c:v>
                </c:pt>
                <c:pt idx="90">
                  <c:v>3.2585134381850858E-2</c:v>
                </c:pt>
                <c:pt idx="91">
                  <c:v>3.2635569381271518E-2</c:v>
                </c:pt>
                <c:pt idx="92">
                  <c:v>3.2585128019996516E-2</c:v>
                </c:pt>
                <c:pt idx="93">
                  <c:v>3.2585128019996516E-2</c:v>
                </c:pt>
                <c:pt idx="94">
                  <c:v>3.2635569380886E-2</c:v>
                </c:pt>
                <c:pt idx="95">
                  <c:v>3.2635559203048795E-2</c:v>
                </c:pt>
                <c:pt idx="96">
                  <c:v>3.2635555386359871E-2</c:v>
                </c:pt>
                <c:pt idx="97">
                  <c:v>3.2635549025211701E-2</c:v>
                </c:pt>
                <c:pt idx="98">
                  <c:v>3.2585107664963427E-2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67-4958-A6CB-C5CE11EE9999}"/>
            </c:ext>
          </c:extLst>
        </c:ser>
        <c:ser>
          <c:idx val="3"/>
          <c:order val="3"/>
          <c:tx>
            <c:strRef>
              <c:f>angvel!$AZ$1</c:f>
              <c:strCache>
                <c:ptCount val="1"/>
                <c:pt idx="0">
                  <c:v>Plank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angvel!$A$52:$A$150</c:f>
              <c:numCache>
                <c:formatCode>0.00</c:formatCode>
                <c:ptCount val="99"/>
                <c:pt idx="0">
                  <c:v>0</c:v>
                </c:pt>
                <c:pt idx="1">
                  <c:v>8.3333333333333297E-3</c:v>
                </c:pt>
                <c:pt idx="2">
                  <c:v>1.6666666666666701E-2</c:v>
                </c:pt>
                <c:pt idx="3">
                  <c:v>2.5000000000000001E-2</c:v>
                </c:pt>
                <c:pt idx="4">
                  <c:v>3.3333333333333298E-2</c:v>
                </c:pt>
                <c:pt idx="5">
                  <c:v>4.1666666666666699E-2</c:v>
                </c:pt>
                <c:pt idx="6">
                  <c:v>0.05</c:v>
                </c:pt>
                <c:pt idx="7">
                  <c:v>5.83333333333333E-2</c:v>
                </c:pt>
                <c:pt idx="8">
                  <c:v>6.6666666666666596E-2</c:v>
                </c:pt>
                <c:pt idx="9">
                  <c:v>7.4999999999999997E-2</c:v>
                </c:pt>
                <c:pt idx="10">
                  <c:v>8.3333333333333301E-2</c:v>
                </c:pt>
                <c:pt idx="11">
                  <c:v>9.1666666666666605E-2</c:v>
                </c:pt>
                <c:pt idx="12">
                  <c:v>0.1</c:v>
                </c:pt>
                <c:pt idx="13">
                  <c:v>0.108333333333333</c:v>
                </c:pt>
                <c:pt idx="14">
                  <c:v>0.116666666666667</c:v>
                </c:pt>
                <c:pt idx="15">
                  <c:v>0.125</c:v>
                </c:pt>
                <c:pt idx="16">
                  <c:v>0.133333333333333</c:v>
                </c:pt>
                <c:pt idx="17">
                  <c:v>0.141666666666667</c:v>
                </c:pt>
                <c:pt idx="18">
                  <c:v>0.15</c:v>
                </c:pt>
                <c:pt idx="19">
                  <c:v>0.15833333333333299</c:v>
                </c:pt>
                <c:pt idx="20">
                  <c:v>0.16666666666666699</c:v>
                </c:pt>
                <c:pt idx="21">
                  <c:v>0.17499999999999999</c:v>
                </c:pt>
                <c:pt idx="22">
                  <c:v>0.18333333333333299</c:v>
                </c:pt>
                <c:pt idx="23">
                  <c:v>0.19166666666666701</c:v>
                </c:pt>
                <c:pt idx="24">
                  <c:v>0.2</c:v>
                </c:pt>
                <c:pt idx="25">
                  <c:v>0.20833333333333301</c:v>
                </c:pt>
                <c:pt idx="26">
                  <c:v>0.21666666666666701</c:v>
                </c:pt>
                <c:pt idx="27">
                  <c:v>0.22500000000000001</c:v>
                </c:pt>
                <c:pt idx="28">
                  <c:v>0.233333333333333</c:v>
                </c:pt>
                <c:pt idx="29">
                  <c:v>0.241666666666667</c:v>
                </c:pt>
                <c:pt idx="30">
                  <c:v>0.25</c:v>
                </c:pt>
                <c:pt idx="31">
                  <c:v>0.25833333333333303</c:v>
                </c:pt>
                <c:pt idx="32">
                  <c:v>0.266666666666667</c:v>
                </c:pt>
                <c:pt idx="33">
                  <c:v>0.27500000000000002</c:v>
                </c:pt>
                <c:pt idx="34">
                  <c:v>0.28333333333333299</c:v>
                </c:pt>
                <c:pt idx="35">
                  <c:v>0.29166666666666702</c:v>
                </c:pt>
                <c:pt idx="36">
                  <c:v>0.3</c:v>
                </c:pt>
                <c:pt idx="37">
                  <c:v>0.30833333333333302</c:v>
                </c:pt>
                <c:pt idx="38">
                  <c:v>0.31666666666666698</c:v>
                </c:pt>
                <c:pt idx="39">
                  <c:v>0.32500000000000001</c:v>
                </c:pt>
                <c:pt idx="40">
                  <c:v>0.33333333333333298</c:v>
                </c:pt>
                <c:pt idx="41">
                  <c:v>0.34166666666666701</c:v>
                </c:pt>
                <c:pt idx="42">
                  <c:v>0.35</c:v>
                </c:pt>
                <c:pt idx="43">
                  <c:v>0.358333333333333</c:v>
                </c:pt>
                <c:pt idx="44">
                  <c:v>0.36666666666666697</c:v>
                </c:pt>
                <c:pt idx="45">
                  <c:v>0.375</c:v>
                </c:pt>
                <c:pt idx="46">
                  <c:v>0.38333333333333303</c:v>
                </c:pt>
                <c:pt idx="47">
                  <c:v>0.391666666666666</c:v>
                </c:pt>
                <c:pt idx="48">
                  <c:v>0.4</c:v>
                </c:pt>
                <c:pt idx="49">
                  <c:v>0.40833333333333299</c:v>
                </c:pt>
                <c:pt idx="50">
                  <c:v>0.41666666666666602</c:v>
                </c:pt>
                <c:pt idx="51">
                  <c:v>0.42499999999999999</c:v>
                </c:pt>
                <c:pt idx="52">
                  <c:v>0.43333333333333302</c:v>
                </c:pt>
                <c:pt idx="53">
                  <c:v>0.44166666666666599</c:v>
                </c:pt>
                <c:pt idx="54">
                  <c:v>0.45</c:v>
                </c:pt>
                <c:pt idx="55">
                  <c:v>0.45833333333333298</c:v>
                </c:pt>
                <c:pt idx="56">
                  <c:v>0.46666666666666601</c:v>
                </c:pt>
                <c:pt idx="57">
                  <c:v>0.47499999999999998</c:v>
                </c:pt>
                <c:pt idx="58">
                  <c:v>0.483333333333333</c:v>
                </c:pt>
                <c:pt idx="59">
                  <c:v>0.49166666666666597</c:v>
                </c:pt>
                <c:pt idx="60">
                  <c:v>0.5</c:v>
                </c:pt>
                <c:pt idx="61">
                  <c:v>0.50833333333333297</c:v>
                </c:pt>
                <c:pt idx="62">
                  <c:v>0.51666666666666605</c:v>
                </c:pt>
                <c:pt idx="63">
                  <c:v>0.52500000000000002</c:v>
                </c:pt>
                <c:pt idx="64">
                  <c:v>0.53333333333333299</c:v>
                </c:pt>
                <c:pt idx="65">
                  <c:v>0.54166666666666596</c:v>
                </c:pt>
                <c:pt idx="66">
                  <c:v>0.55000000000000004</c:v>
                </c:pt>
                <c:pt idx="67">
                  <c:v>0.55833333333333302</c:v>
                </c:pt>
                <c:pt idx="68">
                  <c:v>0.56666666666666599</c:v>
                </c:pt>
                <c:pt idx="69">
                  <c:v>0.57499999999999996</c:v>
                </c:pt>
                <c:pt idx="70">
                  <c:v>0.58333333333333304</c:v>
                </c:pt>
                <c:pt idx="71">
                  <c:v>0.59166666666666601</c:v>
                </c:pt>
                <c:pt idx="72">
                  <c:v>0.6</c:v>
                </c:pt>
                <c:pt idx="73">
                  <c:v>0.60833333333333295</c:v>
                </c:pt>
                <c:pt idx="74">
                  <c:v>0.61666666666666603</c:v>
                </c:pt>
                <c:pt idx="75">
                  <c:v>0.625</c:v>
                </c:pt>
                <c:pt idx="76">
                  <c:v>0.63333333333333297</c:v>
                </c:pt>
                <c:pt idx="77">
                  <c:v>0.64166666666666605</c:v>
                </c:pt>
                <c:pt idx="78">
                  <c:v>0.65</c:v>
                </c:pt>
                <c:pt idx="79">
                  <c:v>0.65833333333333299</c:v>
                </c:pt>
                <c:pt idx="80">
                  <c:v>0.66666666666666596</c:v>
                </c:pt>
                <c:pt idx="81">
                  <c:v>0.67500000000000004</c:v>
                </c:pt>
                <c:pt idx="82">
                  <c:v>0.68333333333333302</c:v>
                </c:pt>
                <c:pt idx="83">
                  <c:v>0.69166666666666599</c:v>
                </c:pt>
                <c:pt idx="84">
                  <c:v>0.7</c:v>
                </c:pt>
                <c:pt idx="85">
                  <c:v>0.70833333333333304</c:v>
                </c:pt>
                <c:pt idx="86">
                  <c:v>0.71666666666666601</c:v>
                </c:pt>
                <c:pt idx="87">
                  <c:v>0.72499999999999998</c:v>
                </c:pt>
                <c:pt idx="88">
                  <c:v>0.73333333333333295</c:v>
                </c:pt>
                <c:pt idx="89">
                  <c:v>0.74166666666666603</c:v>
                </c:pt>
                <c:pt idx="90">
                  <c:v>0.75</c:v>
                </c:pt>
                <c:pt idx="91">
                  <c:v>0.75833333333333297</c:v>
                </c:pt>
                <c:pt idx="92">
                  <c:v>0.76666666666666605</c:v>
                </c:pt>
                <c:pt idx="93">
                  <c:v>0.77500000000000002</c:v>
                </c:pt>
                <c:pt idx="94">
                  <c:v>0.78333333333333299</c:v>
                </c:pt>
                <c:pt idx="95">
                  <c:v>0.79166666666666596</c:v>
                </c:pt>
                <c:pt idx="96">
                  <c:v>0.8</c:v>
                </c:pt>
                <c:pt idx="97">
                  <c:v>0.80833333333333302</c:v>
                </c:pt>
                <c:pt idx="98">
                  <c:v>0.81666666666666599</c:v>
                </c:pt>
              </c:numCache>
            </c:numRef>
          </c:cat>
          <c:val>
            <c:numRef>
              <c:f>angvel!$AZ$52:$AZ$150</c:f>
              <c:numCache>
                <c:formatCode>0.0%</c:formatCode>
                <c:ptCount val="99"/>
                <c:pt idx="0">
                  <c:v>-3.5308953296821395E-4</c:v>
                </c:pt>
                <c:pt idx="1">
                  <c:v>-1.4281107912348379E-2</c:v>
                </c:pt>
                <c:pt idx="2">
                  <c:v>-2.3714265605952446E-2</c:v>
                </c:pt>
                <c:pt idx="3">
                  <c:v>-3.0018820195707594E-2</c:v>
                </c:pt>
                <c:pt idx="4">
                  <c:v>-3.3901235181919044E-2</c:v>
                </c:pt>
                <c:pt idx="5">
                  <c:v>-3.5917376095646721E-2</c:v>
                </c:pt>
                <c:pt idx="6">
                  <c:v>-3.6521408914027255E-2</c:v>
                </c:pt>
                <c:pt idx="7">
                  <c:v>-3.6167295682543815E-2</c:v>
                </c:pt>
                <c:pt idx="8">
                  <c:v>-3.5057010018103851E-2</c:v>
                </c:pt>
                <c:pt idx="9">
                  <c:v>-3.3392159423982833E-2</c:v>
                </c:pt>
                <c:pt idx="10">
                  <c:v>-3.1374406877046408E-2</c:v>
                </c:pt>
                <c:pt idx="11">
                  <c:v>-2.9205490214803637E-2</c:v>
                </c:pt>
                <c:pt idx="12">
                  <c:v>-2.6834857189353113E-2</c:v>
                </c:pt>
                <c:pt idx="13">
                  <c:v>-2.446423448403718E-2</c:v>
                </c:pt>
                <c:pt idx="14">
                  <c:v>-2.2043152270851882E-2</c:v>
                </c:pt>
                <c:pt idx="15">
                  <c:v>-1.9622054561697577E-2</c:v>
                </c:pt>
                <c:pt idx="16">
                  <c:v>-1.7200929519721464E-2</c:v>
                </c:pt>
                <c:pt idx="17">
                  <c:v>-1.4880660575119452E-2</c:v>
                </c:pt>
                <c:pt idx="18">
                  <c:v>-1.2661188857959627E-2</c:v>
                </c:pt>
                <c:pt idx="19">
                  <c:v>-1.0492179083847968E-2</c:v>
                </c:pt>
                <c:pt idx="20">
                  <c:v>-8.4240340020203582E-3</c:v>
                </c:pt>
                <c:pt idx="21">
                  <c:v>-6.4567356251068438E-3</c:v>
                </c:pt>
                <c:pt idx="22">
                  <c:v>-4.5903325673186321E-3</c:v>
                </c:pt>
                <c:pt idx="23">
                  <c:v>-2.8248528573920867E-3</c:v>
                </c:pt>
                <c:pt idx="24">
                  <c:v>-1.1098380076765863E-3</c:v>
                </c:pt>
                <c:pt idx="25">
                  <c:v>5.0431147475976147E-4</c:v>
                </c:pt>
                <c:pt idx="26">
                  <c:v>2.0680046697980747E-3</c:v>
                </c:pt>
                <c:pt idx="27">
                  <c:v>3.5308694972385792E-3</c:v>
                </c:pt>
                <c:pt idx="28">
                  <c:v>4.9432303506174126E-3</c:v>
                </c:pt>
                <c:pt idx="29">
                  <c:v>6.2042789699846123E-3</c:v>
                </c:pt>
                <c:pt idx="30">
                  <c:v>7.4149004852579088E-3</c:v>
                </c:pt>
                <c:pt idx="31">
                  <c:v>8.5750466443121308E-3</c:v>
                </c:pt>
                <c:pt idx="32">
                  <c:v>9.6847605514369314E-3</c:v>
                </c:pt>
                <c:pt idx="33">
                  <c:v>1.0693599421306463E-2</c:v>
                </c:pt>
                <c:pt idx="34">
                  <c:v>1.1651973608507112E-2</c:v>
                </c:pt>
                <c:pt idx="35">
                  <c:v>1.2559918161113686E-2</c:v>
                </c:pt>
                <c:pt idx="36">
                  <c:v>1.3417405912617524E-2</c:v>
                </c:pt>
                <c:pt idx="37">
                  <c:v>1.422446385804042E-2</c:v>
                </c:pt>
                <c:pt idx="38">
                  <c:v>1.4930636554721424E-2</c:v>
                </c:pt>
                <c:pt idx="39">
                  <c:v>1.5636815625360529E-2</c:v>
                </c:pt>
                <c:pt idx="40">
                  <c:v>1.6292549531912233E-2</c:v>
                </c:pt>
                <c:pt idx="41">
                  <c:v>1.6948287246003731E-2</c:v>
                </c:pt>
                <c:pt idx="42">
                  <c:v>1.7553582334366869E-2</c:v>
                </c:pt>
                <c:pt idx="43">
                  <c:v>1.8057995963495312E-2</c:v>
                </c:pt>
                <c:pt idx="44">
                  <c:v>1.8562410874398604E-2</c:v>
                </c:pt>
                <c:pt idx="45">
                  <c:v>1.9016383138368363E-2</c:v>
                </c:pt>
                <c:pt idx="46">
                  <c:v>1.9470355401805552E-2</c:v>
                </c:pt>
                <c:pt idx="47">
                  <c:v>1.9873886302921636E-2</c:v>
                </c:pt>
                <c:pt idx="48">
                  <c:v>2.0277417202986918E-2</c:v>
                </c:pt>
                <c:pt idx="49">
                  <c:v>2.0630506740735351E-2</c:v>
                </c:pt>
                <c:pt idx="50">
                  <c:v>2.0933154916689432E-2</c:v>
                </c:pt>
                <c:pt idx="51">
                  <c:v>2.1235803092118553E-2</c:v>
                </c:pt>
                <c:pt idx="52">
                  <c:v>2.1538442327143716E-2</c:v>
                </c:pt>
                <c:pt idx="53">
                  <c:v>2.1790647866230809E-2</c:v>
                </c:pt>
                <c:pt idx="54">
                  <c:v>2.2093296043194027E-2</c:v>
                </c:pt>
                <c:pt idx="55">
                  <c:v>2.2345502858363227E-2</c:v>
                </c:pt>
                <c:pt idx="56">
                  <c:v>2.2597718601523174E-2</c:v>
                </c:pt>
                <c:pt idx="57">
                  <c:v>2.2799489181110483E-2</c:v>
                </c:pt>
                <c:pt idx="58">
                  <c:v>2.3001254629810241E-2</c:v>
                </c:pt>
                <c:pt idx="59">
                  <c:v>2.3203020078509658E-2</c:v>
                </c:pt>
                <c:pt idx="60">
                  <c:v>2.3354344165355589E-2</c:v>
                </c:pt>
                <c:pt idx="61">
                  <c:v>2.3505668251879285E-2</c:v>
                </c:pt>
                <c:pt idx="62">
                  <c:v>2.3656993612496381E-2</c:v>
                </c:pt>
                <c:pt idx="63">
                  <c:v>2.3757869967471628E-2</c:v>
                </c:pt>
                <c:pt idx="64">
                  <c:v>2.385875269291398E-2</c:v>
                </c:pt>
                <c:pt idx="65">
                  <c:v>2.4010078023313966E-2</c:v>
                </c:pt>
                <c:pt idx="66">
                  <c:v>2.411096074793153E-2</c:v>
                </c:pt>
                <c:pt idx="67">
                  <c:v>2.4211843472548983E-2</c:v>
                </c:pt>
                <c:pt idx="68">
                  <c:v>2.4312732563131153E-2</c:v>
                </c:pt>
                <c:pt idx="69">
                  <c:v>2.4363181472803697E-2</c:v>
                </c:pt>
                <c:pt idx="70">
                  <c:v>2.4464064195838554E-2</c:v>
                </c:pt>
                <c:pt idx="71">
                  <c:v>2.456494691887319E-2</c:v>
                </c:pt>
                <c:pt idx="72">
                  <c:v>2.4615388280300514E-2</c:v>
                </c:pt>
                <c:pt idx="73">
                  <c:v>2.4665829641728171E-2</c:v>
                </c:pt>
                <c:pt idx="74">
                  <c:v>2.4716271003155609E-2</c:v>
                </c:pt>
                <c:pt idx="75">
                  <c:v>2.4766712364583155E-2</c:v>
                </c:pt>
                <c:pt idx="76">
                  <c:v>2.481714990816614E-2</c:v>
                </c:pt>
                <c:pt idx="77">
                  <c:v>2.4867591269786667E-2</c:v>
                </c:pt>
                <c:pt idx="78">
                  <c:v>2.4918026268975029E-2</c:v>
                </c:pt>
                <c:pt idx="79">
                  <c:v>2.4918026269308235E-2</c:v>
                </c:pt>
                <c:pt idx="80">
                  <c:v>2.491802626964178E-2</c:v>
                </c:pt>
                <c:pt idx="81">
                  <c:v>2.491802127360547E-2</c:v>
                </c:pt>
                <c:pt idx="82">
                  <c:v>2.4968467755568869E-2</c:v>
                </c:pt>
                <c:pt idx="83">
                  <c:v>2.5018912934302921E-2</c:v>
                </c:pt>
                <c:pt idx="84">
                  <c:v>2.506935429615563E-2</c:v>
                </c:pt>
                <c:pt idx="85">
                  <c:v>2.511979693030186E-2</c:v>
                </c:pt>
                <c:pt idx="86">
                  <c:v>2.5170238292154565E-2</c:v>
                </c:pt>
                <c:pt idx="87">
                  <c:v>2.5220679654007275E-2</c:v>
                </c:pt>
                <c:pt idx="88">
                  <c:v>2.5271122256790613E-2</c:v>
                </c:pt>
                <c:pt idx="89">
                  <c:v>2.5321559801700824E-2</c:v>
                </c:pt>
                <c:pt idx="90">
                  <c:v>2.5372001163492156E-2</c:v>
                </c:pt>
                <c:pt idx="91">
                  <c:v>2.5371998524449636E-2</c:v>
                </c:pt>
                <c:pt idx="92">
                  <c:v>2.5321557163174635E-2</c:v>
                </c:pt>
                <c:pt idx="93">
                  <c:v>2.5321557163174635E-2</c:v>
                </c:pt>
                <c:pt idx="94">
                  <c:v>2.5321557163174635E-2</c:v>
                </c:pt>
                <c:pt idx="95">
                  <c:v>2.5371988346946196E-2</c:v>
                </c:pt>
                <c:pt idx="96">
                  <c:v>2.5371984530257272E-2</c:v>
                </c:pt>
                <c:pt idx="97">
                  <c:v>2.5371978169109102E-2</c:v>
                </c:pt>
                <c:pt idx="98">
                  <c:v>2.5321536808860828E-2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67-4958-A6CB-C5CE11EE9999}"/>
            </c:ext>
          </c:extLst>
        </c:ser>
        <c:ser>
          <c:idx val="4"/>
          <c:order val="4"/>
          <c:tx>
            <c:strRef>
              <c:f>angvel!$BA$1</c:f>
              <c:strCache>
                <c:ptCount val="1"/>
                <c:pt idx="0">
                  <c:v>Batmobile</c:v>
                </c:pt>
              </c:strCache>
            </c:strRef>
          </c:tx>
          <c:spPr>
            <a:ln w="254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angvel!$A$52:$A$150</c:f>
              <c:numCache>
                <c:formatCode>0.00</c:formatCode>
                <c:ptCount val="99"/>
                <c:pt idx="0">
                  <c:v>0</c:v>
                </c:pt>
                <c:pt idx="1">
                  <c:v>8.3333333333333297E-3</c:v>
                </c:pt>
                <c:pt idx="2">
                  <c:v>1.6666666666666701E-2</c:v>
                </c:pt>
                <c:pt idx="3">
                  <c:v>2.5000000000000001E-2</c:v>
                </c:pt>
                <c:pt idx="4">
                  <c:v>3.3333333333333298E-2</c:v>
                </c:pt>
                <c:pt idx="5">
                  <c:v>4.1666666666666699E-2</c:v>
                </c:pt>
                <c:pt idx="6">
                  <c:v>0.05</c:v>
                </c:pt>
                <c:pt idx="7">
                  <c:v>5.83333333333333E-2</c:v>
                </c:pt>
                <c:pt idx="8">
                  <c:v>6.6666666666666596E-2</c:v>
                </c:pt>
                <c:pt idx="9">
                  <c:v>7.4999999999999997E-2</c:v>
                </c:pt>
                <c:pt idx="10">
                  <c:v>8.3333333333333301E-2</c:v>
                </c:pt>
                <c:pt idx="11">
                  <c:v>9.1666666666666605E-2</c:v>
                </c:pt>
                <c:pt idx="12">
                  <c:v>0.1</c:v>
                </c:pt>
                <c:pt idx="13">
                  <c:v>0.108333333333333</c:v>
                </c:pt>
                <c:pt idx="14">
                  <c:v>0.116666666666667</c:v>
                </c:pt>
                <c:pt idx="15">
                  <c:v>0.125</c:v>
                </c:pt>
                <c:pt idx="16">
                  <c:v>0.133333333333333</c:v>
                </c:pt>
                <c:pt idx="17">
                  <c:v>0.141666666666667</c:v>
                </c:pt>
                <c:pt idx="18">
                  <c:v>0.15</c:v>
                </c:pt>
                <c:pt idx="19">
                  <c:v>0.15833333333333299</c:v>
                </c:pt>
                <c:pt idx="20">
                  <c:v>0.16666666666666699</c:v>
                </c:pt>
                <c:pt idx="21">
                  <c:v>0.17499999999999999</c:v>
                </c:pt>
                <c:pt idx="22">
                  <c:v>0.18333333333333299</c:v>
                </c:pt>
                <c:pt idx="23">
                  <c:v>0.19166666666666701</c:v>
                </c:pt>
                <c:pt idx="24">
                  <c:v>0.2</c:v>
                </c:pt>
                <c:pt idx="25">
                  <c:v>0.20833333333333301</c:v>
                </c:pt>
                <c:pt idx="26">
                  <c:v>0.21666666666666701</c:v>
                </c:pt>
                <c:pt idx="27">
                  <c:v>0.22500000000000001</c:v>
                </c:pt>
                <c:pt idx="28">
                  <c:v>0.233333333333333</c:v>
                </c:pt>
                <c:pt idx="29">
                  <c:v>0.241666666666667</c:v>
                </c:pt>
                <c:pt idx="30">
                  <c:v>0.25</c:v>
                </c:pt>
                <c:pt idx="31">
                  <c:v>0.25833333333333303</c:v>
                </c:pt>
                <c:pt idx="32">
                  <c:v>0.266666666666667</c:v>
                </c:pt>
                <c:pt idx="33">
                  <c:v>0.27500000000000002</c:v>
                </c:pt>
                <c:pt idx="34">
                  <c:v>0.28333333333333299</c:v>
                </c:pt>
                <c:pt idx="35">
                  <c:v>0.29166666666666702</c:v>
                </c:pt>
                <c:pt idx="36">
                  <c:v>0.3</c:v>
                </c:pt>
                <c:pt idx="37">
                  <c:v>0.30833333333333302</c:v>
                </c:pt>
                <c:pt idx="38">
                  <c:v>0.31666666666666698</c:v>
                </c:pt>
                <c:pt idx="39">
                  <c:v>0.32500000000000001</c:v>
                </c:pt>
                <c:pt idx="40">
                  <c:v>0.33333333333333298</c:v>
                </c:pt>
                <c:pt idx="41">
                  <c:v>0.34166666666666701</c:v>
                </c:pt>
                <c:pt idx="42">
                  <c:v>0.35</c:v>
                </c:pt>
                <c:pt idx="43">
                  <c:v>0.358333333333333</c:v>
                </c:pt>
                <c:pt idx="44">
                  <c:v>0.36666666666666697</c:v>
                </c:pt>
                <c:pt idx="45">
                  <c:v>0.375</c:v>
                </c:pt>
                <c:pt idx="46">
                  <c:v>0.38333333333333303</c:v>
                </c:pt>
                <c:pt idx="47">
                  <c:v>0.391666666666666</c:v>
                </c:pt>
                <c:pt idx="48">
                  <c:v>0.4</c:v>
                </c:pt>
                <c:pt idx="49">
                  <c:v>0.40833333333333299</c:v>
                </c:pt>
                <c:pt idx="50">
                  <c:v>0.41666666666666602</c:v>
                </c:pt>
                <c:pt idx="51">
                  <c:v>0.42499999999999999</c:v>
                </c:pt>
                <c:pt idx="52">
                  <c:v>0.43333333333333302</c:v>
                </c:pt>
                <c:pt idx="53">
                  <c:v>0.44166666666666599</c:v>
                </c:pt>
                <c:pt idx="54">
                  <c:v>0.45</c:v>
                </c:pt>
                <c:pt idx="55">
                  <c:v>0.45833333333333298</c:v>
                </c:pt>
                <c:pt idx="56">
                  <c:v>0.46666666666666601</c:v>
                </c:pt>
                <c:pt idx="57">
                  <c:v>0.47499999999999998</c:v>
                </c:pt>
                <c:pt idx="58">
                  <c:v>0.483333333333333</c:v>
                </c:pt>
                <c:pt idx="59">
                  <c:v>0.49166666666666597</c:v>
                </c:pt>
                <c:pt idx="60">
                  <c:v>0.5</c:v>
                </c:pt>
                <c:pt idx="61">
                  <c:v>0.50833333333333297</c:v>
                </c:pt>
                <c:pt idx="62">
                  <c:v>0.51666666666666605</c:v>
                </c:pt>
                <c:pt idx="63">
                  <c:v>0.52500000000000002</c:v>
                </c:pt>
                <c:pt idx="64">
                  <c:v>0.53333333333333299</c:v>
                </c:pt>
                <c:pt idx="65">
                  <c:v>0.54166666666666596</c:v>
                </c:pt>
                <c:pt idx="66">
                  <c:v>0.55000000000000004</c:v>
                </c:pt>
                <c:pt idx="67">
                  <c:v>0.55833333333333302</c:v>
                </c:pt>
                <c:pt idx="68">
                  <c:v>0.56666666666666599</c:v>
                </c:pt>
                <c:pt idx="69">
                  <c:v>0.57499999999999996</c:v>
                </c:pt>
                <c:pt idx="70">
                  <c:v>0.58333333333333304</c:v>
                </c:pt>
                <c:pt idx="71">
                  <c:v>0.59166666666666601</c:v>
                </c:pt>
                <c:pt idx="72">
                  <c:v>0.6</c:v>
                </c:pt>
                <c:pt idx="73">
                  <c:v>0.60833333333333295</c:v>
                </c:pt>
                <c:pt idx="74">
                  <c:v>0.61666666666666603</c:v>
                </c:pt>
                <c:pt idx="75">
                  <c:v>0.625</c:v>
                </c:pt>
                <c:pt idx="76">
                  <c:v>0.63333333333333297</c:v>
                </c:pt>
                <c:pt idx="77">
                  <c:v>0.64166666666666605</c:v>
                </c:pt>
                <c:pt idx="78">
                  <c:v>0.65</c:v>
                </c:pt>
                <c:pt idx="79">
                  <c:v>0.65833333333333299</c:v>
                </c:pt>
                <c:pt idx="80">
                  <c:v>0.66666666666666596</c:v>
                </c:pt>
                <c:pt idx="81">
                  <c:v>0.67500000000000004</c:v>
                </c:pt>
                <c:pt idx="82">
                  <c:v>0.68333333333333302</c:v>
                </c:pt>
                <c:pt idx="83">
                  <c:v>0.69166666666666599</c:v>
                </c:pt>
                <c:pt idx="84">
                  <c:v>0.7</c:v>
                </c:pt>
                <c:pt idx="85">
                  <c:v>0.70833333333333304</c:v>
                </c:pt>
                <c:pt idx="86">
                  <c:v>0.71666666666666601</c:v>
                </c:pt>
                <c:pt idx="87">
                  <c:v>0.72499999999999998</c:v>
                </c:pt>
                <c:pt idx="88">
                  <c:v>0.73333333333333295</c:v>
                </c:pt>
                <c:pt idx="89">
                  <c:v>0.74166666666666603</c:v>
                </c:pt>
                <c:pt idx="90">
                  <c:v>0.75</c:v>
                </c:pt>
                <c:pt idx="91">
                  <c:v>0.75833333333333297</c:v>
                </c:pt>
                <c:pt idx="92">
                  <c:v>0.76666666666666605</c:v>
                </c:pt>
                <c:pt idx="93">
                  <c:v>0.77500000000000002</c:v>
                </c:pt>
                <c:pt idx="94">
                  <c:v>0.78333333333333299</c:v>
                </c:pt>
                <c:pt idx="95">
                  <c:v>0.79166666666666596</c:v>
                </c:pt>
                <c:pt idx="96">
                  <c:v>0.8</c:v>
                </c:pt>
                <c:pt idx="97">
                  <c:v>0.80833333333333302</c:v>
                </c:pt>
                <c:pt idx="98">
                  <c:v>0.81666666666666599</c:v>
                </c:pt>
              </c:numCache>
            </c:numRef>
          </c:cat>
          <c:val>
            <c:numRef>
              <c:f>angvel!$BA$52:$BA$150</c:f>
              <c:numCache>
                <c:formatCode>0.0%</c:formatCode>
                <c:ptCount val="99"/>
                <c:pt idx="0">
                  <c:v>-3.5308953296821395E-4</c:v>
                </c:pt>
                <c:pt idx="1">
                  <c:v>-1.4331789985403076E-2</c:v>
                </c:pt>
                <c:pt idx="2">
                  <c:v>-2.3916587696908766E-2</c:v>
                </c:pt>
                <c:pt idx="3">
                  <c:v>-3.0422835080299422E-2</c:v>
                </c:pt>
                <c:pt idx="4">
                  <c:v>-3.4607985402069469E-2</c:v>
                </c:pt>
                <c:pt idx="5">
                  <c:v>-3.6977199552762033E-2</c:v>
                </c:pt>
                <c:pt idx="6">
                  <c:v>-3.7984727865214112E-2</c:v>
                </c:pt>
                <c:pt idx="7">
                  <c:v>-3.8084477280499164E-2</c:v>
                </c:pt>
                <c:pt idx="8">
                  <c:v>-3.7478504961229973E-2</c:v>
                </c:pt>
                <c:pt idx="9">
                  <c:v>-3.6317932050059898E-2</c:v>
                </c:pt>
                <c:pt idx="10">
                  <c:v>-3.4854965868015286E-2</c:v>
                </c:pt>
                <c:pt idx="11">
                  <c:v>-3.3190386792684892E-2</c:v>
                </c:pt>
                <c:pt idx="12">
                  <c:v>-3.1374579746267776E-2</c:v>
                </c:pt>
                <c:pt idx="13">
                  <c:v>-2.9508375459434782E-2</c:v>
                </c:pt>
                <c:pt idx="14">
                  <c:v>-2.759171281016596E-2</c:v>
                </c:pt>
                <c:pt idx="15">
                  <c:v>-2.5675045079190922E-2</c:v>
                </c:pt>
                <c:pt idx="16">
                  <c:v>-2.3758358274813166E-2</c:v>
                </c:pt>
                <c:pt idx="17">
                  <c:v>-2.1942510527914245E-2</c:v>
                </c:pt>
                <c:pt idx="18">
                  <c:v>-2.0177037361976301E-2</c:v>
                </c:pt>
                <c:pt idx="19">
                  <c:v>-1.8411565610700047E-2</c:v>
                </c:pt>
                <c:pt idx="20">
                  <c:v>-1.6746950208871778E-2</c:v>
                </c:pt>
                <c:pt idx="21">
                  <c:v>-1.5183181646297445E-2</c:v>
                </c:pt>
                <c:pt idx="22">
                  <c:v>-1.3720308519207514E-2</c:v>
                </c:pt>
                <c:pt idx="23">
                  <c:v>-1.230791748581532E-2</c:v>
                </c:pt>
                <c:pt idx="24">
                  <c:v>-1.0945971118961933E-2</c:v>
                </c:pt>
                <c:pt idx="25">
                  <c:v>-9.6849282607469091E-3</c:v>
                </c:pt>
                <c:pt idx="26">
                  <c:v>-8.47428134195196E-3</c:v>
                </c:pt>
                <c:pt idx="27">
                  <c:v>-7.3140791400314537E-3</c:v>
                </c:pt>
                <c:pt idx="28">
                  <c:v>-6.2043585558699335E-3</c:v>
                </c:pt>
                <c:pt idx="29">
                  <c:v>-5.1955207021271372E-3</c:v>
                </c:pt>
                <c:pt idx="30">
                  <c:v>-4.237124232358629E-3</c:v>
                </c:pt>
                <c:pt idx="31">
                  <c:v>-3.3291560021874258E-3</c:v>
                </c:pt>
                <c:pt idx="32">
                  <c:v>-2.4716384363789781E-3</c:v>
                </c:pt>
                <c:pt idx="33">
                  <c:v>-1.664566209158666E-3</c:v>
                </c:pt>
                <c:pt idx="34">
                  <c:v>-9.5839626936163296E-4</c:v>
                </c:pt>
                <c:pt idx="35">
                  <c:v>-2.5221459609353332E-4</c:v>
                </c:pt>
                <c:pt idx="36">
                  <c:v>4.0352311892825519E-4</c:v>
                </c:pt>
                <c:pt idx="37">
                  <c:v>1.0088194711434116E-3</c:v>
                </c:pt>
                <c:pt idx="38">
                  <c:v>1.5636744605578717E-3</c:v>
                </c:pt>
                <c:pt idx="39">
                  <c:v>2.1185307356671539E-3</c:v>
                </c:pt>
                <c:pt idx="40">
                  <c:v>2.6229443588574549E-3</c:v>
                </c:pt>
                <c:pt idx="41">
                  <c:v>3.1273579813869425E-3</c:v>
                </c:pt>
                <c:pt idx="42">
                  <c:v>3.5813302417310746E-3</c:v>
                </c:pt>
                <c:pt idx="43">
                  <c:v>3.9344159416776986E-3</c:v>
                </c:pt>
                <c:pt idx="44">
                  <c:v>4.2875054881644416E-3</c:v>
                </c:pt>
                <c:pt idx="45">
                  <c:v>4.6405950285148025E-3</c:v>
                </c:pt>
                <c:pt idx="46">
                  <c:v>4.9936845683337108E-3</c:v>
                </c:pt>
                <c:pt idx="47">
                  <c:v>5.2963327458348782E-3</c:v>
                </c:pt>
                <c:pt idx="48">
                  <c:v>5.5989809222884877E-3</c:v>
                </c:pt>
                <c:pt idx="49">
                  <c:v>5.90163036954901E-3</c:v>
                </c:pt>
                <c:pt idx="50">
                  <c:v>6.1538409938381305E-3</c:v>
                </c:pt>
                <c:pt idx="51">
                  <c:v>6.3556064423370669E-3</c:v>
                </c:pt>
                <c:pt idx="52">
                  <c:v>6.5573629506928948E-3</c:v>
                </c:pt>
                <c:pt idx="53">
                  <c:v>6.7591271251620511E-3</c:v>
                </c:pt>
                <c:pt idx="54">
                  <c:v>6.9608925759760756E-3</c:v>
                </c:pt>
                <c:pt idx="55">
                  <c:v>7.1626580267890923E-3</c:v>
                </c:pt>
                <c:pt idx="56">
                  <c:v>7.3644311396261191E-3</c:v>
                </c:pt>
                <c:pt idx="57">
                  <c:v>7.5157578054892739E-3</c:v>
                </c:pt>
                <c:pt idx="58">
                  <c:v>7.6670818918920082E-3</c:v>
                </c:pt>
                <c:pt idx="59">
                  <c:v>7.818404713465954E-3</c:v>
                </c:pt>
                <c:pt idx="60">
                  <c:v>7.9192874384593978E-3</c:v>
                </c:pt>
                <c:pt idx="61">
                  <c:v>8.0706115249832063E-3</c:v>
                </c:pt>
                <c:pt idx="62">
                  <c:v>8.171495523747482E-3</c:v>
                </c:pt>
                <c:pt idx="63">
                  <c:v>8.2723718787228433E-3</c:v>
                </c:pt>
                <c:pt idx="64">
                  <c:v>8.3228132423124827E-3</c:v>
                </c:pt>
                <c:pt idx="65">
                  <c:v>8.4236959671755568E-3</c:v>
                </c:pt>
                <c:pt idx="66">
                  <c:v>8.5245786920381816E-3</c:v>
                </c:pt>
                <c:pt idx="67">
                  <c:v>8.575021317534022E-3</c:v>
                </c:pt>
                <c:pt idx="68">
                  <c:v>8.6254690463190373E-3</c:v>
                </c:pt>
                <c:pt idx="69">
                  <c:v>8.6759154897966453E-3</c:v>
                </c:pt>
                <c:pt idx="70">
                  <c:v>8.7767982131872237E-3</c:v>
                </c:pt>
                <c:pt idx="71">
                  <c:v>8.8272433602249543E-3</c:v>
                </c:pt>
                <c:pt idx="72">
                  <c:v>8.8776847215105963E-3</c:v>
                </c:pt>
                <c:pt idx="73">
                  <c:v>8.9281260827963477E-3</c:v>
                </c:pt>
                <c:pt idx="74">
                  <c:v>8.9785674440823245E-3</c:v>
                </c:pt>
                <c:pt idx="75">
                  <c:v>9.0290088053681904E-3</c:v>
                </c:pt>
                <c:pt idx="76">
                  <c:v>9.0794463488098262E-3</c:v>
                </c:pt>
                <c:pt idx="77">
                  <c:v>9.0794425654600729E-3</c:v>
                </c:pt>
                <c:pt idx="78">
                  <c:v>9.0794349421245771E-3</c:v>
                </c:pt>
                <c:pt idx="79">
                  <c:v>9.0794349426394517E-3</c:v>
                </c:pt>
                <c:pt idx="80">
                  <c:v>9.0794349431539897E-3</c:v>
                </c:pt>
                <c:pt idx="81">
                  <c:v>9.079433671375009E-3</c:v>
                </c:pt>
                <c:pt idx="82">
                  <c:v>9.1298801338517942E-3</c:v>
                </c:pt>
                <c:pt idx="83">
                  <c:v>9.1803253125860712E-3</c:v>
                </c:pt>
                <c:pt idx="84">
                  <c:v>9.2307679350943622E-3</c:v>
                </c:pt>
                <c:pt idx="85">
                  <c:v>9.2812105691778696E-3</c:v>
                </c:pt>
                <c:pt idx="86">
                  <c:v>9.3316519309671851E-3</c:v>
                </c:pt>
                <c:pt idx="87">
                  <c:v>9.382093292757172E-3</c:v>
                </c:pt>
                <c:pt idx="88">
                  <c:v>9.4325359149502897E-3</c:v>
                </c:pt>
                <c:pt idx="89">
                  <c:v>9.4325320980687202E-3</c:v>
                </c:pt>
                <c:pt idx="90">
                  <c:v>9.4325308376649198E-3</c:v>
                </c:pt>
                <c:pt idx="91">
                  <c:v>9.4325282574074902E-3</c:v>
                </c:pt>
                <c:pt idx="92">
                  <c:v>9.3820868961324907E-3</c:v>
                </c:pt>
                <c:pt idx="93">
                  <c:v>9.3820868961324907E-3</c:v>
                </c:pt>
                <c:pt idx="94">
                  <c:v>9.3820868961324907E-3</c:v>
                </c:pt>
                <c:pt idx="95">
                  <c:v>9.382076718295284E-3</c:v>
                </c:pt>
                <c:pt idx="96">
                  <c:v>9.382072901606359E-3</c:v>
                </c:pt>
                <c:pt idx="97">
                  <c:v>9.38206654045819E-3</c:v>
                </c:pt>
                <c:pt idx="98">
                  <c:v>9.3316264406137165E-3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67-4958-A6CB-C5CE11EE9999}"/>
            </c:ext>
          </c:extLst>
        </c:ser>
        <c:ser>
          <c:idx val="5"/>
          <c:order val="5"/>
          <c:tx>
            <c:strRef>
              <c:f>angvel!$BB$1</c:f>
              <c:strCache>
                <c:ptCount val="1"/>
                <c:pt idx="0">
                  <c:v>Breakout</c:v>
                </c:pt>
              </c:strCache>
            </c:strRef>
          </c:tx>
          <c:spPr>
            <a:ln w="25400" cap="rnd">
              <a:solidFill>
                <a:srgbClr val="C8C8C8">
                  <a:lumMod val="75000"/>
                </a:srgbClr>
              </a:solidFill>
              <a:round/>
            </a:ln>
            <a:effectLst/>
          </c:spPr>
          <c:marker>
            <c:symbol val="none"/>
          </c:marker>
          <c:cat>
            <c:numRef>
              <c:f>angvel!$A$52:$A$150</c:f>
              <c:numCache>
                <c:formatCode>0.00</c:formatCode>
                <c:ptCount val="99"/>
                <c:pt idx="0">
                  <c:v>0</c:v>
                </c:pt>
                <c:pt idx="1">
                  <c:v>8.3333333333333297E-3</c:v>
                </c:pt>
                <c:pt idx="2">
                  <c:v>1.6666666666666701E-2</c:v>
                </c:pt>
                <c:pt idx="3">
                  <c:v>2.5000000000000001E-2</c:v>
                </c:pt>
                <c:pt idx="4">
                  <c:v>3.3333333333333298E-2</c:v>
                </c:pt>
                <c:pt idx="5">
                  <c:v>4.1666666666666699E-2</c:v>
                </c:pt>
                <c:pt idx="6">
                  <c:v>0.05</c:v>
                </c:pt>
                <c:pt idx="7">
                  <c:v>5.83333333333333E-2</c:v>
                </c:pt>
                <c:pt idx="8">
                  <c:v>6.6666666666666596E-2</c:v>
                </c:pt>
                <c:pt idx="9">
                  <c:v>7.4999999999999997E-2</c:v>
                </c:pt>
                <c:pt idx="10">
                  <c:v>8.3333333333333301E-2</c:v>
                </c:pt>
                <c:pt idx="11">
                  <c:v>9.1666666666666605E-2</c:v>
                </c:pt>
                <c:pt idx="12">
                  <c:v>0.1</c:v>
                </c:pt>
                <c:pt idx="13">
                  <c:v>0.108333333333333</c:v>
                </c:pt>
                <c:pt idx="14">
                  <c:v>0.116666666666667</c:v>
                </c:pt>
                <c:pt idx="15">
                  <c:v>0.125</c:v>
                </c:pt>
                <c:pt idx="16">
                  <c:v>0.133333333333333</c:v>
                </c:pt>
                <c:pt idx="17">
                  <c:v>0.141666666666667</c:v>
                </c:pt>
                <c:pt idx="18">
                  <c:v>0.15</c:v>
                </c:pt>
                <c:pt idx="19">
                  <c:v>0.15833333333333299</c:v>
                </c:pt>
                <c:pt idx="20">
                  <c:v>0.16666666666666699</c:v>
                </c:pt>
                <c:pt idx="21">
                  <c:v>0.17499999999999999</c:v>
                </c:pt>
                <c:pt idx="22">
                  <c:v>0.18333333333333299</c:v>
                </c:pt>
                <c:pt idx="23">
                  <c:v>0.19166666666666701</c:v>
                </c:pt>
                <c:pt idx="24">
                  <c:v>0.2</c:v>
                </c:pt>
                <c:pt idx="25">
                  <c:v>0.20833333333333301</c:v>
                </c:pt>
                <c:pt idx="26">
                  <c:v>0.21666666666666701</c:v>
                </c:pt>
                <c:pt idx="27">
                  <c:v>0.22500000000000001</c:v>
                </c:pt>
                <c:pt idx="28">
                  <c:v>0.233333333333333</c:v>
                </c:pt>
                <c:pt idx="29">
                  <c:v>0.241666666666667</c:v>
                </c:pt>
                <c:pt idx="30">
                  <c:v>0.25</c:v>
                </c:pt>
                <c:pt idx="31">
                  <c:v>0.25833333333333303</c:v>
                </c:pt>
                <c:pt idx="32">
                  <c:v>0.266666666666667</c:v>
                </c:pt>
                <c:pt idx="33">
                  <c:v>0.27500000000000002</c:v>
                </c:pt>
                <c:pt idx="34">
                  <c:v>0.28333333333333299</c:v>
                </c:pt>
                <c:pt idx="35">
                  <c:v>0.29166666666666702</c:v>
                </c:pt>
                <c:pt idx="36">
                  <c:v>0.3</c:v>
                </c:pt>
                <c:pt idx="37">
                  <c:v>0.30833333333333302</c:v>
                </c:pt>
                <c:pt idx="38">
                  <c:v>0.31666666666666698</c:v>
                </c:pt>
                <c:pt idx="39">
                  <c:v>0.32500000000000001</c:v>
                </c:pt>
                <c:pt idx="40">
                  <c:v>0.33333333333333298</c:v>
                </c:pt>
                <c:pt idx="41">
                  <c:v>0.34166666666666701</c:v>
                </c:pt>
                <c:pt idx="42">
                  <c:v>0.35</c:v>
                </c:pt>
                <c:pt idx="43">
                  <c:v>0.358333333333333</c:v>
                </c:pt>
                <c:pt idx="44">
                  <c:v>0.36666666666666697</c:v>
                </c:pt>
                <c:pt idx="45">
                  <c:v>0.375</c:v>
                </c:pt>
                <c:pt idx="46">
                  <c:v>0.38333333333333303</c:v>
                </c:pt>
                <c:pt idx="47">
                  <c:v>0.391666666666666</c:v>
                </c:pt>
                <c:pt idx="48">
                  <c:v>0.4</c:v>
                </c:pt>
                <c:pt idx="49">
                  <c:v>0.40833333333333299</c:v>
                </c:pt>
                <c:pt idx="50">
                  <c:v>0.41666666666666602</c:v>
                </c:pt>
                <c:pt idx="51">
                  <c:v>0.42499999999999999</c:v>
                </c:pt>
                <c:pt idx="52">
                  <c:v>0.43333333333333302</c:v>
                </c:pt>
                <c:pt idx="53">
                  <c:v>0.44166666666666599</c:v>
                </c:pt>
                <c:pt idx="54">
                  <c:v>0.45</c:v>
                </c:pt>
                <c:pt idx="55">
                  <c:v>0.45833333333333298</c:v>
                </c:pt>
                <c:pt idx="56">
                  <c:v>0.46666666666666601</c:v>
                </c:pt>
                <c:pt idx="57">
                  <c:v>0.47499999999999998</c:v>
                </c:pt>
                <c:pt idx="58">
                  <c:v>0.483333333333333</c:v>
                </c:pt>
                <c:pt idx="59">
                  <c:v>0.49166666666666597</c:v>
                </c:pt>
                <c:pt idx="60">
                  <c:v>0.5</c:v>
                </c:pt>
                <c:pt idx="61">
                  <c:v>0.50833333333333297</c:v>
                </c:pt>
                <c:pt idx="62">
                  <c:v>0.51666666666666605</c:v>
                </c:pt>
                <c:pt idx="63">
                  <c:v>0.52500000000000002</c:v>
                </c:pt>
                <c:pt idx="64">
                  <c:v>0.53333333333333299</c:v>
                </c:pt>
                <c:pt idx="65">
                  <c:v>0.54166666666666596</c:v>
                </c:pt>
                <c:pt idx="66">
                  <c:v>0.55000000000000004</c:v>
                </c:pt>
                <c:pt idx="67">
                  <c:v>0.55833333333333302</c:v>
                </c:pt>
                <c:pt idx="68">
                  <c:v>0.56666666666666599</c:v>
                </c:pt>
                <c:pt idx="69">
                  <c:v>0.57499999999999996</c:v>
                </c:pt>
                <c:pt idx="70">
                  <c:v>0.58333333333333304</c:v>
                </c:pt>
                <c:pt idx="71">
                  <c:v>0.59166666666666601</c:v>
                </c:pt>
                <c:pt idx="72">
                  <c:v>0.6</c:v>
                </c:pt>
                <c:pt idx="73">
                  <c:v>0.60833333333333295</c:v>
                </c:pt>
                <c:pt idx="74">
                  <c:v>0.61666666666666603</c:v>
                </c:pt>
                <c:pt idx="75">
                  <c:v>0.625</c:v>
                </c:pt>
                <c:pt idx="76">
                  <c:v>0.63333333333333297</c:v>
                </c:pt>
                <c:pt idx="77">
                  <c:v>0.64166666666666605</c:v>
                </c:pt>
                <c:pt idx="78">
                  <c:v>0.65</c:v>
                </c:pt>
                <c:pt idx="79">
                  <c:v>0.65833333333333299</c:v>
                </c:pt>
                <c:pt idx="80">
                  <c:v>0.66666666666666596</c:v>
                </c:pt>
                <c:pt idx="81">
                  <c:v>0.67500000000000004</c:v>
                </c:pt>
                <c:pt idx="82">
                  <c:v>0.68333333333333302</c:v>
                </c:pt>
                <c:pt idx="83">
                  <c:v>0.69166666666666599</c:v>
                </c:pt>
                <c:pt idx="84">
                  <c:v>0.7</c:v>
                </c:pt>
                <c:pt idx="85">
                  <c:v>0.70833333333333304</c:v>
                </c:pt>
                <c:pt idx="86">
                  <c:v>0.71666666666666601</c:v>
                </c:pt>
                <c:pt idx="87">
                  <c:v>0.72499999999999998</c:v>
                </c:pt>
                <c:pt idx="88">
                  <c:v>0.73333333333333295</c:v>
                </c:pt>
                <c:pt idx="89">
                  <c:v>0.74166666666666603</c:v>
                </c:pt>
                <c:pt idx="90">
                  <c:v>0.75</c:v>
                </c:pt>
                <c:pt idx="91">
                  <c:v>0.75833333333333297</c:v>
                </c:pt>
                <c:pt idx="92">
                  <c:v>0.76666666666666605</c:v>
                </c:pt>
                <c:pt idx="93">
                  <c:v>0.77500000000000002</c:v>
                </c:pt>
                <c:pt idx="94">
                  <c:v>0.78333333333333299</c:v>
                </c:pt>
                <c:pt idx="95">
                  <c:v>0.79166666666666596</c:v>
                </c:pt>
                <c:pt idx="96">
                  <c:v>0.8</c:v>
                </c:pt>
                <c:pt idx="97">
                  <c:v>0.80833333333333302</c:v>
                </c:pt>
                <c:pt idx="98">
                  <c:v>0.81666666666666599</c:v>
                </c:pt>
              </c:numCache>
            </c:numRef>
          </c:cat>
          <c:val>
            <c:numRef>
              <c:f>angvel!$BB$52:$BB$150</c:f>
              <c:numCache>
                <c:formatCode>0.0%</c:formatCode>
                <c:ptCount val="99"/>
                <c:pt idx="0">
                  <c:v>-1.0088272370520397E-4</c:v>
                </c:pt>
                <c:pt idx="1">
                  <c:v>-1.335667011321675E-2</c:v>
                </c:pt>
                <c:pt idx="2">
                  <c:v>-2.2586768718344277E-2</c:v>
                </c:pt>
                <c:pt idx="3">
                  <c:v>-2.9046416009530854E-2</c:v>
                </c:pt>
                <c:pt idx="4">
                  <c:v>-3.3337169075274564E-2</c:v>
                </c:pt>
                <c:pt idx="5">
                  <c:v>-3.5861976259538728E-2</c:v>
                </c:pt>
                <c:pt idx="6">
                  <c:v>-3.7023914054414311E-2</c:v>
                </c:pt>
                <c:pt idx="7">
                  <c:v>-3.7226309724952396E-2</c:v>
                </c:pt>
                <c:pt idx="8">
                  <c:v>-3.662114076066561E-2</c:v>
                </c:pt>
                <c:pt idx="9">
                  <c:v>-3.5410265252150006E-2</c:v>
                </c:pt>
                <c:pt idx="10">
                  <c:v>-3.3745302732223197E-2</c:v>
                </c:pt>
                <c:pt idx="11">
                  <c:v>-3.1828275634646061E-2</c:v>
                </c:pt>
                <c:pt idx="12">
                  <c:v>-2.9659128561824243E-2</c:v>
                </c:pt>
                <c:pt idx="13">
                  <c:v>-2.733875637344314E-2</c:v>
                </c:pt>
                <c:pt idx="14">
                  <c:v>-2.4917576544640038E-2</c:v>
                </c:pt>
                <c:pt idx="15">
                  <c:v>-2.2445994710621281E-2</c:v>
                </c:pt>
                <c:pt idx="16">
                  <c:v>-1.9924055166463374E-2</c:v>
                </c:pt>
                <c:pt idx="17">
                  <c:v>-1.745257055081964E-2</c:v>
                </c:pt>
                <c:pt idx="18">
                  <c:v>-1.5031479086725447E-2</c:v>
                </c:pt>
                <c:pt idx="19">
                  <c:v>-1.2610423176708475E-2</c:v>
                </c:pt>
                <c:pt idx="20">
                  <c:v>-1.023974508376807E-2</c:v>
                </c:pt>
                <c:pt idx="21">
                  <c:v>-7.9698967491448752E-3</c:v>
                </c:pt>
                <c:pt idx="22">
                  <c:v>-5.75048636149626E-3</c:v>
                </c:pt>
                <c:pt idx="23">
                  <c:v>-3.6319403768566893E-3</c:v>
                </c:pt>
                <c:pt idx="24">
                  <c:v>-1.5638588609055639E-3</c:v>
                </c:pt>
                <c:pt idx="25">
                  <c:v>4.0334288272970108E-4</c:v>
                </c:pt>
                <c:pt idx="26">
                  <c:v>2.3201541423732873E-3</c:v>
                </c:pt>
                <c:pt idx="27">
                  <c:v>4.1360969052371436E-3</c:v>
                </c:pt>
                <c:pt idx="28">
                  <c:v>5.901575316475477E-3</c:v>
                </c:pt>
                <c:pt idx="29">
                  <c:v>7.5661681206399762E-3</c:v>
                </c:pt>
                <c:pt idx="30">
                  <c:v>9.1298792715181366E-3</c:v>
                </c:pt>
                <c:pt idx="31">
                  <c:v>1.0643126782402619E-2</c:v>
                </c:pt>
                <c:pt idx="32">
                  <c:v>1.2055488939849359E-2</c:v>
                </c:pt>
                <c:pt idx="33">
                  <c:v>1.3417405810148504E-2</c:v>
                </c:pt>
                <c:pt idx="34">
                  <c:v>1.467843084626879E-2</c:v>
                </c:pt>
                <c:pt idx="35">
                  <c:v>1.5889022389890678E-2</c:v>
                </c:pt>
                <c:pt idx="36">
                  <c:v>1.7049169896935529E-2</c:v>
                </c:pt>
                <c:pt idx="37">
                  <c:v>1.815887733259099E-2</c:v>
                </c:pt>
                <c:pt idx="38">
                  <c:v>1.9167704589512464E-2</c:v>
                </c:pt>
                <c:pt idx="39">
                  <c:v>2.0126090482542342E-2</c:v>
                </c:pt>
                <c:pt idx="40">
                  <c:v>2.1084476373549682E-2</c:v>
                </c:pt>
                <c:pt idx="41">
                  <c:v>2.1992420901353119E-2</c:v>
                </c:pt>
                <c:pt idx="42">
                  <c:v>2.2849924065961497E-2</c:v>
                </c:pt>
                <c:pt idx="43">
                  <c:v>2.3606544506184383E-2</c:v>
                </c:pt>
                <c:pt idx="44">
                  <c:v>2.4312724866198145E-2</c:v>
                </c:pt>
                <c:pt idx="45">
                  <c:v>2.5018903940938773E-2</c:v>
                </c:pt>
                <c:pt idx="46">
                  <c:v>2.5674641653227595E-2</c:v>
                </c:pt>
                <c:pt idx="47">
                  <c:v>2.6279938003067181E-2</c:v>
                </c:pt>
                <c:pt idx="48">
                  <c:v>2.6885234351728505E-2</c:v>
                </c:pt>
                <c:pt idx="49">
                  <c:v>2.7440089337946418E-2</c:v>
                </c:pt>
                <c:pt idx="50">
                  <c:v>2.7944502962305912E-2</c:v>
                </c:pt>
                <c:pt idx="51">
                  <c:v>2.8398475224224347E-2</c:v>
                </c:pt>
                <c:pt idx="52">
                  <c:v>2.8852438545675204E-2</c:v>
                </c:pt>
                <c:pt idx="53">
                  <c:v>2.9255968171063445E-2</c:v>
                </c:pt>
                <c:pt idx="54">
                  <c:v>2.9659499072473984E-2</c:v>
                </c:pt>
                <c:pt idx="55">
                  <c:v>3.0012588612028008E-2</c:v>
                </c:pt>
                <c:pt idx="56">
                  <c:v>3.0365687079510279E-2</c:v>
                </c:pt>
                <c:pt idx="57">
                  <c:v>3.0668341630116423E-2</c:v>
                </c:pt>
                <c:pt idx="58">
                  <c:v>3.1021431164374082E-2</c:v>
                </c:pt>
                <c:pt idx="59">
                  <c:v>3.1324080572722755E-2</c:v>
                </c:pt>
                <c:pt idx="60">
                  <c:v>3.1576291088927844E-2</c:v>
                </c:pt>
                <c:pt idx="61">
                  <c:v>3.1828497897220885E-2</c:v>
                </c:pt>
                <c:pt idx="62">
                  <c:v>3.2080705979608895E-2</c:v>
                </c:pt>
                <c:pt idx="63">
                  <c:v>3.2282465056598326E-2</c:v>
                </c:pt>
                <c:pt idx="64">
                  <c:v>3.2484226803295616E-2</c:v>
                </c:pt>
                <c:pt idx="65">
                  <c:v>3.2685991018277134E-2</c:v>
                </c:pt>
                <c:pt idx="66">
                  <c:v>3.2887756466844949E-2</c:v>
                </c:pt>
                <c:pt idx="67">
                  <c:v>3.3039080553559946E-2</c:v>
                </c:pt>
                <c:pt idx="68">
                  <c:v>3.3190411006239887E-2</c:v>
                </c:pt>
                <c:pt idx="69">
                  <c:v>3.3291297549652689E-2</c:v>
                </c:pt>
                <c:pt idx="70">
                  <c:v>3.3442622867054135E-2</c:v>
                </c:pt>
                <c:pt idx="71">
                  <c:v>3.3593950647051549E-2</c:v>
                </c:pt>
                <c:pt idx="72">
                  <c:v>3.3745274731711634E-2</c:v>
                </c:pt>
                <c:pt idx="73">
                  <c:v>3.384615745475994E-2</c:v>
                </c:pt>
                <c:pt idx="74">
                  <c:v>3.3947036484995557E-2</c:v>
                </c:pt>
                <c:pt idx="75">
                  <c:v>3.4047917977827261E-2</c:v>
                </c:pt>
                <c:pt idx="76">
                  <c:v>3.4148796883752178E-2</c:v>
                </c:pt>
                <c:pt idx="77">
                  <c:v>3.4199238245861706E-2</c:v>
                </c:pt>
                <c:pt idx="78">
                  <c:v>3.424967324553907E-2</c:v>
                </c:pt>
                <c:pt idx="79">
                  <c:v>3.4300114607969376E-2</c:v>
                </c:pt>
                <c:pt idx="80">
                  <c:v>3.4350557200496887E-2</c:v>
                </c:pt>
                <c:pt idx="81">
                  <c:v>3.4401000980444574E-2</c:v>
                </c:pt>
                <c:pt idx="82">
                  <c:v>3.4501890065139339E-2</c:v>
                </c:pt>
                <c:pt idx="83">
                  <c:v>3.4602776605246285E-2</c:v>
                </c:pt>
                <c:pt idx="84">
                  <c:v>3.4653214277827381E-2</c:v>
                </c:pt>
                <c:pt idx="85">
                  <c:v>3.4703655682296303E-2</c:v>
                </c:pt>
                <c:pt idx="86">
                  <c:v>3.4754097044149009E-2</c:v>
                </c:pt>
                <c:pt idx="87">
                  <c:v>3.4804538406001492E-2</c:v>
                </c:pt>
                <c:pt idx="88">
                  <c:v>3.4854979767854205E-2</c:v>
                </c:pt>
                <c:pt idx="89">
                  <c:v>3.4905418542202707E-2</c:v>
                </c:pt>
                <c:pt idx="90">
                  <c:v>3.4955863591948501E-2</c:v>
                </c:pt>
                <c:pt idx="91">
                  <c:v>3.5006298592092248E-2</c:v>
                </c:pt>
                <c:pt idx="92">
                  <c:v>3.5006304738419286E-2</c:v>
                </c:pt>
                <c:pt idx="93">
                  <c:v>3.5056746099732597E-2</c:v>
                </c:pt>
                <c:pt idx="94">
                  <c:v>3.5107187461046345E-2</c:v>
                </c:pt>
                <c:pt idx="95">
                  <c:v>3.5157618644522673E-2</c:v>
                </c:pt>
                <c:pt idx="96">
                  <c:v>3.5208056189147276E-2</c:v>
                </c:pt>
                <c:pt idx="97">
                  <c:v>3.5208049827999105E-2</c:v>
                </c:pt>
                <c:pt idx="98">
                  <c:v>3.5157608467750831E-2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67-4958-A6CB-C5CE11EE9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485600"/>
        <c:axId val="668485928"/>
      </c:lineChart>
      <c:catAx>
        <c:axId val="668485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in Seconds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B3ECEF">
                <a:alpha val="25000"/>
              </a:srgb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85928"/>
        <c:crosses val="autoZero"/>
        <c:auto val="1"/>
        <c:lblAlgn val="ctr"/>
        <c:lblOffset val="50"/>
        <c:tickLblSkip val="30"/>
        <c:tickMarkSkip val="30"/>
        <c:noMultiLvlLbl val="0"/>
      </c:catAx>
      <c:valAx>
        <c:axId val="66848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Angular vel Difference</a:t>
                </a:r>
                <a:r>
                  <a:rPr lang="en-GB" baseline="0"/>
                  <a:t> to octane in % of MAX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8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tx2"/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v>Influence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angvel!$AA$52:$AA$119</c:f>
              <c:numCache>
                <c:formatCode>General</c:formatCode>
                <c:ptCount val="68"/>
                <c:pt idx="0">
                  <c:v>0</c:v>
                </c:pt>
                <c:pt idx="1">
                  <c:v>8.3333333333333297E-3</c:v>
                </c:pt>
                <c:pt idx="2">
                  <c:v>1.6666666666666701E-2</c:v>
                </c:pt>
                <c:pt idx="3">
                  <c:v>2.5000000000000001E-2</c:v>
                </c:pt>
                <c:pt idx="4">
                  <c:v>3.3333333333333298E-2</c:v>
                </c:pt>
                <c:pt idx="5">
                  <c:v>4.1666666666666699E-2</c:v>
                </c:pt>
                <c:pt idx="6">
                  <c:v>0.05</c:v>
                </c:pt>
                <c:pt idx="7">
                  <c:v>5.83333333333333E-2</c:v>
                </c:pt>
                <c:pt idx="8">
                  <c:v>6.6666666666666596E-2</c:v>
                </c:pt>
                <c:pt idx="9">
                  <c:v>7.4999999999999997E-2</c:v>
                </c:pt>
                <c:pt idx="10">
                  <c:v>8.3333333333333301E-2</c:v>
                </c:pt>
                <c:pt idx="11">
                  <c:v>9.1666666666666605E-2</c:v>
                </c:pt>
                <c:pt idx="12">
                  <c:v>0.1</c:v>
                </c:pt>
                <c:pt idx="13">
                  <c:v>0.108333333333333</c:v>
                </c:pt>
                <c:pt idx="14">
                  <c:v>0.116666666666667</c:v>
                </c:pt>
                <c:pt idx="15">
                  <c:v>0.125</c:v>
                </c:pt>
                <c:pt idx="16">
                  <c:v>0.133333333333333</c:v>
                </c:pt>
                <c:pt idx="17">
                  <c:v>0.141666666666667</c:v>
                </c:pt>
                <c:pt idx="18">
                  <c:v>0.15</c:v>
                </c:pt>
                <c:pt idx="19">
                  <c:v>0.15833333333333299</c:v>
                </c:pt>
                <c:pt idx="20">
                  <c:v>0.16666666666666699</c:v>
                </c:pt>
                <c:pt idx="21">
                  <c:v>0.17499999999999999</c:v>
                </c:pt>
                <c:pt idx="22">
                  <c:v>0.18333333333333299</c:v>
                </c:pt>
                <c:pt idx="23">
                  <c:v>0.19166666666666701</c:v>
                </c:pt>
                <c:pt idx="24">
                  <c:v>0.2</c:v>
                </c:pt>
                <c:pt idx="25">
                  <c:v>0.20833333333333301</c:v>
                </c:pt>
                <c:pt idx="26">
                  <c:v>0.21666666666666701</c:v>
                </c:pt>
                <c:pt idx="27">
                  <c:v>0.22500000000000001</c:v>
                </c:pt>
                <c:pt idx="28">
                  <c:v>0.233333333333333</c:v>
                </c:pt>
                <c:pt idx="29">
                  <c:v>0.241666666666667</c:v>
                </c:pt>
                <c:pt idx="30">
                  <c:v>0.25</c:v>
                </c:pt>
                <c:pt idx="31">
                  <c:v>0.25833333333333303</c:v>
                </c:pt>
                <c:pt idx="32">
                  <c:v>0.266666666666667</c:v>
                </c:pt>
                <c:pt idx="33">
                  <c:v>0.27500000000000002</c:v>
                </c:pt>
                <c:pt idx="34">
                  <c:v>0.28333333333333299</c:v>
                </c:pt>
                <c:pt idx="35">
                  <c:v>0.29166666666666702</c:v>
                </c:pt>
                <c:pt idx="36">
                  <c:v>0.3</c:v>
                </c:pt>
                <c:pt idx="37">
                  <c:v>0.30833333333333302</c:v>
                </c:pt>
                <c:pt idx="38">
                  <c:v>0.31666666666666698</c:v>
                </c:pt>
                <c:pt idx="39">
                  <c:v>0.32500000000000001</c:v>
                </c:pt>
                <c:pt idx="40">
                  <c:v>0.33333333333333298</c:v>
                </c:pt>
                <c:pt idx="41">
                  <c:v>0.34166666666666701</c:v>
                </c:pt>
                <c:pt idx="42">
                  <c:v>0.35</c:v>
                </c:pt>
                <c:pt idx="43">
                  <c:v>0.358333333333333</c:v>
                </c:pt>
                <c:pt idx="44">
                  <c:v>0.36666666666666697</c:v>
                </c:pt>
                <c:pt idx="45">
                  <c:v>0.375</c:v>
                </c:pt>
                <c:pt idx="46">
                  <c:v>0.38333333333333303</c:v>
                </c:pt>
                <c:pt idx="47">
                  <c:v>0.391666666666666</c:v>
                </c:pt>
                <c:pt idx="48">
                  <c:v>0.4</c:v>
                </c:pt>
                <c:pt idx="49">
                  <c:v>0.40833333333333299</c:v>
                </c:pt>
                <c:pt idx="50">
                  <c:v>0.41666666666666602</c:v>
                </c:pt>
                <c:pt idx="51">
                  <c:v>0.42499999999999999</c:v>
                </c:pt>
                <c:pt idx="52">
                  <c:v>0.43333333333333302</c:v>
                </c:pt>
                <c:pt idx="53">
                  <c:v>0.44166666666666599</c:v>
                </c:pt>
                <c:pt idx="54">
                  <c:v>0.45</c:v>
                </c:pt>
                <c:pt idx="55">
                  <c:v>0.45833333333333298</c:v>
                </c:pt>
                <c:pt idx="56">
                  <c:v>0.46666666666666601</c:v>
                </c:pt>
                <c:pt idx="57">
                  <c:v>0.47499999999999998</c:v>
                </c:pt>
                <c:pt idx="58">
                  <c:v>0.483333333333333</c:v>
                </c:pt>
                <c:pt idx="59">
                  <c:v>0.49166666666666597</c:v>
                </c:pt>
                <c:pt idx="60">
                  <c:v>0.5</c:v>
                </c:pt>
                <c:pt idx="61">
                  <c:v>0.50833333333333297</c:v>
                </c:pt>
                <c:pt idx="62">
                  <c:v>0.51666666666666605</c:v>
                </c:pt>
                <c:pt idx="63">
                  <c:v>0.52500000000000002</c:v>
                </c:pt>
                <c:pt idx="64">
                  <c:v>0.53333333333333299</c:v>
                </c:pt>
                <c:pt idx="65">
                  <c:v>0.54166666666666596</c:v>
                </c:pt>
                <c:pt idx="66">
                  <c:v>0.55000000000000004</c:v>
                </c:pt>
                <c:pt idx="67">
                  <c:v>0.55833333333333302</c:v>
                </c:pt>
              </c:numCache>
            </c:numRef>
          </c:cat>
          <c:val>
            <c:numRef>
              <c:f>angvel!$Z$53:$Z$119</c:f>
              <c:numCache>
                <c:formatCode>0.0%</c:formatCode>
                <c:ptCount val="67"/>
                <c:pt idx="0">
                  <c:v>0.16</c:v>
                </c:pt>
                <c:pt idx="1">
                  <c:v>0.13439999999999999</c:v>
                </c:pt>
                <c:pt idx="2">
                  <c:v>0.11289599999999998</c:v>
                </c:pt>
                <c:pt idx="3">
                  <c:v>9.4832639999999982E-2</c:v>
                </c:pt>
                <c:pt idx="4">
                  <c:v>7.9659417599999977E-2</c:v>
                </c:pt>
                <c:pt idx="5">
                  <c:v>6.6913910783999983E-2</c:v>
                </c:pt>
                <c:pt idx="6">
                  <c:v>5.6207685058559984E-2</c:v>
                </c:pt>
                <c:pt idx="7">
                  <c:v>4.7214455449190382E-2</c:v>
                </c:pt>
                <c:pt idx="8">
                  <c:v>3.9660142577319916E-2</c:v>
                </c:pt>
                <c:pt idx="9">
                  <c:v>3.331451976494873E-2</c:v>
                </c:pt>
                <c:pt idx="10">
                  <c:v>2.7984196602556927E-2</c:v>
                </c:pt>
                <c:pt idx="11">
                  <c:v>2.3506725146147819E-2</c:v>
                </c:pt>
                <c:pt idx="12">
                  <c:v>1.9745649122764167E-2</c:v>
                </c:pt>
                <c:pt idx="13">
                  <c:v>1.6586345263121902E-2</c:v>
                </c:pt>
                <c:pt idx="14">
                  <c:v>1.3932530021022396E-2</c:v>
                </c:pt>
                <c:pt idx="15">
                  <c:v>1.1703325217658812E-2</c:v>
                </c:pt>
                <c:pt idx="16">
                  <c:v>9.8307931828334003E-3</c:v>
                </c:pt>
                <c:pt idx="17">
                  <c:v>8.2578662735800553E-3</c:v>
                </c:pt>
                <c:pt idx="18">
                  <c:v>6.936607669807247E-3</c:v>
                </c:pt>
                <c:pt idx="19">
                  <c:v>5.8267504426380871E-3</c:v>
                </c:pt>
                <c:pt idx="20">
                  <c:v>4.8944703718159926E-3</c:v>
                </c:pt>
                <c:pt idx="21">
                  <c:v>4.1113551123254334E-3</c:v>
                </c:pt>
                <c:pt idx="22">
                  <c:v>3.4535382943533637E-3</c:v>
                </c:pt>
                <c:pt idx="23">
                  <c:v>2.9009721672568255E-3</c:v>
                </c:pt>
                <c:pt idx="24">
                  <c:v>2.4368166204957334E-3</c:v>
                </c:pt>
                <c:pt idx="25">
                  <c:v>2.0469259612164161E-3</c:v>
                </c:pt>
                <c:pt idx="26">
                  <c:v>1.7194178074217891E-3</c:v>
                </c:pt>
                <c:pt idx="27">
                  <c:v>1.4443109582343028E-3</c:v>
                </c:pt>
                <c:pt idx="28">
                  <c:v>1.2132212049168142E-3</c:v>
                </c:pt>
                <c:pt idx="29">
                  <c:v>1.019105812130124E-3</c:v>
                </c:pt>
                <c:pt idx="30">
                  <c:v>8.5604888218930423E-4</c:v>
                </c:pt>
                <c:pt idx="31">
                  <c:v>7.1908106103901542E-4</c:v>
                </c:pt>
                <c:pt idx="32">
                  <c:v>6.0402809127277292E-4</c:v>
                </c:pt>
                <c:pt idx="33">
                  <c:v>5.0738359666912917E-4</c:v>
                </c:pt>
                <c:pt idx="34">
                  <c:v>4.2620222120206853E-4</c:v>
                </c:pt>
                <c:pt idx="35">
                  <c:v>3.580098658097375E-4</c:v>
                </c:pt>
                <c:pt idx="36">
                  <c:v>3.0072828728017946E-4</c:v>
                </c:pt>
                <c:pt idx="37">
                  <c:v>2.5261176131535074E-4</c:v>
                </c:pt>
                <c:pt idx="38">
                  <c:v>2.1219387950489462E-4</c:v>
                </c:pt>
                <c:pt idx="39">
                  <c:v>1.7824285878411148E-4</c:v>
                </c:pt>
                <c:pt idx="40">
                  <c:v>1.4972400137865363E-4</c:v>
                </c:pt>
                <c:pt idx="41">
                  <c:v>1.2576816115806905E-4</c:v>
                </c:pt>
                <c:pt idx="42">
                  <c:v>1.0564525537277799E-4</c:v>
                </c:pt>
                <c:pt idx="43">
                  <c:v>8.8742014513133491E-5</c:v>
                </c:pt>
                <c:pt idx="44">
                  <c:v>7.4543292191032133E-5</c:v>
                </c:pt>
                <c:pt idx="45">
                  <c:v>6.2616365440466989E-5</c:v>
                </c:pt>
                <c:pt idx="46">
                  <c:v>5.2597746969992274E-5</c:v>
                </c:pt>
                <c:pt idx="47">
                  <c:v>4.4182107454793508E-5</c:v>
                </c:pt>
                <c:pt idx="48">
                  <c:v>3.7112970262026545E-5</c:v>
                </c:pt>
                <c:pt idx="49">
                  <c:v>3.1174895020102292E-5</c:v>
                </c:pt>
                <c:pt idx="50">
                  <c:v>2.6186911816885925E-5</c:v>
                </c:pt>
                <c:pt idx="51">
                  <c:v>2.1997005926184178E-5</c:v>
                </c:pt>
                <c:pt idx="52">
                  <c:v>1.8477484977994707E-5</c:v>
                </c:pt>
                <c:pt idx="53">
                  <c:v>1.5521087381515549E-5</c:v>
                </c:pt>
                <c:pt idx="54">
                  <c:v>1.3037713400473064E-5</c:v>
                </c:pt>
                <c:pt idx="55">
                  <c:v>1.0951679256397374E-5</c:v>
                </c:pt>
                <c:pt idx="56">
                  <c:v>9.1994105753737917E-6</c:v>
                </c:pt>
                <c:pt idx="57">
                  <c:v>7.7275048833139851E-6</c:v>
                </c:pt>
                <c:pt idx="58">
                  <c:v>6.4911041019837465E-6</c:v>
                </c:pt>
                <c:pt idx="59">
                  <c:v>5.4525274456663467E-6</c:v>
                </c:pt>
                <c:pt idx="60">
                  <c:v>4.5801230543597311E-6</c:v>
                </c:pt>
                <c:pt idx="61">
                  <c:v>3.8473033656621737E-6</c:v>
                </c:pt>
                <c:pt idx="62">
                  <c:v>3.2317348271562265E-6</c:v>
                </c:pt>
                <c:pt idx="63">
                  <c:v>2.7146572548112295E-6</c:v>
                </c:pt>
                <c:pt idx="64">
                  <c:v>2.2803120940414327E-6</c:v>
                </c:pt>
                <c:pt idx="65">
                  <c:v>1.9154621589948032E-6</c:v>
                </c:pt>
                <c:pt idx="66">
                  <c:v>1.6089882135556346E-6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67-4958-A6CB-C5CE11EE9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485600"/>
        <c:axId val="668485928"/>
      </c:lineChart>
      <c:catAx>
        <c:axId val="668485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in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85928"/>
        <c:crosses val="autoZero"/>
        <c:auto val="1"/>
        <c:lblAlgn val="ctr"/>
        <c:lblOffset val="50"/>
        <c:tickLblSkip val="30"/>
        <c:tickMarkSkip val="30"/>
        <c:noMultiLvlLbl val="0"/>
      </c:catAx>
      <c:valAx>
        <c:axId val="66848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%</a:t>
                </a:r>
                <a:r>
                  <a:rPr lang="en-GB" baseline="0"/>
                  <a:t> Influence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85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tx2"/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v>Distribution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angvel!$AA$52:$AA$200</c:f>
              <c:numCache>
                <c:formatCode>General</c:formatCode>
                <c:ptCount val="149"/>
                <c:pt idx="0">
                  <c:v>0</c:v>
                </c:pt>
                <c:pt idx="1">
                  <c:v>8.3333333333333297E-3</c:v>
                </c:pt>
                <c:pt idx="2">
                  <c:v>1.6666666666666701E-2</c:v>
                </c:pt>
                <c:pt idx="3">
                  <c:v>2.5000000000000001E-2</c:v>
                </c:pt>
                <c:pt idx="4">
                  <c:v>3.3333333333333298E-2</c:v>
                </c:pt>
                <c:pt idx="5">
                  <c:v>4.1666666666666699E-2</c:v>
                </c:pt>
                <c:pt idx="6">
                  <c:v>0.05</c:v>
                </c:pt>
                <c:pt idx="7">
                  <c:v>5.83333333333333E-2</c:v>
                </c:pt>
                <c:pt idx="8">
                  <c:v>6.6666666666666596E-2</c:v>
                </c:pt>
                <c:pt idx="9">
                  <c:v>7.4999999999999997E-2</c:v>
                </c:pt>
                <c:pt idx="10">
                  <c:v>8.3333333333333301E-2</c:v>
                </c:pt>
                <c:pt idx="11">
                  <c:v>9.1666666666666605E-2</c:v>
                </c:pt>
                <c:pt idx="12">
                  <c:v>0.1</c:v>
                </c:pt>
                <c:pt idx="13">
                  <c:v>0.108333333333333</c:v>
                </c:pt>
                <c:pt idx="14">
                  <c:v>0.116666666666667</c:v>
                </c:pt>
                <c:pt idx="15">
                  <c:v>0.125</c:v>
                </c:pt>
                <c:pt idx="16">
                  <c:v>0.133333333333333</c:v>
                </c:pt>
                <c:pt idx="17">
                  <c:v>0.141666666666667</c:v>
                </c:pt>
                <c:pt idx="18">
                  <c:v>0.15</c:v>
                </c:pt>
                <c:pt idx="19">
                  <c:v>0.15833333333333299</c:v>
                </c:pt>
                <c:pt idx="20">
                  <c:v>0.16666666666666699</c:v>
                </c:pt>
                <c:pt idx="21">
                  <c:v>0.17499999999999999</c:v>
                </c:pt>
                <c:pt idx="22">
                  <c:v>0.18333333333333299</c:v>
                </c:pt>
                <c:pt idx="23">
                  <c:v>0.19166666666666701</c:v>
                </c:pt>
                <c:pt idx="24">
                  <c:v>0.2</c:v>
                </c:pt>
                <c:pt idx="25">
                  <c:v>0.20833333333333301</c:v>
                </c:pt>
                <c:pt idx="26">
                  <c:v>0.21666666666666701</c:v>
                </c:pt>
                <c:pt idx="27">
                  <c:v>0.22500000000000001</c:v>
                </c:pt>
                <c:pt idx="28">
                  <c:v>0.233333333333333</c:v>
                </c:pt>
                <c:pt idx="29">
                  <c:v>0.241666666666667</c:v>
                </c:pt>
                <c:pt idx="30">
                  <c:v>0.25</c:v>
                </c:pt>
                <c:pt idx="31">
                  <c:v>0.25833333333333303</c:v>
                </c:pt>
                <c:pt idx="32">
                  <c:v>0.266666666666667</c:v>
                </c:pt>
                <c:pt idx="33">
                  <c:v>0.27500000000000002</c:v>
                </c:pt>
                <c:pt idx="34">
                  <c:v>0.28333333333333299</c:v>
                </c:pt>
                <c:pt idx="35">
                  <c:v>0.29166666666666702</c:v>
                </c:pt>
                <c:pt idx="36">
                  <c:v>0.3</c:v>
                </c:pt>
                <c:pt idx="37">
                  <c:v>0.30833333333333302</c:v>
                </c:pt>
                <c:pt idx="38">
                  <c:v>0.31666666666666698</c:v>
                </c:pt>
                <c:pt idx="39">
                  <c:v>0.32500000000000001</c:v>
                </c:pt>
                <c:pt idx="40">
                  <c:v>0.33333333333333298</c:v>
                </c:pt>
                <c:pt idx="41">
                  <c:v>0.34166666666666701</c:v>
                </c:pt>
                <c:pt idx="42">
                  <c:v>0.35</c:v>
                </c:pt>
                <c:pt idx="43">
                  <c:v>0.358333333333333</c:v>
                </c:pt>
                <c:pt idx="44">
                  <c:v>0.36666666666666697</c:v>
                </c:pt>
                <c:pt idx="45">
                  <c:v>0.375</c:v>
                </c:pt>
                <c:pt idx="46">
                  <c:v>0.38333333333333303</c:v>
                </c:pt>
                <c:pt idx="47">
                  <c:v>0.391666666666666</c:v>
                </c:pt>
                <c:pt idx="48">
                  <c:v>0.4</c:v>
                </c:pt>
                <c:pt idx="49">
                  <c:v>0.40833333333333299</c:v>
                </c:pt>
                <c:pt idx="50">
                  <c:v>0.41666666666666602</c:v>
                </c:pt>
                <c:pt idx="51">
                  <c:v>0.42499999999999999</c:v>
                </c:pt>
                <c:pt idx="52">
                  <c:v>0.43333333333333302</c:v>
                </c:pt>
                <c:pt idx="53">
                  <c:v>0.44166666666666599</c:v>
                </c:pt>
                <c:pt idx="54">
                  <c:v>0.45</c:v>
                </c:pt>
                <c:pt idx="55">
                  <c:v>0.45833333333333298</c:v>
                </c:pt>
                <c:pt idx="56">
                  <c:v>0.46666666666666601</c:v>
                </c:pt>
                <c:pt idx="57">
                  <c:v>0.47499999999999998</c:v>
                </c:pt>
                <c:pt idx="58">
                  <c:v>0.483333333333333</c:v>
                </c:pt>
                <c:pt idx="59">
                  <c:v>0.49166666666666597</c:v>
                </c:pt>
                <c:pt idx="60">
                  <c:v>0.5</c:v>
                </c:pt>
                <c:pt idx="61">
                  <c:v>0.50833333333333297</c:v>
                </c:pt>
                <c:pt idx="62">
                  <c:v>0.51666666666666605</c:v>
                </c:pt>
                <c:pt idx="63">
                  <c:v>0.52500000000000002</c:v>
                </c:pt>
                <c:pt idx="64">
                  <c:v>0.53333333333333299</c:v>
                </c:pt>
                <c:pt idx="65">
                  <c:v>0.54166666666666596</c:v>
                </c:pt>
                <c:pt idx="66">
                  <c:v>0.55000000000000004</c:v>
                </c:pt>
                <c:pt idx="67">
                  <c:v>0.55833333333333302</c:v>
                </c:pt>
                <c:pt idx="68">
                  <c:v>0.56666666666666599</c:v>
                </c:pt>
                <c:pt idx="69">
                  <c:v>0.57499999999999896</c:v>
                </c:pt>
                <c:pt idx="70">
                  <c:v>0.58333333333333204</c:v>
                </c:pt>
                <c:pt idx="71">
                  <c:v>0.59166666666666501</c:v>
                </c:pt>
                <c:pt idx="72">
                  <c:v>0.59999999999999798</c:v>
                </c:pt>
                <c:pt idx="73">
                  <c:v>0.60833333333333095</c:v>
                </c:pt>
                <c:pt idx="74">
                  <c:v>0.61666666666666403</c:v>
                </c:pt>
                <c:pt idx="75">
                  <c:v>0.624999999999997</c:v>
                </c:pt>
                <c:pt idx="76">
                  <c:v>0.63333333333332997</c:v>
                </c:pt>
                <c:pt idx="77">
                  <c:v>0.64166666666666305</c:v>
                </c:pt>
                <c:pt idx="78">
                  <c:v>0.64999999999999603</c:v>
                </c:pt>
                <c:pt idx="79">
                  <c:v>0.658333333333329</c:v>
                </c:pt>
                <c:pt idx="80">
                  <c:v>0.66666666666666197</c:v>
                </c:pt>
                <c:pt idx="81">
                  <c:v>0.67499999999999505</c:v>
                </c:pt>
                <c:pt idx="82">
                  <c:v>0.68333333333332802</c:v>
                </c:pt>
                <c:pt idx="83">
                  <c:v>0.69166666666666099</c:v>
                </c:pt>
                <c:pt idx="84">
                  <c:v>0.69999999999999296</c:v>
                </c:pt>
                <c:pt idx="85">
                  <c:v>0.70833333333332604</c:v>
                </c:pt>
                <c:pt idx="86">
                  <c:v>0.71666666666665901</c:v>
                </c:pt>
                <c:pt idx="87">
                  <c:v>0.72499999999999198</c:v>
                </c:pt>
                <c:pt idx="88">
                  <c:v>0.73333333333332495</c:v>
                </c:pt>
                <c:pt idx="89">
                  <c:v>0.74166666666665804</c:v>
                </c:pt>
                <c:pt idx="90">
                  <c:v>0.74999999999999101</c:v>
                </c:pt>
                <c:pt idx="91">
                  <c:v>0.75833333333332398</c:v>
                </c:pt>
                <c:pt idx="92">
                  <c:v>0.76666666666665695</c:v>
                </c:pt>
                <c:pt idx="93">
                  <c:v>0.77499999999999003</c:v>
                </c:pt>
                <c:pt idx="94">
                  <c:v>0.783333333333323</c:v>
                </c:pt>
                <c:pt idx="95">
                  <c:v>0.79166666666665597</c:v>
                </c:pt>
                <c:pt idx="96">
                  <c:v>0.79999999999998905</c:v>
                </c:pt>
                <c:pt idx="97">
                  <c:v>0.80833333333332202</c:v>
                </c:pt>
                <c:pt idx="98">
                  <c:v>0.81666666666665499</c:v>
                </c:pt>
                <c:pt idx="99">
                  <c:v>0.82499999999998797</c:v>
                </c:pt>
                <c:pt idx="100">
                  <c:v>0.83333333333332105</c:v>
                </c:pt>
                <c:pt idx="101">
                  <c:v>0.84166666666665402</c:v>
                </c:pt>
                <c:pt idx="102">
                  <c:v>0.84999999999998699</c:v>
                </c:pt>
                <c:pt idx="103">
                  <c:v>0.85833333333331996</c:v>
                </c:pt>
                <c:pt idx="104">
                  <c:v>0.86666666666665304</c:v>
                </c:pt>
                <c:pt idx="105">
                  <c:v>0.87499999999998601</c:v>
                </c:pt>
                <c:pt idx="106">
                  <c:v>0.88333333333331898</c:v>
                </c:pt>
                <c:pt idx="107">
                  <c:v>0.89166666666665195</c:v>
                </c:pt>
                <c:pt idx="108">
                  <c:v>0.89999999999998503</c:v>
                </c:pt>
                <c:pt idx="109">
                  <c:v>0.908333333333318</c:v>
                </c:pt>
                <c:pt idx="110">
                  <c:v>0.91666666666665098</c:v>
                </c:pt>
                <c:pt idx="111">
                  <c:v>0.92499999999998395</c:v>
                </c:pt>
                <c:pt idx="112">
                  <c:v>0.93333333333331703</c:v>
                </c:pt>
                <c:pt idx="113">
                  <c:v>0.94166666666665</c:v>
                </c:pt>
                <c:pt idx="114">
                  <c:v>0.94999999999998297</c:v>
                </c:pt>
                <c:pt idx="115">
                  <c:v>0.95833333333331605</c:v>
                </c:pt>
                <c:pt idx="116">
                  <c:v>0.96666666666664902</c:v>
                </c:pt>
                <c:pt idx="117">
                  <c:v>0.97499999999998199</c:v>
                </c:pt>
                <c:pt idx="118">
                  <c:v>0.98333333333331396</c:v>
                </c:pt>
                <c:pt idx="119">
                  <c:v>0.99166666666664705</c:v>
                </c:pt>
                <c:pt idx="120">
                  <c:v>0.99999999999998002</c:v>
                </c:pt>
                <c:pt idx="121">
                  <c:v>1.00833333333331</c:v>
                </c:pt>
                <c:pt idx="122">
                  <c:v>1.01666666666665</c:v>
                </c:pt>
                <c:pt idx="123">
                  <c:v>1.0249999999999799</c:v>
                </c:pt>
                <c:pt idx="124">
                  <c:v>1.0333333333333099</c:v>
                </c:pt>
                <c:pt idx="125">
                  <c:v>1.0416666666666401</c:v>
                </c:pt>
                <c:pt idx="126">
                  <c:v>1.0499999999999801</c:v>
                </c:pt>
                <c:pt idx="127">
                  <c:v>1.05833333333331</c:v>
                </c:pt>
                <c:pt idx="128">
                  <c:v>1.06666666666664</c:v>
                </c:pt>
                <c:pt idx="129">
                  <c:v>1.07499999999998</c:v>
                </c:pt>
                <c:pt idx="130">
                  <c:v>1.0833333333333099</c:v>
                </c:pt>
                <c:pt idx="131">
                  <c:v>1.0916666666666399</c:v>
                </c:pt>
                <c:pt idx="132">
                  <c:v>1.0999999999999801</c:v>
                </c:pt>
                <c:pt idx="133">
                  <c:v>1.1083333333333101</c:v>
                </c:pt>
                <c:pt idx="134">
                  <c:v>1.1166666666666401</c:v>
                </c:pt>
                <c:pt idx="135">
                  <c:v>1.12499999999998</c:v>
                </c:pt>
                <c:pt idx="136">
                  <c:v>1.13333333333331</c:v>
                </c:pt>
                <c:pt idx="137">
                  <c:v>1.14166666666664</c:v>
                </c:pt>
                <c:pt idx="138">
                  <c:v>1.1499999999999699</c:v>
                </c:pt>
                <c:pt idx="139">
                  <c:v>1.1583333333333099</c:v>
                </c:pt>
                <c:pt idx="140">
                  <c:v>1.1666666666666401</c:v>
                </c:pt>
                <c:pt idx="141">
                  <c:v>1.1749999999999701</c:v>
                </c:pt>
                <c:pt idx="142">
                  <c:v>1.18333333333331</c:v>
                </c:pt>
                <c:pt idx="143">
                  <c:v>1.19166666666664</c:v>
                </c:pt>
                <c:pt idx="144">
                  <c:v>1.19999999999997</c:v>
                </c:pt>
                <c:pt idx="145">
                  <c:v>1.2083333333333099</c:v>
                </c:pt>
                <c:pt idx="146">
                  <c:v>1.2166666666666399</c:v>
                </c:pt>
                <c:pt idx="147">
                  <c:v>1.2249999999999699</c:v>
                </c:pt>
                <c:pt idx="148">
                  <c:v>1.2333333333333001</c:v>
                </c:pt>
              </c:numCache>
            </c:numRef>
          </c:cat>
          <c:val>
            <c:numRef>
              <c:f>angvel!$AL$53:$AL$200</c:f>
              <c:numCache>
                <c:formatCode>0.00</c:formatCode>
                <c:ptCount val="148"/>
                <c:pt idx="0">
                  <c:v>1.0164617823344324E-2</c:v>
                </c:pt>
                <c:pt idx="1">
                  <c:v>1.0485790759400482E-2</c:v>
                </c:pt>
                <c:pt idx="2">
                  <c:v>1.0805100617463981E-2</c:v>
                </c:pt>
                <c:pt idx="3">
                  <c:v>1.1121770749012883E-2</c:v>
                </c:pt>
                <c:pt idx="4">
                  <c:v>1.1435010229517095E-2</c:v>
                </c:pt>
                <c:pt idx="5">
                  <c:v>1.1744017003366802E-2</c:v>
                </c:pt>
                <c:pt idx="6">
                  <c:v>1.2047981181782741E-2</c:v>
                </c:pt>
                <c:pt idx="7">
                  <c:v>1.2346088475752248E-2</c:v>
                </c:pt>
                <c:pt idx="8">
                  <c:v>1.2637523744471579E-2</c:v>
                </c:pt>
                <c:pt idx="9">
                  <c:v>1.2921474638354358E-2</c:v>
                </c:pt>
                <c:pt idx="10">
                  <c:v>1.3197135314388708E-2</c:v>
                </c:pt>
                <c:pt idx="11">
                  <c:v>1.3463710200523615E-2</c:v>
                </c:pt>
                <c:pt idx="12">
                  <c:v>1.3720417784843453E-2</c:v>
                </c:pt>
                <c:pt idx="13">
                  <c:v>1.3966494404557439E-2</c:v>
                </c:pt>
                <c:pt idx="14">
                  <c:v>1.4201198009325622E-2</c:v>
                </c:pt>
                <c:pt idx="15">
                  <c:v>1.4423811873133574E-2</c:v>
                </c:pt>
                <c:pt idx="16">
                  <c:v>1.4633648228860374E-2</c:v>
                </c:pt>
                <c:pt idx="17">
                  <c:v>1.4830051799842092E-2</c:v>
                </c:pt>
                <c:pt idx="18">
                  <c:v>1.5012403203111702E-2</c:v>
                </c:pt>
                <c:pt idx="19">
                  <c:v>1.5180122199641044E-2</c:v>
                </c:pt>
                <c:pt idx="20">
                  <c:v>1.5332670767731038E-2</c:v>
                </c:pt>
                <c:pt idx="21">
                  <c:v>1.546955597680133E-2</c:v>
                </c:pt>
                <c:pt idx="22">
                  <c:v>1.5590332640103011E-2</c:v>
                </c:pt>
                <c:pt idx="23">
                  <c:v>1.5694605726385924E-2</c:v>
                </c:pt>
                <c:pt idx="24">
                  <c:v>1.578203251224386E-2</c:v>
                </c:pt>
                <c:pt idx="25">
                  <c:v>1.5852324458721423E-2</c:v>
                </c:pt>
                <c:pt idx="26">
                  <c:v>1.5905248797809635E-2</c:v>
                </c:pt>
                <c:pt idx="27">
                  <c:v>1.5940629816620477E-2</c:v>
                </c:pt>
                <c:pt idx="28">
                  <c:v>1.5958349829323537E-2</c:v>
                </c:pt>
                <c:pt idx="29">
                  <c:v>1.5958349829323426E-2</c:v>
                </c:pt>
                <c:pt idx="30">
                  <c:v>1.5940629816620588E-2</c:v>
                </c:pt>
                <c:pt idx="31">
                  <c:v>1.5905248797809635E-2</c:v>
                </c:pt>
                <c:pt idx="32">
                  <c:v>1.5852324458721423E-2</c:v>
                </c:pt>
                <c:pt idx="33">
                  <c:v>1.578203251224386E-2</c:v>
                </c:pt>
                <c:pt idx="34">
                  <c:v>1.5694605726385924E-2</c:v>
                </c:pt>
                <c:pt idx="35">
                  <c:v>1.5590332640103011E-2</c:v>
                </c:pt>
                <c:pt idx="36">
                  <c:v>1.5469555976801275E-2</c:v>
                </c:pt>
                <c:pt idx="37">
                  <c:v>1.5332670767731094E-2</c:v>
                </c:pt>
                <c:pt idx="38">
                  <c:v>1.5180122199641044E-2</c:v>
                </c:pt>
                <c:pt idx="39">
                  <c:v>1.5012403203111646E-2</c:v>
                </c:pt>
                <c:pt idx="40">
                  <c:v>1.4830051799842092E-2</c:v>
                </c:pt>
                <c:pt idx="41">
                  <c:v>1.463364822886043E-2</c:v>
                </c:pt>
                <c:pt idx="42">
                  <c:v>1.4423811873133574E-2</c:v>
                </c:pt>
                <c:pt idx="43">
                  <c:v>1.4201198009325566E-2</c:v>
                </c:pt>
                <c:pt idx="44">
                  <c:v>1.3966494404557495E-2</c:v>
                </c:pt>
                <c:pt idx="45">
                  <c:v>1.3720417784843397E-2</c:v>
                </c:pt>
                <c:pt idx="46">
                  <c:v>1.3463710200523671E-2</c:v>
                </c:pt>
                <c:pt idx="47">
                  <c:v>1.3197135314388653E-2</c:v>
                </c:pt>
                <c:pt idx="48">
                  <c:v>1.2921474638354358E-2</c:v>
                </c:pt>
                <c:pt idx="49">
                  <c:v>1.2637523744471579E-2</c:v>
                </c:pt>
                <c:pt idx="50">
                  <c:v>1.2346088475752304E-2</c:v>
                </c:pt>
                <c:pt idx="51">
                  <c:v>1.2047981181782685E-2</c:v>
                </c:pt>
                <c:pt idx="52">
                  <c:v>1.1744017003366858E-2</c:v>
                </c:pt>
                <c:pt idx="53">
                  <c:v>1.1435010229517067E-2</c:v>
                </c:pt>
                <c:pt idx="54">
                  <c:v>1.1121770749012883E-2</c:v>
                </c:pt>
                <c:pt idx="55">
                  <c:v>1.0805100617463953E-2</c:v>
                </c:pt>
                <c:pt idx="56">
                  <c:v>1.0485790759400565E-2</c:v>
                </c:pt>
                <c:pt idx="57">
                  <c:v>1.0164617823344269E-2</c:v>
                </c:pt>
                <c:pt idx="58">
                  <c:v>9.8423412061512117E-3</c:v>
                </c:pt>
                <c:pt idx="59">
                  <c:v>9.5197002611400461E-3</c:v>
                </c:pt>
                <c:pt idx="60">
                  <c:v>9.1974117026873969E-3</c:v>
                </c:pt>
                <c:pt idx="61">
                  <c:v>8.8761672180646956E-3</c:v>
                </c:pt>
                <c:pt idx="62">
                  <c:v>8.5566312953666568E-3</c:v>
                </c:pt>
                <c:pt idx="63">
                  <c:v>8.239439274438598E-3</c:v>
                </c:pt>
                <c:pt idx="64">
                  <c:v>7.9251956257614109E-3</c:v>
                </c:pt>
                <c:pt idx="65">
                  <c:v>7.6144724603486313E-3</c:v>
                </c:pt>
                <c:pt idx="66">
                  <c:v>7.3078082718322501E-3</c:v>
                </c:pt>
                <c:pt idx="67">
                  <c:v>7.0057069100975672E-3</c:v>
                </c:pt>
                <c:pt idx="68">
                  <c:v>6.7086367840986511E-3</c:v>
                </c:pt>
                <c:pt idx="69">
                  <c:v>6.4170302898243908E-3</c:v>
                </c:pt>
                <c:pt idx="70">
                  <c:v>6.1312834578438891E-3</c:v>
                </c:pt>
                <c:pt idx="71">
                  <c:v>5.8517558134222186E-3</c:v>
                </c:pt>
                <c:pt idx="72">
                  <c:v>5.5787704408823274E-3</c:v>
                </c:pt>
                <c:pt idx="73">
                  <c:v>5.3126142427027123E-3</c:v>
                </c:pt>
                <c:pt idx="74">
                  <c:v>5.0535383827962077E-3</c:v>
                </c:pt>
                <c:pt idx="75">
                  <c:v>4.801758902492903E-3</c:v>
                </c:pt>
                <c:pt idx="76">
                  <c:v>4.5574574970006498E-3</c:v>
                </c:pt>
                <c:pt idx="77">
                  <c:v>4.3207824394654176E-3</c:v>
                </c:pt>
                <c:pt idx="78">
                  <c:v>4.0918496392971238E-3</c:v>
                </c:pt>
                <c:pt idx="79">
                  <c:v>3.8707438210566492E-3</c:v>
                </c:pt>
                <c:pt idx="80">
                  <c:v>3.6575198100112644E-3</c:v>
                </c:pt>
                <c:pt idx="81">
                  <c:v>3.4522039103739854E-3</c:v>
                </c:pt>
                <c:pt idx="82">
                  <c:v>3.2547953622966072E-3</c:v>
                </c:pt>
                <c:pt idx="83">
                  <c:v>3.0652678638516881E-3</c:v>
                </c:pt>
                <c:pt idx="84">
                  <c:v>2.8835711445062764E-3</c:v>
                </c:pt>
                <c:pt idx="85">
                  <c:v>2.709632576974555E-3</c:v>
                </c:pt>
                <c:pt idx="86">
                  <c:v>2.5433588147981689E-3</c:v>
                </c:pt>
                <c:pt idx="87">
                  <c:v>2.3846374435513538E-3</c:v>
                </c:pt>
                <c:pt idx="88">
                  <c:v>2.2333386341949722E-3</c:v>
                </c:pt>
                <c:pt idx="89">
                  <c:v>2.0893167877749502E-3</c:v>
                </c:pt>
                <c:pt idx="90">
                  <c:v>1.9524121614044702E-3</c:v>
                </c:pt>
                <c:pt idx="91">
                  <c:v>1.8224524662355315E-3</c:v>
                </c:pt>
                <c:pt idx="92">
                  <c:v>1.6992544289336185E-3</c:v>
                </c:pt>
                <c:pt idx="93">
                  <c:v>1.5826253089920618E-3</c:v>
                </c:pt>
                <c:pt idx="94">
                  <c:v>1.4723643650640106E-3</c:v>
                </c:pt>
                <c:pt idx="95">
                  <c:v>1.3682642643246968E-3</c:v>
                </c:pt>
                <c:pt idx="96">
                  <c:v>1.2701124297166532E-3</c:v>
                </c:pt>
                <c:pt idx="97">
                  <c:v>1.1776923207465744E-3</c:v>
                </c:pt>
                <c:pt idx="98">
                  <c:v>1.0907846443100784E-3</c:v>
                </c:pt>
                <c:pt idx="99">
                  <c:v>1.0091684927876279E-3</c:v>
                </c:pt>
                <c:pt idx="100">
                  <c:v>9.3262240740792264E-4</c:v>
                </c:pt>
                <c:pt idx="101">
                  <c:v>8.6092536556987495E-4</c:v>
                </c:pt>
                <c:pt idx="102">
                  <c:v>7.9385769148783772E-4</c:v>
                </c:pt>
                <c:pt idx="103">
                  <c:v>7.3120189014455605E-4</c:v>
                </c:pt>
                <c:pt idx="104">
                  <c:v>6.7274340510230235E-4</c:v>
                </c:pt>
                <c:pt idx="105">
                  <c:v>6.1827130126142996E-4</c:v>
                </c:pt>
                <c:pt idx="106">
                  <c:v>5.6757887411708428E-4</c:v>
                </c:pt>
                <c:pt idx="107">
                  <c:v>5.204641874979694E-4</c:v>
                </c:pt>
                <c:pt idx="108">
                  <c:v>4.767305421407679E-4</c:v>
                </c:pt>
                <c:pt idx="109">
                  <c:v>4.3618687777789451E-4</c:v>
                </c:pt>
                <c:pt idx="110">
                  <c:v>3.9864811168951846E-4</c:v>
                </c:pt>
                <c:pt idx="111">
                  <c:v>3.6393541690074452E-4</c:v>
                </c:pt>
                <c:pt idx="112">
                  <c:v>3.3187644337665835E-4</c:v>
                </c:pt>
                <c:pt idx="113">
                  <c:v>3.0230548571458845E-4</c:v>
                </c:pt>
                <c:pt idx="114">
                  <c:v>2.7506360092018111E-4</c:v>
                </c:pt>
                <c:pt idx="115">
                  <c:v>2.4999867991467228E-4</c:v>
                </c:pt>
                <c:pt idx="116">
                  <c:v>2.2696547643658287E-4</c:v>
                </c:pt>
                <c:pt idx="117">
                  <c:v>2.0582559699441417E-4</c:v>
                </c:pt>
                <c:pt idx="118">
                  <c:v>1.8644745547999981E-4</c:v>
                </c:pt>
                <c:pt idx="119">
                  <c:v>1.687061959850251E-4</c:v>
                </c:pt>
                <c:pt idx="120">
                  <c:v>1.5248358726966294E-4</c:v>
                </c:pt>
                <c:pt idx="121">
                  <c:v>1.3766789222248075E-4</c:v>
                </c:pt>
                <c:pt idx="122">
                  <c:v>1.2415371551151994E-4</c:v>
                </c:pt>
                <c:pt idx="123">
                  <c:v>1.1184183249571581E-4</c:v>
                </c:pt>
                <c:pt idx="124">
                  <c:v>1.0063900229087108E-4</c:v>
                </c:pt>
                <c:pt idx="125">
                  <c:v>9.0457767732341301E-5</c:v>
                </c:pt>
                <c:pt idx="126">
                  <c:v>8.1216244797628623E-5</c:v>
                </c:pt>
                <c:pt idx="127">
                  <c:v>7.2837903872187242E-5</c:v>
                </c:pt>
                <c:pt idx="128">
                  <c:v>6.5251345067303618E-5</c:v>
                </c:pt>
                <c:pt idx="129">
                  <c:v>5.8390069613161388E-5</c:v>
                </c:pt>
                <c:pt idx="130">
                  <c:v>5.2192249176962542E-5</c:v>
                </c:pt>
                <c:pt idx="131">
                  <c:v>4.6600494773015087E-5</c:v>
                </c:pt>
                <c:pt idx="132">
                  <c:v>4.1561626767260777E-5</c:v>
                </c:pt>
                <c:pt idx="133">
                  <c:v>3.7026447305346199E-5</c:v>
                </c:pt>
                <c:pt idx="134">
                  <c:v>3.2949516341829372E-5</c:v>
                </c:pt>
                <c:pt idx="135">
                  <c:v>2.9288932284740274E-5</c:v>
                </c:pt>
                <c:pt idx="136">
                  <c:v>2.6006118136457209E-5</c:v>
                </c:pt>
                <c:pt idx="137">
                  <c:v>2.3065613867142567E-5</c:v>
                </c:pt>
                <c:pt idx="138">
                  <c:v>2.0434875633454797E-5</c:v>
                </c:pt>
                <c:pt idx="139">
                  <c:v>1.8084082337051807E-5</c:v>
                </c:pt>
                <c:pt idx="140">
                  <c:v>1.5985949905600701E-5</c:v>
                </c:pt>
                <c:pt idx="141">
                  <c:v>1.4115553581995764E-5</c:v>
                </c:pt>
                <c:pt idx="142">
                  <c:v>1.2450158413808809E-5</c:v>
                </c:pt>
                <c:pt idx="143">
                  <c:v>1.0969058054107714E-5</c:v>
                </c:pt>
                <c:pt idx="144">
                  <c:v>9.6534219125540447E-6</c:v>
                </c:pt>
                <c:pt idx="145">
                  <c:v>8.4861506241324156E-6</c:v>
                </c:pt>
                <c:pt idx="146">
                  <c:v>7.4517397568891821E-6</c:v>
                </c:pt>
                <c:pt idx="147">
                  <c:v>6.5361516164960572E-6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67-4958-A6CB-C5CE11EE9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485600"/>
        <c:axId val="668485928"/>
      </c:lineChart>
      <c:catAx>
        <c:axId val="668485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in 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85928"/>
        <c:crosses val="autoZero"/>
        <c:auto val="1"/>
        <c:lblAlgn val="ctr"/>
        <c:lblOffset val="50"/>
        <c:tickLblSkip val="30"/>
        <c:tickMarkSkip val="30"/>
        <c:noMultiLvlLbl val="0"/>
      </c:catAx>
      <c:valAx>
        <c:axId val="6684859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bg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Turn</a:t>
                </a:r>
                <a:r>
                  <a:rPr lang="en-GB" baseline="0"/>
                  <a:t> frequency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crossAx val="668485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tx2"/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'ang accel'!$B$1</c:f>
              <c:strCache>
                <c:ptCount val="1"/>
                <c:pt idx="0">
                  <c:v>Octane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'ang accel'!$B$53:$B$150</c:f>
              <c:numCache>
                <c:formatCode>0.00</c:formatCode>
                <c:ptCount val="98"/>
                <c:pt idx="0">
                  <c:v>34.646010999134454</c:v>
                </c:pt>
                <c:pt idx="1">
                  <c:v>27.768385268289883</c:v>
                </c:pt>
                <c:pt idx="2">
                  <c:v>23.483885628324416</c:v>
                </c:pt>
                <c:pt idx="3">
                  <c:v>19.88357140927118</c:v>
                </c:pt>
                <c:pt idx="4">
                  <c:v>16.859498990257663</c:v>
                </c:pt>
                <c:pt idx="5">
                  <c:v>14.339557524851072</c:v>
                </c:pt>
                <c:pt idx="6">
                  <c:v>12.251615775667313</c:v>
                </c:pt>
                <c:pt idx="7">
                  <c:v>10.499742912763583</c:v>
                </c:pt>
                <c:pt idx="8">
                  <c:v>9.0358380936383398</c:v>
                </c:pt>
                <c:pt idx="9">
                  <c:v>7.8119145905735543</c:v>
                </c:pt>
                <c:pt idx="10">
                  <c:v>6.7919788072285403</c:v>
                </c:pt>
                <c:pt idx="11">
                  <c:v>5.9160129269370287</c:v>
                </c:pt>
                <c:pt idx="12">
                  <c:v>5.1840303716457203</c:v>
                </c:pt>
                <c:pt idx="13">
                  <c:v>4.5480319183750684</c:v>
                </c:pt>
                <c:pt idx="14">
                  <c:v>4.0080297103458484</c:v>
                </c:pt>
                <c:pt idx="15">
                  <c:v>3.5400264239117885</c:v>
                </c:pt>
                <c:pt idx="16">
                  <c:v>3.1440172502305241</c:v>
                </c:pt>
                <c:pt idx="17">
                  <c:v>2.795998045602115</c:v>
                </c:pt>
                <c:pt idx="18">
                  <c:v>2.4839983063148807</c:v>
                </c:pt>
                <c:pt idx="19">
                  <c:v>2.2199875847013129</c:v>
                </c:pt>
                <c:pt idx="20">
                  <c:v>1.9919790959228312</c:v>
                </c:pt>
                <c:pt idx="21">
                  <c:v>1.7879821617917191</c:v>
                </c:pt>
                <c:pt idx="22">
                  <c:v>1.6079918861575848</c:v>
                </c:pt>
                <c:pt idx="23">
                  <c:v>1.4399927032295068</c:v>
                </c:pt>
                <c:pt idx="24">
                  <c:v>1.2959934806730455</c:v>
                </c:pt>
                <c:pt idx="25">
                  <c:v>1.1639869202989495</c:v>
                </c:pt>
                <c:pt idx="26">
                  <c:v>1.0559842291453148</c:v>
                </c:pt>
                <c:pt idx="27">
                  <c:v>0.94799037229374328</c:v>
                </c:pt>
                <c:pt idx="28">
                  <c:v>0.86399171571120981</c:v>
                </c:pt>
                <c:pt idx="29">
                  <c:v>0.77999303493690775</c:v>
                </c:pt>
                <c:pt idx="30">
                  <c:v>0.70799433254618904</c:v>
                </c:pt>
                <c:pt idx="31">
                  <c:v>0.63599561296783236</c:v>
                </c:pt>
                <c:pt idx="32">
                  <c:v>0.57599718866855554</c:v>
                </c:pt>
                <c:pt idx="33">
                  <c:v>0.5279999880358055</c:v>
                </c:pt>
                <c:pt idx="34">
                  <c:v>0.47999782756472875</c:v>
                </c:pt>
                <c:pt idx="35">
                  <c:v>0.43199999428910729</c:v>
                </c:pt>
                <c:pt idx="36">
                  <c:v>0.39599999478354242</c:v>
                </c:pt>
                <c:pt idx="37">
                  <c:v>0.35999999527304816</c:v>
                </c:pt>
                <c:pt idx="38">
                  <c:v>0.32399999575815741</c:v>
                </c:pt>
                <c:pt idx="39">
                  <c:v>0.28799999623929651</c:v>
                </c:pt>
                <c:pt idx="40">
                  <c:v>0.26399999656077533</c:v>
                </c:pt>
                <c:pt idx="41">
                  <c:v>0.23999999688012252</c:v>
                </c:pt>
                <c:pt idx="42">
                  <c:v>0.22799999704199436</c:v>
                </c:pt>
                <c:pt idx="43">
                  <c:v>0.2039996921389875</c:v>
                </c:pt>
                <c:pt idx="44">
                  <c:v>0.17999999790552224</c:v>
                </c:pt>
                <c:pt idx="45">
                  <c:v>0.1679999980480229</c:v>
                </c:pt>
                <c:pt idx="46">
                  <c:v>0.15599999818996402</c:v>
                </c:pt>
                <c:pt idx="47">
                  <c:v>0.13199999847027577</c:v>
                </c:pt>
                <c:pt idx="48">
                  <c:v>0.11999999861083133</c:v>
                </c:pt>
                <c:pt idx="49">
                  <c:v>0.11999999861224353</c:v>
                </c:pt>
                <c:pt idx="50">
                  <c:v>0.10799999875218624</c:v>
                </c:pt>
                <c:pt idx="51">
                  <c:v>9.6002125689453877E-2</c:v>
                </c:pt>
                <c:pt idx="52">
                  <c:v>8.4000301998017335E-2</c:v>
                </c:pt>
                <c:pt idx="53">
                  <c:v>7.1999998432286105E-2</c:v>
                </c:pt>
                <c:pt idx="54">
                  <c:v>7.1999998433245338E-2</c:v>
                </c:pt>
                <c:pt idx="55">
                  <c:v>5.9997874479087443E-2</c:v>
                </c:pt>
                <c:pt idx="56">
                  <c:v>5.9998482319212343E-2</c:v>
                </c:pt>
                <c:pt idx="57">
                  <c:v>4.7999999693253415E-2</c:v>
                </c:pt>
                <c:pt idx="58">
                  <c:v>4.7999999693386641E-2</c:v>
                </c:pt>
                <c:pt idx="59">
                  <c:v>4.7999999693519868E-2</c:v>
                </c:pt>
                <c:pt idx="60">
                  <c:v>3.5999999770206514E-2</c:v>
                </c:pt>
                <c:pt idx="61">
                  <c:v>3.5999696663440162E-2</c:v>
                </c:pt>
                <c:pt idx="62">
                  <c:v>3.6001515120824834E-2</c:v>
                </c:pt>
                <c:pt idx="63">
                  <c:v>3.5999999586753262E-2</c:v>
                </c:pt>
                <c:pt idx="64">
                  <c:v>2.3999999724564347E-2</c:v>
                </c:pt>
                <c:pt idx="65">
                  <c:v>2.3999999724644283E-2</c:v>
                </c:pt>
                <c:pt idx="66">
                  <c:v>2.3999999724670928E-2</c:v>
                </c:pt>
                <c:pt idx="67">
                  <c:v>2.3998485261662594E-2</c:v>
                </c:pt>
                <c:pt idx="68">
                  <c:v>2.399909129155553E-2</c:v>
                </c:pt>
                <c:pt idx="69">
                  <c:v>1.1999999984704246E-2</c:v>
                </c:pt>
                <c:pt idx="70">
                  <c:v>1.1999999984704246E-2</c:v>
                </c:pt>
                <c:pt idx="71">
                  <c:v>1.1999999984730891E-2</c:v>
                </c:pt>
                <c:pt idx="72">
                  <c:v>1.1999999984704246E-2</c:v>
                </c:pt>
                <c:pt idx="73">
                  <c:v>1.1999999984704246E-2</c:v>
                </c:pt>
                <c:pt idx="74">
                  <c:v>1.1999999984730891E-2</c:v>
                </c:pt>
                <c:pt idx="75">
                  <c:v>1.2000908249953923E-2</c:v>
                </c:pt>
                <c:pt idx="76">
                  <c:v>1.199999993887424E-2</c:v>
                </c:pt>
                <c:pt idx="77">
                  <c:v>1.2001513561488153E-2</c:v>
                </c:pt>
                <c:pt idx="78">
                  <c:v>1.199999986256195E-2</c:v>
                </c:pt>
                <c:pt idx="79">
                  <c:v>1.1999999862535304E-2</c:v>
                </c:pt>
                <c:pt idx="80">
                  <c:v>1.2000302541270713E-2</c:v>
                </c:pt>
                <c:pt idx="81">
                  <c:v>-1.5133935171718349E-6</c:v>
                </c:pt>
                <c:pt idx="82">
                  <c:v>-9.080361262903125E-7</c:v>
                </c:pt>
                <c:pt idx="83">
                  <c:v>0</c:v>
                </c:pt>
                <c:pt idx="84">
                  <c:v>-3.0267868211808491E-7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9.080361262903125E-7</c:v>
                </c:pt>
                <c:pt idx="89">
                  <c:v>0</c:v>
                </c:pt>
                <c:pt idx="90">
                  <c:v>1.5133934905264823E-6</c:v>
                </c:pt>
                <c:pt idx="91">
                  <c:v>1.1999999862588595E-2</c:v>
                </c:pt>
                <c:pt idx="92">
                  <c:v>0</c:v>
                </c:pt>
                <c:pt idx="93">
                  <c:v>0</c:v>
                </c:pt>
                <c:pt idx="94">
                  <c:v>2.4213074745205176E-6</c:v>
                </c:pt>
                <c:pt idx="95">
                  <c:v>9.0799029628385597E-7</c:v>
                </c:pt>
                <c:pt idx="96">
                  <c:v>1.5133171515913091E-6</c:v>
                </c:pt>
                <c:pt idx="97">
                  <c:v>1.1999999618330648E-2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0D-49F0-B273-48065D1473FC}"/>
            </c:ext>
          </c:extLst>
        </c:ser>
        <c:ser>
          <c:idx val="1"/>
          <c:order val="1"/>
          <c:tx>
            <c:strRef>
              <c:f>'ang accel'!$C$1</c:f>
              <c:strCache>
                <c:ptCount val="1"/>
                <c:pt idx="0">
                  <c:v>Hybrid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'ang accel'!$C$53:$C$150</c:f>
              <c:numCache>
                <c:formatCode>0.00</c:formatCode>
                <c:ptCount val="98"/>
                <c:pt idx="0">
                  <c:v>32.970276742457074</c:v>
                </c:pt>
                <c:pt idx="1">
                  <c:v>26.676292566082974</c:v>
                </c:pt>
                <c:pt idx="2">
                  <c:v>22.775888688450166</c:v>
                </c:pt>
                <c:pt idx="3">
                  <c:v>19.463647419421708</c:v>
                </c:pt>
                <c:pt idx="4">
                  <c:v>16.679598747881496</c:v>
                </c:pt>
                <c:pt idx="5">
                  <c:v>14.33961087850574</c:v>
                </c:pt>
                <c:pt idx="6">
                  <c:v>12.371712222176665</c:v>
                </c:pt>
                <c:pt idx="7">
                  <c:v>10.715779505912364</c:v>
                </c:pt>
                <c:pt idx="8">
                  <c:v>9.3238779506641212</c:v>
                </c:pt>
                <c:pt idx="9">
                  <c:v>8.1479413506891873</c:v>
                </c:pt>
                <c:pt idx="10">
                  <c:v>7.1519898301148643</c:v>
                </c:pt>
                <c:pt idx="11">
                  <c:v>6.3000140708856289</c:v>
                </c:pt>
                <c:pt idx="12">
                  <c:v>5.5680241193730851</c:v>
                </c:pt>
                <c:pt idx="13">
                  <c:v>4.9320222476988995</c:v>
                </c:pt>
                <c:pt idx="14">
                  <c:v>4.3920271015622969</c:v>
                </c:pt>
                <c:pt idx="15">
                  <c:v>3.9240143237359781</c:v>
                </c:pt>
                <c:pt idx="16">
                  <c:v>3.5160153990420007</c:v>
                </c:pt>
                <c:pt idx="17">
                  <c:v>3.1440053041260985</c:v>
                </c:pt>
                <c:pt idx="18">
                  <c:v>2.8319879536339698</c:v>
                </c:pt>
                <c:pt idx="19">
                  <c:v>2.5559890590475742</c:v>
                </c:pt>
                <c:pt idx="20">
                  <c:v>2.3039900744716402</c:v>
                </c:pt>
                <c:pt idx="21">
                  <c:v>2.0759910152758199</c:v>
                </c:pt>
                <c:pt idx="22">
                  <c:v>1.883991890022676</c:v>
                </c:pt>
                <c:pt idx="23">
                  <c:v>1.7039927184472781</c:v>
                </c:pt>
                <c:pt idx="24">
                  <c:v>1.5479868547746012</c:v>
                </c:pt>
                <c:pt idx="25">
                  <c:v>1.4159883168441212</c:v>
                </c:pt>
                <c:pt idx="26">
                  <c:v>1.2839897318127313</c:v>
                </c:pt>
                <c:pt idx="27">
                  <c:v>1.1639957744826557</c:v>
                </c:pt>
                <c:pt idx="28">
                  <c:v>1.0679964477792048</c:v>
                </c:pt>
                <c:pt idx="29">
                  <c:v>0.97199710744364509</c:v>
                </c:pt>
                <c:pt idx="30">
                  <c:v>0.88799775418591409</c:v>
                </c:pt>
                <c:pt idx="31">
                  <c:v>0.8039983911876547</c:v>
                </c:pt>
                <c:pt idx="32">
                  <c:v>0.7319999352969031</c:v>
                </c:pt>
                <c:pt idx="33">
                  <c:v>0.67199537219376104</c:v>
                </c:pt>
                <c:pt idx="34">
                  <c:v>0.61199600894756401</c:v>
                </c:pt>
                <c:pt idx="35">
                  <c:v>0.56399663731188987</c:v>
                </c:pt>
                <c:pt idx="36">
                  <c:v>0.51599725917669481</c:v>
                </c:pt>
                <c:pt idx="37">
                  <c:v>0.46799787535157122</c:v>
                </c:pt>
                <c:pt idx="38">
                  <c:v>0.43199999290714608</c:v>
                </c:pt>
                <c:pt idx="39">
                  <c:v>0.39599999352065929</c:v>
                </c:pt>
                <c:pt idx="40">
                  <c:v>0.35999999412831052</c:v>
                </c:pt>
                <c:pt idx="41">
                  <c:v>0.3239999947305261</c:v>
                </c:pt>
                <c:pt idx="42">
                  <c:v>0.2999999951335397</c:v>
                </c:pt>
                <c:pt idx="43">
                  <c:v>0.27599909791225841</c:v>
                </c:pt>
                <c:pt idx="44">
                  <c:v>0.25199999686991603</c:v>
                </c:pt>
                <c:pt idx="45">
                  <c:v>0.22799969856219349</c:v>
                </c:pt>
                <c:pt idx="46">
                  <c:v>0.21600208600382587</c:v>
                </c:pt>
                <c:pt idx="47">
                  <c:v>0.1919999962053609</c:v>
                </c:pt>
                <c:pt idx="48">
                  <c:v>0.17999999644791487</c:v>
                </c:pt>
                <c:pt idx="49">
                  <c:v>0.16799791294273447</c:v>
                </c:pt>
                <c:pt idx="50">
                  <c:v>0.14399851090095339</c:v>
                </c:pt>
                <c:pt idx="51">
                  <c:v>0.1319991073348703</c:v>
                </c:pt>
                <c:pt idx="52">
                  <c:v>0.11999999985274457</c:v>
                </c:pt>
                <c:pt idx="53">
                  <c:v>0.11999999985285115</c:v>
                </c:pt>
                <c:pt idx="54">
                  <c:v>0.10799999986769393</c:v>
                </c:pt>
                <c:pt idx="55">
                  <c:v>9.5999999882483422E-2</c:v>
                </c:pt>
                <c:pt idx="56">
                  <c:v>8.3999999897326205E-2</c:v>
                </c:pt>
                <c:pt idx="57">
                  <c:v>8.4000889664999079E-2</c:v>
                </c:pt>
                <c:pt idx="58">
                  <c:v>7.2001482154657737E-2</c:v>
                </c:pt>
                <c:pt idx="59">
                  <c:v>7.1999999208998133E-2</c:v>
                </c:pt>
                <c:pt idx="60">
                  <c:v>5.999999934124034E-2</c:v>
                </c:pt>
                <c:pt idx="61">
                  <c:v>5.9999999341506793E-2</c:v>
                </c:pt>
                <c:pt idx="62">
                  <c:v>4.7998518430780734E-2</c:v>
                </c:pt>
                <c:pt idx="63">
                  <c:v>4.7999111315935039E-2</c:v>
                </c:pt>
                <c:pt idx="64">
                  <c:v>4.7999703850010178E-2</c:v>
                </c:pt>
                <c:pt idx="65">
                  <c:v>3.599999999996939E-2</c:v>
                </c:pt>
                <c:pt idx="66">
                  <c:v>3.6000000000022681E-2</c:v>
                </c:pt>
                <c:pt idx="67">
                  <c:v>3.599999999996939E-2</c:v>
                </c:pt>
                <c:pt idx="68">
                  <c:v>3.6000000000022681E-2</c:v>
                </c:pt>
                <c:pt idx="69">
                  <c:v>2.3999999999997357E-2</c:v>
                </c:pt>
                <c:pt idx="70">
                  <c:v>2.4000295858002119E-2</c:v>
                </c:pt>
                <c:pt idx="71">
                  <c:v>2.4000887457251707E-2</c:v>
                </c:pt>
                <c:pt idx="72">
                  <c:v>2.3999999883290712E-2</c:v>
                </c:pt>
                <c:pt idx="73">
                  <c:v>2.3999999883344003E-2</c:v>
                </c:pt>
                <c:pt idx="74">
                  <c:v>2.3999999883397294E-2</c:v>
                </c:pt>
                <c:pt idx="75">
                  <c:v>1.1999112761476027E-2</c:v>
                </c:pt>
                <c:pt idx="76">
                  <c:v>1.1999704273222278E-2</c:v>
                </c:pt>
                <c:pt idx="77">
                  <c:v>1.2000000000025324E-2</c:v>
                </c:pt>
                <c:pt idx="78">
                  <c:v>1.1999999999972033E-2</c:v>
                </c:pt>
                <c:pt idx="79">
                  <c:v>1.2000000000025324E-2</c:v>
                </c:pt>
                <c:pt idx="80">
                  <c:v>1.1999999999972033E-2</c:v>
                </c:pt>
                <c:pt idx="81">
                  <c:v>1.2000000000025324E-2</c:v>
                </c:pt>
                <c:pt idx="82">
                  <c:v>1.2000295624723378E-2</c:v>
                </c:pt>
                <c:pt idx="83">
                  <c:v>1.1999999985476961E-2</c:v>
                </c:pt>
                <c:pt idx="84">
                  <c:v>1.1999999985423671E-2</c:v>
                </c:pt>
                <c:pt idx="85">
                  <c:v>1.1999999985423671E-2</c:v>
                </c:pt>
                <c:pt idx="86">
                  <c:v>0</c:v>
                </c:pt>
                <c:pt idx="87">
                  <c:v>0</c:v>
                </c:pt>
                <c:pt idx="88">
                  <c:v>1.2000886684884193E-2</c:v>
                </c:pt>
                <c:pt idx="89">
                  <c:v>1.4778325230224709E-6</c:v>
                </c:pt>
                <c:pt idx="90">
                  <c:v>0</c:v>
                </c:pt>
                <c:pt idx="91">
                  <c:v>1.199999986898348E-2</c:v>
                </c:pt>
                <c:pt idx="92">
                  <c:v>-1.4777596746284871E-6</c:v>
                </c:pt>
                <c:pt idx="93">
                  <c:v>-8.8665586872593849E-7</c:v>
                </c:pt>
                <c:pt idx="94">
                  <c:v>1.1999704448069082E-2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0D-49F0-B273-48065D1473FC}"/>
            </c:ext>
          </c:extLst>
        </c:ser>
        <c:ser>
          <c:idx val="2"/>
          <c:order val="2"/>
          <c:tx>
            <c:strRef>
              <c:f>'ang accel'!$D$1</c:f>
              <c:strCache>
                <c:ptCount val="1"/>
                <c:pt idx="0">
                  <c:v>Dominus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'ang accel'!$D$53:$D$150</c:f>
              <c:numCache>
                <c:formatCode>0.00</c:formatCode>
                <c:ptCount val="98"/>
                <c:pt idx="0">
                  <c:v>32.666165943933521</c:v>
                </c:pt>
                <c:pt idx="1">
                  <c:v>26.47246718294079</c:v>
                </c:pt>
                <c:pt idx="2">
                  <c:v>22.631099978746715</c:v>
                </c:pt>
                <c:pt idx="3">
                  <c:v>19.390658594662348</c:v>
                </c:pt>
                <c:pt idx="4">
                  <c:v>16.642750845288123</c:v>
                </c:pt>
                <c:pt idx="5">
                  <c:v>14.339035400952875</c:v>
                </c:pt>
                <c:pt idx="6">
                  <c:v>12.395353371788964</c:v>
                </c:pt>
                <c:pt idx="7">
                  <c:v>10.775659154711672</c:v>
                </c:pt>
                <c:pt idx="8">
                  <c:v>9.3958698456073808</c:v>
                </c:pt>
                <c:pt idx="9">
                  <c:v>8.2319918037729156</c:v>
                </c:pt>
                <c:pt idx="10">
                  <c:v>7.2360432660236462</c:v>
                </c:pt>
                <c:pt idx="11">
                  <c:v>6.3840681093058116</c:v>
                </c:pt>
                <c:pt idx="12">
                  <c:v>5.6640571715132726</c:v>
                </c:pt>
                <c:pt idx="13">
                  <c:v>5.0400422212877238</c:v>
                </c:pt>
                <c:pt idx="14">
                  <c:v>4.4880201345022375</c:v>
                </c:pt>
                <c:pt idx="15">
                  <c:v>4.0200062029178163</c:v>
                </c:pt>
                <c:pt idx="16">
                  <c:v>3.6119817052015524</c:v>
                </c:pt>
                <c:pt idx="17">
                  <c:v>3.2399603499899943</c:v>
                </c:pt>
                <c:pt idx="18">
                  <c:v>2.9279650915841327</c:v>
                </c:pt>
                <c:pt idx="19">
                  <c:v>2.6399694794239359</c:v>
                </c:pt>
                <c:pt idx="20">
                  <c:v>2.3879735749206521</c:v>
                </c:pt>
                <c:pt idx="21">
                  <c:v>2.171991653253027</c:v>
                </c:pt>
                <c:pt idx="22">
                  <c:v>1.9679851592662079</c:v>
                </c:pt>
                <c:pt idx="23">
                  <c:v>1.787986732384903</c:v>
                </c:pt>
                <c:pt idx="24">
                  <c:v>1.6199882347303163</c:v>
                </c:pt>
                <c:pt idx="25">
                  <c:v>1.4759950043642256</c:v>
                </c:pt>
                <c:pt idx="26">
                  <c:v>1.3439957118639256</c:v>
                </c:pt>
                <c:pt idx="27">
                  <c:v>1.2359963963752119</c:v>
                </c:pt>
                <c:pt idx="28">
                  <c:v>1.1279970650101578</c:v>
                </c:pt>
                <c:pt idx="29">
                  <c:v>1.0199924988074738</c:v>
                </c:pt>
                <c:pt idx="30">
                  <c:v>0.93599379276223971</c:v>
                </c:pt>
                <c:pt idx="31">
                  <c:v>0.85199597911545411</c:v>
                </c:pt>
                <c:pt idx="32">
                  <c:v>0.77999570671000384</c:v>
                </c:pt>
                <c:pt idx="33">
                  <c:v>0.71999725018058847</c:v>
                </c:pt>
                <c:pt idx="34">
                  <c:v>0.65999756943417864</c:v>
                </c:pt>
                <c:pt idx="35">
                  <c:v>0.5999984867729502</c:v>
                </c:pt>
                <c:pt idx="36">
                  <c:v>0.55199909546437276</c:v>
                </c:pt>
                <c:pt idx="37">
                  <c:v>0.50399969941388179</c:v>
                </c:pt>
                <c:pt idx="38">
                  <c:v>0.4679999999999751</c:v>
                </c:pt>
                <c:pt idx="39">
                  <c:v>0.4200002988494056</c:v>
                </c:pt>
                <c:pt idx="40">
                  <c:v>0.39599999950965525</c:v>
                </c:pt>
                <c:pt idx="41">
                  <c:v>0.36000089329931484</c:v>
                </c:pt>
                <c:pt idx="42">
                  <c:v>0.32400148598332734</c:v>
                </c:pt>
                <c:pt idx="43">
                  <c:v>0.29999999668477884</c:v>
                </c:pt>
                <c:pt idx="44">
                  <c:v>0.27599999695720356</c:v>
                </c:pt>
                <c:pt idx="45">
                  <c:v>0.25200207273680775</c:v>
                </c:pt>
                <c:pt idx="46">
                  <c:v>0.2279999955499612</c:v>
                </c:pt>
                <c:pt idx="47">
                  <c:v>0.21599999579182239</c:v>
                </c:pt>
                <c:pt idx="48">
                  <c:v>0.19199999626568598</c:v>
                </c:pt>
                <c:pt idx="49">
                  <c:v>0.17999999650440301</c:v>
                </c:pt>
                <c:pt idx="50">
                  <c:v>0.16799999674210753</c:v>
                </c:pt>
                <c:pt idx="51">
                  <c:v>0.15599999697885281</c:v>
                </c:pt>
                <c:pt idx="52">
                  <c:v>0.14399999721458556</c:v>
                </c:pt>
                <c:pt idx="53">
                  <c:v>0.13199999744967883</c:v>
                </c:pt>
                <c:pt idx="54">
                  <c:v>0.11999999768386616</c:v>
                </c:pt>
                <c:pt idx="55">
                  <c:v>0.10799999791746728</c:v>
                </c:pt>
                <c:pt idx="56">
                  <c:v>9.5999998150428922E-2</c:v>
                </c:pt>
                <c:pt idx="57">
                  <c:v>9.5999998151814481E-2</c:v>
                </c:pt>
                <c:pt idx="58">
                  <c:v>8.399999838403005E-2</c:v>
                </c:pt>
                <c:pt idx="59">
                  <c:v>7.1999998615819294E-2</c:v>
                </c:pt>
                <c:pt idx="60">
                  <c:v>7.1999998616565364E-2</c:v>
                </c:pt>
                <c:pt idx="61">
                  <c:v>5.999999884776841E-2</c:v>
                </c:pt>
                <c:pt idx="62">
                  <c:v>5.9999998848354608E-2</c:v>
                </c:pt>
                <c:pt idx="63">
                  <c:v>5.9997942344054422E-2</c:v>
                </c:pt>
                <c:pt idx="64">
                  <c:v>4.7999999482222222E-2</c:v>
                </c:pt>
                <c:pt idx="65">
                  <c:v>4.7998531125532651E-2</c:v>
                </c:pt>
                <c:pt idx="66">
                  <c:v>4.7999999770045321E-2</c:v>
                </c:pt>
                <c:pt idx="67">
                  <c:v>3.5999119115217582E-2</c:v>
                </c:pt>
                <c:pt idx="68">
                  <c:v>3.59999999569105E-2</c:v>
                </c:pt>
                <c:pt idx="69">
                  <c:v>3.5999999956963791E-2</c:v>
                </c:pt>
                <c:pt idx="70">
                  <c:v>2.3999999971273667E-2</c:v>
                </c:pt>
                <c:pt idx="71">
                  <c:v>2.3999999971273667E-2</c:v>
                </c:pt>
                <c:pt idx="72">
                  <c:v>2.3999999971326957E-2</c:v>
                </c:pt>
                <c:pt idx="73">
                  <c:v>2.3999999971326957E-2</c:v>
                </c:pt>
                <c:pt idx="74">
                  <c:v>2.3999999971273667E-2</c:v>
                </c:pt>
                <c:pt idx="75">
                  <c:v>2.399970665885931E-2</c:v>
                </c:pt>
                <c:pt idx="76">
                  <c:v>2.3999999999997357E-2</c:v>
                </c:pt>
                <c:pt idx="77">
                  <c:v>1.2000000000025324E-2</c:v>
                </c:pt>
                <c:pt idx="78">
                  <c:v>1.2000293255098882E-2</c:v>
                </c:pt>
                <c:pt idx="79">
                  <c:v>1.1999999985690124E-2</c:v>
                </c:pt>
                <c:pt idx="80">
                  <c:v>1.2000879665059472E-2</c:v>
                </c:pt>
                <c:pt idx="81">
                  <c:v>1.1999999942684525E-2</c:v>
                </c:pt>
                <c:pt idx="82">
                  <c:v>1.1999999942737816E-2</c:v>
                </c:pt>
                <c:pt idx="83">
                  <c:v>1.2001465860045357E-2</c:v>
                </c:pt>
                <c:pt idx="84">
                  <c:v>1.1999999871115108E-2</c:v>
                </c:pt>
                <c:pt idx="85">
                  <c:v>1.1999999871061817E-2</c:v>
                </c:pt>
                <c:pt idx="86">
                  <c:v>1.2002051854658191E-2</c:v>
                </c:pt>
                <c:pt idx="87">
                  <c:v>1.1999999770822001E-2</c:v>
                </c:pt>
                <c:pt idx="88">
                  <c:v>0</c:v>
                </c:pt>
                <c:pt idx="89">
                  <c:v>0</c:v>
                </c:pt>
                <c:pt idx="90">
                  <c:v>1.1999999770928582E-2</c:v>
                </c:pt>
                <c:pt idx="91">
                  <c:v>0</c:v>
                </c:pt>
                <c:pt idx="92">
                  <c:v>0</c:v>
                </c:pt>
                <c:pt idx="93">
                  <c:v>1.1999999770875291E-2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0D-49F0-B273-48065D1473FC}"/>
            </c:ext>
          </c:extLst>
        </c:ser>
        <c:ser>
          <c:idx val="3"/>
          <c:order val="3"/>
          <c:tx>
            <c:strRef>
              <c:f>'ang accel'!$E$1</c:f>
              <c:strCache>
                <c:ptCount val="1"/>
                <c:pt idx="0">
                  <c:v>Plank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'ang accel'!$E$53:$E$150</c:f>
              <c:numCache>
                <c:formatCode>0.00</c:formatCode>
                <c:ptCount val="98"/>
                <c:pt idx="0">
                  <c:v>31.332535422464616</c:v>
                </c:pt>
                <c:pt idx="1">
                  <c:v>25.524237050126548</c:v>
                </c:pt>
                <c:pt idx="2">
                  <c:v>21.984032089513605</c:v>
                </c:pt>
                <c:pt idx="3">
                  <c:v>18.959944882876471</c:v>
                </c:pt>
                <c:pt idx="4">
                  <c:v>16.379859066271667</c:v>
                </c:pt>
                <c:pt idx="5">
                  <c:v>14.195858117175533</c:v>
                </c:pt>
                <c:pt idx="6">
                  <c:v>12.335859313544395</c:v>
                </c:pt>
                <c:pt idx="7">
                  <c:v>10.763879872669877</c:v>
                </c:pt>
                <c:pt idx="8">
                  <c:v>9.4319060504835939</c:v>
                </c:pt>
                <c:pt idx="9">
                  <c:v>8.2919379221003986</c:v>
                </c:pt>
                <c:pt idx="10">
                  <c:v>7.3079640818325142</c:v>
                </c:pt>
                <c:pt idx="11">
                  <c:v>6.4799865244091759</c:v>
                </c:pt>
                <c:pt idx="12">
                  <c:v>5.7480015139578455</c:v>
                </c:pt>
                <c:pt idx="13">
                  <c:v>5.1240073776245865</c:v>
                </c:pt>
                <c:pt idx="14">
                  <c:v>4.584008856086399</c:v>
                </c:pt>
                <c:pt idx="15">
                  <c:v>4.1160120721306548</c:v>
                </c:pt>
                <c:pt idx="16">
                  <c:v>3.6960092328535676</c:v>
                </c:pt>
                <c:pt idx="17">
                  <c:v>3.3240103677861566</c:v>
                </c:pt>
                <c:pt idx="18">
                  <c:v>3.0000057322324913</c:v>
                </c:pt>
                <c:pt idx="19">
                  <c:v>2.7119993002940213</c:v>
                </c:pt>
                <c:pt idx="20">
                  <c:v>2.4599993803859554</c:v>
                </c:pt>
                <c:pt idx="21">
                  <c:v>2.2319994498043982</c:v>
                </c:pt>
                <c:pt idx="22">
                  <c:v>2.0279995096834291</c:v>
                </c:pt>
                <c:pt idx="23">
                  <c:v>1.8479947364958704</c:v>
                </c:pt>
                <c:pt idx="24">
                  <c:v>1.6799996430331721</c:v>
                </c:pt>
                <c:pt idx="25">
                  <c:v>1.5359895318718131</c:v>
                </c:pt>
                <c:pt idx="26">
                  <c:v>1.4039997720361441</c:v>
                </c:pt>
                <c:pt idx="27">
                  <c:v>1.2839910197400162</c:v>
                </c:pt>
                <c:pt idx="28">
                  <c:v>1.1639951826403205</c:v>
                </c:pt>
                <c:pt idx="29">
                  <c:v>1.0679998937868174</c:v>
                </c:pt>
                <c:pt idx="30">
                  <c:v>0.98399310413630481</c:v>
                </c:pt>
                <c:pt idx="31">
                  <c:v>0.89999655180867499</c:v>
                </c:pt>
                <c:pt idx="32">
                  <c:v>0.81599995611584042</c:v>
                </c:pt>
                <c:pt idx="33">
                  <c:v>0.75599720746089005</c:v>
                </c:pt>
                <c:pt idx="34">
                  <c:v>0.69599783690462047</c:v>
                </c:pt>
                <c:pt idx="35">
                  <c:v>0.63599633063138761</c:v>
                </c:pt>
                <c:pt idx="36">
                  <c:v>0.5879990802439039</c:v>
                </c:pt>
                <c:pt idx="37">
                  <c:v>0.52799848002718086</c:v>
                </c:pt>
                <c:pt idx="38">
                  <c:v>0.49199999687692397</c:v>
                </c:pt>
                <c:pt idx="39">
                  <c:v>0.44399909280640415</c:v>
                </c:pt>
                <c:pt idx="40">
                  <c:v>0.41999999894160034</c:v>
                </c:pt>
                <c:pt idx="41">
                  <c:v>0.38399969858490479</c:v>
                </c:pt>
                <c:pt idx="42">
                  <c:v>0.34799999956431016</c:v>
                </c:pt>
                <c:pt idx="43">
                  <c:v>0.32399999959554115</c:v>
                </c:pt>
                <c:pt idx="44">
                  <c:v>0.28799999964132184</c:v>
                </c:pt>
                <c:pt idx="45">
                  <c:v>0.27599999965712385</c:v>
                </c:pt>
                <c:pt idx="46">
                  <c:v>0.25199999968760878</c:v>
                </c:pt>
                <c:pt idx="47">
                  <c:v>0.22799999971793383</c:v>
                </c:pt>
                <c:pt idx="48">
                  <c:v>0.20399999974804572</c:v>
                </c:pt>
                <c:pt idx="49">
                  <c:v>0.19199999976331483</c:v>
                </c:pt>
                <c:pt idx="50">
                  <c:v>0.17999999977837078</c:v>
                </c:pt>
                <c:pt idx="51">
                  <c:v>0.16799999979353331</c:v>
                </c:pt>
                <c:pt idx="52">
                  <c:v>0.14399999982316558</c:v>
                </c:pt>
                <c:pt idx="53">
                  <c:v>0.14399999982343203</c:v>
                </c:pt>
                <c:pt idx="54">
                  <c:v>0.13199999983832811</c:v>
                </c:pt>
                <c:pt idx="55">
                  <c:v>0.11999999985317089</c:v>
                </c:pt>
                <c:pt idx="56">
                  <c:v>0.10799970326409891</c:v>
                </c:pt>
                <c:pt idx="57">
                  <c:v>9.5999999999989427E-2</c:v>
                </c:pt>
                <c:pt idx="58">
                  <c:v>9.6000000000042718E-2</c:v>
                </c:pt>
                <c:pt idx="59">
                  <c:v>8.3999999999964103E-2</c:v>
                </c:pt>
                <c:pt idx="60">
                  <c:v>7.199999999999207E-2</c:v>
                </c:pt>
                <c:pt idx="61">
                  <c:v>7.2000000000045361E-2</c:v>
                </c:pt>
                <c:pt idx="62">
                  <c:v>5.9999999999966747E-2</c:v>
                </c:pt>
                <c:pt idx="63">
                  <c:v>6.0000000000020037E-2</c:v>
                </c:pt>
                <c:pt idx="64">
                  <c:v>6.0000295872519871E-2</c:v>
                </c:pt>
                <c:pt idx="65">
                  <c:v>4.7999999941694682E-2</c:v>
                </c:pt>
                <c:pt idx="66">
                  <c:v>4.7999999941694682E-2</c:v>
                </c:pt>
                <c:pt idx="67">
                  <c:v>4.7999999941694682E-2</c:v>
                </c:pt>
                <c:pt idx="68">
                  <c:v>3.6000886917921804E-2</c:v>
                </c:pt>
                <c:pt idx="69">
                  <c:v>3.5999999825229168E-2</c:v>
                </c:pt>
                <c:pt idx="70">
                  <c:v>3.5999999825175877E-2</c:v>
                </c:pt>
                <c:pt idx="71">
                  <c:v>2.3999999883557166E-2</c:v>
                </c:pt>
                <c:pt idx="72">
                  <c:v>2.3999999883610457E-2</c:v>
                </c:pt>
                <c:pt idx="73">
                  <c:v>2.3999999883557166E-2</c:v>
                </c:pt>
                <c:pt idx="74">
                  <c:v>2.3999999883610457E-2</c:v>
                </c:pt>
                <c:pt idx="75">
                  <c:v>2.3999999883610457E-2</c:v>
                </c:pt>
                <c:pt idx="76">
                  <c:v>2.3999999883663747E-2</c:v>
                </c:pt>
                <c:pt idx="77">
                  <c:v>2.3999999883663747E-2</c:v>
                </c:pt>
                <c:pt idx="78">
                  <c:v>1.1999999941831874E-2</c:v>
                </c:pt>
                <c:pt idx="79">
                  <c:v>1.1999999941885164E-2</c:v>
                </c:pt>
                <c:pt idx="80">
                  <c:v>1.1999113984231258E-2</c:v>
                </c:pt>
                <c:pt idx="81">
                  <c:v>1.1999704680842882E-2</c:v>
                </c:pt>
                <c:pt idx="82">
                  <c:v>1.1999999999972033E-2</c:v>
                </c:pt>
                <c:pt idx="83">
                  <c:v>1.2000000000025324E-2</c:v>
                </c:pt>
                <c:pt idx="84">
                  <c:v>1.1999999999972033E-2</c:v>
                </c:pt>
                <c:pt idx="85">
                  <c:v>1.2000000000025324E-2</c:v>
                </c:pt>
                <c:pt idx="86">
                  <c:v>1.2000000000025324E-2</c:v>
                </c:pt>
                <c:pt idx="87">
                  <c:v>1.2000295217422519E-2</c:v>
                </c:pt>
                <c:pt idx="88">
                  <c:v>1.1999999985530252E-2</c:v>
                </c:pt>
                <c:pt idx="89">
                  <c:v>1.1999999985423671E-2</c:v>
                </c:pt>
                <c:pt idx="90">
                  <c:v>8.8556527444438871E-7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1.1999999941991746E-2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0D-49F0-B273-48065D1473FC}"/>
            </c:ext>
          </c:extLst>
        </c:ser>
        <c:ser>
          <c:idx val="4"/>
          <c:order val="4"/>
          <c:tx>
            <c:strRef>
              <c:f>'ang accel'!$F$1</c:f>
              <c:strCache>
                <c:ptCount val="1"/>
                <c:pt idx="0">
                  <c:v>Batmobile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'ang accel'!$F$53:$F$150</c:f>
              <c:numCache>
                <c:formatCode>0.00</c:formatCode>
                <c:ptCount val="98"/>
                <c:pt idx="0">
                  <c:v>31.320478157269566</c:v>
                </c:pt>
                <c:pt idx="1">
                  <c:v>25.48816188982186</c:v>
                </c:pt>
                <c:pt idx="2">
                  <c:v>21.936049373846672</c:v>
                </c:pt>
                <c:pt idx="3">
                  <c:v>18.887924146455461</c:v>
                </c:pt>
                <c:pt idx="4">
                  <c:v>16.29586294309086</c:v>
                </c:pt>
                <c:pt idx="5">
                  <c:v>14.099866539013796</c:v>
                </c:pt>
                <c:pt idx="6">
                  <c:v>12.227885389740809</c:v>
                </c:pt>
                <c:pt idx="7">
                  <c:v>10.643903727701121</c:v>
                </c:pt>
                <c:pt idx="8">
                  <c:v>9.3119383895569463</c:v>
                </c:pt>
                <c:pt idx="9">
                  <c:v>8.159954245724732</c:v>
                </c:pt>
                <c:pt idx="10">
                  <c:v>7.1879821697534219</c:v>
                </c:pt>
                <c:pt idx="11">
                  <c:v>6.3479934238292124</c:v>
                </c:pt>
                <c:pt idx="12">
                  <c:v>5.628000372048092</c:v>
                </c:pt>
                <c:pt idx="13">
                  <c:v>5.004005963216196</c:v>
                </c:pt>
                <c:pt idx="14">
                  <c:v>4.4640049641248858</c:v>
                </c:pt>
                <c:pt idx="15">
                  <c:v>3.9960062152533382</c:v>
                </c:pt>
                <c:pt idx="16">
                  <c:v>3.5760074297673405</c:v>
                </c:pt>
                <c:pt idx="17">
                  <c:v>3.2160041123130689</c:v>
                </c:pt>
                <c:pt idx="18">
                  <c:v>2.9040040364778186</c:v>
                </c:pt>
                <c:pt idx="19">
                  <c:v>2.6159995893000509</c:v>
                </c:pt>
                <c:pt idx="20">
                  <c:v>2.3639996374325367</c:v>
                </c:pt>
                <c:pt idx="21">
                  <c:v>2.1359996791691493</c:v>
                </c:pt>
                <c:pt idx="22">
                  <c:v>1.9439997134290454</c:v>
                </c:pt>
                <c:pt idx="23">
                  <c:v>1.7639997443161182</c:v>
                </c:pt>
                <c:pt idx="24">
                  <c:v>1.5959955770240519</c:v>
                </c:pt>
                <c:pt idx="25">
                  <c:v>1.4519998226466679</c:v>
                </c:pt>
                <c:pt idx="26">
                  <c:v>1.3319963333333362</c:v>
                </c:pt>
                <c:pt idx="27">
                  <c:v>1.2119928996016238</c:v>
                </c:pt>
                <c:pt idx="28">
                  <c:v>1.1039942414219439</c:v>
                </c:pt>
                <c:pt idx="29">
                  <c:v>1.0079955553848929</c:v>
                </c:pt>
                <c:pt idx="30">
                  <c:v>0.9239999747787131</c:v>
                </c:pt>
                <c:pt idx="31">
                  <c:v>0.83999904213318821</c:v>
                </c:pt>
                <c:pt idx="32">
                  <c:v>0.76799967176852668</c:v>
                </c:pt>
                <c:pt idx="33">
                  <c:v>0.69599781692724072</c:v>
                </c:pt>
                <c:pt idx="34">
                  <c:v>0.64799844784893423</c:v>
                </c:pt>
                <c:pt idx="35">
                  <c:v>0.5879999968912486</c:v>
                </c:pt>
                <c:pt idx="36">
                  <c:v>0.53999999715871994</c:v>
                </c:pt>
                <c:pt idx="37">
                  <c:v>0.49199999742267408</c:v>
                </c:pt>
                <c:pt idx="38">
                  <c:v>0.45600030377458189</c:v>
                </c:pt>
                <c:pt idx="39">
                  <c:v>0.407999997348929</c:v>
                </c:pt>
                <c:pt idx="40">
                  <c:v>0.38399999751320024</c:v>
                </c:pt>
                <c:pt idx="41">
                  <c:v>0.34799999775338541</c:v>
                </c:pt>
                <c:pt idx="42">
                  <c:v>0.31199908516615693</c:v>
                </c:pt>
                <c:pt idx="43">
                  <c:v>0.28799969535504566</c:v>
                </c:pt>
                <c:pt idx="44">
                  <c:v>0.26399999966173482</c:v>
                </c:pt>
                <c:pt idx="45">
                  <c:v>0.25199999967780329</c:v>
                </c:pt>
                <c:pt idx="46">
                  <c:v>0.22799999970908758</c:v>
                </c:pt>
                <c:pt idx="47">
                  <c:v>0.20399999974018534</c:v>
                </c:pt>
                <c:pt idx="48">
                  <c:v>0.19200030220570596</c:v>
                </c:pt>
                <c:pt idx="49">
                  <c:v>0.1800009062069563</c:v>
                </c:pt>
                <c:pt idx="50">
                  <c:v>0.15599999901114714</c:v>
                </c:pt>
                <c:pt idx="51">
                  <c:v>0.14399999908836669</c:v>
                </c:pt>
                <c:pt idx="52">
                  <c:v>0.13199999916529315</c:v>
                </c:pt>
                <c:pt idx="53">
                  <c:v>0.11999999924200644</c:v>
                </c:pt>
                <c:pt idx="54">
                  <c:v>0.11999999924272586</c:v>
                </c:pt>
                <c:pt idx="55">
                  <c:v>0.1079996980840825</c:v>
                </c:pt>
                <c:pt idx="56">
                  <c:v>9.5999096173855492E-2</c:v>
                </c:pt>
                <c:pt idx="57">
                  <c:v>8.399999989426199E-2</c:v>
                </c:pt>
                <c:pt idx="58">
                  <c:v>8.3999698991625849E-2</c:v>
                </c:pt>
                <c:pt idx="59">
                  <c:v>7.199999999999207E-2</c:v>
                </c:pt>
                <c:pt idx="60">
                  <c:v>7.2000000000018716E-2</c:v>
                </c:pt>
                <c:pt idx="61">
                  <c:v>5.9999999999993392E-2</c:v>
                </c:pt>
                <c:pt idx="62">
                  <c:v>5.9999999999993392E-2</c:v>
                </c:pt>
                <c:pt idx="63">
                  <c:v>4.7999999999994714E-2</c:v>
                </c:pt>
                <c:pt idx="64">
                  <c:v>4.8000000000021359E-2</c:v>
                </c:pt>
                <c:pt idx="65">
                  <c:v>4.7999999999994714E-2</c:v>
                </c:pt>
                <c:pt idx="66">
                  <c:v>3.6000300345397918E-2</c:v>
                </c:pt>
                <c:pt idx="67">
                  <c:v>3.5999999954885453E-2</c:v>
                </c:pt>
                <c:pt idx="68">
                  <c:v>3.6000300210146108E-2</c:v>
                </c:pt>
                <c:pt idx="69">
                  <c:v>3.5999999909854807E-2</c:v>
                </c:pt>
                <c:pt idx="70">
                  <c:v>2.4000900480247722E-2</c:v>
                </c:pt>
                <c:pt idx="71">
                  <c:v>2.3999999849850795E-2</c:v>
                </c:pt>
                <c:pt idx="72">
                  <c:v>2.3999999849850795E-2</c:v>
                </c:pt>
                <c:pt idx="73">
                  <c:v>2.3999999849904086E-2</c:v>
                </c:pt>
                <c:pt idx="74">
                  <c:v>2.3999999849904086E-2</c:v>
                </c:pt>
                <c:pt idx="75">
                  <c:v>2.3999999849984022E-2</c:v>
                </c:pt>
                <c:pt idx="76">
                  <c:v>1.1999099879966835E-2</c:v>
                </c:pt>
                <c:pt idx="77">
                  <c:v>1.1999699969971189E-2</c:v>
                </c:pt>
                <c:pt idx="78">
                  <c:v>1.1999999985050636E-2</c:v>
                </c:pt>
                <c:pt idx="79">
                  <c:v>1.1999999984944054E-2</c:v>
                </c:pt>
                <c:pt idx="80">
                  <c:v>1.1999999985050636E-2</c:v>
                </c:pt>
                <c:pt idx="81">
                  <c:v>1.1999700044977857E-2</c:v>
                </c:pt>
                <c:pt idx="82">
                  <c:v>1.2000000000025324E-2</c:v>
                </c:pt>
                <c:pt idx="83">
                  <c:v>1.2000299909988854E-2</c:v>
                </c:pt>
                <c:pt idx="84">
                  <c:v>1.1999999985050636E-2</c:v>
                </c:pt>
                <c:pt idx="85">
                  <c:v>1.1999999984944054E-2</c:v>
                </c:pt>
                <c:pt idx="86">
                  <c:v>1.1999999985103926E-2</c:v>
                </c:pt>
                <c:pt idx="87">
                  <c:v>1.2000299835008832E-2</c:v>
                </c:pt>
                <c:pt idx="88">
                  <c:v>0</c:v>
                </c:pt>
                <c:pt idx="89">
                  <c:v>-2.9985006477772913E-7</c:v>
                </c:pt>
                <c:pt idx="90">
                  <c:v>8.9955024762389257E-7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2.9985006477772913E-7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0D-49F0-B273-48065D1473FC}"/>
            </c:ext>
          </c:extLst>
        </c:ser>
        <c:ser>
          <c:idx val="5"/>
          <c:order val="5"/>
          <c:tx>
            <c:strRef>
              <c:f>'ang accel'!$G$1</c:f>
              <c:strCache>
                <c:ptCount val="1"/>
                <c:pt idx="0">
                  <c:v>Breakout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'ang accel'!$G$53:$G$150</c:f>
              <c:numCache>
                <c:formatCode>0.00</c:formatCode>
                <c:ptCount val="98"/>
                <c:pt idx="0">
                  <c:v>31.492459175157812</c:v>
                </c:pt>
                <c:pt idx="1">
                  <c:v>25.572544807336573</c:v>
                </c:pt>
                <c:pt idx="2">
                  <c:v>21.947135535796129</c:v>
                </c:pt>
                <c:pt idx="3">
                  <c:v>18.862801253632163</c:v>
                </c:pt>
                <c:pt idx="4">
                  <c:v>16.258847360357088</c:v>
                </c:pt>
                <c:pt idx="5">
                  <c:v>14.063132523098512</c:v>
                </c:pt>
                <c:pt idx="6">
                  <c:v>12.203465845585049</c:v>
                </c:pt>
                <c:pt idx="7">
                  <c:v>10.643712609550562</c:v>
                </c:pt>
                <c:pt idx="8">
                  <c:v>9.3239053774806724</c:v>
                </c:pt>
                <c:pt idx="9">
                  <c:v>8.2080091745680406</c:v>
                </c:pt>
                <c:pt idx="10">
                  <c:v>7.2480395543223253</c:v>
                </c:pt>
                <c:pt idx="11">
                  <c:v>6.4320530162178269</c:v>
                </c:pt>
                <c:pt idx="12">
                  <c:v>5.7360469159638416</c:v>
                </c:pt>
                <c:pt idx="13">
                  <c:v>5.1240306003800917</c:v>
                </c:pt>
                <c:pt idx="14">
                  <c:v>4.5960190294069303</c:v>
                </c:pt>
                <c:pt idx="15">
                  <c:v>4.1399958422302152</c:v>
                </c:pt>
                <c:pt idx="16">
                  <c:v>3.7319834410401587</c:v>
                </c:pt>
                <c:pt idx="17">
                  <c:v>3.3719757056428623</c:v>
                </c:pt>
                <c:pt idx="18">
                  <c:v>3.0599675080406463</c:v>
                </c:pt>
                <c:pt idx="19">
                  <c:v>2.7839719037293165</c:v>
                </c:pt>
                <c:pt idx="20">
                  <c:v>2.5319760154166548</c:v>
                </c:pt>
                <c:pt idx="21">
                  <c:v>2.3159798936850251</c:v>
                </c:pt>
                <c:pt idx="22">
                  <c:v>2.1119939765445128</c:v>
                </c:pt>
                <c:pt idx="23">
                  <c:v>1.9319892965001806</c:v>
                </c:pt>
                <c:pt idx="24">
                  <c:v>1.763990776079245</c:v>
                </c:pt>
                <c:pt idx="25">
                  <c:v>1.6199963195482781</c:v>
                </c:pt>
                <c:pt idx="26">
                  <c:v>1.4879970129802178</c:v>
                </c:pt>
                <c:pt idx="27">
                  <c:v>1.3679976868616617</c:v>
                </c:pt>
                <c:pt idx="28">
                  <c:v>1.2599983443257301</c:v>
                </c:pt>
                <c:pt idx="29">
                  <c:v>1.1519999182040763</c:v>
                </c:pt>
                <c:pt idx="30">
                  <c:v>1.0679959158435892</c:v>
                </c:pt>
                <c:pt idx="31">
                  <c:v>0.97199657065186074</c:v>
                </c:pt>
                <c:pt idx="32">
                  <c:v>0.89999721252490339</c:v>
                </c:pt>
                <c:pt idx="33">
                  <c:v>0.82799784451046854</c:v>
                </c:pt>
                <c:pt idx="34">
                  <c:v>0.76799755615875931</c:v>
                </c:pt>
                <c:pt idx="35">
                  <c:v>0.70799908656619337</c:v>
                </c:pt>
                <c:pt idx="36">
                  <c:v>0.65999939406182762</c:v>
                </c:pt>
                <c:pt idx="37">
                  <c:v>0.59999999999998721</c:v>
                </c:pt>
                <c:pt idx="38">
                  <c:v>0.55200000000001914</c:v>
                </c:pt>
                <c:pt idx="39">
                  <c:v>0.51599999999999646</c:v>
                </c:pt>
                <c:pt idx="40">
                  <c:v>0.48000000000000043</c:v>
                </c:pt>
                <c:pt idx="41">
                  <c:v>0.44399999999997775</c:v>
                </c:pt>
                <c:pt idx="42">
                  <c:v>0.40800000000000836</c:v>
                </c:pt>
                <c:pt idx="43">
                  <c:v>0.37199999999998568</c:v>
                </c:pt>
                <c:pt idx="44">
                  <c:v>0.34800000000004161</c:v>
                </c:pt>
                <c:pt idx="45">
                  <c:v>0.32399999999999096</c:v>
                </c:pt>
                <c:pt idx="46">
                  <c:v>0.29999999999999361</c:v>
                </c:pt>
                <c:pt idx="47">
                  <c:v>0.27599999999999625</c:v>
                </c:pt>
                <c:pt idx="48">
                  <c:v>0.25199999999999889</c:v>
                </c:pt>
                <c:pt idx="49">
                  <c:v>0.24000000000002686</c:v>
                </c:pt>
                <c:pt idx="50">
                  <c:v>0.21599999999997621</c:v>
                </c:pt>
                <c:pt idx="51">
                  <c:v>0.20400000000000418</c:v>
                </c:pt>
                <c:pt idx="52">
                  <c:v>0.18000000000000682</c:v>
                </c:pt>
                <c:pt idx="53">
                  <c:v>0.1679999999999815</c:v>
                </c:pt>
                <c:pt idx="54">
                  <c:v>0.15600000000000946</c:v>
                </c:pt>
                <c:pt idx="55">
                  <c:v>0.14399999999998414</c:v>
                </c:pt>
                <c:pt idx="56">
                  <c:v>0.13200000000001211</c:v>
                </c:pt>
                <c:pt idx="57">
                  <c:v>0.13200000000001211</c:v>
                </c:pt>
                <c:pt idx="58">
                  <c:v>0.12000029403113288</c:v>
                </c:pt>
                <c:pt idx="59">
                  <c:v>0.10800088157504106</c:v>
                </c:pt>
                <c:pt idx="60">
                  <c:v>9.5999999539451153E-2</c:v>
                </c:pt>
                <c:pt idx="61">
                  <c:v>9.5999999539877479E-2</c:v>
                </c:pt>
                <c:pt idx="62">
                  <c:v>8.399999959767257E-2</c:v>
                </c:pt>
                <c:pt idx="63">
                  <c:v>8.3999119187101456E-2</c:v>
                </c:pt>
                <c:pt idx="64">
                  <c:v>7.1999706529730645E-2</c:v>
                </c:pt>
                <c:pt idx="65">
                  <c:v>7.199999999999207E-2</c:v>
                </c:pt>
                <c:pt idx="66">
                  <c:v>5.9999999999966747E-2</c:v>
                </c:pt>
                <c:pt idx="67">
                  <c:v>6.0000000000020037E-2</c:v>
                </c:pt>
                <c:pt idx="68">
                  <c:v>4.7999999999994714E-2</c:v>
                </c:pt>
                <c:pt idx="69">
                  <c:v>4.800029304030673E-2</c:v>
                </c:pt>
                <c:pt idx="70">
                  <c:v>4.8000878891887311E-2</c:v>
                </c:pt>
                <c:pt idx="71">
                  <c:v>4.7999999771164426E-2</c:v>
                </c:pt>
                <c:pt idx="72">
                  <c:v>3.599999982842661E-2</c:v>
                </c:pt>
                <c:pt idx="73">
                  <c:v>3.5999121308289972E-2</c:v>
                </c:pt>
                <c:pt idx="74">
                  <c:v>3.5999707159923844E-2</c:v>
                </c:pt>
                <c:pt idx="75">
                  <c:v>3.6000000000022681E-2</c:v>
                </c:pt>
                <c:pt idx="76">
                  <c:v>2.3999999999997357E-2</c:v>
                </c:pt>
                <c:pt idx="77">
                  <c:v>2.3999999999997357E-2</c:v>
                </c:pt>
                <c:pt idx="78">
                  <c:v>2.3999999999997357E-2</c:v>
                </c:pt>
                <c:pt idx="79">
                  <c:v>2.4000292640096177E-2</c:v>
                </c:pt>
                <c:pt idx="80">
                  <c:v>2.4000877806091836E-2</c:v>
                </c:pt>
                <c:pt idx="81">
                  <c:v>2.3999999885901957E-2</c:v>
                </c:pt>
                <c:pt idx="82">
                  <c:v>2.3999999885848666E-2</c:v>
                </c:pt>
                <c:pt idx="83">
                  <c:v>1.1999122322308153E-2</c:v>
                </c:pt>
                <c:pt idx="84">
                  <c:v>1.1999707459739994E-2</c:v>
                </c:pt>
                <c:pt idx="85">
                  <c:v>1.2000000000025324E-2</c:v>
                </c:pt>
                <c:pt idx="86">
                  <c:v>1.1999999999972033E-2</c:v>
                </c:pt>
                <c:pt idx="87">
                  <c:v>1.2000000000025324E-2</c:v>
                </c:pt>
                <c:pt idx="88">
                  <c:v>1.2000292468901108E-2</c:v>
                </c:pt>
                <c:pt idx="89">
                  <c:v>1.2000877349791494E-2</c:v>
                </c:pt>
                <c:pt idx="90">
                  <c:v>1.1999999942950978E-2</c:v>
                </c:pt>
                <c:pt idx="91">
                  <c:v>1.2001462073794045E-2</c:v>
                </c:pt>
                <c:pt idx="92">
                  <c:v>1.1999999871701306E-2</c:v>
                </c:pt>
                <c:pt idx="93">
                  <c:v>1.1999999871807887E-2</c:v>
                </c:pt>
                <c:pt idx="94">
                  <c:v>1.1999999871754596E-2</c:v>
                </c:pt>
                <c:pt idx="95">
                  <c:v>1.1999999871754596E-2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D0D-49F0-B273-48065D147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3014456"/>
        <c:axId val="633019704"/>
      </c:lineChart>
      <c:catAx>
        <c:axId val="633014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019704"/>
        <c:crosses val="autoZero"/>
        <c:auto val="1"/>
        <c:lblAlgn val="ctr"/>
        <c:lblOffset val="100"/>
        <c:noMultiLvlLbl val="0"/>
      </c:catAx>
      <c:valAx>
        <c:axId val="633019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014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anglechange!$H$1</c:f>
              <c:strCache>
                <c:ptCount val="1"/>
                <c:pt idx="0">
                  <c:v>° Octane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anglechange!$H$54:$H$200</c:f>
              <c:numCache>
                <c:formatCode>0.00</c:formatCode>
                <c:ptCount val="14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67-4958-A6CB-C5CE11EE9999}"/>
            </c:ext>
          </c:extLst>
        </c:ser>
        <c:ser>
          <c:idx val="1"/>
          <c:order val="1"/>
          <c:tx>
            <c:strRef>
              <c:f>anglechange!$I$1</c:f>
              <c:strCache>
                <c:ptCount val="1"/>
                <c:pt idx="0">
                  <c:v>° Hybrid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anglechange!$A$54:$A$452</c:f>
              <c:numCache>
                <c:formatCode>0.00</c:formatCode>
                <c:ptCount val="399"/>
                <c:pt idx="0">
                  <c:v>0.13800532816685518</c:v>
                </c:pt>
                <c:pt idx="1">
                  <c:v>0.38635263492339789</c:v>
                </c:pt>
                <c:pt idx="2">
                  <c:v>0.72875931607725519</c:v>
                </c:pt>
                <c:pt idx="3">
                  <c:v>1.1497670192807625</c:v>
                </c:pt>
                <c:pt idx="4">
                  <c:v>1.6384587285021297</c:v>
                </c:pt>
                <c:pt idx="5">
                  <c:v>2.1835164453082569</c:v>
                </c:pt>
                <c:pt idx="6">
                  <c:v>2.7777079304064216</c:v>
                </c:pt>
                <c:pt idx="7">
                  <c:v>3.4136509448771193</c:v>
                </c:pt>
                <c:pt idx="8">
                  <c:v>4.085259511401695</c:v>
                </c:pt>
                <c:pt idx="9">
                  <c:v>4.7884008911563356</c:v>
                </c:pt>
                <c:pt idx="10">
                  <c:v>5.5182041264505912</c:v>
                </c:pt>
                <c:pt idx="11">
                  <c:v>6.2720785117346765</c:v>
                </c:pt>
                <c:pt idx="12">
                  <c:v>7.046146925779837</c:v>
                </c:pt>
                <c:pt idx="13">
                  <c:v>7.8381728558076631</c:v>
                </c:pt>
                <c:pt idx="14">
                  <c:v>8.6460671160093838</c:v>
                </c:pt>
                <c:pt idx="15">
                  <c:v>9.4683684559697525</c:v>
                </c:pt>
                <c:pt idx="16">
                  <c:v>10.302792788743105</c:v>
                </c:pt>
                <c:pt idx="17">
                  <c:v>11.148802049727138</c:v>
                </c:pt>
                <c:pt idx="18">
                  <c:v>12.004785913644412</c:v>
                </c:pt>
                <c:pt idx="19">
                  <c:v>12.869376200087508</c:v>
                </c:pt>
                <c:pt idx="20">
                  <c:v>13.741957234763191</c:v>
                </c:pt>
                <c:pt idx="21">
                  <c:v>14.621735473477365</c:v>
                </c:pt>
                <c:pt idx="22">
                  <c:v>15.50752624762503</c:v>
                </c:pt>
                <c:pt idx="23">
                  <c:v>16.399093422995087</c:v>
                </c:pt>
                <c:pt idx="24">
                  <c:v>17.295922818480037</c:v>
                </c:pt>
                <c:pt idx="25">
                  <c:v>18.197412275113393</c:v>
                </c:pt>
                <c:pt idx="26">
                  <c:v>19.103501869819596</c:v>
                </c:pt>
                <c:pt idx="27">
                  <c:v>20.012747905409441</c:v>
                </c:pt>
                <c:pt idx="28">
                  <c:v>20.925448138500286</c:v>
                </c:pt>
                <c:pt idx="29">
                  <c:v>21.841501177405462</c:v>
                </c:pt>
                <c:pt idx="30">
                  <c:v>22.760203564368325</c:v>
                </c:pt>
                <c:pt idx="31">
                  <c:v>23.681823884544507</c:v>
                </c:pt>
                <c:pt idx="32">
                  <c:v>24.605533566921274</c:v>
                </c:pt>
                <c:pt idx="33">
                  <c:v>25.531431314596787</c:v>
                </c:pt>
                <c:pt idx="34">
                  <c:v>26.459047835066634</c:v>
                </c:pt>
                <c:pt idx="35">
                  <c:v>27.388189096618241</c:v>
                </c:pt>
                <c:pt idx="36">
                  <c:v>28.319125530568769</c:v>
                </c:pt>
                <c:pt idx="37">
                  <c:v>29.251747343306029</c:v>
                </c:pt>
                <c:pt idx="38">
                  <c:v>30.185590205778212</c:v>
                </c:pt>
                <c:pt idx="39">
                  <c:v>31.120637376694333</c:v>
                </c:pt>
                <c:pt idx="40">
                  <c:v>32.056372424623206</c:v>
                </c:pt>
                <c:pt idx="41">
                  <c:v>32.99340469135339</c:v>
                </c:pt>
                <c:pt idx="42">
                  <c:v>33.931264201604179</c:v>
                </c:pt>
                <c:pt idx="43">
                  <c:v>34.86979749870568</c:v>
                </c:pt>
                <c:pt idx="44">
                  <c:v>35.809319028077496</c:v>
                </c:pt>
                <c:pt idx="45">
                  <c:v>36.749179446003609</c:v>
                </c:pt>
                <c:pt idx="46">
                  <c:v>37.689829212177173</c:v>
                </c:pt>
                <c:pt idx="47">
                  <c:v>38.631025098471397</c:v>
                </c:pt>
                <c:pt idx="48">
                  <c:v>39.572830510868229</c:v>
                </c:pt>
                <c:pt idx="49">
                  <c:v>40.515041338660566</c:v>
                </c:pt>
                <c:pt idx="50">
                  <c:v>41.457188792865992</c:v>
                </c:pt>
                <c:pt idx="51">
                  <c:v>42.400143937996887</c:v>
                </c:pt>
                <c:pt idx="52">
                  <c:v>43.343160874400951</c:v>
                </c:pt>
                <c:pt idx="53">
                  <c:v>44.286910711374972</c:v>
                </c:pt>
                <c:pt idx="54">
                  <c:v>45.230875329915079</c:v>
                </c:pt>
                <c:pt idx="55">
                  <c:v>46.175208331271847</c:v>
                </c:pt>
                <c:pt idx="56">
                  <c:v>47.119335365318619</c:v>
                </c:pt>
                <c:pt idx="57">
                  <c:v>48.063803475392206</c:v>
                </c:pt>
                <c:pt idx="58">
                  <c:v>49.008789214311406</c:v>
                </c:pt>
                <c:pt idx="59">
                  <c:v>49.953651995796221</c:v>
                </c:pt>
                <c:pt idx="60">
                  <c:v>50.898570880342263</c:v>
                </c:pt>
                <c:pt idx="61">
                  <c:v>51.843521141358977</c:v>
                </c:pt>
                <c:pt idx="62">
                  <c:v>52.78851929066812</c:v>
                </c:pt>
                <c:pt idx="63">
                  <c:v>53.733789144887297</c:v>
                </c:pt>
                <c:pt idx="64">
                  <c:v>54.679261183329714</c:v>
                </c:pt>
                <c:pt idx="65">
                  <c:v>55.62511523102097</c:v>
                </c:pt>
                <c:pt idx="66">
                  <c:v>56.570730042453491</c:v>
                </c:pt>
                <c:pt idx="67">
                  <c:v>57.516744128624296</c:v>
                </c:pt>
                <c:pt idx="68">
                  <c:v>58.462643974782495</c:v>
                </c:pt>
                <c:pt idx="69">
                  <c:v>59.40849974579092</c:v>
                </c:pt>
                <c:pt idx="70">
                  <c:v>60.354374010925596</c:v>
                </c:pt>
                <c:pt idx="71">
                  <c:v>61.300331005639336</c:v>
                </c:pt>
                <c:pt idx="72">
                  <c:v>62.24642506582218</c:v>
                </c:pt>
                <c:pt idx="73">
                  <c:v>63.192746743967675</c:v>
                </c:pt>
                <c:pt idx="74">
                  <c:v>64.138760125001056</c:v>
                </c:pt>
                <c:pt idx="75">
                  <c:v>65.085109084823628</c:v>
                </c:pt>
                <c:pt idx="76">
                  <c:v>66.031172414200199</c:v>
                </c:pt>
                <c:pt idx="77">
                  <c:v>66.977716607236871</c:v>
                </c:pt>
                <c:pt idx="78">
                  <c:v>67.924221890233468</c:v>
                </c:pt>
                <c:pt idx="79">
                  <c:v>68.870752167530782</c:v>
                </c:pt>
                <c:pt idx="80">
                  <c:v>69.817228419520887</c:v>
                </c:pt>
                <c:pt idx="81">
                  <c:v>70.763779117860679</c:v>
                </c:pt>
                <c:pt idx="82">
                  <c:v>71.709953724517931</c:v>
                </c:pt>
                <c:pt idx="83">
                  <c:v>72.656448325207293</c:v>
                </c:pt>
                <c:pt idx="84">
                  <c:v>73.603137390069875</c:v>
                </c:pt>
                <c:pt idx="85">
                  <c:v>74.549574204627035</c:v>
                </c:pt>
                <c:pt idx="86">
                  <c:v>75.495889729355241</c:v>
                </c:pt>
                <c:pt idx="87">
                  <c:v>76.442629205680419</c:v>
                </c:pt>
                <c:pt idx="88">
                  <c:v>77.389315859299188</c:v>
                </c:pt>
                <c:pt idx="89">
                  <c:v>78.336070156142071</c:v>
                </c:pt>
                <c:pt idx="90">
                  <c:v>79.282846165119494</c:v>
                </c:pt>
                <c:pt idx="91">
                  <c:v>80.229073113090692</c:v>
                </c:pt>
                <c:pt idx="92">
                  <c:v>81.175556896402995</c:v>
                </c:pt>
                <c:pt idx="93">
                  <c:v>82.122318361619179</c:v>
                </c:pt>
                <c:pt idx="94">
                  <c:v>83.068770195261607</c:v>
                </c:pt>
                <c:pt idx="95">
                  <c:v>84.015559754638758</c:v>
                </c:pt>
                <c:pt idx="96">
                  <c:v>84.962240657879434</c:v>
                </c:pt>
                <c:pt idx="97">
                  <c:v>85.9087072478208</c:v>
                </c:pt>
                <c:pt idx="98">
                  <c:v>86.855225579694135</c:v>
                </c:pt>
                <c:pt idx="99">
                  <c:v>87.801738295320661</c:v>
                </c:pt>
                <c:pt idx="100">
                  <c:v>88.748329581127621</c:v>
                </c:pt>
                <c:pt idx="101">
                  <c:v>89.695060481174764</c:v>
                </c:pt>
                <c:pt idx="102">
                  <c:v>90.641430094906909</c:v>
                </c:pt>
                <c:pt idx="103">
                  <c:v>91.587970817162898</c:v>
                </c:pt>
                <c:pt idx="104">
                  <c:v>92.534285301241638</c:v>
                </c:pt>
                <c:pt idx="105">
                  <c:v>93.480989874801452</c:v>
                </c:pt>
                <c:pt idx="106">
                  <c:v>94.427503603375385</c:v>
                </c:pt>
                <c:pt idx="107">
                  <c:v>95.373997281057456</c:v>
                </c:pt>
                <c:pt idx="108">
                  <c:v>96.320240018866556</c:v>
                </c:pt>
                <c:pt idx="109">
                  <c:v>97.266666907849569</c:v>
                </c:pt>
                <c:pt idx="110">
                  <c:v>98.213190769234771</c:v>
                </c:pt>
                <c:pt idx="111">
                  <c:v>99.159729108610364</c:v>
                </c:pt>
                <c:pt idx="112">
                  <c:v>100.10658003204234</c:v>
                </c:pt>
                <c:pt idx="113">
                  <c:v>101.05304538734701</c:v>
                </c:pt>
                <c:pt idx="114">
                  <c:v>101.99995609554422</c:v>
                </c:pt>
                <c:pt idx="115">
                  <c:v>102.94645387876027</c:v>
                </c:pt>
                <c:pt idx="116">
                  <c:v>103.89275779157417</c:v>
                </c:pt>
                <c:pt idx="117">
                  <c:v>104.83897354496871</c:v>
                </c:pt>
                <c:pt idx="118">
                  <c:v>105.78589706422285</c:v>
                </c:pt>
                <c:pt idx="119">
                  <c:v>106.73280980616529</c:v>
                </c:pt>
                <c:pt idx="120">
                  <c:v>107.67903312004985</c:v>
                </c:pt>
                <c:pt idx="121">
                  <c:v>108.62543060942575</c:v>
                </c:pt>
                <c:pt idx="122">
                  <c:v>109.57193765357199</c:v>
                </c:pt>
                <c:pt idx="123">
                  <c:v>110.51887042116725</c:v>
                </c:pt>
                <c:pt idx="124">
                  <c:v>111.46525757553714</c:v>
                </c:pt>
                <c:pt idx="125">
                  <c:v>112.41213054832302</c:v>
                </c:pt>
                <c:pt idx="126">
                  <c:v>113.35885483375928</c:v>
                </c:pt>
                <c:pt idx="127">
                  <c:v>114.30528948164935</c:v>
                </c:pt>
                <c:pt idx="128">
                  <c:v>115.2517753697699</c:v>
                </c:pt>
                <c:pt idx="129">
                  <c:v>116.19804558653526</c:v>
                </c:pt>
                <c:pt idx="130">
                  <c:v>117.14449619996235</c:v>
                </c:pt>
                <c:pt idx="131">
                  <c:v>118.09085692462774</c:v>
                </c:pt>
                <c:pt idx="132">
                  <c:v>119.03752592702604</c:v>
                </c:pt>
                <c:pt idx="133">
                  <c:v>119.98442050204893</c:v>
                </c:pt>
                <c:pt idx="134">
                  <c:v>120.93088082865999</c:v>
                </c:pt>
                <c:pt idx="135">
                  <c:v>121.87769215306848</c:v>
                </c:pt>
                <c:pt idx="136">
                  <c:v>122.82405727301064</c:v>
                </c:pt>
                <c:pt idx="137">
                  <c:v>123.7703418635259</c:v>
                </c:pt>
                <c:pt idx="138">
                  <c:v>124.71712053463268</c:v>
                </c:pt>
                <c:pt idx="139">
                  <c:v>125.66384008585113</c:v>
                </c:pt>
                <c:pt idx="140">
                  <c:v>126.61041353981797</c:v>
                </c:pt>
                <c:pt idx="141">
                  <c:v>127.55713423854856</c:v>
                </c:pt>
                <c:pt idx="142">
                  <c:v>128.50383358472629</c:v>
                </c:pt>
                <c:pt idx="143">
                  <c:v>129.45084606876705</c:v>
                </c:pt>
                <c:pt idx="144">
                  <c:v>130.39712541594906</c:v>
                </c:pt>
                <c:pt idx="145">
                  <c:v>131.34372612813434</c:v>
                </c:pt>
                <c:pt idx="146">
                  <c:v>132.28991764304575</c:v>
                </c:pt>
                <c:pt idx="147">
                  <c:v>133.23652530914291</c:v>
                </c:pt>
                <c:pt idx="148">
                  <c:v>134.18285794960684</c:v>
                </c:pt>
                <c:pt idx="149">
                  <c:v>135.12972717481389</c:v>
                </c:pt>
                <c:pt idx="150">
                  <c:v>136.07644809361716</c:v>
                </c:pt>
                <c:pt idx="151">
                  <c:v>137.02308898825481</c:v>
                </c:pt>
                <c:pt idx="152">
                  <c:v>137.96955526754465</c:v>
                </c:pt>
                <c:pt idx="153">
                  <c:v>138.91621357983058</c:v>
                </c:pt>
                <c:pt idx="154">
                  <c:v>139.86282721523469</c:v>
                </c:pt>
                <c:pt idx="155">
                  <c:v>140.8096286335707</c:v>
                </c:pt>
                <c:pt idx="156">
                  <c:v>141.75593922813292</c:v>
                </c:pt>
                <c:pt idx="157">
                  <c:v>142.70241072758995</c:v>
                </c:pt>
                <c:pt idx="158">
                  <c:v>143.64923464805648</c:v>
                </c:pt>
                <c:pt idx="159">
                  <c:v>144.5957962732929</c:v>
                </c:pt>
                <c:pt idx="160">
                  <c:v>145.54267423299768</c:v>
                </c:pt>
                <c:pt idx="161">
                  <c:v>146.48942205091862</c:v>
                </c:pt>
                <c:pt idx="162">
                  <c:v>147.43578463634515</c:v>
                </c:pt>
                <c:pt idx="163">
                  <c:v>148.3819899770491</c:v>
                </c:pt>
                <c:pt idx="164">
                  <c:v>149.32875515224521</c:v>
                </c:pt>
                <c:pt idx="165">
                  <c:v>150.27549035073397</c:v>
                </c:pt>
                <c:pt idx="166">
                  <c:v>151.2224182207583</c:v>
                </c:pt>
                <c:pt idx="167">
                  <c:v>152.16849136057039</c:v>
                </c:pt>
                <c:pt idx="168">
                  <c:v>153.11505017521438</c:v>
                </c:pt>
                <c:pt idx="169">
                  <c:v>154.06167634232361</c:v>
                </c:pt>
                <c:pt idx="170">
                  <c:v>155.00797012479799</c:v>
                </c:pt>
                <c:pt idx="171">
                  <c:v>155.95478039876923</c:v>
                </c:pt>
                <c:pt idx="172">
                  <c:v>156.90107711540384</c:v>
                </c:pt>
                <c:pt idx="173">
                  <c:v>157.84815165502818</c:v>
                </c:pt>
                <c:pt idx="174">
                  <c:v>158.79485193462398</c:v>
                </c:pt>
                <c:pt idx="175">
                  <c:v>159.74139805094771</c:v>
                </c:pt>
                <c:pt idx="176">
                  <c:v>160.68800279121854</c:v>
                </c:pt>
                <c:pt idx="177">
                  <c:v>161.63458401332514</c:v>
                </c:pt>
                <c:pt idx="178">
                  <c:v>162.58120633637498</c:v>
                </c:pt>
                <c:pt idx="179">
                  <c:v>163.52793244230375</c:v>
                </c:pt>
                <c:pt idx="180">
                  <c:v>164.47482763750503</c:v>
                </c:pt>
                <c:pt idx="181">
                  <c:v>165.4212371932316</c:v>
                </c:pt>
                <c:pt idx="182">
                  <c:v>166.36809804035775</c:v>
                </c:pt>
                <c:pt idx="183">
                  <c:v>167.31445342013765</c:v>
                </c:pt>
                <c:pt idx="184">
                  <c:v>168.26122813205066</c:v>
                </c:pt>
                <c:pt idx="185">
                  <c:v>169.20778632372406</c:v>
                </c:pt>
                <c:pt idx="186">
                  <c:v>170.15417615986834</c:v>
                </c:pt>
                <c:pt idx="187">
                  <c:v>171.1003314861041</c:v>
                </c:pt>
                <c:pt idx="188">
                  <c:v>172.047324985535</c:v>
                </c:pt>
                <c:pt idx="189">
                  <c:v>172.99418167674969</c:v>
                </c:pt>
                <c:pt idx="190">
                  <c:v>173.9404846221837</c:v>
                </c:pt>
                <c:pt idx="191">
                  <c:v>174.88681566896258</c:v>
                </c:pt>
                <c:pt idx="192">
                  <c:v>175.83336003033142</c:v>
                </c:pt>
                <c:pt idx="193">
                  <c:v>176.78020406366133</c:v>
                </c:pt>
                <c:pt idx="194">
                  <c:v>177.7267670548037</c:v>
                </c:pt>
                <c:pt idx="195">
                  <c:v>178.67357656091599</c:v>
                </c:pt>
                <c:pt idx="196">
                  <c:v>179.62009065907171</c:v>
                </c:pt>
                <c:pt idx="197">
                  <c:v>180.56649845504629</c:v>
                </c:pt>
                <c:pt idx="198">
                  <c:v>181.5128378431871</c:v>
                </c:pt>
                <c:pt idx="199">
                  <c:v>182.45972762431998</c:v>
                </c:pt>
                <c:pt idx="200">
                  <c:v>183.40655782854529</c:v>
                </c:pt>
                <c:pt idx="201">
                  <c:v>184.35275462913052</c:v>
                </c:pt>
                <c:pt idx="202">
                  <c:v>185.29916908091062</c:v>
                </c:pt>
                <c:pt idx="203">
                  <c:v>186.24568633042065</c:v>
                </c:pt>
                <c:pt idx="204">
                  <c:v>187.19257293703038</c:v>
                </c:pt>
                <c:pt idx="205">
                  <c:v>188.13895529912139</c:v>
                </c:pt>
                <c:pt idx="206">
                  <c:v>189.08580086109151</c:v>
                </c:pt>
                <c:pt idx="207">
                  <c:v>190.03241702840381</c:v>
                </c:pt>
                <c:pt idx="208">
                  <c:v>190.97884141852808</c:v>
                </c:pt>
                <c:pt idx="209">
                  <c:v>191.92503239610363</c:v>
                </c:pt>
                <c:pt idx="210">
                  <c:v>192.87133548620685</c:v>
                </c:pt>
                <c:pt idx="211">
                  <c:v>193.81764415884419</c:v>
                </c:pt>
                <c:pt idx="212">
                  <c:v>194.76391703065096</c:v>
                </c:pt>
                <c:pt idx="213">
                  <c:v>195.71048924318515</c:v>
                </c:pt>
                <c:pt idx="214">
                  <c:v>196.6572540948714</c:v>
                </c:pt>
                <c:pt idx="215">
                  <c:v>197.60356021038217</c:v>
                </c:pt>
                <c:pt idx="216">
                  <c:v>198.55021875266044</c:v>
                </c:pt>
                <c:pt idx="217">
                  <c:v>199.49668412571145</c:v>
                </c:pt>
                <c:pt idx="218">
                  <c:v>200.44346477869701</c:v>
                </c:pt>
                <c:pt idx="219">
                  <c:v>201.39034176729271</c:v>
                </c:pt>
                <c:pt idx="220">
                  <c:v>202.33705806902952</c:v>
                </c:pt>
                <c:pt idx="221">
                  <c:v>203.28368169217191</c:v>
                </c:pt>
                <c:pt idx="222">
                  <c:v>204.23046246018521</c:v>
                </c:pt>
                <c:pt idx="223">
                  <c:v>205.17669225233783</c:v>
                </c:pt>
                <c:pt idx="224">
                  <c:v>206.12315431141695</c:v>
                </c:pt>
                <c:pt idx="225">
                  <c:v>207.06996483245069</c:v>
                </c:pt>
                <c:pt idx="226">
                  <c:v>208.01626982424074</c:v>
                </c:pt>
                <c:pt idx="227">
                  <c:v>208.9630481251541</c:v>
                </c:pt>
                <c:pt idx="228">
                  <c:v>209.90973136242195</c:v>
                </c:pt>
                <c:pt idx="229">
                  <c:v>210.85613671773353</c:v>
                </c:pt>
                <c:pt idx="230">
                  <c:v>211.80260361487785</c:v>
                </c:pt>
                <c:pt idx="231">
                  <c:v>212.74902371604554</c:v>
                </c:pt>
                <c:pt idx="232">
                  <c:v>213.69550988299409</c:v>
                </c:pt>
                <c:pt idx="233">
                  <c:v>214.64212500592276</c:v>
                </c:pt>
                <c:pt idx="234">
                  <c:v>215.58888697031705</c:v>
                </c:pt>
                <c:pt idx="235">
                  <c:v>216.53544018958706</c:v>
                </c:pt>
                <c:pt idx="236">
                  <c:v>217.48219180782698</c:v>
                </c:pt>
                <c:pt idx="237">
                  <c:v>218.42872244765738</c:v>
                </c:pt>
                <c:pt idx="238">
                  <c:v>219.37509902240276</c:v>
                </c:pt>
                <c:pt idx="239">
                  <c:v>220.32138738538586</c:v>
                </c:pt>
                <c:pt idx="240">
                  <c:v>221.26826376059597</c:v>
                </c:pt>
                <c:pt idx="241">
                  <c:v>222.21516092609704</c:v>
                </c:pt>
                <c:pt idx="242">
                  <c:v>223.16148612777911</c:v>
                </c:pt>
                <c:pt idx="243">
                  <c:v>224.1079803086742</c:v>
                </c:pt>
                <c:pt idx="244">
                  <c:v>225.05470853902776</c:v>
                </c:pt>
                <c:pt idx="245">
                  <c:v>226.00105919137403</c:v>
                </c:pt>
                <c:pt idx="246">
                  <c:v>226.94777221849199</c:v>
                </c:pt>
                <c:pt idx="247">
                  <c:v>227.89422416249653</c:v>
                </c:pt>
                <c:pt idx="248">
                  <c:v>228.84059709312623</c:v>
                </c:pt>
                <c:pt idx="249">
                  <c:v>229.78740965994717</c:v>
                </c:pt>
                <c:pt idx="250">
                  <c:v>230.73428126105469</c:v>
                </c:pt>
                <c:pt idx="251">
                  <c:v>231.680573034362</c:v>
                </c:pt>
                <c:pt idx="252">
                  <c:v>232.62692662058856</c:v>
                </c:pt>
                <c:pt idx="253">
                  <c:v>233.57352282757557</c:v>
                </c:pt>
                <c:pt idx="254">
                  <c:v>234.52031181839976</c:v>
                </c:pt>
                <c:pt idx="255">
                  <c:v>235.46678365561337</c:v>
                </c:pt>
                <c:pt idx="256">
                  <c:v>236.41358314120185</c:v>
                </c:pt>
                <c:pt idx="257">
                  <c:v>237.36030951371859</c:v>
                </c:pt>
                <c:pt idx="258">
                  <c:v>238.30679785160436</c:v>
                </c:pt>
                <c:pt idx="259">
                  <c:v>239.25334328089144</c:v>
                </c:pt>
                <c:pt idx="260">
                  <c:v>240.19978181832141</c:v>
                </c:pt>
                <c:pt idx="261">
                  <c:v>241.14640647578923</c:v>
                </c:pt>
                <c:pt idx="262">
                  <c:v>242.0930523439734</c:v>
                </c:pt>
                <c:pt idx="263">
                  <c:v>243.03932615949469</c:v>
                </c:pt>
                <c:pt idx="264">
                  <c:v>243.98586186101966</c:v>
                </c:pt>
                <c:pt idx="265">
                  <c:v>244.93273135654181</c:v>
                </c:pt>
                <c:pt idx="266">
                  <c:v>245.87941737939224</c:v>
                </c:pt>
                <c:pt idx="267">
                  <c:v>246.82587385103318</c:v>
                </c:pt>
                <c:pt idx="268">
                  <c:v>247.77228876576194</c:v>
                </c:pt>
                <c:pt idx="269">
                  <c:v>248.71870922853088</c:v>
                </c:pt>
                <c:pt idx="270">
                  <c:v>249.66509680944318</c:v>
                </c:pt>
                <c:pt idx="271">
                  <c:v>250.61162774922406</c:v>
                </c:pt>
                <c:pt idx="272">
                  <c:v>251.55826352921952</c:v>
                </c:pt>
                <c:pt idx="273">
                  <c:v>252.50516331001401</c:v>
                </c:pt>
                <c:pt idx="274">
                  <c:v>253.45170186760879</c:v>
                </c:pt>
                <c:pt idx="275">
                  <c:v>254.39796904546455</c:v>
                </c:pt>
                <c:pt idx="276">
                  <c:v>255.34469268253105</c:v>
                </c:pt>
                <c:pt idx="277">
                  <c:v>256.29126112936086</c:v>
                </c:pt>
                <c:pt idx="278">
                  <c:v>257.23784156466741</c:v>
                </c:pt>
                <c:pt idx="279">
                  <c:v>258.18427577745609</c:v>
                </c:pt>
                <c:pt idx="280">
                  <c:v>259.13086816503414</c:v>
                </c:pt>
                <c:pt idx="281">
                  <c:v>260.07754620246931</c:v>
                </c:pt>
                <c:pt idx="282">
                  <c:v>261.024394599326</c:v>
                </c:pt>
                <c:pt idx="283">
                  <c:v>261.97087465600521</c:v>
                </c:pt>
                <c:pt idx="284">
                  <c:v>262.91767464516596</c:v>
                </c:pt>
                <c:pt idx="285">
                  <c:v>263.86433389105076</c:v>
                </c:pt>
                <c:pt idx="286">
                  <c:v>264.81061149297068</c:v>
                </c:pt>
                <c:pt idx="287">
                  <c:v>265.75748853001517</c:v>
                </c:pt>
                <c:pt idx="288">
                  <c:v>266.70431614787594</c:v>
                </c:pt>
                <c:pt idx="289">
                  <c:v>267.65118535345982</c:v>
                </c:pt>
                <c:pt idx="290">
                  <c:v>268.5974596624481</c:v>
                </c:pt>
                <c:pt idx="291">
                  <c:v>269.54387481493563</c:v>
                </c:pt>
                <c:pt idx="292">
                  <c:v>270.49049752091747</c:v>
                </c:pt>
                <c:pt idx="293">
                  <c:v>271.43731976651986</c:v>
                </c:pt>
                <c:pt idx="294">
                  <c:v>272.38387293341265</c:v>
                </c:pt>
                <c:pt idx="295">
                  <c:v>273.33027308010736</c:v>
                </c:pt>
                <c:pt idx="296">
                  <c:v>274.27704488970585</c:v>
                </c:pt>
                <c:pt idx="297">
                  <c:v>275.22373763723101</c:v>
                </c:pt>
                <c:pt idx="298">
                  <c:v>276.17034292872603</c:v>
                </c:pt>
                <c:pt idx="299">
                  <c:v>277.11689557112675</c:v>
                </c:pt>
                <c:pt idx="300">
                  <c:v>278.06362178093894</c:v>
                </c:pt>
                <c:pt idx="301">
                  <c:v>279.01039675891553</c:v>
                </c:pt>
                <c:pt idx="302">
                  <c:v>279.95686907435032</c:v>
                </c:pt>
                <c:pt idx="303">
                  <c:v>280.9035490763348</c:v>
                </c:pt>
                <c:pt idx="304">
                  <c:v>281.84978696934661</c:v>
                </c:pt>
                <c:pt idx="305">
                  <c:v>282.79660260876727</c:v>
                </c:pt>
                <c:pt idx="306">
                  <c:v>283.74310293876681</c:v>
                </c:pt>
                <c:pt idx="307">
                  <c:v>284.68945326307943</c:v>
                </c:pt>
                <c:pt idx="308">
                  <c:v>285.63574880881583</c:v>
                </c:pt>
                <c:pt idx="309">
                  <c:v>286.58215986630387</c:v>
                </c:pt>
                <c:pt idx="310">
                  <c:v>287.52847472157953</c:v>
                </c:pt>
                <c:pt idx="311">
                  <c:v>288.47492879754412</c:v>
                </c:pt>
                <c:pt idx="312">
                  <c:v>289.42169950967252</c:v>
                </c:pt>
                <c:pt idx="313">
                  <c:v>290.36792607302812</c:v>
                </c:pt>
                <c:pt idx="314">
                  <c:v>291.31449021036889</c:v>
                </c:pt>
                <c:pt idx="315">
                  <c:v>292.26080686535829</c:v>
                </c:pt>
                <c:pt idx="316">
                  <c:v>293.20742126193028</c:v>
                </c:pt>
                <c:pt idx="317">
                  <c:v>294.15406185448632</c:v>
                </c:pt>
                <c:pt idx="318">
                  <c:v>295.10050067117606</c:v>
                </c:pt>
                <c:pt idx="319">
                  <c:v>296.04679904128392</c:v>
                </c:pt>
                <c:pt idx="320">
                  <c:v>296.99316698874497</c:v>
                </c:pt>
                <c:pt idx="321">
                  <c:v>297.93967272399777</c:v>
                </c:pt>
                <c:pt idx="322">
                  <c:v>298.88638209897482</c:v>
                </c:pt>
                <c:pt idx="323">
                  <c:v>299.83318835763941</c:v>
                </c:pt>
                <c:pt idx="324">
                  <c:v>300.7795487879248</c:v>
                </c:pt>
                <c:pt idx="325">
                  <c:v>301.72631271433335</c:v>
                </c:pt>
                <c:pt idx="326">
                  <c:v>302.67285132629297</c:v>
                </c:pt>
                <c:pt idx="327">
                  <c:v>303.61965459753833</c:v>
                </c:pt>
                <c:pt idx="328">
                  <c:v>304.56651481509584</c:v>
                </c:pt>
                <c:pt idx="329">
                  <c:v>305.5130877591597</c:v>
                </c:pt>
                <c:pt idx="330">
                  <c:v>306.45956192391941</c:v>
                </c:pt>
                <c:pt idx="331">
                  <c:v>307.40615690126026</c:v>
                </c:pt>
                <c:pt idx="332">
                  <c:v>308.35278309220308</c:v>
                </c:pt>
                <c:pt idx="333">
                  <c:v>309.29966449576722</c:v>
                </c:pt>
                <c:pt idx="334">
                  <c:v>310.24586258422795</c:v>
                </c:pt>
                <c:pt idx="335">
                  <c:v>311.19230801937056</c:v>
                </c:pt>
                <c:pt idx="336">
                  <c:v>312.13918571078301</c:v>
                </c:pt>
                <c:pt idx="337">
                  <c:v>313.08558381666171</c:v>
                </c:pt>
                <c:pt idx="338">
                  <c:v>314.03255446128912</c:v>
                </c:pt>
                <c:pt idx="339">
                  <c:v>314.97916941869511</c:v>
                </c:pt>
                <c:pt idx="340">
                  <c:v>315.92576711942183</c:v>
                </c:pt>
                <c:pt idx="341">
                  <c:v>316.87212865292355</c:v>
                </c:pt>
                <c:pt idx="342">
                  <c:v>317.81845886049206</c:v>
                </c:pt>
                <c:pt idx="343">
                  <c:v>318.76483565330864</c:v>
                </c:pt>
                <c:pt idx="344">
                  <c:v>319.71129779308944</c:v>
                </c:pt>
                <c:pt idx="345">
                  <c:v>320.65777787545443</c:v>
                </c:pt>
                <c:pt idx="346">
                  <c:v>321.60448235582373</c:v>
                </c:pt>
                <c:pt idx="347">
                  <c:v>322.55074056829926</c:v>
                </c:pt>
                <c:pt idx="348">
                  <c:v>323.49735549768587</c:v>
                </c:pt>
                <c:pt idx="349">
                  <c:v>324.44441803063029</c:v>
                </c:pt>
                <c:pt idx="350">
                  <c:v>325.3908812876461</c:v>
                </c:pt>
                <c:pt idx="351">
                  <c:v>326.33729905257906</c:v>
                </c:pt>
                <c:pt idx="352">
                  <c:v>327.28419377800748</c:v>
                </c:pt>
                <c:pt idx="353">
                  <c:v>328.23101004550296</c:v>
                </c:pt>
                <c:pt idx="354">
                  <c:v>329.17764312876642</c:v>
                </c:pt>
                <c:pt idx="355">
                  <c:v>330.1238302048497</c:v>
                </c:pt>
                <c:pt idx="356">
                  <c:v>331.07028279673301</c:v>
                </c:pt>
                <c:pt idx="357">
                  <c:v>332.01674285492197</c:v>
                </c:pt>
                <c:pt idx="358">
                  <c:v>332.96344550709489</c:v>
                </c:pt>
                <c:pt idx="359">
                  <c:v>333.90977547886348</c:v>
                </c:pt>
                <c:pt idx="360">
                  <c:v>334.8563101786288</c:v>
                </c:pt>
                <c:pt idx="361">
                  <c:v>335.80259887954196</c:v>
                </c:pt>
                <c:pt idx="362">
                  <c:v>336.7492285347069</c:v>
                </c:pt>
                <c:pt idx="363">
                  <c:v>337.69557582949847</c:v>
                </c:pt>
                <c:pt idx="364">
                  <c:v>338.641840410714</c:v>
                </c:pt>
                <c:pt idx="365">
                  <c:v>339.58866722577346</c:v>
                </c:pt>
                <c:pt idx="366">
                  <c:v>340.53541431974423</c:v>
                </c:pt>
                <c:pt idx="367">
                  <c:v>341.48227181244363</c:v>
                </c:pt>
                <c:pt idx="368">
                  <c:v>342.42918002725975</c:v>
                </c:pt>
                <c:pt idx="369">
                  <c:v>343.37600644293298</c:v>
                </c:pt>
                <c:pt idx="370">
                  <c:v>344.32243014753527</c:v>
                </c:pt>
                <c:pt idx="371">
                  <c:v>345.26907816371192</c:v>
                </c:pt>
                <c:pt idx="372">
                  <c:v>346.21586427236434</c:v>
                </c:pt>
                <c:pt idx="373">
                  <c:v>347.16238075721066</c:v>
                </c:pt>
                <c:pt idx="374">
                  <c:v>348.10935283051617</c:v>
                </c:pt>
                <c:pt idx="375">
                  <c:v>349.05605388517608</c:v>
                </c:pt>
                <c:pt idx="376">
                  <c:v>350.00250996250315</c:v>
                </c:pt>
                <c:pt idx="377">
                  <c:v>350.94881315448606</c:v>
                </c:pt>
                <c:pt idx="378">
                  <c:v>351.89518017282694</c:v>
                </c:pt>
                <c:pt idx="379">
                  <c:v>352.84133369979577</c:v>
                </c:pt>
                <c:pt idx="380">
                  <c:v>353.78771735944053</c:v>
                </c:pt>
                <c:pt idx="381">
                  <c:v>354.73417072940759</c:v>
                </c:pt>
                <c:pt idx="382">
                  <c:v>355.68080096023698</c:v>
                </c:pt>
                <c:pt idx="383">
                  <c:v>356.627781518304</c:v>
                </c:pt>
                <c:pt idx="384">
                  <c:v>357.5742621700698</c:v>
                </c:pt>
                <c:pt idx="385">
                  <c:v>358.52112335174274</c:v>
                </c:pt>
                <c:pt idx="386">
                  <c:v>359.46771150394045</c:v>
                </c:pt>
                <c:pt idx="387">
                  <c:v>360.41413515684098</c:v>
                </c:pt>
                <c:pt idx="388">
                  <c:v>361.3603500896831</c:v>
                </c:pt>
                <c:pt idx="389">
                  <c:v>362.30712794430906</c:v>
                </c:pt>
                <c:pt idx="390">
                  <c:v>363.25402498728153</c:v>
                </c:pt>
                <c:pt idx="391">
                  <c:v>364.2009630439548</c:v>
                </c:pt>
                <c:pt idx="392">
                  <c:v>365.14722812698949</c:v>
                </c:pt>
                <c:pt idx="393">
                  <c:v>366.09373466697258</c:v>
                </c:pt>
                <c:pt idx="394">
                  <c:v>367.04059837021305</c:v>
                </c:pt>
                <c:pt idx="395">
                  <c:v>367.98685656526413</c:v>
                </c:pt>
                <c:pt idx="396">
                  <c:v>368.93360951003092</c:v>
                </c:pt>
                <c:pt idx="397">
                  <c:v>369.88007521624263</c:v>
                </c:pt>
                <c:pt idx="398">
                  <c:v>370.82638599912821</c:v>
                </c:pt>
              </c:numCache>
            </c:numRef>
          </c:cat>
          <c:val>
            <c:numRef>
              <c:f>anglechange!$I$54:$I$200</c:f>
              <c:numCache>
                <c:formatCode>0.00</c:formatCode>
                <c:ptCount val="147"/>
                <c:pt idx="0">
                  <c:v>-6.6330073798752665E-3</c:v>
                </c:pt>
                <c:pt idx="1">
                  <c:v>-1.702055418433801E-2</c:v>
                </c:pt>
                <c:pt idx="2">
                  <c:v>-3.1238840463313267E-2</c:v>
                </c:pt>
                <c:pt idx="3">
                  <c:v>-4.6734797598908528E-2</c:v>
                </c:pt>
                <c:pt idx="4">
                  <c:v>-6.2957665243214223E-2</c:v>
                </c:pt>
                <c:pt idx="5">
                  <c:v>-7.8964391235121667E-2</c:v>
                </c:pt>
                <c:pt idx="6">
                  <c:v>-9.4938365882978104E-2</c:v>
                </c:pt>
                <c:pt idx="7">
                  <c:v>-0.11005331124028928</c:v>
                </c:pt>
                <c:pt idx="8">
                  <c:v>-0.12352891301575752</c:v>
                </c:pt>
                <c:pt idx="9">
                  <c:v>-0.13570520378089057</c:v>
                </c:pt>
                <c:pt idx="10">
                  <c:v>-0.14629307931534541</c:v>
                </c:pt>
                <c:pt idx="11">
                  <c:v>-0.15630919898707063</c:v>
                </c:pt>
                <c:pt idx="12">
                  <c:v>-0.16400108513782286</c:v>
                </c:pt>
                <c:pt idx="13">
                  <c:v>-0.17031260097482104</c:v>
                </c:pt>
                <c:pt idx="14">
                  <c:v>-0.17522112878394935</c:v>
                </c:pt>
                <c:pt idx="15">
                  <c:v>-0.17877200860513298</c:v>
                </c:pt>
                <c:pt idx="16">
                  <c:v>-0.1800856325060316</c:v>
                </c:pt>
                <c:pt idx="17">
                  <c:v>-0.18096763530861537</c:v>
                </c:pt>
                <c:pt idx="18">
                  <c:v>-0.18028506299038227</c:v>
                </c:pt>
                <c:pt idx="19">
                  <c:v>-0.17835423020698116</c:v>
                </c:pt>
                <c:pt idx="20">
                  <c:v>-0.17517656431015993</c:v>
                </c:pt>
                <c:pt idx="21">
                  <c:v>-0.17044008656545273</c:v>
                </c:pt>
                <c:pt idx="22">
                  <c:v>-0.16474765635465971</c:v>
                </c:pt>
                <c:pt idx="23">
                  <c:v>-0.15742477856458592</c:v>
                </c:pt>
                <c:pt idx="24">
                  <c:v>-0.14972105868709562</c:v>
                </c:pt>
                <c:pt idx="25">
                  <c:v>-0.14072838999483039</c:v>
                </c:pt>
                <c:pt idx="26">
                  <c:v>-0.13114087344669301</c:v>
                </c:pt>
                <c:pt idx="27">
                  <c:v>-0.12014549910917438</c:v>
                </c:pt>
                <c:pt idx="28">
                  <c:v>-0.1087336567467041</c:v>
                </c:pt>
                <c:pt idx="29">
                  <c:v>-9.6770092474297797E-2</c:v>
                </c:pt>
                <c:pt idx="30">
                  <c:v>-8.3365215515126323E-2</c:v>
                </c:pt>
                <c:pt idx="31">
                  <c:v>-7.0228872740127457E-2</c:v>
                </c:pt>
                <c:pt idx="32">
                  <c:v>-5.578565144299219E-2</c:v>
                </c:pt>
                <c:pt idx="33">
                  <c:v>-4.1414255356986729E-2</c:v>
                </c:pt>
                <c:pt idx="34">
                  <c:v>-2.599316037166588E-2</c:v>
                </c:pt>
                <c:pt idx="35">
                  <c:v>-9.786264547411605E-3</c:v>
                </c:pt>
                <c:pt idx="36">
                  <c:v>6.937865702131063E-3</c:v>
                </c:pt>
                <c:pt idx="37">
                  <c:v>2.3550046999506691E-2</c:v>
                </c:pt>
                <c:pt idx="38">
                  <c:v>4.0687566099411043E-2</c:v>
                </c:pt>
                <c:pt idx="39">
                  <c:v>5.7895310595124982E-2</c:v>
                </c:pt>
                <c:pt idx="40">
                  <c:v>7.6167546066159275E-2</c:v>
                </c:pt>
                <c:pt idx="41">
                  <c:v>9.4482916889091939E-2</c:v>
                </c:pt>
                <c:pt idx="42">
                  <c:v>0.11313929300821002</c:v>
                </c:pt>
                <c:pt idx="43">
                  <c:v>0.13206676264955064</c:v>
                </c:pt>
                <c:pt idx="44">
                  <c:v>0.15075127510842634</c:v>
                </c:pt>
                <c:pt idx="45">
                  <c:v>0.1699114504459871</c:v>
                </c:pt>
                <c:pt idx="46">
                  <c:v>0.18928078280558935</c:v>
                </c:pt>
                <c:pt idx="47">
                  <c:v>0.20911731635509767</c:v>
                </c:pt>
                <c:pt idx="48">
                  <c:v>0.22879968768094017</c:v>
                </c:pt>
                <c:pt idx="49">
                  <c:v>0.24913496133576274</c:v>
                </c:pt>
                <c:pt idx="50">
                  <c:v>0.27013627389188599</c:v>
                </c:pt>
                <c:pt idx="51">
                  <c:v>0.29034847752939896</c:v>
                </c:pt>
                <c:pt idx="52">
                  <c:v>0.31124347621248916</c:v>
                </c:pt>
                <c:pt idx="53">
                  <c:v>0.33212243607204783</c:v>
                </c:pt>
                <c:pt idx="54">
                  <c:v>0.35295764619187509</c:v>
                </c:pt>
                <c:pt idx="55">
                  <c:v>0.37384018599463076</c:v>
                </c:pt>
                <c:pt idx="56">
                  <c:v>0.39515732966700767</c:v>
                </c:pt>
                <c:pt idx="57">
                  <c:v>0.41657884409162449</c:v>
                </c:pt>
                <c:pt idx="58">
                  <c:v>0.43788674680303785</c:v>
                </c:pt>
                <c:pt idx="59">
                  <c:v>0.45931017879153302</c:v>
                </c:pt>
                <c:pt idx="60">
                  <c:v>0.48130647895565204</c:v>
                </c:pt>
                <c:pt idx="61">
                  <c:v>0.50340711478805389</c:v>
                </c:pt>
                <c:pt idx="62">
                  <c:v>0.52545456526987522</c:v>
                </c:pt>
                <c:pt idx="63">
                  <c:v>0.54759850261144294</c:v>
                </c:pt>
                <c:pt idx="64">
                  <c:v>0.56965847916455203</c:v>
                </c:pt>
                <c:pt idx="65">
                  <c:v>0.59174724380451238</c:v>
                </c:pt>
                <c:pt idx="66">
                  <c:v>0.61386158378706313</c:v>
                </c:pt>
                <c:pt idx="67">
                  <c:v>0.63601644718480799</c:v>
                </c:pt>
                <c:pt idx="68">
                  <c:v>0.65820996860146153</c:v>
                </c:pt>
                <c:pt idx="69">
                  <c:v>0.68056191119490705</c:v>
                </c:pt>
                <c:pt idx="70">
                  <c:v>0.70284521150818335</c:v>
                </c:pt>
                <c:pt idx="71">
                  <c:v>0.72517870954646213</c:v>
                </c:pt>
                <c:pt idx="72">
                  <c:v>0.74758599193817332</c:v>
                </c:pt>
                <c:pt idx="73">
                  <c:v>0.77014911119703555</c:v>
                </c:pt>
                <c:pt idx="74">
                  <c:v>0.79268762907122436</c:v>
                </c:pt>
                <c:pt idx="75">
                  <c:v>0.81529560387862432</c:v>
                </c:pt>
                <c:pt idx="76">
                  <c:v>0.8379799791667466</c:v>
                </c:pt>
                <c:pt idx="77">
                  <c:v>0.86017837119985074</c:v>
                </c:pt>
                <c:pt idx="78">
                  <c:v>0.88242810195609422</c:v>
                </c:pt>
                <c:pt idx="79">
                  <c:v>0.9047062835784061</c:v>
                </c:pt>
                <c:pt idx="80">
                  <c:v>0.92718332960430416</c:v>
                </c:pt>
                <c:pt idx="81">
                  <c:v>0.94986269303400661</c:v>
                </c:pt>
                <c:pt idx="82">
                  <c:v>0.97241006783447403</c:v>
                </c:pt>
                <c:pt idx="83">
                  <c:v>0.99516564114117045</c:v>
                </c:pt>
                <c:pt idx="84">
                  <c:v>1.0174058161972255</c:v>
                </c:pt>
                <c:pt idx="85">
                  <c:v>1.0404112415767912</c:v>
                </c:pt>
                <c:pt idx="86">
                  <c:v>1.0635718205693649</c:v>
                </c:pt>
                <c:pt idx="87">
                  <c:v>1.086142299199679</c:v>
                </c:pt>
                <c:pt idx="88">
                  <c:v>1.1089895352601786</c:v>
                </c:pt>
                <c:pt idx="89">
                  <c:v>1.1312595588007497</c:v>
                </c:pt>
                <c:pt idx="90">
                  <c:v>1.1536081953886566</c:v>
                </c:pt>
                <c:pt idx="91">
                  <c:v>1.1768231089792351</c:v>
                </c:pt>
                <c:pt idx="92">
                  <c:v>1.1996039193324037</c:v>
                </c:pt>
                <c:pt idx="93">
                  <c:v>1.2218748304983222</c:v>
                </c:pt>
                <c:pt idx="94">
                  <c:v>1.2449361554288032</c:v>
                </c:pt>
                <c:pt idx="95">
                  <c:v>1.2674547382366939</c:v>
                </c:pt>
                <c:pt idx="96">
                  <c:v>1.290296089282748</c:v>
                </c:pt>
                <c:pt idx="97">
                  <c:v>1.3132851881461534</c:v>
                </c:pt>
                <c:pt idx="98">
                  <c:v>1.3364007820195809</c:v>
                </c:pt>
                <c:pt idx="99">
                  <c:v>1.3591199666219893</c:v>
                </c:pt>
                <c:pt idx="100">
                  <c:v>1.3819811189553235</c:v>
                </c:pt>
                <c:pt idx="101">
                  <c:v>1.4044399126994875</c:v>
                </c:pt>
                <c:pt idx="102">
                  <c:v>1.4277121263487658</c:v>
                </c:pt>
                <c:pt idx="103">
                  <c:v>1.4505943489077282</c:v>
                </c:pt>
                <c:pt idx="104">
                  <c:v>1.4736504494823919</c:v>
                </c:pt>
                <c:pt idx="105">
                  <c:v>1.4962318443703992</c:v>
                </c:pt>
                <c:pt idx="106">
                  <c:v>1.51909383662057</c:v>
                </c:pt>
                <c:pt idx="107">
                  <c:v>1.542123199031721</c:v>
                </c:pt>
                <c:pt idx="108">
                  <c:v>1.5650007918981999</c:v>
                </c:pt>
                <c:pt idx="109">
                  <c:v>1.5878949140412146</c:v>
                </c:pt>
                <c:pt idx="110">
                  <c:v>1.610958103351777</c:v>
                </c:pt>
                <c:pt idx="111">
                  <c:v>1.6337918564889833</c:v>
                </c:pt>
                <c:pt idx="112">
                  <c:v>1.6561990757783747</c:v>
                </c:pt>
                <c:pt idx="113">
                  <c:v>1.6787620110194155</c:v>
                </c:pt>
                <c:pt idx="114">
                  <c:v>1.7008750388700378</c:v>
                </c:pt>
                <c:pt idx="115">
                  <c:v>1.723505711122499</c:v>
                </c:pt>
                <c:pt idx="116">
                  <c:v>1.7463144790194747</c:v>
                </c:pt>
                <c:pt idx="117">
                  <c:v>1.7692832239714278</c:v>
                </c:pt>
                <c:pt idx="118">
                  <c:v>1.7919771491576455</c:v>
                </c:pt>
                <c:pt idx="119">
                  <c:v>1.8141468807483818</c:v>
                </c:pt>
                <c:pt idx="120">
                  <c:v>1.8375240013737084</c:v>
                </c:pt>
                <c:pt idx="121">
                  <c:v>1.8603302275291185</c:v>
                </c:pt>
                <c:pt idx="122">
                  <c:v>1.8828353533738493</c:v>
                </c:pt>
                <c:pt idx="123">
                  <c:v>1.9056287415926079</c:v>
                </c:pt>
                <c:pt idx="124">
                  <c:v>1.9288389104993371</c:v>
                </c:pt>
                <c:pt idx="125">
                  <c:v>1.9516539830642614</c:v>
                </c:pt>
                <c:pt idx="126">
                  <c:v>1.9739883872724988</c:v>
                </c:pt>
                <c:pt idx="127">
                  <c:v>1.996772093993485</c:v>
                </c:pt>
                <c:pt idx="128">
                  <c:v>2.0198742647432937</c:v>
                </c:pt>
                <c:pt idx="129">
                  <c:v>2.0425746182946511</c:v>
                </c:pt>
                <c:pt idx="130">
                  <c:v>2.0656016995188793</c:v>
                </c:pt>
                <c:pt idx="131">
                  <c:v>2.0885282783897594</c:v>
                </c:pt>
                <c:pt idx="132">
                  <c:v>2.1107842399281651</c:v>
                </c:pt>
                <c:pt idx="133">
                  <c:v>2.1336199694910079</c:v>
                </c:pt>
                <c:pt idx="134">
                  <c:v>2.1567068920675183</c:v>
                </c:pt>
                <c:pt idx="135">
                  <c:v>2.1794761291042164</c:v>
                </c:pt>
                <c:pt idx="136">
                  <c:v>2.2027965399277321</c:v>
                </c:pt>
                <c:pt idx="137">
                  <c:v>2.2255767883614226</c:v>
                </c:pt>
                <c:pt idx="138">
                  <c:v>2.2481117811229296</c:v>
                </c:pt>
                <c:pt idx="139">
                  <c:v>2.2710191556193138</c:v>
                </c:pt>
                <c:pt idx="140">
                  <c:v>2.2937028008900455</c:v>
                </c:pt>
                <c:pt idx="141">
                  <c:v>2.3166531729999775</c:v>
                </c:pt>
                <c:pt idx="142">
                  <c:v>2.3393934143050785</c:v>
                </c:pt>
                <c:pt idx="143">
                  <c:v>2.3617578428405182</c:v>
                </c:pt>
                <c:pt idx="144">
                  <c:v>2.3845855138560523</c:v>
                </c:pt>
                <c:pt idx="145">
                  <c:v>2.4070465028600267</c:v>
                </c:pt>
                <c:pt idx="146">
                  <c:v>2.4300990261953075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67-4958-A6CB-C5CE11EE9999}"/>
            </c:ext>
          </c:extLst>
        </c:ser>
        <c:ser>
          <c:idx val="2"/>
          <c:order val="2"/>
          <c:tx>
            <c:strRef>
              <c:f>anglechange!$J$1</c:f>
              <c:strCache>
                <c:ptCount val="1"/>
                <c:pt idx="0">
                  <c:v>° Dominus</c:v>
                </c:pt>
              </c:strCache>
            </c:strRef>
          </c:tx>
          <c:spPr>
            <a:ln w="254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anglechange!$J$54:$J$200</c:f>
              <c:numCache>
                <c:formatCode>0.00</c:formatCode>
                <c:ptCount val="147"/>
                <c:pt idx="0">
                  <c:v>-7.8380775041999584E-3</c:v>
                </c:pt>
                <c:pt idx="1">
                  <c:v>-2.0501630246013036E-2</c:v>
                </c:pt>
                <c:pt idx="2">
                  <c:v>-3.7498990243648223E-2</c:v>
                </c:pt>
                <c:pt idx="3">
                  <c:v>-5.5758460062744319E-2</c:v>
                </c:pt>
                <c:pt idx="4">
                  <c:v>-7.5490478153792395E-2</c:v>
                </c:pt>
                <c:pt idx="5">
                  <c:v>-9.4209171224459709E-2</c:v>
                </c:pt>
                <c:pt idx="6">
                  <c:v>-0.11284540111970287</c:v>
                </c:pt>
                <c:pt idx="7">
                  <c:v>-0.13065487056568159</c:v>
                </c:pt>
                <c:pt idx="8">
                  <c:v>-0.14623947161084416</c:v>
                </c:pt>
                <c:pt idx="9">
                  <c:v>-0.1611753788097765</c:v>
                </c:pt>
                <c:pt idx="10">
                  <c:v>-0.17365658869546152</c:v>
                </c:pt>
                <c:pt idx="11">
                  <c:v>-0.18489023561600604</c:v>
                </c:pt>
                <c:pt idx="12">
                  <c:v>-0.19395151889683504</c:v>
                </c:pt>
                <c:pt idx="13">
                  <c:v>-0.2007425129214333</c:v>
                </c:pt>
                <c:pt idx="14">
                  <c:v>-0.20555552260006849</c:v>
                </c:pt>
                <c:pt idx="15">
                  <c:v>-0.20901424576245731</c:v>
                </c:pt>
                <c:pt idx="16">
                  <c:v>-0.20957498050595191</c:v>
                </c:pt>
                <c:pt idx="17">
                  <c:v>-0.20884640455336623</c:v>
                </c:pt>
                <c:pt idx="18">
                  <c:v>-0.20685810734204679</c:v>
                </c:pt>
                <c:pt idx="19">
                  <c:v>-0.20273781063861307</c:v>
                </c:pt>
                <c:pt idx="20">
                  <c:v>-0.19742182617673976</c:v>
                </c:pt>
                <c:pt idx="21">
                  <c:v>-0.19072174994310487</c:v>
                </c:pt>
                <c:pt idx="22">
                  <c:v>-0.18215894549669898</c:v>
                </c:pt>
                <c:pt idx="23">
                  <c:v>-0.17224451402977436</c:v>
                </c:pt>
                <c:pt idx="24">
                  <c:v>-0.16102882031112742</c:v>
                </c:pt>
                <c:pt idx="25">
                  <c:v>-0.1486806016925506</c:v>
                </c:pt>
                <c:pt idx="26">
                  <c:v>-0.13570206637372095</c:v>
                </c:pt>
                <c:pt idx="27">
                  <c:v>-0.12076781251689184</c:v>
                </c:pt>
                <c:pt idx="28">
                  <c:v>-0.10476493100268769</c:v>
                </c:pt>
                <c:pt idx="29">
                  <c:v>-8.8160948018735752E-2</c:v>
                </c:pt>
                <c:pt idx="30">
                  <c:v>-7.0260236518439712E-2</c:v>
                </c:pt>
                <c:pt idx="31">
                  <c:v>-5.1951730197412616E-2</c:v>
                </c:pt>
                <c:pt idx="32">
                  <c:v>-3.2293581091227708E-2</c:v>
                </c:pt>
                <c:pt idx="33">
                  <c:v>-1.2197176462574788E-2</c:v>
                </c:pt>
                <c:pt idx="34">
                  <c:v>8.4446741700681116E-3</c:v>
                </c:pt>
                <c:pt idx="35">
                  <c:v>3.0292693740680221E-2</c:v>
                </c:pt>
                <c:pt idx="36">
                  <c:v>5.2622121616582973E-2</c:v>
                </c:pt>
                <c:pt idx="37">
                  <c:v>7.4987016762218417E-2</c:v>
                </c:pt>
                <c:pt idx="38">
                  <c:v>9.7843159126600909E-2</c:v>
                </c:pt>
                <c:pt idx="39">
                  <c:v>0.12130850730277487</c:v>
                </c:pt>
                <c:pt idx="40">
                  <c:v>0.14579149630931454</c:v>
                </c:pt>
                <c:pt idx="41">
                  <c:v>0.17031395574370833</c:v>
                </c:pt>
                <c:pt idx="42">
                  <c:v>0.19532995706859424</c:v>
                </c:pt>
                <c:pt idx="43">
                  <c:v>0.22100235740735741</c:v>
                </c:pt>
                <c:pt idx="44">
                  <c:v>0.24641842843884376</c:v>
                </c:pt>
                <c:pt idx="45">
                  <c:v>0.27305605184628234</c:v>
                </c:pt>
                <c:pt idx="46">
                  <c:v>0.29924106316200039</c:v>
                </c:pt>
                <c:pt idx="47">
                  <c:v>0.32583814943869527</c:v>
                </c:pt>
                <c:pt idx="48">
                  <c:v>0.35279971307291191</c:v>
                </c:pt>
                <c:pt idx="49">
                  <c:v>0.37997870555258828</c:v>
                </c:pt>
                <c:pt idx="50">
                  <c:v>0.40770274147250518</c:v>
                </c:pt>
                <c:pt idx="51">
                  <c:v>0.43522984221598904</c:v>
                </c:pt>
                <c:pt idx="52">
                  <c:v>0.46342638438278527</c:v>
                </c:pt>
                <c:pt idx="53">
                  <c:v>0.49166654169437152</c:v>
                </c:pt>
                <c:pt idx="54">
                  <c:v>0.51986242609127942</c:v>
                </c:pt>
                <c:pt idx="55">
                  <c:v>0.54795758382174142</c:v>
                </c:pt>
                <c:pt idx="56">
                  <c:v>0.57734393400041029</c:v>
                </c:pt>
                <c:pt idx="57">
                  <c:v>0.60602250883226816</c:v>
                </c:pt>
                <c:pt idx="58">
                  <c:v>0.6347849673564383</c:v>
                </c:pt>
                <c:pt idx="59">
                  <c:v>0.66415119286251922</c:v>
                </c:pt>
                <c:pt idx="60">
                  <c:v>0.69350886920564392</c:v>
                </c:pt>
                <c:pt idx="61">
                  <c:v>0.72345572439547823</c:v>
                </c:pt>
                <c:pt idx="62">
                  <c:v>0.7535507808337627</c:v>
                </c:pt>
                <c:pt idx="63">
                  <c:v>0.78356221339038257</c:v>
                </c:pt>
                <c:pt idx="64">
                  <c:v>0.8137115540101405</c:v>
                </c:pt>
                <c:pt idx="65">
                  <c:v>0.84309552979109981</c:v>
                </c:pt>
                <c:pt idx="66">
                  <c:v>0.87322110936304398</c:v>
                </c:pt>
                <c:pt idx="67">
                  <c:v>0.90281650327931118</c:v>
                </c:pt>
                <c:pt idx="68">
                  <c:v>0.93316361744139442</c:v>
                </c:pt>
                <c:pt idx="69">
                  <c:v>0.96345841753925754</c:v>
                </c:pt>
                <c:pt idx="70">
                  <c:v>0.99393765201102724</c:v>
                </c:pt>
                <c:pt idx="71">
                  <c:v>1.0243735748269103</c:v>
                </c:pt>
                <c:pt idx="72">
                  <c:v>1.0550307107888557</c:v>
                </c:pt>
                <c:pt idx="73">
                  <c:v>1.0850547920400118</c:v>
                </c:pt>
                <c:pt idx="74">
                  <c:v>1.115780756893912</c:v>
                </c:pt>
                <c:pt idx="75">
                  <c:v>1.1458998518283465</c:v>
                </c:pt>
                <c:pt idx="76">
                  <c:v>1.1769573003503808</c:v>
                </c:pt>
                <c:pt idx="77">
                  <c:v>1.2074210039342859</c:v>
                </c:pt>
                <c:pt idx="78">
                  <c:v>1.2380202580476123</c:v>
                </c:pt>
                <c:pt idx="79">
                  <c:v>1.2686210991080031</c:v>
                </c:pt>
                <c:pt idx="80">
                  <c:v>1.2989230382154631</c:v>
                </c:pt>
                <c:pt idx="81">
                  <c:v>1.3293514449213291</c:v>
                </c:pt>
                <c:pt idx="82">
                  <c:v>1.360503026597442</c:v>
                </c:pt>
                <c:pt idx="83">
                  <c:v>1.3910843556433434</c:v>
                </c:pt>
                <c:pt idx="84">
                  <c:v>1.4212942946915064</c:v>
                </c:pt>
                <c:pt idx="85">
                  <c:v>1.4523533187795152</c:v>
                </c:pt>
                <c:pt idx="86">
                  <c:v>1.4834475565272953</c:v>
                </c:pt>
                <c:pt idx="87">
                  <c:v>1.5143125291656787</c:v>
                </c:pt>
                <c:pt idx="88">
                  <c:v>1.5445836673975606</c:v>
                </c:pt>
                <c:pt idx="89">
                  <c:v>1.5750256470516035</c:v>
                </c:pt>
                <c:pt idx="90">
                  <c:v>1.6058025682802679</c:v>
                </c:pt>
                <c:pt idx="91">
                  <c:v>1.6366941943844182</c:v>
                </c:pt>
                <c:pt idx="92">
                  <c:v>1.6678884609330282</c:v>
                </c:pt>
                <c:pt idx="93">
                  <c:v>1.6985096293590942</c:v>
                </c:pt>
                <c:pt idx="94">
                  <c:v>1.7293865042293248</c:v>
                </c:pt>
                <c:pt idx="95">
                  <c:v>1.7600198728803207</c:v>
                </c:pt>
                <c:pt idx="96">
                  <c:v>1.7907756673692603</c:v>
                </c:pt>
                <c:pt idx="97">
                  <c:v>1.8219051965547237</c:v>
                </c:pt>
                <c:pt idx="98">
                  <c:v>1.8525477405396202</c:v>
                </c:pt>
                <c:pt idx="99">
                  <c:v>1.8834995051599179</c:v>
                </c:pt>
                <c:pt idx="100">
                  <c:v>1.9140006011032256</c:v>
                </c:pt>
                <c:pt idx="101">
                  <c:v>1.9448030138279364</c:v>
                </c:pt>
                <c:pt idx="102">
                  <c:v>1.9759192318877297</c:v>
                </c:pt>
                <c:pt idx="103">
                  <c:v>2.0067034834110729</c:v>
                </c:pt>
                <c:pt idx="104">
                  <c:v>2.0377231896932102</c:v>
                </c:pt>
                <c:pt idx="105">
                  <c:v>2.0684246120714391</c:v>
                </c:pt>
                <c:pt idx="106">
                  <c:v>2.0994685261113091</c:v>
                </c:pt>
                <c:pt idx="107">
                  <c:v>2.1307380844507264</c:v>
                </c:pt>
                <c:pt idx="108">
                  <c:v>2.1618337944475741</c:v>
                </c:pt>
                <c:pt idx="109">
                  <c:v>2.1930882758894938</c:v>
                </c:pt>
                <c:pt idx="110">
                  <c:v>2.22413791340648</c:v>
                </c:pt>
                <c:pt idx="111">
                  <c:v>2.254973751836701</c:v>
                </c:pt>
                <c:pt idx="112">
                  <c:v>2.2853405259695023</c:v>
                </c:pt>
                <c:pt idx="113">
                  <c:v>2.316123653789731</c:v>
                </c:pt>
                <c:pt idx="114">
                  <c:v>2.3464444785996648</c:v>
                </c:pt>
                <c:pt idx="115">
                  <c:v>2.3774229445465096</c:v>
                </c:pt>
                <c:pt idx="116">
                  <c:v>2.4086414478618963</c:v>
                </c:pt>
                <c:pt idx="117">
                  <c:v>2.4396561960818417</c:v>
                </c:pt>
                <c:pt idx="118">
                  <c:v>2.4702223364489271</c:v>
                </c:pt>
                <c:pt idx="119">
                  <c:v>2.5004611021336416</c:v>
                </c:pt>
                <c:pt idx="120">
                  <c:v>2.5321048592529394</c:v>
                </c:pt>
                <c:pt idx="121">
                  <c:v>2.563249241903975</c:v>
                </c:pt>
                <c:pt idx="122">
                  <c:v>2.5943576535183297</c:v>
                </c:pt>
                <c:pt idx="123">
                  <c:v>2.6248585243072</c:v>
                </c:pt>
                <c:pt idx="124">
                  <c:v>2.6561231581335107</c:v>
                </c:pt>
                <c:pt idx="125">
                  <c:v>2.687049954638951</c:v>
                </c:pt>
                <c:pt idx="126">
                  <c:v>2.7177312913676985</c:v>
                </c:pt>
                <c:pt idx="127">
                  <c:v>2.7489928165498725</c:v>
                </c:pt>
                <c:pt idx="128">
                  <c:v>2.7796794231797151</c:v>
                </c:pt>
                <c:pt idx="129">
                  <c:v>2.8112388184679276</c:v>
                </c:pt>
                <c:pt idx="130">
                  <c:v>2.8422936836426231</c:v>
                </c:pt>
                <c:pt idx="131">
                  <c:v>2.8734163745658918</c:v>
                </c:pt>
                <c:pt idx="132">
                  <c:v>2.904141508948328</c:v>
                </c:pt>
                <c:pt idx="133">
                  <c:v>2.9346230811265457</c:v>
                </c:pt>
                <c:pt idx="134">
                  <c:v>2.965631190697593</c:v>
                </c:pt>
                <c:pt idx="135">
                  <c:v>2.9965571435967604</c:v>
                </c:pt>
                <c:pt idx="136">
                  <c:v>3.0273226825844972</c:v>
                </c:pt>
                <c:pt idx="137">
                  <c:v>3.0584288720192205</c:v>
                </c:pt>
                <c:pt idx="138">
                  <c:v>3.0887364368154806</c:v>
                </c:pt>
                <c:pt idx="139">
                  <c:v>3.1196545516810801</c:v>
                </c:pt>
                <c:pt idx="140">
                  <c:v>3.1502209276906825</c:v>
                </c:pt>
                <c:pt idx="141">
                  <c:v>3.1807415881204264</c:v>
                </c:pt>
                <c:pt idx="142">
                  <c:v>3.2118781780376366</c:v>
                </c:pt>
                <c:pt idx="143">
                  <c:v>3.2425954986214549</c:v>
                </c:pt>
                <c:pt idx="144">
                  <c:v>3.2735465697935524</c:v>
                </c:pt>
                <c:pt idx="145">
                  <c:v>3.3040626626240623</c:v>
                </c:pt>
                <c:pt idx="146">
                  <c:v>3.3352641548599422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67-4958-A6CB-C5CE11EE9999}"/>
            </c:ext>
          </c:extLst>
        </c:ser>
        <c:ser>
          <c:idx val="3"/>
          <c:order val="3"/>
          <c:tx>
            <c:strRef>
              <c:f>anglechange!$K$1</c:f>
              <c:strCache>
                <c:ptCount val="1"/>
                <c:pt idx="0">
                  <c:v>° Plank</c:v>
                </c:pt>
              </c:strCache>
            </c:strRef>
          </c:tx>
          <c:spPr>
            <a:ln w="254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anglechange!$K$54:$K$200</c:f>
              <c:numCache>
                <c:formatCode>0.00</c:formatCode>
                <c:ptCount val="147"/>
                <c:pt idx="0">
                  <c:v>-1.3668816774721648E-2</c:v>
                </c:pt>
                <c:pt idx="1">
                  <c:v>-3.5515468235704617E-2</c:v>
                </c:pt>
                <c:pt idx="2">
                  <c:v>-6.4536383429356192E-2</c:v>
                </c:pt>
                <c:pt idx="3">
                  <c:v>-9.6187233507581738E-2</c:v>
                </c:pt>
                <c:pt idx="4">
                  <c:v>-0.13075872857310955</c:v>
                </c:pt>
                <c:pt idx="5">
                  <c:v>-0.16485124893215541</c:v>
                </c:pt>
                <c:pt idx="6">
                  <c:v>-0.19942033694604433</c:v>
                </c:pt>
                <c:pt idx="7">
                  <c:v>-0.23243325288055772</c:v>
                </c:pt>
                <c:pt idx="8">
                  <c:v>-0.26373353377557507</c:v>
                </c:pt>
                <c:pt idx="9">
                  <c:v>-0.29372264558376671</c:v>
                </c:pt>
                <c:pt idx="10">
                  <c:v>-0.3211645242125023</c:v>
                </c:pt>
                <c:pt idx="11">
                  <c:v>-0.3470720616964833</c:v>
                </c:pt>
                <c:pt idx="12">
                  <c:v>-0.37001578219456022</c:v>
                </c:pt>
                <c:pt idx="13">
                  <c:v>-0.39080020328532683</c:v>
                </c:pt>
                <c:pt idx="14">
                  <c:v>-0.40932916038804379</c:v>
                </c:pt>
                <c:pt idx="15">
                  <c:v>-0.42570741789226574</c:v>
                </c:pt>
                <c:pt idx="16">
                  <c:v>-0.43911286008997408</c:v>
                </c:pt>
                <c:pt idx="17">
                  <c:v>-0.45140217671880478</c:v>
                </c:pt>
                <c:pt idx="18">
                  <c:v>-0.4613800407673132</c:v>
                </c:pt>
                <c:pt idx="19">
                  <c:v>-0.46919632410549994</c:v>
                </c:pt>
                <c:pt idx="20">
                  <c:v>-0.47512767055443916</c:v>
                </c:pt>
                <c:pt idx="21">
                  <c:v>-0.47958830709368172</c:v>
                </c:pt>
                <c:pt idx="22">
                  <c:v>-0.4821046644330913</c:v>
                </c:pt>
                <c:pt idx="23">
                  <c:v>-0.48330304180033679</c:v>
                </c:pt>
                <c:pt idx="24">
                  <c:v>-0.48238365096584701</c:v>
                </c:pt>
                <c:pt idx="25">
                  <c:v>-0.48036192397119848</c:v>
                </c:pt>
                <c:pt idx="26">
                  <c:v>-0.47702805257358349</c:v>
                </c:pt>
                <c:pt idx="27">
                  <c:v>-0.47235465069086402</c:v>
                </c:pt>
                <c:pt idx="28">
                  <c:v>-0.46642831790981276</c:v>
                </c:pt>
                <c:pt idx="29">
                  <c:v>-0.45931560566942764</c:v>
                </c:pt>
                <c:pt idx="30">
                  <c:v>-0.45082405194379405</c:v>
                </c:pt>
                <c:pt idx="31">
                  <c:v>-0.44194685615847007</c:v>
                </c:pt>
                <c:pt idx="32">
                  <c:v>-0.43173240183838502</c:v>
                </c:pt>
                <c:pt idx="33">
                  <c:v>-0.42091782515106146</c:v>
                </c:pt>
                <c:pt idx="34">
                  <c:v>-0.40902996022598259</c:v>
                </c:pt>
                <c:pt idx="35">
                  <c:v>-0.39577070906297607</c:v>
                </c:pt>
                <c:pt idx="36">
                  <c:v>-0.38204789501833503</c:v>
                </c:pt>
                <c:pt idx="37">
                  <c:v>-0.36841047730510113</c:v>
                </c:pt>
                <c:pt idx="38">
                  <c:v>-0.35354524335945925</c:v>
                </c:pt>
                <c:pt idx="39">
                  <c:v>-0.33810104673089469</c:v>
                </c:pt>
                <c:pt idx="40">
                  <c:v>-0.32155943114294772</c:v>
                </c:pt>
                <c:pt idx="41">
                  <c:v>-0.30509543766345359</c:v>
                </c:pt>
                <c:pt idx="42">
                  <c:v>-0.28815673019793309</c:v>
                </c:pt>
                <c:pt idx="43">
                  <c:v>-0.27040713020823404</c:v>
                </c:pt>
                <c:pt idx="44">
                  <c:v>-0.25297000093640776</c:v>
                </c:pt>
                <c:pt idx="45">
                  <c:v>-0.23430124173322753</c:v>
                </c:pt>
                <c:pt idx="46">
                  <c:v>-0.21562361290734344</c:v>
                </c:pt>
                <c:pt idx="47">
                  <c:v>-0.19638737777284376</c:v>
                </c:pt>
                <c:pt idx="48">
                  <c:v>-0.17670474667598768</c:v>
                </c:pt>
                <c:pt idx="49">
                  <c:v>-0.1570951606762705</c:v>
                </c:pt>
                <c:pt idx="50">
                  <c:v>-0.13680285241100165</c:v>
                </c:pt>
                <c:pt idx="51">
                  <c:v>-0.11668208397002644</c:v>
                </c:pt>
                <c:pt idx="52">
                  <c:v>-9.601641014206308E-2</c:v>
                </c:pt>
                <c:pt idx="53">
                  <c:v>-7.5243046198004038E-2</c:v>
                </c:pt>
                <c:pt idx="54">
                  <c:v>-5.4585271838469396E-2</c:v>
                </c:pt>
                <c:pt idx="55">
                  <c:v>-3.3424777134264616E-2</c:v>
                </c:pt>
                <c:pt idx="56">
                  <c:v>-1.1711462156746677E-2</c:v>
                </c:pt>
                <c:pt idx="57">
                  <c:v>1.0042942669805655E-2</c:v>
                </c:pt>
                <c:pt idx="58">
                  <c:v>3.1768676745024038E-2</c:v>
                </c:pt>
                <c:pt idx="59">
                  <c:v>5.4146328389400367E-2</c:v>
                </c:pt>
                <c:pt idx="60">
                  <c:v>7.6392991421762702E-2</c:v>
                </c:pt>
                <c:pt idx="61">
                  <c:v>9.9168898296660757E-2</c:v>
                </c:pt>
                <c:pt idx="62">
                  <c:v>0.12209392265160801</c:v>
                </c:pt>
                <c:pt idx="63">
                  <c:v>0.14497267873066022</c:v>
                </c:pt>
                <c:pt idx="64">
                  <c:v>0.16785038121829388</c:v>
                </c:pt>
                <c:pt idx="65">
                  <c:v>0.1906145407222013</c:v>
                </c:pt>
                <c:pt idx="66">
                  <c:v>0.21337384233206791</c:v>
                </c:pt>
                <c:pt idx="67">
                  <c:v>0.23625506108404437</c:v>
                </c:pt>
                <c:pt idx="68">
                  <c:v>0.25914910006083147</c:v>
                </c:pt>
                <c:pt idx="69">
                  <c:v>0.28263086006972316</c:v>
                </c:pt>
                <c:pt idx="70">
                  <c:v>0.30613404342889083</c:v>
                </c:pt>
                <c:pt idx="71">
                  <c:v>0.32966009571175192</c:v>
                </c:pt>
                <c:pt idx="72">
                  <c:v>0.35322914187492671</c:v>
                </c:pt>
                <c:pt idx="73">
                  <c:v>0.37623892740780462</c:v>
                </c:pt>
                <c:pt idx="74">
                  <c:v>0.39976349478951079</c:v>
                </c:pt>
                <c:pt idx="75">
                  <c:v>0.42345867090466527</c:v>
                </c:pt>
                <c:pt idx="76">
                  <c:v>0.44719956892780033</c:v>
                </c:pt>
                <c:pt idx="77">
                  <c:v>0.47042421188723438</c:v>
                </c:pt>
                <c:pt idx="78">
                  <c:v>0.49369899515448878</c:v>
                </c:pt>
                <c:pt idx="79">
                  <c:v>0.51691306632056921</c:v>
                </c:pt>
                <c:pt idx="80">
                  <c:v>0.54024506756196899</c:v>
                </c:pt>
                <c:pt idx="81">
                  <c:v>0.56382768555957341</c:v>
                </c:pt>
                <c:pt idx="82">
                  <c:v>0.58799072462508661</c:v>
                </c:pt>
                <c:pt idx="83">
                  <c:v>0.61147580742249374</c:v>
                </c:pt>
                <c:pt idx="84">
                  <c:v>0.63522017365518479</c:v>
                </c:pt>
                <c:pt idx="85">
                  <c:v>0.6589759424050925</c:v>
                </c:pt>
                <c:pt idx="86">
                  <c:v>0.6829193018759554</c:v>
                </c:pt>
                <c:pt idx="87">
                  <c:v>0.70624114984235575</c:v>
                </c:pt>
                <c:pt idx="88">
                  <c:v>0.72980837967044465</c:v>
                </c:pt>
                <c:pt idx="89">
                  <c:v>0.75330613326993046</c:v>
                </c:pt>
                <c:pt idx="90">
                  <c:v>0.77700195451413379</c:v>
                </c:pt>
                <c:pt idx="91">
                  <c:v>0.80165214962339348</c:v>
                </c:pt>
                <c:pt idx="92">
                  <c:v>0.82559995235935446</c:v>
                </c:pt>
                <c:pt idx="93">
                  <c:v>0.84902969068670586</c:v>
                </c:pt>
                <c:pt idx="94">
                  <c:v>0.87325107073768038</c:v>
                </c:pt>
                <c:pt idx="95">
                  <c:v>0.8970668558240078</c:v>
                </c:pt>
                <c:pt idx="96">
                  <c:v>0.92099399501290691</c:v>
                </c:pt>
                <c:pt idx="97">
                  <c:v>0.94510920277316757</c:v>
                </c:pt>
                <c:pt idx="98">
                  <c:v>0.96941346433209219</c:v>
                </c:pt>
                <c:pt idx="99">
                  <c:v>0.99327029173764458</c:v>
                </c:pt>
                <c:pt idx="100">
                  <c:v>1.0171511696654107</c:v>
                </c:pt>
                <c:pt idx="101">
                  <c:v>1.0413289570495863</c:v>
                </c:pt>
                <c:pt idx="102">
                  <c:v>1.0655469164182705</c:v>
                </c:pt>
                <c:pt idx="103">
                  <c:v>1.0894287462872398</c:v>
                </c:pt>
                <c:pt idx="104">
                  <c:v>1.1135391122315497</c:v>
                </c:pt>
                <c:pt idx="105">
                  <c:v>1.1371472186825713</c:v>
                </c:pt>
                <c:pt idx="106">
                  <c:v>1.1610912955501078</c:v>
                </c:pt>
                <c:pt idx="107">
                  <c:v>1.1848925075261576</c:v>
                </c:pt>
                <c:pt idx="108">
                  <c:v>1.2094149289353027</c:v>
                </c:pt>
                <c:pt idx="109">
                  <c:v>1.2337220000397053</c:v>
                </c:pt>
                <c:pt idx="110">
                  <c:v>1.257716404152859</c:v>
                </c:pt>
                <c:pt idx="111">
                  <c:v>1.2821015358967998</c:v>
                </c:pt>
                <c:pt idx="112">
                  <c:v>1.3059873851425436</c:v>
                </c:pt>
                <c:pt idx="113">
                  <c:v>1.3300975918436393</c:v>
                </c:pt>
                <c:pt idx="114">
                  <c:v>1.3537568301781846</c:v>
                </c:pt>
                <c:pt idx="115">
                  <c:v>1.3776576734635739</c:v>
                </c:pt>
                <c:pt idx="116">
                  <c:v>1.4019551666530674</c:v>
                </c:pt>
                <c:pt idx="117">
                  <c:v>1.4264687744019398</c:v>
                </c:pt>
                <c:pt idx="118">
                  <c:v>1.4504243957233598</c:v>
                </c:pt>
                <c:pt idx="119">
                  <c:v>1.4741315875584746</c:v>
                </c:pt>
                <c:pt idx="120">
                  <c:v>1.4988111087615437</c:v>
                </c:pt>
                <c:pt idx="121">
                  <c:v>1.5230725443196889</c:v>
                </c:pt>
                <c:pt idx="122">
                  <c:v>1.5469893849076755</c:v>
                </c:pt>
                <c:pt idx="123">
                  <c:v>1.5709584262165208</c:v>
                </c:pt>
                <c:pt idx="124">
                  <c:v>1.5955687597140411</c:v>
                </c:pt>
                <c:pt idx="125">
                  <c:v>1.6197264141531491</c:v>
                </c:pt>
                <c:pt idx="126">
                  <c:v>1.6433777283627649</c:v>
                </c:pt>
                <c:pt idx="127">
                  <c:v>1.6675779560853243</c:v>
                </c:pt>
                <c:pt idx="128">
                  <c:v>1.6918309310078143</c:v>
                </c:pt>
                <c:pt idx="129">
                  <c:v>1.7159194095170847</c:v>
                </c:pt>
                <c:pt idx="130">
                  <c:v>1.7402434341046558</c:v>
                </c:pt>
                <c:pt idx="131">
                  <c:v>1.7643270217475049</c:v>
                </c:pt>
                <c:pt idx="132">
                  <c:v>1.7886551577138334</c:v>
                </c:pt>
                <c:pt idx="133">
                  <c:v>1.8126572848468072</c:v>
                </c:pt>
                <c:pt idx="134">
                  <c:v>1.8369133063537504</c:v>
                </c:pt>
                <c:pt idx="135">
                  <c:v>1.8609157276960389</c:v>
                </c:pt>
                <c:pt idx="136">
                  <c:v>1.8854688515797591</c:v>
                </c:pt>
                <c:pt idx="137">
                  <c:v>1.9102328231627723</c:v>
                </c:pt>
                <c:pt idx="138">
                  <c:v>1.9339091195796811</c:v>
                </c:pt>
                <c:pt idx="139">
                  <c:v>1.9580678250688663</c:v>
                </c:pt>
                <c:pt idx="140">
                  <c:v>1.9819278275726759</c:v>
                </c:pt>
                <c:pt idx="141">
                  <c:v>2.0060466209587133</c:v>
                </c:pt>
                <c:pt idx="142">
                  <c:v>2.029883775404528</c:v>
                </c:pt>
                <c:pt idx="143">
                  <c:v>2.0533327963278509</c:v>
                </c:pt>
                <c:pt idx="144">
                  <c:v>2.0773321429313114</c:v>
                </c:pt>
                <c:pt idx="145">
                  <c:v>2.1018603051479943</c:v>
                </c:pt>
                <c:pt idx="146">
                  <c:v>2.1266121494266201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67-4958-A6CB-C5CE11EE9999}"/>
            </c:ext>
          </c:extLst>
        </c:ser>
        <c:ser>
          <c:idx val="4"/>
          <c:order val="4"/>
          <c:tx>
            <c:strRef>
              <c:f>anglechange!$L$1</c:f>
              <c:strCache>
                <c:ptCount val="1"/>
                <c:pt idx="0">
                  <c:v>° Batmobile</c:v>
                </c:pt>
              </c:strCache>
            </c:strRef>
          </c:tx>
          <c:spPr>
            <a:ln w="254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anglechange!$L$54:$L$200</c:f>
              <c:numCache>
                <c:formatCode>0.00</c:formatCode>
                <c:ptCount val="147"/>
                <c:pt idx="0">
                  <c:v>-1.3526934231713028E-2</c:v>
                </c:pt>
                <c:pt idx="1">
                  <c:v>-3.619935069028557E-2</c:v>
                </c:pt>
                <c:pt idx="2">
                  <c:v>-6.5133112226131828E-2</c:v>
                </c:pt>
                <c:pt idx="3">
                  <c:v>-9.7614633402692164E-2</c:v>
                </c:pt>
                <c:pt idx="4">
                  <c:v>-0.13274002779738581</c:v>
                </c:pt>
                <c:pt idx="5">
                  <c:v>-0.16827798223447488</c:v>
                </c:pt>
                <c:pt idx="6">
                  <c:v>-0.20424909228649213</c:v>
                </c:pt>
                <c:pt idx="7">
                  <c:v>-0.24004281558172025</c:v>
                </c:pt>
                <c:pt idx="8">
                  <c:v>-0.27415208445353656</c:v>
                </c:pt>
                <c:pt idx="9">
                  <c:v>-0.30754488159831439</c:v>
                </c:pt>
                <c:pt idx="10">
                  <c:v>-0.33899783170425835</c:v>
                </c:pt>
                <c:pt idx="11">
                  <c:v>-0.36915584910506638</c:v>
                </c:pt>
                <c:pt idx="12">
                  <c:v>-0.39683760128676582</c:v>
                </c:pt>
                <c:pt idx="13">
                  <c:v>-0.42293568480701893</c:v>
                </c:pt>
                <c:pt idx="14">
                  <c:v>-0.44683765385230956</c:v>
                </c:pt>
                <c:pt idx="15">
                  <c:v>-0.46930647734160758</c:v>
                </c:pt>
                <c:pt idx="16">
                  <c:v>-0.48940038919183237</c:v>
                </c:pt>
                <c:pt idx="17">
                  <c:v>-0.50887046940392011</c:v>
                </c:pt>
                <c:pt idx="18">
                  <c:v>-0.52677425608804995</c:v>
                </c:pt>
                <c:pt idx="19">
                  <c:v>-0.54255525659516834</c:v>
                </c:pt>
                <c:pt idx="20">
                  <c:v>-0.55698296211774689</c:v>
                </c:pt>
                <c:pt idx="21">
                  <c:v>-0.56989552331110715</c:v>
                </c:pt>
                <c:pt idx="22">
                  <c:v>-0.58148908538741395</c:v>
                </c:pt>
                <c:pt idx="23">
                  <c:v>-0.59156347349960114</c:v>
                </c:pt>
                <c:pt idx="24">
                  <c:v>-0.60032552941396844</c:v>
                </c:pt>
                <c:pt idx="25">
                  <c:v>-0.60857460126445417</c:v>
                </c:pt>
                <c:pt idx="26">
                  <c:v>-0.61606511704149725</c:v>
                </c:pt>
                <c:pt idx="27">
                  <c:v>-0.62137932319517475</c:v>
                </c:pt>
                <c:pt idx="28">
                  <c:v>-0.62627312002824098</c:v>
                </c:pt>
                <c:pt idx="29">
                  <c:v>-0.63041764041057391</c:v>
                </c:pt>
                <c:pt idx="30">
                  <c:v>-0.63320815129720742</c:v>
                </c:pt>
                <c:pt idx="31">
                  <c:v>-0.63552226338562079</c:v>
                </c:pt>
                <c:pt idx="32">
                  <c:v>-0.63717677471487733</c:v>
                </c:pt>
                <c:pt idx="33">
                  <c:v>-0.63815092940742701</c:v>
                </c:pt>
                <c:pt idx="34">
                  <c:v>-0.63863424977029482</c:v>
                </c:pt>
                <c:pt idx="35">
                  <c:v>-0.63768669925496013</c:v>
                </c:pt>
                <c:pt idx="36">
                  <c:v>-0.63687475489133405</c:v>
                </c:pt>
                <c:pt idx="37">
                  <c:v>-0.63543821876750783</c:v>
                </c:pt>
                <c:pt idx="38">
                  <c:v>-0.63339711237147966</c:v>
                </c:pt>
                <c:pt idx="39">
                  <c:v>-0.63080623877145214</c:v>
                </c:pt>
                <c:pt idx="40">
                  <c:v>-0.62766390310837394</c:v>
                </c:pt>
                <c:pt idx="41">
                  <c:v>-0.62446980301291433</c:v>
                </c:pt>
                <c:pt idx="42">
                  <c:v>-0.62094423620075645</c:v>
                </c:pt>
                <c:pt idx="43">
                  <c:v>-0.61650585832525451</c:v>
                </c:pt>
                <c:pt idx="44">
                  <c:v>-0.61232283296939727</c:v>
                </c:pt>
                <c:pt idx="45">
                  <c:v>-0.60760535759105494</c:v>
                </c:pt>
                <c:pt idx="46">
                  <c:v>-0.60265989454269686</c:v>
                </c:pt>
                <c:pt idx="47">
                  <c:v>-0.59741211716541898</c:v>
                </c:pt>
                <c:pt idx="48">
                  <c:v>-0.59223743316897526</c:v>
                </c:pt>
                <c:pt idx="49">
                  <c:v>-0.5863290824597982</c:v>
                </c:pt>
                <c:pt idx="50">
                  <c:v>-0.579838924696503</c:v>
                </c:pt>
                <c:pt idx="51">
                  <c:v>-0.57351621472963643</c:v>
                </c:pt>
                <c:pt idx="52">
                  <c:v>-0.56664935084631907</c:v>
                </c:pt>
                <c:pt idx="53">
                  <c:v>-0.56033374675297409</c:v>
                </c:pt>
                <c:pt idx="54">
                  <c:v>-0.55348433642487294</c:v>
                </c:pt>
                <c:pt idx="55">
                  <c:v>-0.54673179437196495</c:v>
                </c:pt>
                <c:pt idx="56">
                  <c:v>-0.53954615362054881</c:v>
                </c:pt>
                <c:pt idx="57">
                  <c:v>-0.53215159918194388</c:v>
                </c:pt>
                <c:pt idx="58">
                  <c:v>-0.5249848215303814</c:v>
                </c:pt>
                <c:pt idx="59">
                  <c:v>-0.51771648039743923</c:v>
                </c:pt>
                <c:pt idx="60">
                  <c:v>-0.51001481465645782</c:v>
                </c:pt>
                <c:pt idx="61">
                  <c:v>-0.50229142253652981</c:v>
                </c:pt>
                <c:pt idx="62">
                  <c:v>-0.49387808504977215</c:v>
                </c:pt>
                <c:pt idx="63">
                  <c:v>-0.48563652092882137</c:v>
                </c:pt>
                <c:pt idx="64">
                  <c:v>-0.47743141370729347</c:v>
                </c:pt>
                <c:pt idx="65">
                  <c:v>-0.4699481923870934</c:v>
                </c:pt>
                <c:pt idx="66">
                  <c:v>-0.46182529265817607</c:v>
                </c:pt>
                <c:pt idx="67">
                  <c:v>-0.45372893284955751</c:v>
                </c:pt>
                <c:pt idx="68">
                  <c:v>-0.44555464530967015</c:v>
                </c:pt>
                <c:pt idx="69">
                  <c:v>-0.43695680117694735</c:v>
                </c:pt>
                <c:pt idx="70">
                  <c:v>-0.42827244787689267</c:v>
                </c:pt>
                <c:pt idx="71">
                  <c:v>-0.41973264729567461</c:v>
                </c:pt>
                <c:pt idx="72">
                  <c:v>-0.41109092961210081</c:v>
                </c:pt>
                <c:pt idx="73">
                  <c:v>-0.40249198340549697</c:v>
                </c:pt>
                <c:pt idx="74">
                  <c:v>-0.39402340696302929</c:v>
                </c:pt>
                <c:pt idx="75">
                  <c:v>-0.38556310040809194</c:v>
                </c:pt>
                <c:pt idx="76">
                  <c:v>-0.3770102616635711</c:v>
                </c:pt>
                <c:pt idx="77">
                  <c:v>-0.36849775557656983</c:v>
                </c:pt>
                <c:pt idx="78">
                  <c:v>-0.3600991994607341</c:v>
                </c:pt>
                <c:pt idx="79">
                  <c:v>-0.35172012958425114</c:v>
                </c:pt>
                <c:pt idx="80">
                  <c:v>-0.34321762343157047</c:v>
                </c:pt>
                <c:pt idx="81">
                  <c:v>-0.33476849927622254</c:v>
                </c:pt>
                <c:pt idx="82">
                  <c:v>-0.32570995748334042</c:v>
                </c:pt>
                <c:pt idx="83">
                  <c:v>-0.31681753438776639</c:v>
                </c:pt>
                <c:pt idx="84">
                  <c:v>-0.30838397265026174</c:v>
                </c:pt>
                <c:pt idx="85">
                  <c:v>-0.29937478066649703</c:v>
                </c:pt>
                <c:pt idx="86">
                  <c:v>-0.29033518993705343</c:v>
                </c:pt>
                <c:pt idx="87">
                  <c:v>-0.28195798454174792</c:v>
                </c:pt>
                <c:pt idx="88">
                  <c:v>-0.27353204559885569</c:v>
                </c:pt>
                <c:pt idx="89">
                  <c:v>-0.26522651482650872</c:v>
                </c:pt>
                <c:pt idx="90">
                  <c:v>-0.25670793727483954</c:v>
                </c:pt>
                <c:pt idx="91">
                  <c:v>-0.24766481246697936</c:v>
                </c:pt>
                <c:pt idx="92">
                  <c:v>-0.23863236721342673</c:v>
                </c:pt>
                <c:pt idx="93">
                  <c:v>-0.23029938023312013</c:v>
                </c:pt>
                <c:pt idx="94">
                  <c:v>-0.22114856445932674</c:v>
                </c:pt>
                <c:pt idx="95">
                  <c:v>-0.21265177344412223</c:v>
                </c:pt>
                <c:pt idx="96">
                  <c:v>-0.20426110912609374</c:v>
                </c:pt>
                <c:pt idx="97">
                  <c:v>-0.19502463564961658</c:v>
                </c:pt>
                <c:pt idx="98">
                  <c:v>-0.18591589066853942</c:v>
                </c:pt>
                <c:pt idx="99">
                  <c:v>-0.17670965286259843</c:v>
                </c:pt>
                <c:pt idx="100">
                  <c:v>-0.16815682024029854</c:v>
                </c:pt>
                <c:pt idx="101">
                  <c:v>-0.15961843873020598</c:v>
                </c:pt>
                <c:pt idx="102">
                  <c:v>-0.15033405843087166</c:v>
                </c:pt>
                <c:pt idx="103">
                  <c:v>-0.14170068346054165</c:v>
                </c:pt>
                <c:pt idx="104">
                  <c:v>-0.13232557341393658</c:v>
                </c:pt>
                <c:pt idx="105">
                  <c:v>-0.12359145474088962</c:v>
                </c:pt>
                <c:pt idx="106">
                  <c:v>-0.11484528732265176</c:v>
                </c:pt>
                <c:pt idx="107">
                  <c:v>-0.1061036673663267</c:v>
                </c:pt>
                <c:pt idx="108">
                  <c:v>-9.7157236586554063E-2</c:v>
                </c:pt>
                <c:pt idx="109">
                  <c:v>-8.8289136685787639E-2</c:v>
                </c:pt>
                <c:pt idx="110">
                  <c:v>-7.9433797005250995E-2</c:v>
                </c:pt>
                <c:pt idx="111">
                  <c:v>-7.0442694134484896E-2</c:v>
                </c:pt>
                <c:pt idx="112">
                  <c:v>-6.209684301008167E-2</c:v>
                </c:pt>
                <c:pt idx="113">
                  <c:v>-5.2973934021323998E-2</c:v>
                </c:pt>
                <c:pt idx="114">
                  <c:v>-4.4687283972351111E-2</c:v>
                </c:pt>
                <c:pt idx="115">
                  <c:v>-3.5464546383579432E-2</c:v>
                </c:pt>
                <c:pt idx="116">
                  <c:v>-2.6192735244777055E-2</c:v>
                </c:pt>
                <c:pt idx="117">
                  <c:v>-1.6835674748890028E-2</c:v>
                </c:pt>
                <c:pt idx="118">
                  <c:v>-8.271359452024285E-3</c:v>
                </c:pt>
                <c:pt idx="119">
                  <c:v>4.8227271902590019E-4</c:v>
                </c:pt>
                <c:pt idx="120">
                  <c:v>9.9927038624088027E-3</c:v>
                </c:pt>
                <c:pt idx="121">
                  <c:v>1.8847958582782098E-2</c:v>
                </c:pt>
                <c:pt idx="122">
                  <c:v>2.7844326473442038E-2</c:v>
                </c:pt>
                <c:pt idx="123">
                  <c:v>3.6147326739992991E-2</c:v>
                </c:pt>
                <c:pt idx="124">
                  <c:v>4.5376496785323184E-2</c:v>
                </c:pt>
                <c:pt idx="125">
                  <c:v>5.3789918528380554E-2</c:v>
                </c:pt>
                <c:pt idx="126">
                  <c:v>6.2287855148284166E-2</c:v>
                </c:pt>
                <c:pt idx="127">
                  <c:v>7.1642274628814562E-2</c:v>
                </c:pt>
                <c:pt idx="128">
                  <c:v>8.10075912432211E-2</c:v>
                </c:pt>
                <c:pt idx="129">
                  <c:v>8.9970427148884369E-2</c:v>
                </c:pt>
                <c:pt idx="130">
                  <c:v>9.8816386990748128E-2</c:v>
                </c:pt>
                <c:pt idx="131">
                  <c:v>0.10782429856725173</c:v>
                </c:pt>
                <c:pt idx="132">
                  <c:v>0.11685086319012328</c:v>
                </c:pt>
                <c:pt idx="133">
                  <c:v>0.1253184750623717</c:v>
                </c:pt>
                <c:pt idx="134">
                  <c:v>0.13448642038513015</c:v>
                </c:pt>
                <c:pt idx="135">
                  <c:v>0.14315637740718046</c:v>
                </c:pt>
                <c:pt idx="136">
                  <c:v>0.15204656047528431</c:v>
                </c:pt>
                <c:pt idx="137">
                  <c:v>0.16142742958943757</c:v>
                </c:pt>
                <c:pt idx="138">
                  <c:v>0.17036419987708484</c:v>
                </c:pt>
                <c:pt idx="139">
                  <c:v>0.17947452309532252</c:v>
                </c:pt>
                <c:pt idx="140">
                  <c:v>0.18868587378479162</c:v>
                </c:pt>
                <c:pt idx="141">
                  <c:v>0.19721105214749457</c:v>
                </c:pt>
                <c:pt idx="142">
                  <c:v>0.20585390425975447</c:v>
                </c:pt>
                <c:pt idx="143">
                  <c:v>0.21456190911658268</c:v>
                </c:pt>
                <c:pt idx="144">
                  <c:v>0.22348573178297215</c:v>
                </c:pt>
                <c:pt idx="145">
                  <c:v>0.23256380012398381</c:v>
                </c:pt>
                <c:pt idx="146">
                  <c:v>0.24164367714013224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267-4958-A6CB-C5CE11EE9999}"/>
            </c:ext>
          </c:extLst>
        </c:ser>
        <c:ser>
          <c:idx val="5"/>
          <c:order val="5"/>
          <c:tx>
            <c:strRef>
              <c:f>anglechange!$M$1</c:f>
              <c:strCache>
                <c:ptCount val="1"/>
                <c:pt idx="0">
                  <c:v>° Breakout</c:v>
                </c:pt>
              </c:strCache>
            </c:strRef>
          </c:tx>
          <c:spPr>
            <a:ln w="25400" cap="rnd">
              <a:solidFill>
                <a:srgbClr val="C8C8C8">
                  <a:lumMod val="75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anglechange!$M$54:$M$200</c:f>
              <c:numCache>
                <c:formatCode>0.00</c:formatCode>
                <c:ptCount val="147"/>
                <c:pt idx="0">
                  <c:v>-1.2228739608339367E-2</c:v>
                </c:pt>
                <c:pt idx="1">
                  <c:v>-3.3308134382441068E-2</c:v>
                </c:pt>
                <c:pt idx="2">
                  <c:v>-6.0925215827726475E-2</c:v>
                </c:pt>
                <c:pt idx="3">
                  <c:v>-9.184654846935203E-2</c:v>
                </c:pt>
                <c:pt idx="4">
                  <c:v>-0.12638073125887317</c:v>
                </c:pt>
                <c:pt idx="5">
                  <c:v>-0.16112569891611273</c:v>
                </c:pt>
                <c:pt idx="6">
                  <c:v>-0.19649570117332971</c:v>
                </c:pt>
                <c:pt idx="7">
                  <c:v>-0.23079084977877429</c:v>
                </c:pt>
                <c:pt idx="8">
                  <c:v>-0.2642886355762748</c:v>
                </c:pt>
                <c:pt idx="9">
                  <c:v>-0.2961682777337451</c:v>
                </c:pt>
                <c:pt idx="10">
                  <c:v>-0.32635661605523225</c:v>
                </c:pt>
                <c:pt idx="11">
                  <c:v>-0.35510349415816123</c:v>
                </c:pt>
                <c:pt idx="12">
                  <c:v>-0.38078558915232819</c:v>
                </c:pt>
                <c:pt idx="13">
                  <c:v>-0.40414038171804734</c:v>
                </c:pt>
                <c:pt idx="14">
                  <c:v>-0.42533360396972952</c:v>
                </c:pt>
                <c:pt idx="15">
                  <c:v>-0.44434836643240416</c:v>
                </c:pt>
                <c:pt idx="16">
                  <c:v>-0.4604828301493562</c:v>
                </c:pt>
                <c:pt idx="17">
                  <c:v>-0.47461402364334404</c:v>
                </c:pt>
                <c:pt idx="18">
                  <c:v>-0.48658046709752867</c:v>
                </c:pt>
                <c:pt idx="19">
                  <c:v>-0.49628592154897788</c:v>
                </c:pt>
                <c:pt idx="20">
                  <c:v>-0.50408172846586652</c:v>
                </c:pt>
                <c:pt idx="21">
                  <c:v>-0.50979051479694348</c:v>
                </c:pt>
                <c:pt idx="22">
                  <c:v>-0.51283447809743521</c:v>
                </c:pt>
                <c:pt idx="23">
                  <c:v>-0.51391107048626239</c:v>
                </c:pt>
                <c:pt idx="24">
                  <c:v>-0.51353201179945174</c:v>
                </c:pt>
                <c:pt idx="25">
                  <c:v>-0.51143060352141489</c:v>
                </c:pt>
                <c:pt idx="26">
                  <c:v>-0.50790790334940894</c:v>
                </c:pt>
                <c:pt idx="27">
                  <c:v>-0.50244457557350231</c:v>
                </c:pt>
                <c:pt idx="28">
                  <c:v>-0.49517691805851527</c:v>
                </c:pt>
                <c:pt idx="29">
                  <c:v>-0.48652291539511694</c:v>
                </c:pt>
                <c:pt idx="30">
                  <c:v>-0.47604720265244893</c:v>
                </c:pt>
                <c:pt idx="31">
                  <c:v>-0.46506713285122103</c:v>
                </c:pt>
                <c:pt idx="32">
                  <c:v>-0.45219977562288349</c:v>
                </c:pt>
                <c:pt idx="33">
                  <c:v>-0.43806069473167852</c:v>
                </c:pt>
                <c:pt idx="34">
                  <c:v>-0.42291217717842144</c:v>
                </c:pt>
                <c:pt idx="35">
                  <c:v>-0.4063634848058193</c:v>
                </c:pt>
                <c:pt idx="36">
                  <c:v>-0.38941795743330587</c:v>
                </c:pt>
                <c:pt idx="37">
                  <c:v>-0.37112394128950754</c:v>
                </c:pt>
                <c:pt idx="38">
                  <c:v>-0.35240683196205325</c:v>
                </c:pt>
                <c:pt idx="39">
                  <c:v>-0.33259422367228453</c:v>
                </c:pt>
                <c:pt idx="40">
                  <c:v>-0.31154866107095458</c:v>
                </c:pt>
                <c:pt idx="41">
                  <c:v>-0.28987186297004541</c:v>
                </c:pt>
                <c:pt idx="42">
                  <c:v>-0.26785801648740204</c:v>
                </c:pt>
                <c:pt idx="43">
                  <c:v>-0.24448915453964304</c:v>
                </c:pt>
                <c:pt idx="44">
                  <c:v>-0.22067393603696672</c:v>
                </c:pt>
                <c:pt idx="45">
                  <c:v>-0.19643772085813538</c:v>
                </c:pt>
                <c:pt idx="46">
                  <c:v>-0.17140099290850941</c:v>
                </c:pt>
                <c:pt idx="47">
                  <c:v>-0.14595582715026723</c:v>
                </c:pt>
                <c:pt idx="48">
                  <c:v>-0.12018512824325711</c:v>
                </c:pt>
                <c:pt idx="49">
                  <c:v>-9.364322379231993E-2</c:v>
                </c:pt>
                <c:pt idx="50">
                  <c:v>-6.6432312439722807E-2</c:v>
                </c:pt>
                <c:pt idx="51">
                  <c:v>-3.8971692241553058E-2</c:v>
                </c:pt>
                <c:pt idx="52">
                  <c:v>-1.0816288719290412E-2</c:v>
                </c:pt>
                <c:pt idx="53">
                  <c:v>1.7327157604121624E-2</c:v>
                </c:pt>
                <c:pt idx="54">
                  <c:v>4.5413838543602481E-2</c:v>
                </c:pt>
                <c:pt idx="55">
                  <c:v>7.3999287585614582E-2</c:v>
                </c:pt>
                <c:pt idx="56">
                  <c:v>0.1031000443977419</c:v>
                </c:pt>
                <c:pt idx="57">
                  <c:v>0.13227913157536619</c:v>
                </c:pt>
                <c:pt idx="58">
                  <c:v>0.16131599053789358</c:v>
                </c:pt>
                <c:pt idx="59">
                  <c:v>0.19111098357841882</c:v>
                </c:pt>
                <c:pt idx="60">
                  <c:v>0.2213423023279617</c:v>
                </c:pt>
                <c:pt idx="61">
                  <c:v>0.25153889973578458</c:v>
                </c:pt>
                <c:pt idx="62">
                  <c:v>0.28243764704293284</c:v>
                </c:pt>
                <c:pt idx="63">
                  <c:v>0.31330009926190172</c:v>
                </c:pt>
                <c:pt idx="64">
                  <c:v>0.34417801723612484</c:v>
                </c:pt>
                <c:pt idx="65">
                  <c:v>0.37506726219071851</c:v>
                </c:pt>
                <c:pt idx="66">
                  <c:v>0.40642107885462764</c:v>
                </c:pt>
                <c:pt idx="67">
                  <c:v>0.43802298418848551</c:v>
                </c:pt>
                <c:pt idx="68">
                  <c:v>0.46953461636037019</c:v>
                </c:pt>
                <c:pt idx="69">
                  <c:v>0.50106769571036835</c:v>
                </c:pt>
                <c:pt idx="70">
                  <c:v>0.53332701188794118</c:v>
                </c:pt>
                <c:pt idx="71">
                  <c:v>0.56551670393535147</c:v>
                </c:pt>
                <c:pt idx="72">
                  <c:v>0.59787440601905217</c:v>
                </c:pt>
                <c:pt idx="73">
                  <c:v>0.62959903993594679</c:v>
                </c:pt>
                <c:pt idx="74">
                  <c:v>0.66196686399331384</c:v>
                </c:pt>
                <c:pt idx="75">
                  <c:v>0.69440964705576391</c:v>
                </c:pt>
                <c:pt idx="76">
                  <c:v>0.72705159651866325</c:v>
                </c:pt>
                <c:pt idx="77">
                  <c:v>0.75919961498354382</c:v>
                </c:pt>
                <c:pt idx="78">
                  <c:v>0.79130470261475239</c:v>
                </c:pt>
                <c:pt idx="79">
                  <c:v>0.82342841480534901</c:v>
                </c:pt>
                <c:pt idx="80">
                  <c:v>0.85577819865117988</c:v>
                </c:pt>
                <c:pt idx="81">
                  <c:v>0.88832808723402934</c:v>
                </c:pt>
                <c:pt idx="82">
                  <c:v>0.92155787286399971</c:v>
                </c:pt>
                <c:pt idx="83">
                  <c:v>0.95411159693817638</c:v>
                </c:pt>
                <c:pt idx="84">
                  <c:v>0.98706602742539928</c:v>
                </c:pt>
                <c:pt idx="85">
                  <c:v>1.0200148182376836</c:v>
                </c:pt>
                <c:pt idx="86">
                  <c:v>1.0531156133220207</c:v>
                </c:pt>
                <c:pt idx="87">
                  <c:v>1.0858374591023363</c:v>
                </c:pt>
                <c:pt idx="88">
                  <c:v>1.1186773267120458</c:v>
                </c:pt>
                <c:pt idx="89">
                  <c:v>1.1515852734667362</c:v>
                </c:pt>
                <c:pt idx="90">
                  <c:v>1.1841493438518569</c:v>
                </c:pt>
                <c:pt idx="91">
                  <c:v>1.2176393640344116</c:v>
                </c:pt>
                <c:pt idx="92">
                  <c:v>1.2505345654532221</c:v>
                </c:pt>
                <c:pt idx="93">
                  <c:v>1.2835639547460005</c:v>
                </c:pt>
                <c:pt idx="94">
                  <c:v>1.3168747022265421</c:v>
                </c:pt>
                <c:pt idx="95">
                  <c:v>1.3498203943089635</c:v>
                </c:pt>
                <c:pt idx="96">
                  <c:v>1.3829161354272088</c:v>
                </c:pt>
                <c:pt idx="97">
                  <c:v>1.4164159930277407</c:v>
                </c:pt>
                <c:pt idx="98">
                  <c:v>1.449948031628324</c:v>
                </c:pt>
                <c:pt idx="99">
                  <c:v>1.4831705559719381</c:v>
                </c:pt>
                <c:pt idx="100">
                  <c:v>1.5166333505011522</c:v>
                </c:pt>
                <c:pt idx="101">
                  <c:v>1.5496920173036273</c:v>
                </c:pt>
                <c:pt idx="102">
                  <c:v>1.5830141789605108</c:v>
                </c:pt>
                <c:pt idx="103">
                  <c:v>1.6166917073686449</c:v>
                </c:pt>
                <c:pt idx="104">
                  <c:v>1.6505509691745743</c:v>
                </c:pt>
                <c:pt idx="105">
                  <c:v>1.6840372575291838</c:v>
                </c:pt>
                <c:pt idx="106">
                  <c:v>1.7172580079250821</c:v>
                </c:pt>
                <c:pt idx="107">
                  <c:v>1.7506847760657678</c:v>
                </c:pt>
                <c:pt idx="108">
                  <c:v>1.7845847923071716</c:v>
                </c:pt>
                <c:pt idx="109">
                  <c:v>1.8179805386484276</c:v>
                </c:pt>
                <c:pt idx="110">
                  <c:v>1.8518511529698998</c:v>
                </c:pt>
                <c:pt idx="111">
                  <c:v>1.8853393051270615</c:v>
                </c:pt>
                <c:pt idx="112">
                  <c:v>1.9184900708996651</c:v>
                </c:pt>
                <c:pt idx="113">
                  <c:v>1.9521099263760249</c:v>
                </c:pt>
                <c:pt idx="114">
                  <c:v>1.9851336890329065</c:v>
                </c:pt>
                <c:pt idx="115">
                  <c:v>2.018755222366039</c:v>
                </c:pt>
                <c:pt idx="116">
                  <c:v>2.0520737294674092</c:v>
                </c:pt>
                <c:pt idx="117">
                  <c:v>2.0857463119341304</c:v>
                </c:pt>
                <c:pt idx="118">
                  <c:v>2.1191024604906232</c:v>
                </c:pt>
                <c:pt idx="119">
                  <c:v>2.1521288710213042</c:v>
                </c:pt>
                <c:pt idx="120">
                  <c:v>2.1856574166319973</c:v>
                </c:pt>
                <c:pt idx="121">
                  <c:v>2.2196707249740228</c:v>
                </c:pt>
                <c:pt idx="122">
                  <c:v>2.2533913440144744</c:v>
                </c:pt>
                <c:pt idx="123">
                  <c:v>2.2866367091726971</c:v>
                </c:pt>
                <c:pt idx="124">
                  <c:v>2.3199554347522309</c:v>
                </c:pt>
                <c:pt idx="125">
                  <c:v>2.3528878361184837</c:v>
                </c:pt>
                <c:pt idx="126">
                  <c:v>2.3862124541559666</c:v>
                </c:pt>
                <c:pt idx="127">
                  <c:v>2.4200564739027612</c:v>
                </c:pt>
                <c:pt idx="128">
                  <c:v>2.4535450777099612</c:v>
                </c:pt>
                <c:pt idx="129">
                  <c:v>2.4870729798279996</c:v>
                </c:pt>
                <c:pt idx="130">
                  <c:v>2.5208020590061295</c:v>
                </c:pt>
                <c:pt idx="131">
                  <c:v>2.5545367784663</c:v>
                </c:pt>
                <c:pt idx="132">
                  <c:v>2.5879563311450084</c:v>
                </c:pt>
                <c:pt idx="133">
                  <c:v>2.6211111544683234</c:v>
                </c:pt>
                <c:pt idx="134">
                  <c:v>2.6548402507257975</c:v>
                </c:pt>
                <c:pt idx="135">
                  <c:v>2.6877745070506904</c:v>
                </c:pt>
                <c:pt idx="136">
                  <c:v>2.7212888355147555</c:v>
                </c:pt>
                <c:pt idx="137">
                  <c:v>2.7551171818239624</c:v>
                </c:pt>
                <c:pt idx="138">
                  <c:v>2.788196610329166</c:v>
                </c:pt>
                <c:pt idx="139">
                  <c:v>2.8216704507201911</c:v>
                </c:pt>
                <c:pt idx="140">
                  <c:v>2.8552165463257637</c:v>
                </c:pt>
                <c:pt idx="141">
                  <c:v>2.8884967614621786</c:v>
                </c:pt>
                <c:pt idx="142">
                  <c:v>2.921534627496527</c:v>
                </c:pt>
                <c:pt idx="143">
                  <c:v>2.9543819434915406</c:v>
                </c:pt>
                <c:pt idx="144">
                  <c:v>2.9880573915127115</c:v>
                </c:pt>
                <c:pt idx="145">
                  <c:v>3.0215221758466839</c:v>
                </c:pt>
                <c:pt idx="146">
                  <c:v>3.0556195607014445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67-4958-A6CB-C5CE11EE9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485600"/>
        <c:axId val="668485928"/>
      </c:lineChart>
      <c:catAx>
        <c:axId val="668485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Octane degrees</a:t>
                </a:r>
                <a:r>
                  <a:rPr lang="en-GB" baseline="0"/>
                  <a:t> turned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rgbClr val="B3ECEF">
                <a:alpha val="25000"/>
              </a:srgb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85928"/>
        <c:crosses val="autoZero"/>
        <c:auto val="1"/>
        <c:lblAlgn val="ctr"/>
        <c:lblOffset val="50"/>
        <c:tickLblSkip val="32"/>
        <c:tickMarkSkip val="38"/>
        <c:noMultiLvlLbl val="0"/>
      </c:catAx>
      <c:valAx>
        <c:axId val="66848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>
                  <a:alpha val="2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Degree Difference to Octane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48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tx2"/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5" Type="http://schemas.openxmlformats.org/officeDocument/2006/relationships/chart" Target="../charts/chart6.xml"/><Relationship Id="rId4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492124</xdr:colOff>
      <xdr:row>9</xdr:row>
      <xdr:rowOff>34923</xdr:rowOff>
    </xdr:from>
    <xdr:to>
      <xdr:col>39</xdr:col>
      <xdr:colOff>93284</xdr:colOff>
      <xdr:row>35</xdr:row>
      <xdr:rowOff>154608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28AFAA-3DB0-4E2A-8834-6434AC3310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92074</xdr:colOff>
      <xdr:row>0</xdr:row>
      <xdr:rowOff>142875</xdr:rowOff>
    </xdr:from>
    <xdr:to>
      <xdr:col>78</xdr:col>
      <xdr:colOff>79375</xdr:colOff>
      <xdr:row>32</xdr:row>
      <xdr:rowOff>127001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6B0DCF-C801-45FC-80BD-633D3B3FA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50800</xdr:colOff>
      <xdr:row>71</xdr:row>
      <xdr:rowOff>149224</xdr:rowOff>
    </xdr:from>
    <xdr:to>
      <xdr:col>77</xdr:col>
      <xdr:colOff>149225</xdr:colOff>
      <xdr:row>103</xdr:row>
      <xdr:rowOff>187324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BEE2E0-012B-4EBA-AFB3-5CEE4F436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59</xdr:col>
      <xdr:colOff>85724</xdr:colOff>
      <xdr:row>33</xdr:row>
      <xdr:rowOff>15875</xdr:rowOff>
    </xdr:from>
    <xdr:to>
      <xdr:col>78</xdr:col>
      <xdr:colOff>85724</xdr:colOff>
      <xdr:row>64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726718-86D6-46B9-AB07-F096C69366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608013</xdr:colOff>
      <xdr:row>43</xdr:row>
      <xdr:rowOff>130175</xdr:rowOff>
    </xdr:from>
    <xdr:to>
      <xdr:col>54</xdr:col>
      <xdr:colOff>171450</xdr:colOff>
      <xdr:row>75</xdr:row>
      <xdr:rowOff>123825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2FFCD16-F5A7-422A-B7CD-D9991201CD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130175</xdr:colOff>
      <xdr:row>77</xdr:row>
      <xdr:rowOff>111124</xdr:rowOff>
    </xdr:from>
    <xdr:to>
      <xdr:col>58</xdr:col>
      <xdr:colOff>419100</xdr:colOff>
      <xdr:row>109</xdr:row>
      <xdr:rowOff>130175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753BA90-8661-4B86-95DF-5CC420530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289719</xdr:colOff>
      <xdr:row>33</xdr:row>
      <xdr:rowOff>84136</xdr:rowOff>
    </xdr:from>
    <xdr:to>
      <xdr:col>25</xdr:col>
      <xdr:colOff>191294</xdr:colOff>
      <xdr:row>63</xdr:row>
      <xdr:rowOff>115886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728FC13-D1DB-4B37-A753-CBF8C6969F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206372</xdr:colOff>
      <xdr:row>9</xdr:row>
      <xdr:rowOff>66674</xdr:rowOff>
    </xdr:from>
    <xdr:to>
      <xdr:col>39</xdr:col>
      <xdr:colOff>139699</xdr:colOff>
      <xdr:row>41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B469B5-B8DD-4E51-8FFE-344DBE39CA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Octane" displayName="Octane" ref="A1:Z452" totalsRowShown="0">
  <autoFilter ref="A1:Z452" xr:uid="{00000000-0009-0000-0100-000001000000}"/>
  <tableColumns count="26">
    <tableColumn id="1" xr3:uid="{00000000-0010-0000-0000-000001000000}" name="frame"/>
    <tableColumn id="2" xr3:uid="{00000000-0010-0000-0000-000002000000}" name="X" dataDxfId="176"/>
    <tableColumn id="3" xr3:uid="{00000000-0010-0000-0000-000003000000}" name="Y" dataDxfId="175"/>
    <tableColumn id="4" xr3:uid="{00000000-0010-0000-0000-000004000000}" name="Z" dataDxfId="174"/>
    <tableColumn id="5" xr3:uid="{00000000-0010-0000-0000-000005000000}" name="vel_X" dataDxfId="173"/>
    <tableColumn id="6" xr3:uid="{00000000-0010-0000-0000-000006000000}" name="vel_Y" dataDxfId="172"/>
    <tableColumn id="7" xr3:uid="{00000000-0010-0000-0000-000007000000}" name="vel_Z" dataDxfId="171"/>
    <tableColumn id="8" xr3:uid="{00000000-0010-0000-0000-000008000000}" name="angvel_X" dataDxfId="170"/>
    <tableColumn id="9" xr3:uid="{00000000-0010-0000-0000-000009000000}" name="angvel_Y" dataDxfId="169"/>
    <tableColumn id="10" xr3:uid="{00000000-0010-0000-0000-00000A000000}" name="angvel_Z" dataDxfId="168"/>
    <tableColumn id="11" xr3:uid="{00000000-0010-0000-0000-00000B000000}" name="quart_X" dataDxfId="167"/>
    <tableColumn id="12" xr3:uid="{00000000-0010-0000-0000-00000C000000}" name="quart_Y" dataDxfId="166"/>
    <tableColumn id="13" xr3:uid="{00000000-0010-0000-0000-00000D000000}" name="quart_Z" dataDxfId="165"/>
    <tableColumn id="14" xr3:uid="{00000000-0010-0000-0000-00000E000000}" name="quart_W" dataDxfId="164"/>
    <tableColumn id="15" xr3:uid="{00000000-0010-0000-0000-00000F000000}" name="Steer"/>
    <tableColumn id="16" xr3:uid="{00000000-0010-0000-0000-000010000000}" name="bHandbrake"/>
    <tableColumn id="17" xr3:uid="{00000000-0010-0000-0000-000011000000}" name="bActivateBoost"/>
    <tableColumn id="18" xr3:uid="{00000000-0010-0000-0000-000012000000}" name="bHoldingBoost"/>
    <tableColumn id="19" xr3:uid="{00000000-0010-0000-0000-000013000000}" name="Throttle"/>
    <tableColumn id="20" xr3:uid="{00000000-0010-0000-0000-000014000000}" name="angvel_total" dataDxfId="163">
      <calculatedColumnFormula>SQRT(POWER(Octane[[#This Row],[angvel_X]],2) + POWER(Octane[[#This Row],[angvel_Y]],2) + POWER(Octane[[#This Row],[angvel_Z]],2))</calculatedColumnFormula>
    </tableColumn>
    <tableColumn id="22" xr3:uid="{00000000-0010-0000-0000-000016000000}" name="Pitch" dataDxfId="162">
      <calculatedColumnFormula>DEGREES(ASIN(MAX(-1,MIN(1,2 * (Octane[[#This Row],[quart_W]]*Octane[[#This Row],[quart_Y]] - Octane[[#This Row],[quart_Z]]*Octane[[#This Row],[quart_X]])))))</calculatedColumnFormula>
    </tableColumn>
    <tableColumn id="21" xr3:uid="{00000000-0010-0000-0000-000015000000}" name="Yaw" dataDxfId="161">
      <calculatedColumnFormula>DEGREES(ATAN2(2*(Octane[[#This Row],[quart_W]]*Octane[[#This Row],[quart_Z]]+Octane[[#This Row],[quart_X]]*Octane[[#This Row],[quart_Y]]),1 - 2*(Octane[[#This Row],[quart_Y]]*Octane[[#This Row],[quart_Y]]+Octane[[#This Row],[quart_Z]]*Octane[[#This Row],[quart_Z]])))</calculatedColumnFormula>
    </tableColumn>
    <tableColumn id="23" xr3:uid="{00000000-0010-0000-0000-000017000000}" name="Roll" dataDxfId="160">
      <calculatedColumnFormula>DEGREES(ATAN2(2 *(Octane[[#This Row],[quart_W]]*Octane[[#This Row],[quart_X]]+Octane[[#This Row],[quart_Y]]*Octane[[#This Row],[quart_Z]]), 1 - 2*(Octane[[#This Row],[quart_X]]*Octane[[#This Row],[quart_X]]+Octane[[#This Row],[quart_Y]]*Octane[[#This Row],[quart_Y]])))</calculatedColumnFormula>
    </tableColumn>
    <tableColumn id="24" xr3:uid="{00000000-0010-0000-0000-000018000000}" name="Degree change" dataDxfId="159">
      <calculatedColumnFormula>IF(Octane[[#This Row],[Yaw]]&gt;V1,(360-ABS(Octane[[#This Row],[Yaw]])-ABS(V1)),ABS(Octane[[#This Row],[Yaw]]-V1))</calculatedColumnFormula>
    </tableColumn>
    <tableColumn id="25" xr3:uid="{00000000-0010-0000-0000-000019000000}" name="Degrees turned" dataDxfId="158">
      <calculatedColumnFormula>Octane[[#This Row],[Degree change]]+Y1</calculatedColumnFormula>
    </tableColumn>
    <tableColumn id="26" xr3:uid="{00000000-0010-0000-0000-00001A000000}" name="vel_total" dataDxfId="157">
      <calculatedColumnFormula>SQRT(Octane[[#This Row],[vel_X]]*Octane[[#This Row],[vel_X]]+Octane[[#This Row],[vel_Y]]*Octane[[#This Row],[vel_Y]]+Octane[[#This Row],[vel_Z]]*Octane[[#This Row],[vel_Z]])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Hybrid" displayName="Hybrid" ref="A1:Y452" totalsRowShown="0">
  <autoFilter ref="A1:Y452" xr:uid="{00000000-0009-0000-0100-000002000000}"/>
  <tableColumns count="25">
    <tableColumn id="1" xr3:uid="{00000000-0010-0000-0100-000001000000}" name="frame"/>
    <tableColumn id="2" xr3:uid="{00000000-0010-0000-0100-000002000000}" name="X"/>
    <tableColumn id="3" xr3:uid="{00000000-0010-0000-0100-000003000000}" name="Y"/>
    <tableColumn id="4" xr3:uid="{00000000-0010-0000-0100-000004000000}" name="Z"/>
    <tableColumn id="5" xr3:uid="{00000000-0010-0000-0100-000005000000}" name="vel_X"/>
    <tableColumn id="6" xr3:uid="{00000000-0010-0000-0100-000006000000}" name="vel_Y"/>
    <tableColumn id="7" xr3:uid="{00000000-0010-0000-0100-000007000000}" name="vel_Z"/>
    <tableColumn id="8" xr3:uid="{00000000-0010-0000-0100-000008000000}" name="angvel_X" dataDxfId="156"/>
    <tableColumn id="9" xr3:uid="{00000000-0010-0000-0100-000009000000}" name="angvel_Y" dataDxfId="155"/>
    <tableColumn id="10" xr3:uid="{00000000-0010-0000-0100-00000A000000}" name="angvel_Z" dataDxfId="154"/>
    <tableColumn id="11" xr3:uid="{00000000-0010-0000-0100-00000B000000}" name="quart_X" dataDxfId="153"/>
    <tableColumn id="12" xr3:uid="{00000000-0010-0000-0100-00000C000000}" name="quart_Y" dataDxfId="152"/>
    <tableColumn id="13" xr3:uid="{00000000-0010-0000-0100-00000D000000}" name="quart_Z" dataDxfId="151"/>
    <tableColumn id="14" xr3:uid="{00000000-0010-0000-0100-00000E000000}" name="quart_W" dataDxfId="150"/>
    <tableColumn id="15" xr3:uid="{00000000-0010-0000-0100-00000F000000}" name="Steer"/>
    <tableColumn id="16" xr3:uid="{00000000-0010-0000-0100-000010000000}" name="bHandbrake"/>
    <tableColumn id="17" xr3:uid="{00000000-0010-0000-0100-000011000000}" name="bActivateBoost"/>
    <tableColumn id="18" xr3:uid="{00000000-0010-0000-0100-000012000000}" name="bHoldingBoost"/>
    <tableColumn id="19" xr3:uid="{00000000-0010-0000-0100-000013000000}" name="Throttle"/>
    <tableColumn id="20" xr3:uid="{00000000-0010-0000-0100-000014000000}" name="angvel_total" dataDxfId="149">
      <calculatedColumnFormula>SQRT(POWER(Hybrid[[#This Row],[angvel_X]],2) + POWER(Hybrid[[#This Row],[angvel_Y]],2) + POWER(Hybrid[[#This Row],[angvel_Z]],2))</calculatedColumnFormula>
    </tableColumn>
    <tableColumn id="21" xr3:uid="{00000000-0010-0000-0100-000015000000}" name="Pitch" dataDxfId="148">
      <calculatedColumnFormula>DEGREES(ASIN(MAX(-1,MIN(1,2 * (Hybrid[[#This Row],[quart_W]]*Hybrid[[#This Row],[quart_Y]] - Hybrid[[#This Row],[quart_Z]]*Hybrid[[#This Row],[quart_X]])))))</calculatedColumnFormula>
    </tableColumn>
    <tableColumn id="22" xr3:uid="{00000000-0010-0000-0100-000016000000}" name="Yaw" dataDxfId="147">
      <calculatedColumnFormula>DEGREES(ATAN2(2*(Hybrid[[#This Row],[quart_W]]*Hybrid[[#This Row],[quart_Z]]+Hybrid[[#This Row],[quart_X]]*Hybrid[[#This Row],[quart_Y]]),1 - 2*(Hybrid[[#This Row],[quart_Y]]*Hybrid[[#This Row],[quart_Y]]+Hybrid[[#This Row],[quart_Z]]*Hybrid[[#This Row],[quart_Z]])))</calculatedColumnFormula>
    </tableColumn>
    <tableColumn id="23" xr3:uid="{00000000-0010-0000-0100-000017000000}" name="Roll" dataDxfId="146">
      <calculatedColumnFormula>DEGREES(ATAN2(2 *(Hybrid[[#This Row],[quart_W]]*Hybrid[[#This Row],[quart_X]]+Hybrid[[#This Row],[quart_Y]]*Hybrid[[#This Row],[quart_Z]]), 1 - 2*(Hybrid[[#This Row],[quart_X]]*Hybrid[[#This Row],[quart_X]]+Hybrid[[#This Row],[quart_Y]]*Hybrid[[#This Row],[quart_Y]])))</calculatedColumnFormula>
    </tableColumn>
    <tableColumn id="24" xr3:uid="{00000000-0010-0000-0100-000018000000}" name="Degree change" dataDxfId="145">
      <calculatedColumnFormula>IF(Hybrid[[#This Row],[Yaw]]&gt;V1,(360-ABS(Hybrid[[#This Row],[Yaw]])-ABS(V1)),ABS(Hybrid[[#This Row],[Yaw]]-V1))</calculatedColumnFormula>
    </tableColumn>
    <tableColumn id="25" xr3:uid="{00000000-0010-0000-0100-000019000000}" name="Degrees turned" dataDxfId="144">
      <calculatedColumnFormula>Hybrid[[#This Row],[Degree change]]+Y1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Dominus" displayName="Dominus" ref="A1:Y452" totalsRowShown="0">
  <autoFilter ref="A1:Y452" xr:uid="{00000000-0009-0000-0100-000003000000}"/>
  <tableColumns count="25">
    <tableColumn id="1" xr3:uid="{00000000-0010-0000-0200-000001000000}" name="frame"/>
    <tableColumn id="2" xr3:uid="{00000000-0010-0000-0200-000002000000}" name="X" dataDxfId="143"/>
    <tableColumn id="3" xr3:uid="{00000000-0010-0000-0200-000003000000}" name="Y" dataDxfId="142"/>
    <tableColumn id="4" xr3:uid="{00000000-0010-0000-0200-000004000000}" name="Z" dataDxfId="141"/>
    <tableColumn id="5" xr3:uid="{00000000-0010-0000-0200-000005000000}" name="vel_X" dataDxfId="140"/>
    <tableColumn id="6" xr3:uid="{00000000-0010-0000-0200-000006000000}" name="vel_Y" dataDxfId="139"/>
    <tableColumn id="7" xr3:uid="{00000000-0010-0000-0200-000007000000}" name="vel_Z" dataDxfId="138"/>
    <tableColumn id="8" xr3:uid="{00000000-0010-0000-0200-000008000000}" name="angvel_X" dataDxfId="137"/>
    <tableColumn id="9" xr3:uid="{00000000-0010-0000-0200-000009000000}" name="angvel_Y" dataDxfId="136"/>
    <tableColumn id="10" xr3:uid="{00000000-0010-0000-0200-00000A000000}" name="angvel_Z" dataDxfId="135"/>
    <tableColumn id="11" xr3:uid="{00000000-0010-0000-0200-00000B000000}" name="quart_X" dataDxfId="134"/>
    <tableColumn id="12" xr3:uid="{00000000-0010-0000-0200-00000C000000}" name="quart_Y" dataDxfId="133"/>
    <tableColumn id="13" xr3:uid="{00000000-0010-0000-0200-00000D000000}" name="quart_Z" dataDxfId="132"/>
    <tableColumn id="14" xr3:uid="{00000000-0010-0000-0200-00000E000000}" name="quart_W" dataDxfId="131"/>
    <tableColumn id="15" xr3:uid="{00000000-0010-0000-0200-00000F000000}" name="Steer"/>
    <tableColumn id="16" xr3:uid="{00000000-0010-0000-0200-000010000000}" name="bHandbrake"/>
    <tableColumn id="17" xr3:uid="{00000000-0010-0000-0200-000011000000}" name="bActivateBoost"/>
    <tableColumn id="18" xr3:uid="{00000000-0010-0000-0200-000012000000}" name="bHoldingBoost"/>
    <tableColumn id="19" xr3:uid="{00000000-0010-0000-0200-000013000000}" name="Throttle"/>
    <tableColumn id="20" xr3:uid="{00000000-0010-0000-0200-000014000000}" name="angvel_total" dataDxfId="130">
      <calculatedColumnFormula>SQRT(POWER(Dominus[[#This Row],[angvel_X]],2) + POWER(Dominus[[#This Row],[angvel_Y]],2) + POWER(Dominus[[#This Row],[angvel_Z]],2))</calculatedColumnFormula>
    </tableColumn>
    <tableColumn id="21" xr3:uid="{00000000-0010-0000-0200-000015000000}" name="Pitch" dataDxfId="129">
      <calculatedColumnFormula>DEGREES(ASIN(MAX(-1,MIN(1,2 * (Dominus[[#This Row],[quart_W]]*Dominus[[#This Row],[quart_Y]] - Dominus[[#This Row],[quart_Z]]*Dominus[[#This Row],[quart_X]])))))</calculatedColumnFormula>
    </tableColumn>
    <tableColumn id="22" xr3:uid="{00000000-0010-0000-0200-000016000000}" name="Yaw" dataDxfId="128">
      <calculatedColumnFormula>DEGREES(ATAN2(2*(Dominus[[#This Row],[quart_W]]*Dominus[[#This Row],[quart_Z]]+Dominus[[#This Row],[quart_X]]*Dominus[[#This Row],[quart_Y]]),1 - 2*(Dominus[[#This Row],[quart_Y]]*Dominus[[#This Row],[quart_Y]]+Dominus[[#This Row],[quart_Z]]*Dominus[[#This Row],[quart_Z]])))</calculatedColumnFormula>
    </tableColumn>
    <tableColumn id="23" xr3:uid="{00000000-0010-0000-0200-000017000000}" name="Roll" dataDxfId="127">
      <calculatedColumnFormula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calculatedColumnFormula>
    </tableColumn>
    <tableColumn id="24" xr3:uid="{00000000-0010-0000-0200-000018000000}" name="Degree change" dataDxfId="126">
      <calculatedColumnFormula>IF(Dominus[[#This Row],[Yaw]]&gt;V1,(360-ABS(Dominus[[#This Row],[Yaw]])-ABS(V1)),ABS(Dominus[[#This Row],[Yaw]]-V1))</calculatedColumnFormula>
    </tableColumn>
    <tableColumn id="25" xr3:uid="{00000000-0010-0000-0200-000019000000}" name="Degrees turned" dataDxfId="12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Plank" displayName="Plank" ref="A1:Y452" totalsRowShown="0">
  <autoFilter ref="A1:Y452" xr:uid="{00000000-0009-0000-0100-000004000000}"/>
  <tableColumns count="25">
    <tableColumn id="1" xr3:uid="{00000000-0010-0000-0300-000001000000}" name="frame"/>
    <tableColumn id="2" xr3:uid="{00000000-0010-0000-0300-000002000000}" name="X" dataDxfId="124"/>
    <tableColumn id="3" xr3:uid="{00000000-0010-0000-0300-000003000000}" name="Y" dataDxfId="123"/>
    <tableColumn id="4" xr3:uid="{00000000-0010-0000-0300-000004000000}" name="Z" dataDxfId="122"/>
    <tableColumn id="5" xr3:uid="{00000000-0010-0000-0300-000005000000}" name="vel_X" dataDxfId="121"/>
    <tableColumn id="6" xr3:uid="{00000000-0010-0000-0300-000006000000}" name="vel_Y" dataDxfId="120"/>
    <tableColumn id="7" xr3:uid="{00000000-0010-0000-0300-000007000000}" name="vel_Z" dataDxfId="119"/>
    <tableColumn id="8" xr3:uid="{00000000-0010-0000-0300-000008000000}" name="angvel_X" dataDxfId="118"/>
    <tableColumn id="9" xr3:uid="{00000000-0010-0000-0300-000009000000}" name="angvel_Y" dataDxfId="117"/>
    <tableColumn id="10" xr3:uid="{00000000-0010-0000-0300-00000A000000}" name="angvel_Z" dataDxfId="116"/>
    <tableColumn id="11" xr3:uid="{00000000-0010-0000-0300-00000B000000}" name="quart_X" dataDxfId="115"/>
    <tableColumn id="12" xr3:uid="{00000000-0010-0000-0300-00000C000000}" name="quart_Y" dataDxfId="114"/>
    <tableColumn id="13" xr3:uid="{00000000-0010-0000-0300-00000D000000}" name="quart_Z" dataDxfId="113"/>
    <tableColumn id="14" xr3:uid="{00000000-0010-0000-0300-00000E000000}" name="quart_W" dataDxfId="112"/>
    <tableColumn id="15" xr3:uid="{00000000-0010-0000-0300-00000F000000}" name="Steer"/>
    <tableColumn id="16" xr3:uid="{00000000-0010-0000-0300-000010000000}" name="bHandbrake"/>
    <tableColumn id="17" xr3:uid="{00000000-0010-0000-0300-000011000000}" name="bActivateBoost"/>
    <tableColumn id="18" xr3:uid="{00000000-0010-0000-0300-000012000000}" name="bHoldingBoost"/>
    <tableColumn id="19" xr3:uid="{00000000-0010-0000-0300-000013000000}" name="Throttle"/>
    <tableColumn id="20" xr3:uid="{00000000-0010-0000-0300-000014000000}" name="angvel_total" dataDxfId="111">
      <calculatedColumnFormula>SQRT(POWER(Plank[[#This Row],[angvel_X]],2) + POWER(Plank[[#This Row],[angvel_Y]],2) + POWER(Plank[[#This Row],[angvel_Z]],2))</calculatedColumnFormula>
    </tableColumn>
    <tableColumn id="21" xr3:uid="{00000000-0010-0000-0300-000015000000}" name="Pitch" dataDxfId="110">
      <calculatedColumnFormula>DEGREES(ASIN(MAX(-1,MIN(1,2 * (Plank[[#This Row],[quart_W]]*Plank[[#This Row],[quart_Y]] - Plank[[#This Row],[quart_Z]]*Plank[[#This Row],[quart_X]])))))</calculatedColumnFormula>
    </tableColumn>
    <tableColumn id="22" xr3:uid="{00000000-0010-0000-0300-000016000000}" name="Yaw" dataDxfId="109">
      <calculatedColumnFormula>DEGREES(ATAN2(2*(Plank[[#This Row],[quart_W]]*Plank[[#This Row],[quart_Z]]+Plank[[#This Row],[quart_X]]*Plank[[#This Row],[quart_Y]]),1 - 2*(Plank[[#This Row],[quart_Y]]*Plank[[#This Row],[quart_Y]]+Plank[[#This Row],[quart_Z]]*Plank[[#This Row],[quart_Z]])))</calculatedColumnFormula>
    </tableColumn>
    <tableColumn id="23" xr3:uid="{00000000-0010-0000-0300-000017000000}" name="Roll" dataDxfId="108">
      <calculatedColumnFormula>DEGREES(ATAN2(2 *(Plank[[#This Row],[quart_W]]*Plank[[#This Row],[quart_X]]+Plank[[#This Row],[quart_Y]]*Plank[[#This Row],[quart_Z]]), 1 - 2*(Plank[[#This Row],[quart_X]]*Plank[[#This Row],[quart_X]]+Plank[[#This Row],[quart_Y]]*Plank[[#This Row],[quart_Y]])))</calculatedColumnFormula>
    </tableColumn>
    <tableColumn id="24" xr3:uid="{00000000-0010-0000-0300-000018000000}" name="Degree change" dataDxfId="107">
      <calculatedColumnFormula>IF(Plank[[#This Row],[Yaw]]&gt;V1,(360-ABS(Plank[[#This Row],[Yaw]])-ABS(V1)),ABS(Plank[[#This Row],[Yaw]]-V1))</calculatedColumnFormula>
    </tableColumn>
    <tableColumn id="25" xr3:uid="{00000000-0010-0000-0300-000019000000}" name="Degrees turned" dataDxfId="10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Batmobile" displayName="Batmobile" ref="A1:Y452" totalsRowShown="0">
  <autoFilter ref="A1:Y452" xr:uid="{00000000-0009-0000-0100-000005000000}"/>
  <tableColumns count="25">
    <tableColumn id="1" xr3:uid="{00000000-0010-0000-0400-000001000000}" name="frame"/>
    <tableColumn id="2" xr3:uid="{00000000-0010-0000-0400-000002000000}" name="X" dataDxfId="105"/>
    <tableColumn id="3" xr3:uid="{00000000-0010-0000-0400-000003000000}" name="Y" dataDxfId="104"/>
    <tableColumn id="4" xr3:uid="{00000000-0010-0000-0400-000004000000}" name="Z" dataDxfId="103"/>
    <tableColumn id="5" xr3:uid="{00000000-0010-0000-0400-000005000000}" name="vel_X" dataDxfId="102"/>
    <tableColumn id="6" xr3:uid="{00000000-0010-0000-0400-000006000000}" name="vel_Y" dataDxfId="101"/>
    <tableColumn id="7" xr3:uid="{00000000-0010-0000-0400-000007000000}" name="vel_Z" dataDxfId="100"/>
    <tableColumn id="8" xr3:uid="{00000000-0010-0000-0400-000008000000}" name="angvel_X" dataDxfId="99"/>
    <tableColumn id="9" xr3:uid="{00000000-0010-0000-0400-000009000000}" name="angvel_Y" dataDxfId="98"/>
    <tableColumn id="10" xr3:uid="{00000000-0010-0000-0400-00000A000000}" name="angvel_Z" dataDxfId="97"/>
    <tableColumn id="11" xr3:uid="{00000000-0010-0000-0400-00000B000000}" name="quart_X" dataDxfId="96"/>
    <tableColumn id="12" xr3:uid="{00000000-0010-0000-0400-00000C000000}" name="quart_Y" dataDxfId="95"/>
    <tableColumn id="13" xr3:uid="{00000000-0010-0000-0400-00000D000000}" name="quart_Z" dataDxfId="94"/>
    <tableColumn id="14" xr3:uid="{00000000-0010-0000-0400-00000E000000}" name="quart_W" dataDxfId="93"/>
    <tableColumn id="15" xr3:uid="{00000000-0010-0000-0400-00000F000000}" name="Steer"/>
    <tableColumn id="16" xr3:uid="{00000000-0010-0000-0400-000010000000}" name="bHandbrake"/>
    <tableColumn id="17" xr3:uid="{00000000-0010-0000-0400-000011000000}" name="bActivateBoost"/>
    <tableColumn id="18" xr3:uid="{00000000-0010-0000-0400-000012000000}" name="bHoldingBoost"/>
    <tableColumn id="19" xr3:uid="{00000000-0010-0000-0400-000013000000}" name="Throttle"/>
    <tableColumn id="20" xr3:uid="{00000000-0010-0000-0400-000014000000}" name="angvel_total" dataDxfId="92">
      <calculatedColumnFormula>SQRT(POWER(Batmobile[[#This Row],[angvel_X]],2) + POWER(Batmobile[[#This Row],[angvel_Y]],2) + POWER(Batmobile[[#This Row],[angvel_Z]],2))</calculatedColumnFormula>
    </tableColumn>
    <tableColumn id="21" xr3:uid="{00000000-0010-0000-0400-000015000000}" name="Pitch" dataDxfId="91">
      <calculatedColumnFormula>DEGREES(ASIN(MAX(-1,MIN(1,2 * (Batmobile[[#This Row],[quart_W]]*Batmobile[[#This Row],[quart_Y]] - Batmobile[[#This Row],[quart_Z]]*Batmobile[[#This Row],[quart_X]])))))</calculatedColumnFormula>
    </tableColumn>
    <tableColumn id="22" xr3:uid="{00000000-0010-0000-0400-000016000000}" name="Yaw" dataDxfId="90">
      <calculatedColumnFormula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calculatedColumnFormula>
    </tableColumn>
    <tableColumn id="23" xr3:uid="{00000000-0010-0000-0400-000017000000}" name="Roll" dataDxfId="89">
      <calculatedColumnFormula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calculatedColumnFormula>
    </tableColumn>
    <tableColumn id="24" xr3:uid="{00000000-0010-0000-0400-000018000000}" name="Degree change" dataDxfId="88">
      <calculatedColumnFormula>IF(Batmobile[[#This Row],[Yaw]]&gt;V1,(360-ABS(Batmobile[[#This Row],[Yaw]])-ABS(V1)),ABS(Batmobile[[#This Row],[Yaw]]-V1))</calculatedColumnFormula>
    </tableColumn>
    <tableColumn id="25" xr3:uid="{00000000-0010-0000-0400-000019000000}" name="Degrees turned" dataDxfId="87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Breakout" displayName="Breakout" ref="A1:Y452" totalsRowShown="0">
  <autoFilter ref="A1:Y452" xr:uid="{00000000-0009-0000-0100-000006000000}"/>
  <tableColumns count="25">
    <tableColumn id="1" xr3:uid="{00000000-0010-0000-0500-000001000000}" name="frame"/>
    <tableColumn id="2" xr3:uid="{00000000-0010-0000-0500-000002000000}" name="X" dataDxfId="86"/>
    <tableColumn id="3" xr3:uid="{00000000-0010-0000-0500-000003000000}" name="Y" dataDxfId="85"/>
    <tableColumn id="4" xr3:uid="{00000000-0010-0000-0500-000004000000}" name="Z" dataDxfId="84"/>
    <tableColumn id="5" xr3:uid="{00000000-0010-0000-0500-000005000000}" name="vel_X" dataDxfId="83"/>
    <tableColumn id="6" xr3:uid="{00000000-0010-0000-0500-000006000000}" name="vel_Y" dataDxfId="82"/>
    <tableColumn id="7" xr3:uid="{00000000-0010-0000-0500-000007000000}" name="vel_Z" dataDxfId="81"/>
    <tableColumn id="8" xr3:uid="{00000000-0010-0000-0500-000008000000}" name="angvel_X" dataDxfId="80"/>
    <tableColumn id="9" xr3:uid="{00000000-0010-0000-0500-000009000000}" name="angvel_Y" dataDxfId="79"/>
    <tableColumn id="10" xr3:uid="{00000000-0010-0000-0500-00000A000000}" name="angvel_Z" dataDxfId="78"/>
    <tableColumn id="11" xr3:uid="{00000000-0010-0000-0500-00000B000000}" name="quart_X" dataDxfId="77"/>
    <tableColumn id="12" xr3:uid="{00000000-0010-0000-0500-00000C000000}" name="quart_Y" dataDxfId="76"/>
    <tableColumn id="13" xr3:uid="{00000000-0010-0000-0500-00000D000000}" name="quart_Z" dataDxfId="75"/>
    <tableColumn id="14" xr3:uid="{00000000-0010-0000-0500-00000E000000}" name="quart_W" dataDxfId="74"/>
    <tableColumn id="15" xr3:uid="{00000000-0010-0000-0500-00000F000000}" name="Steer"/>
    <tableColumn id="16" xr3:uid="{00000000-0010-0000-0500-000010000000}" name="bHandbrake"/>
    <tableColumn id="17" xr3:uid="{00000000-0010-0000-0500-000011000000}" name="bActivateBoost"/>
    <tableColumn id="18" xr3:uid="{00000000-0010-0000-0500-000012000000}" name="bHoldingBoost"/>
    <tableColumn id="19" xr3:uid="{00000000-0010-0000-0500-000013000000}" name="Throttle"/>
    <tableColumn id="20" xr3:uid="{00000000-0010-0000-0500-000014000000}" name="angvel_total" dataDxfId="73">
      <calculatedColumnFormula>SQRT(POWER(Breakout[[#This Row],[angvel_X]],2) + POWER(Breakout[[#This Row],[angvel_Y]],2) + POWER(Breakout[[#This Row],[angvel_Z]],2))</calculatedColumnFormula>
    </tableColumn>
    <tableColumn id="21" xr3:uid="{00000000-0010-0000-0500-000015000000}" name="Pitch" dataDxfId="72">
      <calculatedColumnFormula>DEGREES(ASIN(MAX(-1,MIN(1,2 * (Breakout[[#This Row],[quart_W]]*Breakout[[#This Row],[quart_Y]] - Breakout[[#This Row],[quart_Z]]*Breakout[[#This Row],[quart_X]])))))</calculatedColumnFormula>
    </tableColumn>
    <tableColumn id="22" xr3:uid="{00000000-0010-0000-0500-000016000000}" name="Yaw" dataDxfId="71">
      <calculatedColumnFormula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calculatedColumnFormula>
    </tableColumn>
    <tableColumn id="23" xr3:uid="{00000000-0010-0000-0500-000017000000}" name="Roll" dataDxfId="70">
      <calculatedColumnFormula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calculatedColumnFormula>
    </tableColumn>
    <tableColumn id="24" xr3:uid="{00000000-0010-0000-0500-000018000000}" name="Degree change" dataDxfId="69">
      <calculatedColumnFormula>IF(Breakout[[#This Row],[Yaw]]&gt;V1,(360-ABS(Breakout[[#This Row],[Yaw]])-ABS(V1)),ABS(Breakout[[#This Row],[Yaw]]-V1))</calculatedColumnFormula>
    </tableColumn>
    <tableColumn id="25" xr3:uid="{00000000-0010-0000-0500-000019000000}" name="Degrees turned" dataDxfId="68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7" displayName="Table7" ref="A1:G265" totalsRowShown="0" dataDxfId="67">
  <autoFilter ref="A1:G265" xr:uid="{00000000-0009-0000-0100-000007000000}"/>
  <tableColumns count="7">
    <tableColumn id="7" xr3:uid="{7E5C05A3-E549-4ECF-84A1-9D41295F0A7D}" name="Tick" dataDxfId="66"/>
    <tableColumn id="1" xr3:uid="{00000000-0010-0000-0600-000001000000}" name="Octane" dataDxfId="65">
      <calculatedColumnFormula>Octane[[#This Row],[angvel_total]]</calculatedColumnFormula>
    </tableColumn>
    <tableColumn id="2" xr3:uid="{00000000-0010-0000-0600-000002000000}" name="Hybrid" dataDxfId="64">
      <calculatedColumnFormula>Hybrid[[#This Row],[angvel_total]]</calculatedColumnFormula>
    </tableColumn>
    <tableColumn id="3" xr3:uid="{00000000-0010-0000-0600-000003000000}" name="Dominus" dataDxfId="63">
      <calculatedColumnFormula>Dominus[[#This Row],[angvel_total]]</calculatedColumnFormula>
    </tableColumn>
    <tableColumn id="4" xr3:uid="{00000000-0010-0000-0600-000004000000}" name="Plank" dataDxfId="62">
      <calculatedColumnFormula>Plank[[#This Row],[angvel_total]]</calculatedColumnFormula>
    </tableColumn>
    <tableColumn id="5" xr3:uid="{00000000-0010-0000-0600-000005000000}" name="Batmobile" dataDxfId="61">
      <calculatedColumnFormula>Batmobile[[#This Row],[angvel_total]]</calculatedColumnFormula>
    </tableColumn>
    <tableColumn id="6" xr3:uid="{00000000-0010-0000-0600-000006000000}" name="Breakout" dataDxfId="60">
      <calculatedColumnFormula>Breakout[[#This Row],[angvel_total]]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8" displayName="Table8" ref="I1:N150" totalsRowShown="0" dataDxfId="59" dataCellStyle="Percent">
  <autoFilter ref="I1:N150" xr:uid="{00000000-0009-0000-0100-000008000000}"/>
  <tableColumns count="6">
    <tableColumn id="1" xr3:uid="{00000000-0010-0000-0700-000001000000}" name="% Hybrid" dataDxfId="58" dataCellStyle="Percent">
      <calculatedColumnFormula>Table7[[#This Row],[Hybrid]]/Table7[[#This Row],[Octane]] - 1</calculatedColumnFormula>
    </tableColumn>
    <tableColumn id="2" xr3:uid="{00000000-0010-0000-0700-000002000000}" name="% Dominus" dataDxfId="57" dataCellStyle="Percent">
      <calculatedColumnFormula>Table7[[#This Row],[Dominus]]/Table7[[#This Row],[Octane]] - 1</calculatedColumnFormula>
    </tableColumn>
    <tableColumn id="3" xr3:uid="{00000000-0010-0000-0700-000003000000}" name="% Plank" dataDxfId="56" dataCellStyle="Percent">
      <calculatedColumnFormula>Table7[[#This Row],[Plank]]/Table7[[#This Row],[Octane]] - 1</calculatedColumnFormula>
    </tableColumn>
    <tableColumn id="4" xr3:uid="{00000000-0010-0000-0700-000004000000}" name="% Batmobile" dataDxfId="55" dataCellStyle="Percent">
      <calculatedColumnFormula>Table7[[#This Row],[Batmobile]]/Table7[[#This Row],[Octane]] - 1</calculatedColumnFormula>
    </tableColumn>
    <tableColumn id="5" xr3:uid="{00000000-0010-0000-0700-000005000000}" name="% Breakout" dataDxfId="54" dataCellStyle="Percent">
      <calculatedColumnFormula>Table7[[#This Row],[Breakout]]/Table7[[#This Row],[Octane]] - 1</calculatedColumnFormula>
    </tableColumn>
    <tableColumn id="6" xr3:uid="{91289F30-0A21-452C-851F-2834DC05A818}" name="Break vs. Plank" dataDxfId="53" dataCellStyle="Percent">
      <calculatedColumnFormula>Table7[[#This Row],[Breakout]]/Table7[[#This Row],[Plank]] - 1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D2E1641-14C9-44EA-A4FD-55ECFC8CF459}" name="Table714" displayName="Table714" ref="P1:W172" totalsRowShown="0" dataDxfId="52">
  <autoFilter ref="P1:W172" xr:uid="{8D47DB0E-0816-448E-9C46-91B4E3CF2501}"/>
  <tableColumns count="8">
    <tableColumn id="7" xr3:uid="{53A9DC9A-B9CC-4EE6-8235-D07299128CDE}" name="X" dataDxfId="51"/>
    <tableColumn id="1" xr3:uid="{B15FF205-A36E-4AF1-B2FA-ABD9AACB1C81}" name="Octane" dataDxfId="50">
      <calculatedColumnFormula>Octane[[#This Row],[angvel_total]]</calculatedColumnFormula>
    </tableColumn>
    <tableColumn id="2" xr3:uid="{6DFC9B7E-DEA6-411F-B30E-00B222BDA13E}" name="Hybrid" dataDxfId="49">
      <calculatedColumnFormula>Hybrid[[#This Row],[angvel_total]]</calculatedColumnFormula>
    </tableColumn>
    <tableColumn id="3" xr3:uid="{2D1823B4-B66A-40DE-B3AB-4BD00A7E4A59}" name="Dominus" dataDxfId="48">
      <calculatedColumnFormula>Dominus[[#This Row],[angvel_total]]</calculatedColumnFormula>
    </tableColumn>
    <tableColumn id="4" xr3:uid="{F9C9E85F-85BD-474C-90FC-D8E0412E0541}" name="Plank" dataDxfId="47">
      <calculatedColumnFormula>Plank[[#This Row],[angvel_total]]</calculatedColumnFormula>
    </tableColumn>
    <tableColumn id="5" xr3:uid="{8F88F6AB-7CFF-4C82-825F-44C964089206}" name="Batmobile" dataDxfId="46">
      <calculatedColumnFormula>Batmobile[[#This Row],[angvel_total]]</calculatedColumnFormula>
    </tableColumn>
    <tableColumn id="6" xr3:uid="{4F2321DA-D2AC-4708-932C-C27FEA61EF1D}" name="Breakout" dataDxfId="45">
      <calculatedColumnFormula>Breakout[[#This Row],[angvel_total]]</calculatedColumnFormula>
    </tableColumn>
    <tableColumn id="8" xr3:uid="{6A40CEA4-A1EC-469D-9B8F-451312A1AF4C}" name="Column1" dataCellStyle="Percent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3BFFC6D-ACAB-4969-A5F1-FABFD1ADA4DB}" name="Table14" displayName="Table14" ref="AD1:AL261" totalsRowShown="0">
  <autoFilter ref="AD1:AL261" xr:uid="{647D5E63-0524-4A02-B460-401D331607C1}"/>
  <tableColumns count="9">
    <tableColumn id="1" xr3:uid="{2464EA3A-3920-48B6-BFF4-708C3BA60C0D}" name="X" dataDxfId="44"/>
    <tableColumn id="2" xr3:uid="{8AADDA01-0D9B-4823-BBF6-B57ECA4C4F99}" name="Column1" dataDxfId="43">
      <calculatedColumnFormula>_xlfn.NORM.DIST(Table14[[#This Row],[X]],$AB$44,$AB$46,FALSE)</calculatedColumnFormula>
    </tableColumn>
    <tableColumn id="3" xr3:uid="{C960FF96-3043-4968-AD2C-382461F72F50}" name="Octane" dataDxfId="42">
      <calculatedColumnFormula>Table14[[#This Row],[Column1]]*Table7[[#This Row],[Octane]]</calculatedColumnFormula>
    </tableColumn>
    <tableColumn id="4" xr3:uid="{B4F44BD2-2159-4751-AE82-6CA4ECD34311}" name="Hybrid" dataDxfId="41">
      <calculatedColumnFormula>(1-$Y$4)*AG3+$Y$4*Table7[[#This Row],[Hybrid]]</calculatedColumnFormula>
    </tableColumn>
    <tableColumn id="5" xr3:uid="{3BEAC0A7-8D54-4628-B8C3-E54BB695FB18}" name="Dominus" dataDxfId="40">
      <calculatedColumnFormula>(1-$Y$4)*AH3+$Y$4*Table7[[#This Row],[Dominus]]</calculatedColumnFormula>
    </tableColumn>
    <tableColumn id="6" xr3:uid="{6356A65E-A318-40D5-B490-51BD0CBD23AF}" name="Plank" dataDxfId="39">
      <calculatedColumnFormula>(1-$Y$4)*AI3+$Y$4*Table7[[#This Row],[Plank]]</calculatedColumnFormula>
    </tableColumn>
    <tableColumn id="7" xr3:uid="{A4D5AE8E-0AB0-4807-A4A7-6FC8023BC64A}" name="Batmobile" dataDxfId="38">
      <calculatedColumnFormula>(1-$Y$4)*AJ3+$Y$4*Table7[[#This Row],[Batmobile]]</calculatedColumnFormula>
    </tableColumn>
    <tableColumn id="8" xr3:uid="{C1ABD543-69C8-40FD-AEB8-3620DBDC31C7}" name="Breakout" dataDxfId="37">
      <calculatedColumnFormula>(1-$Y$4)*AK3+$Y$4*Table7[[#This Row],[Breakout]]</calculatedColumnFormula>
    </tableColumn>
    <tableColumn id="9" xr3:uid="{2E44FDCD-0F61-49F0-8A7F-EDA6183E4903}" name="Column2" dataDxfId="36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92D7511-9033-4E56-924D-D8E550C06F73}" name="Table816" displayName="Table816" ref="AX1:BC150" totalsRowShown="0" dataDxfId="35" dataCellStyle="Percent">
  <autoFilter ref="AX1:BC150" xr:uid="{104A50F8-C547-4087-BFE4-C89625A60B91}"/>
  <tableColumns count="6">
    <tableColumn id="1" xr3:uid="{FD9FC7E9-1FFA-459E-B2F4-C6D597EF576A}" name="Hybrid" dataDxfId="34" dataCellStyle="Percent">
      <calculatedColumnFormula>(Table7[[#This Row],[Hybrid]]-Table7[[#This Row],[Octane]])/$B$245</calculatedColumnFormula>
    </tableColumn>
    <tableColumn id="2" xr3:uid="{B4041FF1-540C-4AB6-9A20-432D337B2927}" name="Dominus" dataDxfId="33" dataCellStyle="Percent">
      <calculatedColumnFormula>(Table7[[#This Row],[Dominus]]-Table7[[#This Row],[Octane]])/$B$245</calculatedColumnFormula>
    </tableColumn>
    <tableColumn id="3" xr3:uid="{4C66DC2F-EF8C-44F2-8493-A484C9FA5030}" name="Plank" dataDxfId="32" dataCellStyle="Percent">
      <calculatedColumnFormula>(Table7[[#This Row],[Plank]]-Table7[[#This Row],[Octane]])/$B$245</calculatedColumnFormula>
    </tableColumn>
    <tableColumn id="4" xr3:uid="{F244978E-9970-46D6-827C-715CD9794FA9}" name="Batmobile" dataDxfId="31" dataCellStyle="Percent">
      <calculatedColumnFormula>(Table7[[#This Row],[Batmobile]]-Table7[[#This Row],[Octane]])/$B$245</calculatedColumnFormula>
    </tableColumn>
    <tableColumn id="5" xr3:uid="{D77B97A6-605D-49AD-85BC-BEE451ACFCFE}" name="Breakout" dataDxfId="30" dataCellStyle="Percent">
      <calculatedColumnFormula>(Table7[[#This Row],[Breakout]]-Table7[[#This Row],[Octane]])/$B$245</calculatedColumnFormula>
    </tableColumn>
    <tableColumn id="6" xr3:uid="{08BE5AAD-97C0-48C5-A07E-18EE9EE93B5B}" name="Column1" dataDxfId="29" dataCellStyle="Percent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9210E08C-D13D-4779-AA79-FCD8D69D8CC1}" name="Table16" displayName="Table16" ref="Y52:Z119" totalsRowShown="0">
  <autoFilter ref="Y52:Z119" xr:uid="{D1E71499-5A3B-4A7D-94F9-E0354BE28BD7}"/>
  <tableColumns count="2">
    <tableColumn id="1" xr3:uid="{342D465A-2BAE-44BF-8AB0-5830AB25B8DE}" name="Tick">
      <calculatedColumnFormula>Table714[[#This Row],[X]]</calculatedColumnFormula>
    </tableColumn>
    <tableColumn id="2" xr3:uid="{B07F1CC4-90C8-4943-B18C-1F3E526F0696}" name="Influence" dataDxfId="28" dataCellStyle="Percent">
      <calculatedColumnFormula>Table714[[#This Row],[Column1]]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970FFF4-E0EF-46C9-B79A-253EB23E963A}" name="Table713" displayName="Table713" ref="A1:G192" totalsRowShown="0" dataDxfId="27">
  <autoFilter ref="A1:G192" xr:uid="{7BE5C492-ECDF-4BA1-90AF-BAD9319E4ED8}"/>
  <tableColumns count="7">
    <tableColumn id="7" xr3:uid="{2C34BF95-B03E-40AB-986D-0807C3334DE0}" name="X" dataDxfId="26"/>
    <tableColumn id="1" xr3:uid="{965C9D8C-8660-4C52-848B-584F41E8D625}" name="Octane" dataDxfId="25">
      <calculatedColumnFormula>Octane[[#This Row],[angvel_total]]</calculatedColumnFormula>
    </tableColumn>
    <tableColumn id="2" xr3:uid="{D719ABF7-33F9-43A7-9C65-A6593FC42EB6}" name="Hybrid" dataDxfId="24">
      <calculatedColumnFormula>Hybrid[[#This Row],[angvel_total]]</calculatedColumnFormula>
    </tableColumn>
    <tableColumn id="3" xr3:uid="{9BC71CA8-8F6C-4A00-AAA4-1CD375D4402D}" name="Dominus" dataDxfId="23">
      <calculatedColumnFormula>Dominus[[#This Row],[angvel_total]]</calculatedColumnFormula>
    </tableColumn>
    <tableColumn id="4" xr3:uid="{E29783C7-604B-40BE-8897-3D6937C8A13E}" name="Plank" dataDxfId="22">
      <calculatedColumnFormula>Plank[[#This Row],[angvel_total]]</calculatedColumnFormula>
    </tableColumn>
    <tableColumn id="5" xr3:uid="{C6ABE4F5-1B16-4A09-BE17-D7471767A288}" name="Batmobile" dataDxfId="21">
      <calculatedColumnFormula>Batmobile[[#This Row],[angvel_total]]</calculatedColumnFormula>
    </tableColumn>
    <tableColumn id="6" xr3:uid="{2FBD315A-EC19-4ABD-8293-AE52BED1D98C}" name="Breakout" dataDxfId="20">
      <calculatedColumnFormula>Breakout[[#This Row],[angvel_total]]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8000000}" name="Table9" displayName="Table9" ref="A1:F452" totalsRowShown="0" dataDxfId="19">
  <autoFilter ref="A1:F452" xr:uid="{00000000-0009-0000-0100-000009000000}"/>
  <tableColumns count="6">
    <tableColumn id="1" xr3:uid="{00000000-0010-0000-0800-000001000000}" name="Octane" dataDxfId="18">
      <calculatedColumnFormula>Octane[[#This Row],[Degrees turned]]</calculatedColumnFormula>
    </tableColumn>
    <tableColumn id="2" xr3:uid="{00000000-0010-0000-0800-000002000000}" name="Hybrid" dataDxfId="17">
      <calculatedColumnFormula>Hybrid[[#This Row],[Degrees turned]]</calculatedColumnFormula>
    </tableColumn>
    <tableColumn id="3" xr3:uid="{00000000-0010-0000-0800-000003000000}" name="Dominus" dataDxfId="16">
      <calculatedColumnFormula>Dominus[[#This Row],[Degrees turned]]</calculatedColumnFormula>
    </tableColumn>
    <tableColumn id="4" xr3:uid="{00000000-0010-0000-0800-000004000000}" name="Plank" dataDxfId="15">
      <calculatedColumnFormula>Plank[[#This Row],[Degrees turned]]</calculatedColumnFormula>
    </tableColumn>
    <tableColumn id="5" xr3:uid="{00000000-0010-0000-0800-000005000000}" name="Batmobile" dataDxfId="14">
      <calculatedColumnFormula>Batmobile[[#This Row],[Degrees turned]]</calculatedColumnFormula>
    </tableColumn>
    <tableColumn id="6" xr3:uid="{00000000-0010-0000-0800-000006000000}" name="Breakout" dataDxfId="13">
      <calculatedColumnFormula>Breakout[[#This Row],[Degrees turned]]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9000000}" name="Table10" displayName="Table10" ref="H1:M452" totalsRowShown="0" dataDxfId="12">
  <autoFilter ref="H1:M452" xr:uid="{00000000-0009-0000-0100-00000A000000}"/>
  <tableColumns count="6">
    <tableColumn id="6" xr3:uid="{A83F79A8-1F86-4C1E-A3BD-BF442670BFF9}" name="° Octane" dataDxfId="11"/>
    <tableColumn id="1" xr3:uid="{00000000-0010-0000-0900-000001000000}" name="° Hybrid" dataDxfId="10" dataCellStyle="Percent">
      <calculatedColumnFormula>Table9[[#This Row],[Hybrid]]-Table9[[#This Row],[Octane]]</calculatedColumnFormula>
    </tableColumn>
    <tableColumn id="2" xr3:uid="{00000000-0010-0000-0900-000002000000}" name="° Dominus" dataDxfId="9">
      <calculatedColumnFormula>Table9[[#This Row],[Dominus]]-Table9[[#This Row],[Octane]]</calculatedColumnFormula>
    </tableColumn>
    <tableColumn id="3" xr3:uid="{00000000-0010-0000-0900-000003000000}" name="° Plank" dataDxfId="8">
      <calculatedColumnFormula>Table9[[#This Row],[Plank]]-Table9[[#This Row],[Octane]]</calculatedColumnFormula>
    </tableColumn>
    <tableColumn id="4" xr3:uid="{00000000-0010-0000-0900-000004000000}" name="° Batmobile" dataDxfId="7">
      <calculatedColumnFormula>Table9[[#This Row],[Batmobile]]-Table9[[#This Row],[Octane]]</calculatedColumnFormula>
    </tableColumn>
    <tableColumn id="5" xr3:uid="{00000000-0010-0000-0900-000005000000}" name="° Breakout" dataDxfId="6">
      <calculatedColumnFormula>Table9[[#This Row],[Breakout]]-Table9[[#This Row],[Octane]]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7D3F691-D530-4A99-86A7-8C251607FF91}" name="Table11" displayName="Table11" ref="N1:R452" totalsRowShown="0" dataDxfId="5">
  <autoFilter ref="N1:R452" xr:uid="{A35A191E-29D2-40B0-B629-17B7A8EBD915}"/>
  <tableColumns count="5">
    <tableColumn id="1" xr3:uid="{6370D24A-BB01-4676-9754-2A339CE7E52C}" name="% Hybrid" dataDxfId="4">
      <calculatedColumnFormula>Table9[[#This Row],[Octane]]/Table9[[#This Row],[Hybrid]]</calculatedColumnFormula>
    </tableColumn>
    <tableColumn id="2" xr3:uid="{32708728-7557-49DE-9ED3-5029AC42C9DC}" name="% Dominus" dataDxfId="3">
      <calculatedColumnFormula>Table9[[#This Row],[Octane]]/Table9[[#This Row],[Dominus]]</calculatedColumnFormula>
    </tableColumn>
    <tableColumn id="3" xr3:uid="{7DF28C1D-7803-4AD9-8F61-D25330D1CAF5}" name="% Plank" dataDxfId="2">
      <calculatedColumnFormula>Table9[[#This Row],[Octane]]/Table9[[#This Row],[Plank]]</calculatedColumnFormula>
    </tableColumn>
    <tableColumn id="4" xr3:uid="{7BADC66C-13F8-408A-B646-840CD630E5F9}" name="% Batmobile" dataDxfId="1">
      <calculatedColumnFormula>Table9[[#This Row],[Octane]]/Table9[[#This Row],[Batmobile]]</calculatedColumnFormula>
    </tableColumn>
    <tableColumn id="5" xr3:uid="{9844F15C-AF2B-46E5-A0FE-27209C95E363}" name="% Breakout" dataDxfId="0">
      <calculatedColumnFormula>Table9[[#This Row],[Octane]]/Table9[[#This Row],[Breakout]]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Rocket Science attempt2">
    <a:dk1>
      <a:sysClr val="windowText" lastClr="000000"/>
    </a:dk1>
    <a:lt1>
      <a:srgbClr val="B3ECEF"/>
    </a:lt1>
    <a:dk2>
      <a:srgbClr val="31C4F5"/>
    </a:dk2>
    <a:lt2>
      <a:srgbClr val="E7E6E6"/>
    </a:lt2>
    <a:accent1>
      <a:srgbClr val="FFFFFF"/>
    </a:accent1>
    <a:accent2>
      <a:srgbClr val="FF493C"/>
    </a:accent2>
    <a:accent3>
      <a:srgbClr val="ADEB41"/>
    </a:accent3>
    <a:accent4>
      <a:srgbClr val="FFD85B"/>
    </a:accent4>
    <a:accent5>
      <a:srgbClr val="E68BED"/>
    </a:accent5>
    <a:accent6>
      <a:srgbClr val="C8C8C8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Rocket Science attempt2">
    <a:dk1>
      <a:sysClr val="windowText" lastClr="000000"/>
    </a:dk1>
    <a:lt1>
      <a:srgbClr val="B3ECEF"/>
    </a:lt1>
    <a:dk2>
      <a:srgbClr val="31C4F5"/>
    </a:dk2>
    <a:lt2>
      <a:srgbClr val="E7E6E6"/>
    </a:lt2>
    <a:accent1>
      <a:srgbClr val="FFFFFF"/>
    </a:accent1>
    <a:accent2>
      <a:srgbClr val="FF493C"/>
    </a:accent2>
    <a:accent3>
      <a:srgbClr val="ADEB41"/>
    </a:accent3>
    <a:accent4>
      <a:srgbClr val="FFD85B"/>
    </a:accent4>
    <a:accent5>
      <a:srgbClr val="E68BED"/>
    </a:accent5>
    <a:accent6>
      <a:srgbClr val="C8C8C8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Rocket Science attempt2">
    <a:dk1>
      <a:sysClr val="windowText" lastClr="000000"/>
    </a:dk1>
    <a:lt1>
      <a:srgbClr val="B3ECEF"/>
    </a:lt1>
    <a:dk2>
      <a:srgbClr val="31C4F5"/>
    </a:dk2>
    <a:lt2>
      <a:srgbClr val="E7E6E6"/>
    </a:lt2>
    <a:accent1>
      <a:srgbClr val="FFFFFF"/>
    </a:accent1>
    <a:accent2>
      <a:srgbClr val="FF493C"/>
    </a:accent2>
    <a:accent3>
      <a:srgbClr val="ADEB41"/>
    </a:accent3>
    <a:accent4>
      <a:srgbClr val="FFD85B"/>
    </a:accent4>
    <a:accent5>
      <a:srgbClr val="E68BED"/>
    </a:accent5>
    <a:accent6>
      <a:srgbClr val="C8C8C8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Rocket Science attempt2">
    <a:dk1>
      <a:sysClr val="windowText" lastClr="000000"/>
    </a:dk1>
    <a:lt1>
      <a:srgbClr val="B3ECEF"/>
    </a:lt1>
    <a:dk2>
      <a:srgbClr val="31C4F5"/>
    </a:dk2>
    <a:lt2>
      <a:srgbClr val="E7E6E6"/>
    </a:lt2>
    <a:accent1>
      <a:srgbClr val="FFFFFF"/>
    </a:accent1>
    <a:accent2>
      <a:srgbClr val="FF493C"/>
    </a:accent2>
    <a:accent3>
      <a:srgbClr val="ADEB41"/>
    </a:accent3>
    <a:accent4>
      <a:srgbClr val="FFD85B"/>
    </a:accent4>
    <a:accent5>
      <a:srgbClr val="E68BED"/>
    </a:accent5>
    <a:accent6>
      <a:srgbClr val="C8C8C8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Rocket Science attempt2">
    <a:dk1>
      <a:sysClr val="windowText" lastClr="000000"/>
    </a:dk1>
    <a:lt1>
      <a:srgbClr val="B3ECEF"/>
    </a:lt1>
    <a:dk2>
      <a:srgbClr val="31C4F5"/>
    </a:dk2>
    <a:lt2>
      <a:srgbClr val="E7E6E6"/>
    </a:lt2>
    <a:accent1>
      <a:srgbClr val="FFFFFF"/>
    </a:accent1>
    <a:accent2>
      <a:srgbClr val="FF493C"/>
    </a:accent2>
    <a:accent3>
      <a:srgbClr val="ADEB41"/>
    </a:accent3>
    <a:accent4>
      <a:srgbClr val="FFD85B"/>
    </a:accent4>
    <a:accent5>
      <a:srgbClr val="E68BED"/>
    </a:accent5>
    <a:accent6>
      <a:srgbClr val="C8C8C8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Rocket Science attempt2">
    <a:dk1>
      <a:sysClr val="windowText" lastClr="000000"/>
    </a:dk1>
    <a:lt1>
      <a:srgbClr val="B3ECEF"/>
    </a:lt1>
    <a:dk2>
      <a:srgbClr val="31C4F5"/>
    </a:dk2>
    <a:lt2>
      <a:srgbClr val="E7E6E6"/>
    </a:lt2>
    <a:accent1>
      <a:srgbClr val="FFFFFF"/>
    </a:accent1>
    <a:accent2>
      <a:srgbClr val="FF493C"/>
    </a:accent2>
    <a:accent3>
      <a:srgbClr val="ADEB41"/>
    </a:accent3>
    <a:accent4>
      <a:srgbClr val="FFD85B"/>
    </a:accent4>
    <a:accent5>
      <a:srgbClr val="E68BED"/>
    </a:accent5>
    <a:accent6>
      <a:srgbClr val="C8C8C8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7" Type="http://schemas.openxmlformats.org/officeDocument/2006/relationships/table" Target="../tables/table12.xml"/><Relationship Id="rId2" Type="http://schemas.openxmlformats.org/officeDocument/2006/relationships/table" Target="../tables/table7.xml"/><Relationship Id="rId1" Type="http://schemas.openxmlformats.org/officeDocument/2006/relationships/drawing" Target="../drawings/drawing2.xml"/><Relationship Id="rId6" Type="http://schemas.openxmlformats.org/officeDocument/2006/relationships/table" Target="../tables/table11.xml"/><Relationship Id="rId5" Type="http://schemas.openxmlformats.org/officeDocument/2006/relationships/table" Target="../tables/table10.xml"/><Relationship Id="rId4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drawing" Target="../drawings/drawing4.xml"/><Relationship Id="rId4" Type="http://schemas.openxmlformats.org/officeDocument/2006/relationships/table" Target="../tables/table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452"/>
  <sheetViews>
    <sheetView topLeftCell="AC13" zoomScale="400" zoomScaleNormal="400" workbookViewId="0">
      <selection activeCell="AN26" sqref="AN26:AO26"/>
    </sheetView>
  </sheetViews>
  <sheetFormatPr defaultRowHeight="14.5"/>
  <cols>
    <col min="8" max="9" width="11.1796875" customWidth="1"/>
    <col min="10" max="10" width="11.1796875" bestFit="1" customWidth="1"/>
    <col min="11" max="11" width="10.1796875" bestFit="1" customWidth="1"/>
    <col min="12" max="12" width="10" customWidth="1"/>
    <col min="13" max="13" width="10" bestFit="1" customWidth="1"/>
    <col min="14" max="14" width="11" bestFit="1" customWidth="1"/>
    <col min="16" max="16" width="13.81640625" customWidth="1"/>
    <col min="17" max="17" width="16.54296875" customWidth="1"/>
    <col min="18" max="18" width="16.1796875" customWidth="1"/>
    <col min="19" max="19" width="10.26953125" customWidth="1"/>
    <col min="20" max="20" width="14.26953125" bestFit="1" customWidth="1"/>
    <col min="21" max="21" width="12.7265625" bestFit="1" customWidth="1"/>
    <col min="24" max="24" width="16.54296875" bestFit="1" customWidth="1"/>
    <col min="25" max="25" width="17.1796875" bestFit="1" customWidth="1"/>
    <col min="26" max="26" width="11.1796875" bestFit="1" customWidth="1"/>
  </cols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32</v>
      </c>
      <c r="V1" t="s">
        <v>31</v>
      </c>
      <c r="W1" t="s">
        <v>33</v>
      </c>
      <c r="X1" t="s">
        <v>35</v>
      </c>
      <c r="Y1" s="1" t="s">
        <v>34</v>
      </c>
      <c r="Z1" t="s">
        <v>41</v>
      </c>
    </row>
    <row r="2" spans="1:26">
      <c r="A2">
        <v>1</v>
      </c>
      <c r="B2" s="1">
        <v>865.19000200000005</v>
      </c>
      <c r="C2" s="1">
        <v>1074.369995</v>
      </c>
      <c r="D2" s="1">
        <v>17.010000000000002</v>
      </c>
      <c r="E2" s="1">
        <v>-1179.3599850000001</v>
      </c>
      <c r="F2" s="1">
        <v>1974.589966</v>
      </c>
      <c r="G2" s="1">
        <v>8.0500000000000007</v>
      </c>
      <c r="H2" s="1">
        <v>-6.9999999999999999E-4</v>
      </c>
      <c r="I2" s="1">
        <v>0</v>
      </c>
      <c r="J2" s="1">
        <v>0</v>
      </c>
      <c r="K2" s="1">
        <v>-4.1619999999999999E-3</v>
      </c>
      <c r="L2" s="1">
        <v>2.349E-3</v>
      </c>
      <c r="M2" s="1">
        <v>0.86969600000000002</v>
      </c>
      <c r="N2" s="1">
        <v>0.493564</v>
      </c>
      <c r="O2">
        <v>0</v>
      </c>
      <c r="P2">
        <v>0</v>
      </c>
      <c r="Q2">
        <v>1</v>
      </c>
      <c r="R2">
        <v>1</v>
      </c>
      <c r="S2">
        <v>1</v>
      </c>
      <c r="T2" s="1">
        <f>SQRT(POWER(Octane[[#This Row],[angvel_X]],2) + POWER(Octane[[#This Row],[angvel_Y]],2) + POWER(Octane[[#This Row],[angvel_Z]],2))</f>
        <v>6.9999999999999999E-4</v>
      </c>
      <c r="U2" s="1">
        <f>DEGREES(ASIN(MAX(-1,MIN(1,2 * (Octane[[#This Row],[quart_W]]*Octane[[#This Row],[quart_Y]] - Octane[[#This Row],[quart_Z]]*Octane[[#This Row],[quart_X]])))))</f>
        <v>0.54764788393513697</v>
      </c>
      <c r="V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2" s="1" t="e">
        <f>IF(Octane[[#This Row],[Yaw]]&gt;V1,(360-ABS(Octane[[#This Row],[Yaw]])-ABS(V1)),ABS(Octane[[#This Row],[Yaw]]-V1))</f>
        <v>#VALUE!</v>
      </c>
      <c r="Y2" s="1"/>
      <c r="Z2" s="1">
        <f>SQRT(Octane[[#This Row],[vel_X]]*Octane[[#This Row],[vel_X]]+Octane[[#This Row],[vel_Y]]*Octane[[#This Row],[vel_Y]]+Octane[[#This Row],[vel_Z]]*Octane[[#This Row],[vel_Z]])</f>
        <v>2299.9913718418775</v>
      </c>
    </row>
    <row r="3" spans="1:26">
      <c r="A3">
        <v>2</v>
      </c>
      <c r="B3" s="1">
        <v>855.32995600000004</v>
      </c>
      <c r="C3" s="1">
        <v>1090.880005</v>
      </c>
      <c r="D3" s="1">
        <v>17.010000000000002</v>
      </c>
      <c r="E3" s="1">
        <v>-1179.3599850000001</v>
      </c>
      <c r="F3" s="1">
        <v>1974.589966</v>
      </c>
      <c r="G3" s="1">
        <v>8.0500000000000007</v>
      </c>
      <c r="H3" s="1">
        <v>-6.9999999999999999E-4</v>
      </c>
      <c r="I3" s="1">
        <v>0</v>
      </c>
      <c r="J3" s="1">
        <v>0</v>
      </c>
      <c r="K3" s="1">
        <v>-4.1619999999999999E-3</v>
      </c>
      <c r="L3" s="1">
        <v>2.349E-3</v>
      </c>
      <c r="M3" s="1">
        <v>0.86969600000000002</v>
      </c>
      <c r="N3" s="1">
        <v>0.493564</v>
      </c>
      <c r="O3">
        <v>0</v>
      </c>
      <c r="P3">
        <v>0</v>
      </c>
      <c r="Q3">
        <v>1</v>
      </c>
      <c r="R3">
        <v>1</v>
      </c>
      <c r="S3">
        <v>1</v>
      </c>
      <c r="T3" s="1">
        <f>SQRT(POWER(Octane[[#This Row],[angvel_X]],2) + POWER(Octane[[#This Row],[angvel_Y]],2) + POWER(Octane[[#This Row],[angvel_Z]],2))</f>
        <v>6.9999999999999999E-4</v>
      </c>
      <c r="U3" s="1">
        <f>DEGREES(ASIN(MAX(-1,MIN(1,2 * (Octane[[#This Row],[quart_W]]*Octane[[#This Row],[quart_Y]] - Octane[[#This Row],[quart_Z]]*Octane[[#This Row],[quart_X]])))))</f>
        <v>0.54764788393513697</v>
      </c>
      <c r="V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3" s="1">
        <f>IF(Octane[[#This Row],[Yaw]]&gt;V2,(360-ABS(Octane[[#This Row],[Yaw]])-ABS(V2)),ABS(Octane[[#This Row],[Yaw]]-V2))</f>
        <v>0</v>
      </c>
      <c r="Y3" s="1">
        <f>Octane[[#This Row],[Degree change]]+Y2</f>
        <v>0</v>
      </c>
      <c r="Z3" s="1">
        <f>SQRT(Octane[[#This Row],[vel_X]]*Octane[[#This Row],[vel_X]]+Octane[[#This Row],[vel_Y]]*Octane[[#This Row],[vel_Y]]+Octane[[#This Row],[vel_Z]]*Octane[[#This Row],[vel_Z]])</f>
        <v>2299.9913718418775</v>
      </c>
    </row>
    <row r="4" spans="1:26">
      <c r="A4">
        <v>3</v>
      </c>
      <c r="B4" s="1">
        <v>845.46997099999999</v>
      </c>
      <c r="C4" s="1">
        <v>1107.3900149999999</v>
      </c>
      <c r="D4" s="1">
        <v>17.010000000000002</v>
      </c>
      <c r="E4" s="1">
        <v>-1179.3599850000001</v>
      </c>
      <c r="F4" s="1">
        <v>1974.589966</v>
      </c>
      <c r="G4" s="1">
        <v>8.0500000000000007</v>
      </c>
      <c r="H4" s="1">
        <v>-6.9999999999999999E-4</v>
      </c>
      <c r="I4" s="1">
        <v>0</v>
      </c>
      <c r="J4" s="1">
        <v>0</v>
      </c>
      <c r="K4" s="1">
        <v>-4.1619999999999999E-3</v>
      </c>
      <c r="L4" s="1">
        <v>2.349E-3</v>
      </c>
      <c r="M4" s="1">
        <v>0.86969600000000002</v>
      </c>
      <c r="N4" s="1">
        <v>0.493564</v>
      </c>
      <c r="O4">
        <v>0</v>
      </c>
      <c r="P4">
        <v>0</v>
      </c>
      <c r="Q4">
        <v>1</v>
      </c>
      <c r="R4">
        <v>1</v>
      </c>
      <c r="S4">
        <v>1</v>
      </c>
      <c r="T4" s="1">
        <f>SQRT(POWER(Octane[[#This Row],[angvel_X]],2) + POWER(Octane[[#This Row],[angvel_Y]],2) + POWER(Octane[[#This Row],[angvel_Z]],2))</f>
        <v>6.9999999999999999E-4</v>
      </c>
      <c r="U4" s="1">
        <f>DEGREES(ASIN(MAX(-1,MIN(1,2 * (Octane[[#This Row],[quart_W]]*Octane[[#This Row],[quart_Y]] - Octane[[#This Row],[quart_Z]]*Octane[[#This Row],[quart_X]])))))</f>
        <v>0.54764788393513697</v>
      </c>
      <c r="V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4" s="1">
        <f>IF(Octane[[#This Row],[Yaw]]&gt;V3,(360-ABS(Octane[[#This Row],[Yaw]])-ABS(V3)),ABS(Octane[[#This Row],[Yaw]]-V3))</f>
        <v>0</v>
      </c>
      <c r="Y4" s="1">
        <f>Octane[[#This Row],[Degree change]]+Y3</f>
        <v>0</v>
      </c>
      <c r="Z4" s="1">
        <f>SQRT(Octane[[#This Row],[vel_X]]*Octane[[#This Row],[vel_X]]+Octane[[#This Row],[vel_Y]]*Octane[[#This Row],[vel_Y]]+Octane[[#This Row],[vel_Z]]*Octane[[#This Row],[vel_Z]])</f>
        <v>2299.9913718418775</v>
      </c>
    </row>
    <row r="5" spans="1:26">
      <c r="A5">
        <v>4</v>
      </c>
      <c r="B5" s="1">
        <v>835.60998500000005</v>
      </c>
      <c r="C5" s="1">
        <v>1123.900024</v>
      </c>
      <c r="D5" s="1">
        <v>17.010000000000002</v>
      </c>
      <c r="E5" s="1">
        <v>-1179.3599850000001</v>
      </c>
      <c r="F5" s="1">
        <v>1974.589966</v>
      </c>
      <c r="G5" s="1">
        <v>8.0500000000000007</v>
      </c>
      <c r="H5" s="1">
        <v>-6.9999999999999999E-4</v>
      </c>
      <c r="I5" s="1">
        <v>0</v>
      </c>
      <c r="J5" s="1">
        <v>0</v>
      </c>
      <c r="K5" s="1">
        <v>-4.1619999999999999E-3</v>
      </c>
      <c r="L5" s="1">
        <v>2.349E-3</v>
      </c>
      <c r="M5" s="1">
        <v>0.86969600000000002</v>
      </c>
      <c r="N5" s="1">
        <v>0.493564</v>
      </c>
      <c r="O5">
        <v>0</v>
      </c>
      <c r="P5">
        <v>0</v>
      </c>
      <c r="Q5">
        <v>1</v>
      </c>
      <c r="R5">
        <v>1</v>
      </c>
      <c r="S5">
        <v>1</v>
      </c>
      <c r="T5" s="1">
        <f>SQRT(POWER(Octane[[#This Row],[angvel_X]],2) + POWER(Octane[[#This Row],[angvel_Y]],2) + POWER(Octane[[#This Row],[angvel_Z]],2))</f>
        <v>6.9999999999999999E-4</v>
      </c>
      <c r="U5" s="1">
        <f>DEGREES(ASIN(MAX(-1,MIN(1,2 * (Octane[[#This Row],[quart_W]]*Octane[[#This Row],[quart_Y]] - Octane[[#This Row],[quart_Z]]*Octane[[#This Row],[quart_X]])))))</f>
        <v>0.54764788393513697</v>
      </c>
      <c r="V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5" s="1">
        <f>IF(Octane[[#This Row],[Yaw]]&gt;V4,(360-ABS(Octane[[#This Row],[Yaw]])-ABS(V4)),ABS(Octane[[#This Row],[Yaw]]-V4))</f>
        <v>0</v>
      </c>
      <c r="Y5" s="1">
        <f>Octane[[#This Row],[Degree change]]+Y4</f>
        <v>0</v>
      </c>
      <c r="Z5" s="1">
        <f>SQRT(Octane[[#This Row],[vel_X]]*Octane[[#This Row],[vel_X]]+Octane[[#This Row],[vel_Y]]*Octane[[#This Row],[vel_Y]]+Octane[[#This Row],[vel_Z]]*Octane[[#This Row],[vel_Z]])</f>
        <v>2299.9913718418775</v>
      </c>
    </row>
    <row r="6" spans="1:26">
      <c r="A6">
        <v>5</v>
      </c>
      <c r="B6" s="1">
        <v>825.75</v>
      </c>
      <c r="C6" s="1">
        <v>1140.410034</v>
      </c>
      <c r="D6" s="1">
        <v>17.010000000000002</v>
      </c>
      <c r="E6" s="1">
        <v>-1179.3599850000001</v>
      </c>
      <c r="F6" s="1">
        <v>1974.589966</v>
      </c>
      <c r="G6" s="1">
        <v>8.0500000000000007</v>
      </c>
      <c r="H6" s="1">
        <v>-6.9999999999999999E-4</v>
      </c>
      <c r="I6" s="1">
        <v>0</v>
      </c>
      <c r="J6" s="1">
        <v>0</v>
      </c>
      <c r="K6" s="1">
        <v>-4.1619999999999999E-3</v>
      </c>
      <c r="L6" s="1">
        <v>2.349E-3</v>
      </c>
      <c r="M6" s="1">
        <v>0.86969600000000002</v>
      </c>
      <c r="N6" s="1">
        <v>0.493564</v>
      </c>
      <c r="O6">
        <v>0</v>
      </c>
      <c r="P6">
        <v>0</v>
      </c>
      <c r="Q6">
        <v>1</v>
      </c>
      <c r="R6">
        <v>1</v>
      </c>
      <c r="S6">
        <v>1</v>
      </c>
      <c r="T6" s="1">
        <f>SQRT(POWER(Octane[[#This Row],[angvel_X]],2) + POWER(Octane[[#This Row],[angvel_Y]],2) + POWER(Octane[[#This Row],[angvel_Z]],2))</f>
        <v>6.9999999999999999E-4</v>
      </c>
      <c r="U6" s="1">
        <f>DEGREES(ASIN(MAX(-1,MIN(1,2 * (Octane[[#This Row],[quart_W]]*Octane[[#This Row],[quart_Y]] - Octane[[#This Row],[quart_Z]]*Octane[[#This Row],[quart_X]])))))</f>
        <v>0.54764788393513697</v>
      </c>
      <c r="V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6" s="1">
        <f>IF(Octane[[#This Row],[Yaw]]&gt;V5,(360-ABS(Octane[[#This Row],[Yaw]])-ABS(V5)),ABS(Octane[[#This Row],[Yaw]]-V5))</f>
        <v>0</v>
      </c>
      <c r="Y6" s="1">
        <f>Octane[[#This Row],[Degree change]]+Y5</f>
        <v>0</v>
      </c>
      <c r="Z6" s="1">
        <f>SQRT(Octane[[#This Row],[vel_X]]*Octane[[#This Row],[vel_X]]+Octane[[#This Row],[vel_Y]]*Octane[[#This Row],[vel_Y]]+Octane[[#This Row],[vel_Z]]*Octane[[#This Row],[vel_Z]])</f>
        <v>2299.9913718418775</v>
      </c>
    </row>
    <row r="7" spans="1:26">
      <c r="A7">
        <v>6</v>
      </c>
      <c r="B7" s="1">
        <v>815.88995399999999</v>
      </c>
      <c r="C7" s="1">
        <v>1156.919922</v>
      </c>
      <c r="D7" s="1">
        <v>17.010000000000002</v>
      </c>
      <c r="E7" s="1">
        <v>-1179.3599850000001</v>
      </c>
      <c r="F7" s="1">
        <v>1974.589966</v>
      </c>
      <c r="G7" s="1">
        <v>8.0500000000000007</v>
      </c>
      <c r="H7" s="1">
        <v>-6.9999999999999999E-4</v>
      </c>
      <c r="I7" s="1">
        <v>0</v>
      </c>
      <c r="J7" s="1">
        <v>0</v>
      </c>
      <c r="K7" s="1">
        <v>-4.1619999999999999E-3</v>
      </c>
      <c r="L7" s="1">
        <v>2.349E-3</v>
      </c>
      <c r="M7" s="1">
        <v>0.86969600000000002</v>
      </c>
      <c r="N7" s="1">
        <v>0.493564</v>
      </c>
      <c r="O7">
        <v>0</v>
      </c>
      <c r="P7">
        <v>0</v>
      </c>
      <c r="Q7">
        <v>1</v>
      </c>
      <c r="R7">
        <v>1</v>
      </c>
      <c r="S7">
        <v>1</v>
      </c>
      <c r="T7" s="1">
        <f>SQRT(POWER(Octane[[#This Row],[angvel_X]],2) + POWER(Octane[[#This Row],[angvel_Y]],2) + POWER(Octane[[#This Row],[angvel_Z]],2))</f>
        <v>6.9999999999999999E-4</v>
      </c>
      <c r="U7" s="1">
        <f>DEGREES(ASIN(MAX(-1,MIN(1,2 * (Octane[[#This Row],[quart_W]]*Octane[[#This Row],[quart_Y]] - Octane[[#This Row],[quart_Z]]*Octane[[#This Row],[quart_X]])))))</f>
        <v>0.54764788393513697</v>
      </c>
      <c r="V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7" s="1">
        <f>IF(Octane[[#This Row],[Yaw]]&gt;V6,(360-ABS(Octane[[#This Row],[Yaw]])-ABS(V6)),ABS(Octane[[#This Row],[Yaw]]-V6))</f>
        <v>0</v>
      </c>
      <c r="Y7" s="1">
        <f>Octane[[#This Row],[Degree change]]+Y6</f>
        <v>0</v>
      </c>
      <c r="Z7" s="1">
        <f>SQRT(Octane[[#This Row],[vel_X]]*Octane[[#This Row],[vel_X]]+Octane[[#This Row],[vel_Y]]*Octane[[#This Row],[vel_Y]]+Octane[[#This Row],[vel_Z]]*Octane[[#This Row],[vel_Z]])</f>
        <v>2299.9913718418775</v>
      </c>
    </row>
    <row r="8" spans="1:26">
      <c r="A8">
        <v>7</v>
      </c>
      <c r="B8" s="1">
        <v>806.02996800000005</v>
      </c>
      <c r="C8" s="1">
        <v>1173.429932</v>
      </c>
      <c r="D8" s="1">
        <v>17.010000000000002</v>
      </c>
      <c r="E8" s="1">
        <v>-1179.3599850000001</v>
      </c>
      <c r="F8" s="1">
        <v>1974.589966</v>
      </c>
      <c r="G8" s="1">
        <v>8.0500000000000007</v>
      </c>
      <c r="H8" s="1">
        <v>-6.9999999999999999E-4</v>
      </c>
      <c r="I8" s="1">
        <v>0</v>
      </c>
      <c r="J8" s="1">
        <v>0</v>
      </c>
      <c r="K8" s="1">
        <v>-4.1619999999999999E-3</v>
      </c>
      <c r="L8" s="1">
        <v>2.349E-3</v>
      </c>
      <c r="M8" s="1">
        <v>0.86969600000000002</v>
      </c>
      <c r="N8" s="1">
        <v>0.493564</v>
      </c>
      <c r="O8">
        <v>0</v>
      </c>
      <c r="P8">
        <v>0</v>
      </c>
      <c r="Q8">
        <v>1</v>
      </c>
      <c r="R8">
        <v>1</v>
      </c>
      <c r="S8">
        <v>1</v>
      </c>
      <c r="T8" s="1">
        <f>SQRT(POWER(Octane[[#This Row],[angvel_X]],2) + POWER(Octane[[#This Row],[angvel_Y]],2) + POWER(Octane[[#This Row],[angvel_Z]],2))</f>
        <v>6.9999999999999999E-4</v>
      </c>
      <c r="U8" s="1">
        <f>DEGREES(ASIN(MAX(-1,MIN(1,2 * (Octane[[#This Row],[quart_W]]*Octane[[#This Row],[quart_Y]] - Octane[[#This Row],[quart_Z]]*Octane[[#This Row],[quart_X]])))))</f>
        <v>0.54764788393513697</v>
      </c>
      <c r="V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8" s="1">
        <f>IF(Octane[[#This Row],[Yaw]]&gt;V7,(360-ABS(Octane[[#This Row],[Yaw]])-ABS(V7)),ABS(Octane[[#This Row],[Yaw]]-V7))</f>
        <v>0</v>
      </c>
      <c r="Y8" s="1">
        <f>Octane[[#This Row],[Degree change]]+Y7</f>
        <v>0</v>
      </c>
      <c r="Z8" s="1">
        <f>SQRT(Octane[[#This Row],[vel_X]]*Octane[[#This Row],[vel_X]]+Octane[[#This Row],[vel_Y]]*Octane[[#This Row],[vel_Y]]+Octane[[#This Row],[vel_Z]]*Octane[[#This Row],[vel_Z]])</f>
        <v>2299.9913718418775</v>
      </c>
    </row>
    <row r="9" spans="1:26">
      <c r="A9">
        <v>8</v>
      </c>
      <c r="B9" s="1">
        <v>796.169983</v>
      </c>
      <c r="C9" s="1">
        <v>1189.9399410000001</v>
      </c>
      <c r="D9" s="1">
        <v>17.010000000000002</v>
      </c>
      <c r="E9" s="1">
        <v>-1179.3599850000001</v>
      </c>
      <c r="F9" s="1">
        <v>1974.589966</v>
      </c>
      <c r="G9" s="1">
        <v>8.0500000000000007</v>
      </c>
      <c r="H9" s="1">
        <v>-6.9999999999999999E-4</v>
      </c>
      <c r="I9" s="1">
        <v>0</v>
      </c>
      <c r="J9" s="1">
        <v>0</v>
      </c>
      <c r="K9" s="1">
        <v>-4.1619999999999999E-3</v>
      </c>
      <c r="L9" s="1">
        <v>2.349E-3</v>
      </c>
      <c r="M9" s="1">
        <v>0.86969600000000002</v>
      </c>
      <c r="N9" s="1">
        <v>0.493564</v>
      </c>
      <c r="O9">
        <v>0</v>
      </c>
      <c r="P9">
        <v>0</v>
      </c>
      <c r="Q9">
        <v>1</v>
      </c>
      <c r="R9">
        <v>1</v>
      </c>
      <c r="S9">
        <v>1</v>
      </c>
      <c r="T9" s="1">
        <f>SQRT(POWER(Octane[[#This Row],[angvel_X]],2) + POWER(Octane[[#This Row],[angvel_Y]],2) + POWER(Octane[[#This Row],[angvel_Z]],2))</f>
        <v>6.9999999999999999E-4</v>
      </c>
      <c r="U9" s="1">
        <f>DEGREES(ASIN(MAX(-1,MIN(1,2 * (Octane[[#This Row],[quart_W]]*Octane[[#This Row],[quart_Y]] - Octane[[#This Row],[quart_Z]]*Octane[[#This Row],[quart_X]])))))</f>
        <v>0.54764788393513697</v>
      </c>
      <c r="V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9" s="1">
        <f>IF(Octane[[#This Row],[Yaw]]&gt;V8,(360-ABS(Octane[[#This Row],[Yaw]])-ABS(V8)),ABS(Octane[[#This Row],[Yaw]]-V8))</f>
        <v>0</v>
      </c>
      <c r="Y9" s="1">
        <f>Octane[[#This Row],[Degree change]]+Y8</f>
        <v>0</v>
      </c>
      <c r="Z9" s="1">
        <f>SQRT(Octane[[#This Row],[vel_X]]*Octane[[#This Row],[vel_X]]+Octane[[#This Row],[vel_Y]]*Octane[[#This Row],[vel_Y]]+Octane[[#This Row],[vel_Z]]*Octane[[#This Row],[vel_Z]])</f>
        <v>2299.9913718418775</v>
      </c>
    </row>
    <row r="10" spans="1:26">
      <c r="A10">
        <v>9</v>
      </c>
      <c r="B10" s="1">
        <v>786.30999799999995</v>
      </c>
      <c r="C10" s="1">
        <v>1206.4499510000001</v>
      </c>
      <c r="D10" s="1">
        <v>17.010000000000002</v>
      </c>
      <c r="E10" s="1">
        <v>-1179.3599850000001</v>
      </c>
      <c r="F10" s="1">
        <v>1974.589966</v>
      </c>
      <c r="G10" s="1">
        <v>8.0500000000000007</v>
      </c>
      <c r="H10" s="1">
        <v>-6.9999999999999999E-4</v>
      </c>
      <c r="I10" s="1">
        <v>0</v>
      </c>
      <c r="J10" s="1">
        <v>0</v>
      </c>
      <c r="K10" s="1">
        <v>-4.1619999999999999E-3</v>
      </c>
      <c r="L10" s="1">
        <v>2.349E-3</v>
      </c>
      <c r="M10" s="1">
        <v>0.86969600000000002</v>
      </c>
      <c r="N10" s="1">
        <v>0.493564</v>
      </c>
      <c r="O10">
        <v>0</v>
      </c>
      <c r="P10">
        <v>0</v>
      </c>
      <c r="Q10">
        <v>1</v>
      </c>
      <c r="R10">
        <v>1</v>
      </c>
      <c r="S10">
        <v>1</v>
      </c>
      <c r="T10" s="1">
        <f>SQRT(POWER(Octane[[#This Row],[angvel_X]],2) + POWER(Octane[[#This Row],[angvel_Y]],2) + POWER(Octane[[#This Row],[angvel_Z]],2))</f>
        <v>6.9999999999999999E-4</v>
      </c>
      <c r="U10" s="1">
        <f>DEGREES(ASIN(MAX(-1,MIN(1,2 * (Octane[[#This Row],[quart_W]]*Octane[[#This Row],[quart_Y]] - Octane[[#This Row],[quart_Z]]*Octane[[#This Row],[quart_X]])))))</f>
        <v>0.54764788393513697</v>
      </c>
      <c r="V1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1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10" s="1">
        <f>IF(Octane[[#This Row],[Yaw]]&gt;V9,(360-ABS(Octane[[#This Row],[Yaw]])-ABS(V9)),ABS(Octane[[#This Row],[Yaw]]-V9))</f>
        <v>0</v>
      </c>
      <c r="Y10" s="1">
        <f>Octane[[#This Row],[Degree change]]+Y9</f>
        <v>0</v>
      </c>
      <c r="Z10" s="1">
        <f>SQRT(Octane[[#This Row],[vel_X]]*Octane[[#This Row],[vel_X]]+Octane[[#This Row],[vel_Y]]*Octane[[#This Row],[vel_Y]]+Octane[[#This Row],[vel_Z]]*Octane[[#This Row],[vel_Z]])</f>
        <v>2299.9913718418775</v>
      </c>
    </row>
    <row r="11" spans="1:26">
      <c r="A11">
        <v>10</v>
      </c>
      <c r="B11" s="1">
        <v>776.45001200000002</v>
      </c>
      <c r="C11" s="1">
        <v>1222.959961</v>
      </c>
      <c r="D11" s="1">
        <v>17.010000000000002</v>
      </c>
      <c r="E11" s="1">
        <v>-1179.3599850000001</v>
      </c>
      <c r="F11" s="1">
        <v>1974.589966</v>
      </c>
      <c r="G11" s="1">
        <v>8.0500000000000007</v>
      </c>
      <c r="H11" s="1">
        <v>-6.9999999999999999E-4</v>
      </c>
      <c r="I11" s="1">
        <v>0</v>
      </c>
      <c r="J11" s="1">
        <v>0</v>
      </c>
      <c r="K11" s="1">
        <v>-4.1619999999999999E-3</v>
      </c>
      <c r="L11" s="1">
        <v>2.349E-3</v>
      </c>
      <c r="M11" s="1">
        <v>0.86969600000000002</v>
      </c>
      <c r="N11" s="1">
        <v>0.493564</v>
      </c>
      <c r="O11">
        <v>0</v>
      </c>
      <c r="P11">
        <v>0</v>
      </c>
      <c r="Q11">
        <v>1</v>
      </c>
      <c r="R11">
        <v>1</v>
      </c>
      <c r="S11">
        <v>1</v>
      </c>
      <c r="T11" s="1">
        <f>SQRT(POWER(Octane[[#This Row],[angvel_X]],2) + POWER(Octane[[#This Row],[angvel_Y]],2) + POWER(Octane[[#This Row],[angvel_Z]],2))</f>
        <v>6.9999999999999999E-4</v>
      </c>
      <c r="U11" s="1">
        <f>DEGREES(ASIN(MAX(-1,MIN(1,2 * (Octane[[#This Row],[quart_W]]*Octane[[#This Row],[quart_Y]] - Octane[[#This Row],[quart_Z]]*Octane[[#This Row],[quart_X]])))))</f>
        <v>0.54764788393513697</v>
      </c>
      <c r="V1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1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11" s="1">
        <f>IF(Octane[[#This Row],[Yaw]]&gt;V10,(360-ABS(Octane[[#This Row],[Yaw]])-ABS(V10)),ABS(Octane[[#This Row],[Yaw]]-V10))</f>
        <v>0</v>
      </c>
      <c r="Y11" s="1">
        <f>Octane[[#This Row],[Degree change]]+Y10</f>
        <v>0</v>
      </c>
      <c r="Z11" s="1">
        <f>SQRT(Octane[[#This Row],[vel_X]]*Octane[[#This Row],[vel_X]]+Octane[[#This Row],[vel_Y]]*Octane[[#This Row],[vel_Y]]+Octane[[#This Row],[vel_Z]]*Octane[[#This Row],[vel_Z]])</f>
        <v>2299.9913718418775</v>
      </c>
    </row>
    <row r="12" spans="1:26">
      <c r="A12">
        <v>11</v>
      </c>
      <c r="B12" s="1">
        <v>766.589966</v>
      </c>
      <c r="C12" s="1">
        <v>1239.469971</v>
      </c>
      <c r="D12" s="1">
        <v>17.010000000000002</v>
      </c>
      <c r="E12" s="1">
        <v>-1179.3599850000001</v>
      </c>
      <c r="F12" s="1">
        <v>1974.589966</v>
      </c>
      <c r="G12" s="1">
        <v>8.0500000000000007</v>
      </c>
      <c r="H12" s="1">
        <v>-6.9999999999999999E-4</v>
      </c>
      <c r="I12" s="1">
        <v>0</v>
      </c>
      <c r="J12" s="1">
        <v>0</v>
      </c>
      <c r="K12" s="1">
        <v>-4.1619999999999999E-3</v>
      </c>
      <c r="L12" s="1">
        <v>2.349E-3</v>
      </c>
      <c r="M12" s="1">
        <v>0.86969600000000002</v>
      </c>
      <c r="N12" s="1">
        <v>0.493564</v>
      </c>
      <c r="O12">
        <v>0</v>
      </c>
      <c r="P12">
        <v>0</v>
      </c>
      <c r="Q12">
        <v>1</v>
      </c>
      <c r="R12">
        <v>1</v>
      </c>
      <c r="S12">
        <v>1</v>
      </c>
      <c r="T12" s="1">
        <f>SQRT(POWER(Octane[[#This Row],[angvel_X]],2) + POWER(Octane[[#This Row],[angvel_Y]],2) + POWER(Octane[[#This Row],[angvel_Z]],2))</f>
        <v>6.9999999999999999E-4</v>
      </c>
      <c r="U12" s="1">
        <f>DEGREES(ASIN(MAX(-1,MIN(1,2 * (Octane[[#This Row],[quart_W]]*Octane[[#This Row],[quart_Y]] - Octane[[#This Row],[quart_Z]]*Octane[[#This Row],[quart_X]])))))</f>
        <v>0.54764788393513697</v>
      </c>
      <c r="V1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1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12" s="1">
        <f>IF(Octane[[#This Row],[Yaw]]&gt;V11,(360-ABS(Octane[[#This Row],[Yaw]])-ABS(V11)),ABS(Octane[[#This Row],[Yaw]]-V11))</f>
        <v>0</v>
      </c>
      <c r="Y12" s="1">
        <f>Octane[[#This Row],[Degree change]]+Y11</f>
        <v>0</v>
      </c>
      <c r="Z12" s="1">
        <f>SQRT(Octane[[#This Row],[vel_X]]*Octane[[#This Row],[vel_X]]+Octane[[#This Row],[vel_Y]]*Octane[[#This Row],[vel_Y]]+Octane[[#This Row],[vel_Z]]*Octane[[#This Row],[vel_Z]])</f>
        <v>2299.9913718418775</v>
      </c>
    </row>
    <row r="13" spans="1:26">
      <c r="A13">
        <v>12</v>
      </c>
      <c r="B13" s="1">
        <v>756.72997999999995</v>
      </c>
      <c r="C13" s="1">
        <v>1255.9799800000001</v>
      </c>
      <c r="D13" s="1">
        <v>17.010000000000002</v>
      </c>
      <c r="E13" s="1">
        <v>-1179.3599850000001</v>
      </c>
      <c r="F13" s="1">
        <v>1974.589966</v>
      </c>
      <c r="G13" s="1">
        <v>8.0500000000000007</v>
      </c>
      <c r="H13" s="1">
        <v>-6.9999999999999999E-4</v>
      </c>
      <c r="I13" s="1">
        <v>0</v>
      </c>
      <c r="J13" s="1">
        <v>0</v>
      </c>
      <c r="K13" s="1">
        <v>-4.1619999999999999E-3</v>
      </c>
      <c r="L13" s="1">
        <v>2.349E-3</v>
      </c>
      <c r="M13" s="1">
        <v>0.86969600000000002</v>
      </c>
      <c r="N13" s="1">
        <v>0.493564</v>
      </c>
      <c r="O13">
        <v>0</v>
      </c>
      <c r="P13">
        <v>0</v>
      </c>
      <c r="Q13">
        <v>1</v>
      </c>
      <c r="R13">
        <v>1</v>
      </c>
      <c r="S13">
        <v>1</v>
      </c>
      <c r="T13" s="1">
        <f>SQRT(POWER(Octane[[#This Row],[angvel_X]],2) + POWER(Octane[[#This Row],[angvel_Y]],2) + POWER(Octane[[#This Row],[angvel_Z]],2))</f>
        <v>6.9999999999999999E-4</v>
      </c>
      <c r="U13" s="1">
        <f>DEGREES(ASIN(MAX(-1,MIN(1,2 * (Octane[[#This Row],[quart_W]]*Octane[[#This Row],[quart_Y]] - Octane[[#This Row],[quart_Z]]*Octane[[#This Row],[quart_X]])))))</f>
        <v>0.54764788393513697</v>
      </c>
      <c r="V1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1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13" s="1">
        <f>IF(Octane[[#This Row],[Yaw]]&gt;V12,(360-ABS(Octane[[#This Row],[Yaw]])-ABS(V12)),ABS(Octane[[#This Row],[Yaw]]-V12))</f>
        <v>0</v>
      </c>
      <c r="Y13" s="1">
        <f>Octane[[#This Row],[Degree change]]+Y12</f>
        <v>0</v>
      </c>
      <c r="Z13" s="1">
        <f>SQRT(Octane[[#This Row],[vel_X]]*Octane[[#This Row],[vel_X]]+Octane[[#This Row],[vel_Y]]*Octane[[#This Row],[vel_Y]]+Octane[[#This Row],[vel_Z]]*Octane[[#This Row],[vel_Z]])</f>
        <v>2299.9913718418775</v>
      </c>
    </row>
    <row r="14" spans="1:26">
      <c r="A14">
        <v>13</v>
      </c>
      <c r="B14" s="1">
        <v>746.86999500000002</v>
      </c>
      <c r="C14" s="1">
        <v>1272.48999</v>
      </c>
      <c r="D14" s="1">
        <v>17.010000000000002</v>
      </c>
      <c r="E14" s="1">
        <v>-1179.3599850000001</v>
      </c>
      <c r="F14" s="1">
        <v>1974.589966</v>
      </c>
      <c r="G14" s="1">
        <v>8.0500000000000007</v>
      </c>
      <c r="H14" s="1">
        <v>-6.9999999999999999E-4</v>
      </c>
      <c r="I14" s="1">
        <v>0</v>
      </c>
      <c r="J14" s="1">
        <v>0</v>
      </c>
      <c r="K14" s="1">
        <v>-4.1619999999999999E-3</v>
      </c>
      <c r="L14" s="1">
        <v>2.349E-3</v>
      </c>
      <c r="M14" s="1">
        <v>0.86969600000000002</v>
      </c>
      <c r="N14" s="1">
        <v>0.493564</v>
      </c>
      <c r="O14">
        <v>0</v>
      </c>
      <c r="P14">
        <v>0</v>
      </c>
      <c r="Q14">
        <v>1</v>
      </c>
      <c r="R14">
        <v>1</v>
      </c>
      <c r="S14">
        <v>1</v>
      </c>
      <c r="T14" s="1">
        <f>SQRT(POWER(Octane[[#This Row],[angvel_X]],2) + POWER(Octane[[#This Row],[angvel_Y]],2) + POWER(Octane[[#This Row],[angvel_Z]],2))</f>
        <v>6.9999999999999999E-4</v>
      </c>
      <c r="U14" s="1">
        <f>DEGREES(ASIN(MAX(-1,MIN(1,2 * (Octane[[#This Row],[quart_W]]*Octane[[#This Row],[quart_Y]] - Octane[[#This Row],[quart_Z]]*Octane[[#This Row],[quart_X]])))))</f>
        <v>0.54764788393513697</v>
      </c>
      <c r="V1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1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14" s="1">
        <f>IF(Octane[[#This Row],[Yaw]]&gt;V13,(360-ABS(Octane[[#This Row],[Yaw]])-ABS(V13)),ABS(Octane[[#This Row],[Yaw]]-V13))</f>
        <v>0</v>
      </c>
      <c r="Y14" s="1">
        <f>Octane[[#This Row],[Degree change]]+Y13</f>
        <v>0</v>
      </c>
      <c r="Z14" s="1">
        <f>SQRT(Octane[[#This Row],[vel_X]]*Octane[[#This Row],[vel_X]]+Octane[[#This Row],[vel_Y]]*Octane[[#This Row],[vel_Y]]+Octane[[#This Row],[vel_Z]]*Octane[[#This Row],[vel_Z]])</f>
        <v>2299.9913718418775</v>
      </c>
    </row>
    <row r="15" spans="1:26">
      <c r="A15">
        <v>14</v>
      </c>
      <c r="B15" s="1">
        <v>737.01000999999997</v>
      </c>
      <c r="C15" s="1">
        <v>1289</v>
      </c>
      <c r="D15" s="1">
        <v>17.010000000000002</v>
      </c>
      <c r="E15" s="1">
        <v>-1179.3599850000001</v>
      </c>
      <c r="F15" s="1">
        <v>1974.589966</v>
      </c>
      <c r="G15" s="1">
        <v>8.0500000000000007</v>
      </c>
      <c r="H15" s="1">
        <v>-6.9999999999999999E-4</v>
      </c>
      <c r="I15" s="1">
        <v>0</v>
      </c>
      <c r="J15" s="1">
        <v>0</v>
      </c>
      <c r="K15" s="1">
        <v>-4.1619999999999999E-3</v>
      </c>
      <c r="L15" s="1">
        <v>2.349E-3</v>
      </c>
      <c r="M15" s="1">
        <v>0.86969600000000002</v>
      </c>
      <c r="N15" s="1">
        <v>0.493564</v>
      </c>
      <c r="O15">
        <v>0</v>
      </c>
      <c r="P15">
        <v>0</v>
      </c>
      <c r="Q15">
        <v>1</v>
      </c>
      <c r="R15">
        <v>1</v>
      </c>
      <c r="S15">
        <v>1</v>
      </c>
      <c r="T15" s="1">
        <f>SQRT(POWER(Octane[[#This Row],[angvel_X]],2) + POWER(Octane[[#This Row],[angvel_Y]],2) + POWER(Octane[[#This Row],[angvel_Z]],2))</f>
        <v>6.9999999999999999E-4</v>
      </c>
      <c r="U15" s="1">
        <f>DEGREES(ASIN(MAX(-1,MIN(1,2 * (Octane[[#This Row],[quart_W]]*Octane[[#This Row],[quart_Y]] - Octane[[#This Row],[quart_Z]]*Octane[[#This Row],[quart_X]])))))</f>
        <v>0.54764788393513697</v>
      </c>
      <c r="V1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1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15" s="1">
        <f>IF(Octane[[#This Row],[Yaw]]&gt;V14,(360-ABS(Octane[[#This Row],[Yaw]])-ABS(V14)),ABS(Octane[[#This Row],[Yaw]]-V14))</f>
        <v>0</v>
      </c>
      <c r="Y15" s="1">
        <f>Octane[[#This Row],[Degree change]]+Y14</f>
        <v>0</v>
      </c>
      <c r="Z15" s="1">
        <f>SQRT(Octane[[#This Row],[vel_X]]*Octane[[#This Row],[vel_X]]+Octane[[#This Row],[vel_Y]]*Octane[[#This Row],[vel_Y]]+Octane[[#This Row],[vel_Z]]*Octane[[#This Row],[vel_Z]])</f>
        <v>2299.9913718418775</v>
      </c>
    </row>
    <row r="16" spans="1:26">
      <c r="A16">
        <v>15</v>
      </c>
      <c r="B16" s="1">
        <v>727.14996299999996</v>
      </c>
      <c r="C16" s="1">
        <v>1305.51001</v>
      </c>
      <c r="D16" s="1">
        <v>17.010000000000002</v>
      </c>
      <c r="E16" s="1">
        <v>-1179.3599850000001</v>
      </c>
      <c r="F16" s="1">
        <v>1974.589966</v>
      </c>
      <c r="G16" s="1">
        <v>8.0500000000000007</v>
      </c>
      <c r="H16" s="1">
        <v>-6.9999999999999999E-4</v>
      </c>
      <c r="I16" s="1">
        <v>0</v>
      </c>
      <c r="J16" s="1">
        <v>0</v>
      </c>
      <c r="K16" s="1">
        <v>-4.1619999999999999E-3</v>
      </c>
      <c r="L16" s="1">
        <v>2.349E-3</v>
      </c>
      <c r="M16" s="1">
        <v>0.86969600000000002</v>
      </c>
      <c r="N16" s="1">
        <v>0.493564</v>
      </c>
      <c r="O16">
        <v>0</v>
      </c>
      <c r="P16">
        <v>0</v>
      </c>
      <c r="Q16">
        <v>1</v>
      </c>
      <c r="R16">
        <v>1</v>
      </c>
      <c r="S16">
        <v>1</v>
      </c>
      <c r="T16" s="1">
        <f>SQRT(POWER(Octane[[#This Row],[angvel_X]],2) + POWER(Octane[[#This Row],[angvel_Y]],2) + POWER(Octane[[#This Row],[angvel_Z]],2))</f>
        <v>6.9999999999999999E-4</v>
      </c>
      <c r="U16" s="1">
        <f>DEGREES(ASIN(MAX(-1,MIN(1,2 * (Octane[[#This Row],[quart_W]]*Octane[[#This Row],[quart_Y]] - Octane[[#This Row],[quart_Z]]*Octane[[#This Row],[quart_X]])))))</f>
        <v>0.54764788393513697</v>
      </c>
      <c r="V1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1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16" s="1">
        <f>IF(Octane[[#This Row],[Yaw]]&gt;V15,(360-ABS(Octane[[#This Row],[Yaw]])-ABS(V15)),ABS(Octane[[#This Row],[Yaw]]-V15))</f>
        <v>0</v>
      </c>
      <c r="Y16" s="1">
        <f>Octane[[#This Row],[Degree change]]+Y15</f>
        <v>0</v>
      </c>
      <c r="Z16" s="1">
        <f>SQRT(Octane[[#This Row],[vel_X]]*Octane[[#This Row],[vel_X]]+Octane[[#This Row],[vel_Y]]*Octane[[#This Row],[vel_Y]]+Octane[[#This Row],[vel_Z]]*Octane[[#This Row],[vel_Z]])</f>
        <v>2299.9913718418775</v>
      </c>
    </row>
    <row r="17" spans="1:43">
      <c r="A17">
        <v>16</v>
      </c>
      <c r="B17" s="1">
        <v>717.28997800000002</v>
      </c>
      <c r="C17" s="1">
        <v>1322.0200199999999</v>
      </c>
      <c r="D17" s="1">
        <v>17.010000000000002</v>
      </c>
      <c r="E17" s="1">
        <v>-1179.3599850000001</v>
      </c>
      <c r="F17" s="1">
        <v>1974.589966</v>
      </c>
      <c r="G17" s="1">
        <v>8.0500000000000007</v>
      </c>
      <c r="H17" s="1">
        <v>-6.9999999999999999E-4</v>
      </c>
      <c r="I17" s="1">
        <v>0</v>
      </c>
      <c r="J17" s="1">
        <v>0</v>
      </c>
      <c r="K17" s="1">
        <v>-4.1619999999999999E-3</v>
      </c>
      <c r="L17" s="1">
        <v>2.349E-3</v>
      </c>
      <c r="M17" s="1">
        <v>0.86969600000000002</v>
      </c>
      <c r="N17" s="1">
        <v>0.493564</v>
      </c>
      <c r="O17">
        <v>0</v>
      </c>
      <c r="P17">
        <v>0</v>
      </c>
      <c r="Q17">
        <v>1</v>
      </c>
      <c r="R17">
        <v>1</v>
      </c>
      <c r="S17">
        <v>1</v>
      </c>
      <c r="T17" s="1">
        <f>SQRT(POWER(Octane[[#This Row],[angvel_X]],2) + POWER(Octane[[#This Row],[angvel_Y]],2) + POWER(Octane[[#This Row],[angvel_Z]],2))</f>
        <v>6.9999999999999999E-4</v>
      </c>
      <c r="U17" s="1">
        <f>DEGREES(ASIN(MAX(-1,MIN(1,2 * (Octane[[#This Row],[quart_W]]*Octane[[#This Row],[quart_Y]] - Octane[[#This Row],[quart_Z]]*Octane[[#This Row],[quart_X]])))))</f>
        <v>0.54764788393513697</v>
      </c>
      <c r="V1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1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17" s="1">
        <f>IF(Octane[[#This Row],[Yaw]]&gt;V16,(360-ABS(Octane[[#This Row],[Yaw]])-ABS(V16)),ABS(Octane[[#This Row],[Yaw]]-V16))</f>
        <v>0</v>
      </c>
      <c r="Y17" s="1">
        <f>Octane[[#This Row],[Degree change]]+Y16</f>
        <v>0</v>
      </c>
      <c r="Z17" s="1">
        <f>SQRT(Octane[[#This Row],[vel_X]]*Octane[[#This Row],[vel_X]]+Octane[[#This Row],[vel_Y]]*Octane[[#This Row],[vel_Y]]+Octane[[#This Row],[vel_Z]]*Octane[[#This Row],[vel_Z]])</f>
        <v>2299.9913718418775</v>
      </c>
    </row>
    <row r="18" spans="1:43">
      <c r="A18">
        <v>17</v>
      </c>
      <c r="B18" s="1">
        <v>707.42999299999997</v>
      </c>
      <c r="C18" s="1">
        <v>1338.530029</v>
      </c>
      <c r="D18" s="1">
        <v>17.010000000000002</v>
      </c>
      <c r="E18" s="1">
        <v>-1179.3599850000001</v>
      </c>
      <c r="F18" s="1">
        <v>1974.589966</v>
      </c>
      <c r="G18" s="1">
        <v>8.0500000000000007</v>
      </c>
      <c r="H18" s="1">
        <v>-6.9999999999999999E-4</v>
      </c>
      <c r="I18" s="1">
        <v>0</v>
      </c>
      <c r="J18" s="1">
        <v>0</v>
      </c>
      <c r="K18" s="1">
        <v>-4.1619999999999999E-3</v>
      </c>
      <c r="L18" s="1">
        <v>2.349E-3</v>
      </c>
      <c r="M18" s="1">
        <v>0.86969600000000002</v>
      </c>
      <c r="N18" s="1">
        <v>0.493564</v>
      </c>
      <c r="O18">
        <v>0</v>
      </c>
      <c r="P18">
        <v>0</v>
      </c>
      <c r="Q18">
        <v>1</v>
      </c>
      <c r="R18">
        <v>1</v>
      </c>
      <c r="S18">
        <v>1</v>
      </c>
      <c r="T18" s="1">
        <f>SQRT(POWER(Octane[[#This Row],[angvel_X]],2) + POWER(Octane[[#This Row],[angvel_Y]],2) + POWER(Octane[[#This Row],[angvel_Z]],2))</f>
        <v>6.9999999999999999E-4</v>
      </c>
      <c r="U18" s="1">
        <f>DEGREES(ASIN(MAX(-1,MIN(1,2 * (Octane[[#This Row],[quart_W]]*Octane[[#This Row],[quart_Y]] - Octane[[#This Row],[quart_Z]]*Octane[[#This Row],[quart_X]])))))</f>
        <v>0.54764788393513697</v>
      </c>
      <c r="V1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1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18" s="1">
        <f>IF(Octane[[#This Row],[Yaw]]&gt;V17,(360-ABS(Octane[[#This Row],[Yaw]])-ABS(V17)),ABS(Octane[[#This Row],[Yaw]]-V17))</f>
        <v>0</v>
      </c>
      <c r="Y18" s="1">
        <f>Octane[[#This Row],[Degree change]]+Y17</f>
        <v>0</v>
      </c>
      <c r="Z18" s="1">
        <f>SQRT(Octane[[#This Row],[vel_X]]*Octane[[#This Row],[vel_X]]+Octane[[#This Row],[vel_Y]]*Octane[[#This Row],[vel_Y]]+Octane[[#This Row],[vel_Z]]*Octane[[#This Row],[vel_Z]])</f>
        <v>2299.9913718418775</v>
      </c>
    </row>
    <row r="19" spans="1:43">
      <c r="A19">
        <v>18</v>
      </c>
      <c r="B19" s="1">
        <v>697.57000700000003</v>
      </c>
      <c r="C19" s="1">
        <v>1355.0399170000001</v>
      </c>
      <c r="D19" s="1">
        <v>17.010000000000002</v>
      </c>
      <c r="E19" s="1">
        <v>-1179.3599850000001</v>
      </c>
      <c r="F19" s="1">
        <v>1974.589966</v>
      </c>
      <c r="G19" s="1">
        <v>8.0500000000000007</v>
      </c>
      <c r="H19" s="1">
        <v>-6.9999999999999999E-4</v>
      </c>
      <c r="I19" s="1">
        <v>0</v>
      </c>
      <c r="J19" s="1">
        <v>0</v>
      </c>
      <c r="K19" s="1">
        <v>-4.1619999999999999E-3</v>
      </c>
      <c r="L19" s="1">
        <v>2.349E-3</v>
      </c>
      <c r="M19" s="1">
        <v>0.86969600000000002</v>
      </c>
      <c r="N19" s="1">
        <v>0.493564</v>
      </c>
      <c r="O19">
        <v>0</v>
      </c>
      <c r="P19">
        <v>0</v>
      </c>
      <c r="Q19">
        <v>1</v>
      </c>
      <c r="R19">
        <v>1</v>
      </c>
      <c r="S19">
        <v>1</v>
      </c>
      <c r="T19" s="1">
        <f>SQRT(POWER(Octane[[#This Row],[angvel_X]],2) + POWER(Octane[[#This Row],[angvel_Y]],2) + POWER(Octane[[#This Row],[angvel_Z]],2))</f>
        <v>6.9999999999999999E-4</v>
      </c>
      <c r="U19" s="1">
        <f>DEGREES(ASIN(MAX(-1,MIN(1,2 * (Octane[[#This Row],[quart_W]]*Octane[[#This Row],[quart_Y]] - Octane[[#This Row],[quart_Z]]*Octane[[#This Row],[quart_X]])))))</f>
        <v>0.54764788393513697</v>
      </c>
      <c r="V1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1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19" s="1">
        <f>IF(Octane[[#This Row],[Yaw]]&gt;V18,(360-ABS(Octane[[#This Row],[Yaw]])-ABS(V18)),ABS(Octane[[#This Row],[Yaw]]-V18))</f>
        <v>0</v>
      </c>
      <c r="Y19" s="1">
        <f>Octane[[#This Row],[Degree change]]+Y18</f>
        <v>0</v>
      </c>
      <c r="Z19" s="1">
        <f>SQRT(Octane[[#This Row],[vel_X]]*Octane[[#This Row],[vel_X]]+Octane[[#This Row],[vel_Y]]*Octane[[#This Row],[vel_Y]]+Octane[[#This Row],[vel_Z]]*Octane[[#This Row],[vel_Z]])</f>
        <v>2299.9913718418775</v>
      </c>
    </row>
    <row r="20" spans="1:43">
      <c r="A20">
        <v>19</v>
      </c>
      <c r="B20" s="1">
        <v>687.70996100000002</v>
      </c>
      <c r="C20" s="1">
        <v>1371.549927</v>
      </c>
      <c r="D20" s="1">
        <v>17.010000000000002</v>
      </c>
      <c r="E20" s="1">
        <v>-1179.3599850000001</v>
      </c>
      <c r="F20" s="1">
        <v>1974.589966</v>
      </c>
      <c r="G20" s="1">
        <v>8.0500000000000007</v>
      </c>
      <c r="H20" s="1">
        <v>-6.9999999999999999E-4</v>
      </c>
      <c r="I20" s="1">
        <v>0</v>
      </c>
      <c r="J20" s="1">
        <v>0</v>
      </c>
      <c r="K20" s="1">
        <v>-4.1619999999999999E-3</v>
      </c>
      <c r="L20" s="1">
        <v>2.349E-3</v>
      </c>
      <c r="M20" s="1">
        <v>0.86969600000000002</v>
      </c>
      <c r="N20" s="1">
        <v>0.493564</v>
      </c>
      <c r="O20">
        <v>0</v>
      </c>
      <c r="P20">
        <v>0</v>
      </c>
      <c r="Q20">
        <v>1</v>
      </c>
      <c r="R20">
        <v>1</v>
      </c>
      <c r="S20">
        <v>1</v>
      </c>
      <c r="T20" s="1">
        <f>SQRT(POWER(Octane[[#This Row],[angvel_X]],2) + POWER(Octane[[#This Row],[angvel_Y]],2) + POWER(Octane[[#This Row],[angvel_Z]],2))</f>
        <v>6.9999999999999999E-4</v>
      </c>
      <c r="U20" s="1">
        <f>DEGREES(ASIN(MAX(-1,MIN(1,2 * (Octane[[#This Row],[quart_W]]*Octane[[#This Row],[quart_Y]] - Octane[[#This Row],[quart_Z]]*Octane[[#This Row],[quart_X]])))))</f>
        <v>0.54764788393513697</v>
      </c>
      <c r="V2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2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20" s="1">
        <f>IF(Octane[[#This Row],[Yaw]]&gt;V19,(360-ABS(Octane[[#This Row],[Yaw]])-ABS(V19)),ABS(Octane[[#This Row],[Yaw]]-V19))</f>
        <v>0</v>
      </c>
      <c r="Y20" s="1">
        <f>Octane[[#This Row],[Degree change]]+Y19</f>
        <v>0</v>
      </c>
      <c r="Z20" s="1">
        <f>SQRT(Octane[[#This Row],[vel_X]]*Octane[[#This Row],[vel_X]]+Octane[[#This Row],[vel_Y]]*Octane[[#This Row],[vel_Y]]+Octane[[#This Row],[vel_Z]]*Octane[[#This Row],[vel_Z]])</f>
        <v>2299.9913718418775</v>
      </c>
    </row>
    <row r="21" spans="1:43">
      <c r="A21">
        <v>20</v>
      </c>
      <c r="B21" s="1">
        <v>677.84997599999997</v>
      </c>
      <c r="C21" s="1">
        <v>1388.059937</v>
      </c>
      <c r="D21" s="1">
        <v>17.010000000000002</v>
      </c>
      <c r="E21" s="1">
        <v>-1179.3599850000001</v>
      </c>
      <c r="F21" s="1">
        <v>1974.589966</v>
      </c>
      <c r="G21" s="1">
        <v>8.0500000000000007</v>
      </c>
      <c r="H21" s="1">
        <v>-6.9999999999999999E-4</v>
      </c>
      <c r="I21" s="1">
        <v>0</v>
      </c>
      <c r="J21" s="1">
        <v>0</v>
      </c>
      <c r="K21" s="1">
        <v>-4.1619999999999999E-3</v>
      </c>
      <c r="L21" s="1">
        <v>2.349E-3</v>
      </c>
      <c r="M21" s="1">
        <v>0.86969600000000002</v>
      </c>
      <c r="N21" s="1">
        <v>0.493564</v>
      </c>
      <c r="O21">
        <v>0</v>
      </c>
      <c r="P21">
        <v>0</v>
      </c>
      <c r="Q21">
        <v>1</v>
      </c>
      <c r="R21">
        <v>1</v>
      </c>
      <c r="S21">
        <v>1</v>
      </c>
      <c r="T21" s="1">
        <f>SQRT(POWER(Octane[[#This Row],[angvel_X]],2) + POWER(Octane[[#This Row],[angvel_Y]],2) + POWER(Octane[[#This Row],[angvel_Z]],2))</f>
        <v>6.9999999999999999E-4</v>
      </c>
      <c r="U21" s="1">
        <f>DEGREES(ASIN(MAX(-1,MIN(1,2 * (Octane[[#This Row],[quart_W]]*Octane[[#This Row],[quart_Y]] - Octane[[#This Row],[quart_Z]]*Octane[[#This Row],[quart_X]])))))</f>
        <v>0.54764788393513697</v>
      </c>
      <c r="V2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2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21" s="1">
        <f>IF(Octane[[#This Row],[Yaw]]&gt;V20,(360-ABS(Octane[[#This Row],[Yaw]])-ABS(V20)),ABS(Octane[[#This Row],[Yaw]]-V20))</f>
        <v>0</v>
      </c>
      <c r="Y21" s="1">
        <f>Octane[[#This Row],[Degree change]]+Y20</f>
        <v>0</v>
      </c>
      <c r="Z21" s="1">
        <f>SQRT(Octane[[#This Row],[vel_X]]*Octane[[#This Row],[vel_X]]+Octane[[#This Row],[vel_Y]]*Octane[[#This Row],[vel_Y]]+Octane[[#This Row],[vel_Z]]*Octane[[#This Row],[vel_Z]])</f>
        <v>2299.9913718418775</v>
      </c>
    </row>
    <row r="22" spans="1:43">
      <c r="A22">
        <v>21</v>
      </c>
      <c r="B22" s="1">
        <v>667.98999000000003</v>
      </c>
      <c r="C22" s="1">
        <v>1404.5699460000001</v>
      </c>
      <c r="D22" s="1">
        <v>17.010000000000002</v>
      </c>
      <c r="E22" s="1">
        <v>-1179.3599850000001</v>
      </c>
      <c r="F22" s="1">
        <v>1974.589966</v>
      </c>
      <c r="G22" s="1">
        <v>8.0500000000000007</v>
      </c>
      <c r="H22" s="1">
        <v>-6.9999999999999999E-4</v>
      </c>
      <c r="I22" s="1">
        <v>0</v>
      </c>
      <c r="J22" s="1">
        <v>0</v>
      </c>
      <c r="K22" s="1">
        <v>-4.1619999999999999E-3</v>
      </c>
      <c r="L22" s="1">
        <v>2.349E-3</v>
      </c>
      <c r="M22" s="1">
        <v>0.86969600000000002</v>
      </c>
      <c r="N22" s="1">
        <v>0.493564</v>
      </c>
      <c r="O22">
        <v>0</v>
      </c>
      <c r="P22">
        <v>0</v>
      </c>
      <c r="Q22">
        <v>1</v>
      </c>
      <c r="R22">
        <v>1</v>
      </c>
      <c r="S22">
        <v>1</v>
      </c>
      <c r="T22" s="1">
        <f>SQRT(POWER(Octane[[#This Row],[angvel_X]],2) + POWER(Octane[[#This Row],[angvel_Y]],2) + POWER(Octane[[#This Row],[angvel_Z]],2))</f>
        <v>6.9999999999999999E-4</v>
      </c>
      <c r="U22" s="1">
        <f>DEGREES(ASIN(MAX(-1,MIN(1,2 * (Octane[[#This Row],[quart_W]]*Octane[[#This Row],[quart_Y]] - Octane[[#This Row],[quart_Z]]*Octane[[#This Row],[quart_X]])))))</f>
        <v>0.54764788393513697</v>
      </c>
      <c r="V2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2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22" s="1">
        <f>IF(Octane[[#This Row],[Yaw]]&gt;V21,(360-ABS(Octane[[#This Row],[Yaw]])-ABS(V21)),ABS(Octane[[#This Row],[Yaw]]-V21))</f>
        <v>0</v>
      </c>
      <c r="Y22" s="1">
        <f>Octane[[#This Row],[Degree change]]+Y21</f>
        <v>0</v>
      </c>
      <c r="Z22" s="1">
        <f>SQRT(Octane[[#This Row],[vel_X]]*Octane[[#This Row],[vel_X]]+Octane[[#This Row],[vel_Y]]*Octane[[#This Row],[vel_Y]]+Octane[[#This Row],[vel_Z]]*Octane[[#This Row],[vel_Z]])</f>
        <v>2299.9913718418775</v>
      </c>
    </row>
    <row r="23" spans="1:43">
      <c r="A23">
        <v>22</v>
      </c>
      <c r="B23" s="1">
        <v>658.13000499999998</v>
      </c>
      <c r="C23" s="1">
        <v>1421.079956</v>
      </c>
      <c r="D23" s="1">
        <v>17.010000000000002</v>
      </c>
      <c r="E23" s="1">
        <v>-1179.3599850000001</v>
      </c>
      <c r="F23" s="1">
        <v>1974.589966</v>
      </c>
      <c r="G23" s="1">
        <v>8.0500000000000007</v>
      </c>
      <c r="H23" s="1">
        <v>-6.9999999999999999E-4</v>
      </c>
      <c r="I23" s="1">
        <v>0</v>
      </c>
      <c r="J23" s="1">
        <v>0</v>
      </c>
      <c r="K23" s="1">
        <v>-4.1619999999999999E-3</v>
      </c>
      <c r="L23" s="1">
        <v>2.349E-3</v>
      </c>
      <c r="M23" s="1">
        <v>0.86969600000000002</v>
      </c>
      <c r="N23" s="1">
        <v>0.493564</v>
      </c>
      <c r="O23">
        <v>0</v>
      </c>
      <c r="P23">
        <v>0</v>
      </c>
      <c r="Q23">
        <v>1</v>
      </c>
      <c r="R23">
        <v>1</v>
      </c>
      <c r="S23">
        <v>1</v>
      </c>
      <c r="T23" s="1">
        <f>SQRT(POWER(Octane[[#This Row],[angvel_X]],2) + POWER(Octane[[#This Row],[angvel_Y]],2) + POWER(Octane[[#This Row],[angvel_Z]],2))</f>
        <v>6.9999999999999999E-4</v>
      </c>
      <c r="U23" s="1">
        <f>DEGREES(ASIN(MAX(-1,MIN(1,2 * (Octane[[#This Row],[quart_W]]*Octane[[#This Row],[quart_Y]] - Octane[[#This Row],[quart_Z]]*Octane[[#This Row],[quart_X]])))))</f>
        <v>0.54764788393513697</v>
      </c>
      <c r="V2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2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23" s="1">
        <f>IF(Octane[[#This Row],[Yaw]]&gt;V22,(360-ABS(Octane[[#This Row],[Yaw]])-ABS(V22)),ABS(Octane[[#This Row],[Yaw]]-V22))</f>
        <v>0</v>
      </c>
      <c r="Y23" s="1">
        <f>Octane[[#This Row],[Degree change]]+Y22</f>
        <v>0</v>
      </c>
      <c r="Z23" s="1">
        <f>SQRT(Octane[[#This Row],[vel_X]]*Octane[[#This Row],[vel_X]]+Octane[[#This Row],[vel_Y]]*Octane[[#This Row],[vel_Y]]+Octane[[#This Row],[vel_Z]]*Octane[[#This Row],[vel_Z]])</f>
        <v>2299.9913718418775</v>
      </c>
    </row>
    <row r="24" spans="1:43">
      <c r="A24">
        <v>23</v>
      </c>
      <c r="B24" s="1">
        <v>648.26995799999997</v>
      </c>
      <c r="C24" s="1">
        <v>1437.589966</v>
      </c>
      <c r="D24" s="1">
        <v>17.010000000000002</v>
      </c>
      <c r="E24" s="1">
        <v>-1179.3599850000001</v>
      </c>
      <c r="F24" s="1">
        <v>1974.589966</v>
      </c>
      <c r="G24" s="1">
        <v>8.0500000000000007</v>
      </c>
      <c r="H24" s="1">
        <v>-6.9999999999999999E-4</v>
      </c>
      <c r="I24" s="1">
        <v>0</v>
      </c>
      <c r="J24" s="1">
        <v>0</v>
      </c>
      <c r="K24" s="1">
        <v>-4.1619999999999999E-3</v>
      </c>
      <c r="L24" s="1">
        <v>2.349E-3</v>
      </c>
      <c r="M24" s="1">
        <v>0.86969600000000002</v>
      </c>
      <c r="N24" s="1">
        <v>0.493564</v>
      </c>
      <c r="O24">
        <v>0</v>
      </c>
      <c r="P24">
        <v>0</v>
      </c>
      <c r="Q24">
        <v>1</v>
      </c>
      <c r="R24">
        <v>1</v>
      </c>
      <c r="S24">
        <v>1</v>
      </c>
      <c r="T24" s="1">
        <f>SQRT(POWER(Octane[[#This Row],[angvel_X]],2) + POWER(Octane[[#This Row],[angvel_Y]],2) + POWER(Octane[[#This Row],[angvel_Z]],2))</f>
        <v>6.9999999999999999E-4</v>
      </c>
      <c r="U24" s="1">
        <f>DEGREES(ASIN(MAX(-1,MIN(1,2 * (Octane[[#This Row],[quart_W]]*Octane[[#This Row],[quart_Y]] - Octane[[#This Row],[quart_Z]]*Octane[[#This Row],[quart_X]])))))</f>
        <v>0.54764788393513697</v>
      </c>
      <c r="V2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2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24" s="1">
        <f>IF(Octane[[#This Row],[Yaw]]&gt;V23,(360-ABS(Octane[[#This Row],[Yaw]])-ABS(V23)),ABS(Octane[[#This Row],[Yaw]]-V23))</f>
        <v>0</v>
      </c>
      <c r="Y24" s="1">
        <f>Octane[[#This Row],[Degree change]]+Y23</f>
        <v>0</v>
      </c>
      <c r="Z24" s="1">
        <f>SQRT(Octane[[#This Row],[vel_X]]*Octane[[#This Row],[vel_X]]+Octane[[#This Row],[vel_Y]]*Octane[[#This Row],[vel_Y]]+Octane[[#This Row],[vel_Z]]*Octane[[#This Row],[vel_Z]])</f>
        <v>2299.9913718418775</v>
      </c>
    </row>
    <row r="25" spans="1:43">
      <c r="A25">
        <v>24</v>
      </c>
      <c r="B25" s="1">
        <v>638.40997300000004</v>
      </c>
      <c r="C25" s="1">
        <v>1454.099976</v>
      </c>
      <c r="D25" s="1">
        <v>17.010000000000002</v>
      </c>
      <c r="E25" s="1">
        <v>-1179.3599850000001</v>
      </c>
      <c r="F25" s="1">
        <v>1974.589966</v>
      </c>
      <c r="G25" s="1">
        <v>8.0500000000000007</v>
      </c>
      <c r="H25" s="1">
        <v>-6.9999999999999999E-4</v>
      </c>
      <c r="I25" s="1">
        <v>0</v>
      </c>
      <c r="J25" s="1">
        <v>0</v>
      </c>
      <c r="K25" s="1">
        <v>-4.1619999999999999E-3</v>
      </c>
      <c r="L25" s="1">
        <v>2.349E-3</v>
      </c>
      <c r="M25" s="1">
        <v>0.86969600000000002</v>
      </c>
      <c r="N25" s="1">
        <v>0.493564</v>
      </c>
      <c r="O25">
        <v>0</v>
      </c>
      <c r="P25">
        <v>0</v>
      </c>
      <c r="Q25">
        <v>1</v>
      </c>
      <c r="R25">
        <v>1</v>
      </c>
      <c r="S25">
        <v>1</v>
      </c>
      <c r="T25" s="1">
        <f>SQRT(POWER(Octane[[#This Row],[angvel_X]],2) + POWER(Octane[[#This Row],[angvel_Y]],2) + POWER(Octane[[#This Row],[angvel_Z]],2))</f>
        <v>6.9999999999999999E-4</v>
      </c>
      <c r="U25" s="1">
        <f>DEGREES(ASIN(MAX(-1,MIN(1,2 * (Octane[[#This Row],[quart_W]]*Octane[[#This Row],[quart_Y]] - Octane[[#This Row],[quart_Z]]*Octane[[#This Row],[quart_X]])))))</f>
        <v>0.54764788393513697</v>
      </c>
      <c r="V2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2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25" s="1">
        <f>IF(Octane[[#This Row],[Yaw]]&gt;V24,(360-ABS(Octane[[#This Row],[Yaw]])-ABS(V24)),ABS(Octane[[#This Row],[Yaw]]-V24))</f>
        <v>0</v>
      </c>
      <c r="Y25" s="1">
        <f>Octane[[#This Row],[Degree change]]+Y24</f>
        <v>0</v>
      </c>
      <c r="Z25" s="1">
        <f>SQRT(Octane[[#This Row],[vel_X]]*Octane[[#This Row],[vel_X]]+Octane[[#This Row],[vel_Y]]*Octane[[#This Row],[vel_Y]]+Octane[[#This Row],[vel_Z]]*Octane[[#This Row],[vel_Z]])</f>
        <v>2299.9913718418775</v>
      </c>
    </row>
    <row r="26" spans="1:43">
      <c r="A26">
        <v>25</v>
      </c>
      <c r="B26" s="1">
        <v>628.54998799999998</v>
      </c>
      <c r="C26" s="1">
        <v>1470.6099850000001</v>
      </c>
      <c r="D26" s="1">
        <v>17.010000000000002</v>
      </c>
      <c r="E26" s="1">
        <v>-1179.3599850000001</v>
      </c>
      <c r="F26" s="1">
        <v>1974.589966</v>
      </c>
      <c r="G26" s="1">
        <v>8.0500000000000007</v>
      </c>
      <c r="H26" s="1">
        <v>-6.9999999999999999E-4</v>
      </c>
      <c r="I26" s="1">
        <v>0</v>
      </c>
      <c r="J26" s="1">
        <v>0</v>
      </c>
      <c r="K26" s="1">
        <v>-4.1619999999999999E-3</v>
      </c>
      <c r="L26" s="1">
        <v>2.349E-3</v>
      </c>
      <c r="M26" s="1">
        <v>0.86969600000000002</v>
      </c>
      <c r="N26" s="1">
        <v>0.493564</v>
      </c>
      <c r="O26">
        <v>0</v>
      </c>
      <c r="P26">
        <v>0</v>
      </c>
      <c r="Q26">
        <v>1</v>
      </c>
      <c r="R26">
        <v>1</v>
      </c>
      <c r="S26">
        <v>1</v>
      </c>
      <c r="T26" s="1">
        <f>SQRT(POWER(Octane[[#This Row],[angvel_X]],2) + POWER(Octane[[#This Row],[angvel_Y]],2) + POWER(Octane[[#This Row],[angvel_Z]],2))</f>
        <v>6.9999999999999999E-4</v>
      </c>
      <c r="U26" s="1">
        <f>DEGREES(ASIN(MAX(-1,MIN(1,2 * (Octane[[#This Row],[quart_W]]*Octane[[#This Row],[quart_Y]] - Octane[[#This Row],[quart_Z]]*Octane[[#This Row],[quart_X]])))))</f>
        <v>0.54764788393513697</v>
      </c>
      <c r="V2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2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26" s="1">
        <f>IF(Octane[[#This Row],[Yaw]]&gt;V25,(360-ABS(Octane[[#This Row],[Yaw]])-ABS(V25)),ABS(Octane[[#This Row],[Yaw]]-V25))</f>
        <v>0</v>
      </c>
      <c r="Y26" s="1">
        <f>Octane[[#This Row],[Degree change]]+Y25</f>
        <v>0</v>
      </c>
      <c r="Z26" s="1">
        <f>SQRT(Octane[[#This Row],[vel_X]]*Octane[[#This Row],[vel_X]]+Octane[[#This Row],[vel_Y]]*Octane[[#This Row],[vel_Y]]+Octane[[#This Row],[vel_Z]]*Octane[[#This Row],[vel_Z]])</f>
        <v>2299.9913718418775</v>
      </c>
    </row>
    <row r="27" spans="1:43">
      <c r="A27">
        <v>26</v>
      </c>
      <c r="B27" s="1">
        <v>618.69000200000005</v>
      </c>
      <c r="C27" s="1">
        <v>1487.119995</v>
      </c>
      <c r="D27" s="1">
        <v>17.010000000000002</v>
      </c>
      <c r="E27" s="1">
        <v>-1179.3599850000001</v>
      </c>
      <c r="F27" s="1">
        <v>1974.589966</v>
      </c>
      <c r="G27" s="1">
        <v>8.0500000000000007</v>
      </c>
      <c r="H27" s="1">
        <v>-6.9999999999999999E-4</v>
      </c>
      <c r="I27" s="1">
        <v>0</v>
      </c>
      <c r="J27" s="1">
        <v>0</v>
      </c>
      <c r="K27" s="1">
        <v>-4.1619999999999999E-3</v>
      </c>
      <c r="L27" s="1">
        <v>2.349E-3</v>
      </c>
      <c r="M27" s="1">
        <v>0.86969600000000002</v>
      </c>
      <c r="N27" s="1">
        <v>0.493564</v>
      </c>
      <c r="O27">
        <v>0</v>
      </c>
      <c r="P27">
        <v>0</v>
      </c>
      <c r="Q27">
        <v>1</v>
      </c>
      <c r="R27">
        <v>1</v>
      </c>
      <c r="S27">
        <v>1</v>
      </c>
      <c r="T27" s="1">
        <f>SQRT(POWER(Octane[[#This Row],[angvel_X]],2) + POWER(Octane[[#This Row],[angvel_Y]],2) + POWER(Octane[[#This Row],[angvel_Z]],2))</f>
        <v>6.9999999999999999E-4</v>
      </c>
      <c r="U27" s="1">
        <f>DEGREES(ASIN(MAX(-1,MIN(1,2 * (Octane[[#This Row],[quart_W]]*Octane[[#This Row],[quart_Y]] - Octane[[#This Row],[quart_Z]]*Octane[[#This Row],[quart_X]])))))</f>
        <v>0.54764788393513697</v>
      </c>
      <c r="V2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2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27" s="1">
        <f>IF(Octane[[#This Row],[Yaw]]&gt;V26,(360-ABS(Octane[[#This Row],[Yaw]])-ABS(V26)),ABS(Octane[[#This Row],[Yaw]]-V26))</f>
        <v>0</v>
      </c>
      <c r="Y27" s="1">
        <f>Octane[[#This Row],[Degree change]]+Y26</f>
        <v>0</v>
      </c>
      <c r="Z27" s="1">
        <f>SQRT(Octane[[#This Row],[vel_X]]*Octane[[#This Row],[vel_X]]+Octane[[#This Row],[vel_Y]]*Octane[[#This Row],[vel_Y]]+Octane[[#This Row],[vel_Z]]*Octane[[#This Row],[vel_Z]])</f>
        <v>2299.9913718418775</v>
      </c>
    </row>
    <row r="28" spans="1:43">
      <c r="A28">
        <v>27</v>
      </c>
      <c r="B28" s="1">
        <v>608.82995600000004</v>
      </c>
      <c r="C28" s="1">
        <v>1503.630005</v>
      </c>
      <c r="D28" s="1">
        <v>17.010000000000002</v>
      </c>
      <c r="E28" s="1">
        <v>-1179.3599850000001</v>
      </c>
      <c r="F28" s="1">
        <v>1974.589966</v>
      </c>
      <c r="G28" s="1">
        <v>8.0500000000000007</v>
      </c>
      <c r="H28" s="1">
        <v>-6.9999999999999999E-4</v>
      </c>
      <c r="I28" s="1">
        <v>0</v>
      </c>
      <c r="J28" s="1">
        <v>0</v>
      </c>
      <c r="K28" s="1">
        <v>-4.1619999999999999E-3</v>
      </c>
      <c r="L28" s="1">
        <v>2.349E-3</v>
      </c>
      <c r="M28" s="1">
        <v>0.86969600000000002</v>
      </c>
      <c r="N28" s="1">
        <v>0.493564</v>
      </c>
      <c r="O28">
        <v>0</v>
      </c>
      <c r="P28">
        <v>0</v>
      </c>
      <c r="Q28">
        <v>1</v>
      </c>
      <c r="R28">
        <v>1</v>
      </c>
      <c r="S28">
        <v>1</v>
      </c>
      <c r="T28" s="1">
        <f>SQRT(POWER(Octane[[#This Row],[angvel_X]],2) + POWER(Octane[[#This Row],[angvel_Y]],2) + POWER(Octane[[#This Row],[angvel_Z]],2))</f>
        <v>6.9999999999999999E-4</v>
      </c>
      <c r="U28" s="1">
        <f>DEGREES(ASIN(MAX(-1,MIN(1,2 * (Octane[[#This Row],[quart_W]]*Octane[[#This Row],[quart_Y]] - Octane[[#This Row],[quart_Z]]*Octane[[#This Row],[quart_X]])))))</f>
        <v>0.54764788393513697</v>
      </c>
      <c r="V2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2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28" s="1">
        <f>IF(Octane[[#This Row],[Yaw]]&gt;V27,(360-ABS(Octane[[#This Row],[Yaw]])-ABS(V27)),ABS(Octane[[#This Row],[Yaw]]-V27))</f>
        <v>0</v>
      </c>
      <c r="Y28" s="1">
        <f>Octane[[#This Row],[Degree change]]+Y27</f>
        <v>0</v>
      </c>
      <c r="Z28" s="1">
        <f>SQRT(Octane[[#This Row],[vel_X]]*Octane[[#This Row],[vel_X]]+Octane[[#This Row],[vel_Y]]*Octane[[#This Row],[vel_Y]]+Octane[[#This Row],[vel_Z]]*Octane[[#This Row],[vel_Z]])</f>
        <v>2299.9913718418775</v>
      </c>
    </row>
    <row r="29" spans="1:43">
      <c r="A29">
        <v>28</v>
      </c>
      <c r="B29" s="1">
        <v>598.96997099999999</v>
      </c>
      <c r="C29" s="1">
        <v>1520.1400149999999</v>
      </c>
      <c r="D29" s="1">
        <v>17.010000000000002</v>
      </c>
      <c r="E29" s="1">
        <v>-1179.3599850000001</v>
      </c>
      <c r="F29" s="1">
        <v>1974.589966</v>
      </c>
      <c r="G29" s="1">
        <v>8.0500000000000007</v>
      </c>
      <c r="H29" s="1">
        <v>-6.9999999999999999E-4</v>
      </c>
      <c r="I29" s="1">
        <v>0</v>
      </c>
      <c r="J29" s="1">
        <v>0</v>
      </c>
      <c r="K29" s="1">
        <v>-4.1619999999999999E-3</v>
      </c>
      <c r="L29" s="1">
        <v>2.349E-3</v>
      </c>
      <c r="M29" s="1">
        <v>0.86969600000000002</v>
      </c>
      <c r="N29" s="1">
        <v>0.493564</v>
      </c>
      <c r="O29">
        <v>0</v>
      </c>
      <c r="P29">
        <v>0</v>
      </c>
      <c r="Q29">
        <v>1</v>
      </c>
      <c r="R29">
        <v>1</v>
      </c>
      <c r="S29">
        <v>1</v>
      </c>
      <c r="T29" s="1">
        <f>SQRT(POWER(Octane[[#This Row],[angvel_X]],2) + POWER(Octane[[#This Row],[angvel_Y]],2) + POWER(Octane[[#This Row],[angvel_Z]],2))</f>
        <v>6.9999999999999999E-4</v>
      </c>
      <c r="U29" s="1">
        <f>DEGREES(ASIN(MAX(-1,MIN(1,2 * (Octane[[#This Row],[quart_W]]*Octane[[#This Row],[quart_Y]] - Octane[[#This Row],[quart_Z]]*Octane[[#This Row],[quart_X]])))))</f>
        <v>0.54764788393513697</v>
      </c>
      <c r="V2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2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29" s="1">
        <f>IF(Octane[[#This Row],[Yaw]]&gt;V28,(360-ABS(Octane[[#This Row],[Yaw]])-ABS(V28)),ABS(Octane[[#This Row],[Yaw]]-V28))</f>
        <v>0</v>
      </c>
      <c r="Y29" s="1">
        <f>Octane[[#This Row],[Degree change]]+Y28</f>
        <v>0</v>
      </c>
      <c r="Z29" s="1">
        <f>SQRT(Octane[[#This Row],[vel_X]]*Octane[[#This Row],[vel_X]]+Octane[[#This Row],[vel_Y]]*Octane[[#This Row],[vel_Y]]+Octane[[#This Row],[vel_Z]]*Octane[[#This Row],[vel_Z]])</f>
        <v>2299.9913718418775</v>
      </c>
      <c r="AQ29" t="s">
        <v>42</v>
      </c>
    </row>
    <row r="30" spans="1:43">
      <c r="A30">
        <v>29</v>
      </c>
      <c r="B30" s="1">
        <v>589.10998500000005</v>
      </c>
      <c r="C30" s="1">
        <v>1536.650024</v>
      </c>
      <c r="D30" s="1">
        <v>17.010000000000002</v>
      </c>
      <c r="E30" s="1">
        <v>-1179.3599850000001</v>
      </c>
      <c r="F30" s="1">
        <v>1974.589966</v>
      </c>
      <c r="G30" s="1">
        <v>8.0500000000000007</v>
      </c>
      <c r="H30" s="1">
        <v>-6.9999999999999999E-4</v>
      </c>
      <c r="I30" s="1">
        <v>0</v>
      </c>
      <c r="J30" s="1">
        <v>0</v>
      </c>
      <c r="K30" s="1">
        <v>-4.1619999999999999E-3</v>
      </c>
      <c r="L30" s="1">
        <v>2.349E-3</v>
      </c>
      <c r="M30" s="1">
        <v>0.86969600000000002</v>
      </c>
      <c r="N30" s="1">
        <v>0.493564</v>
      </c>
      <c r="O30">
        <v>0</v>
      </c>
      <c r="P30">
        <v>0</v>
      </c>
      <c r="Q30">
        <v>1</v>
      </c>
      <c r="R30">
        <v>1</v>
      </c>
      <c r="S30">
        <v>1</v>
      </c>
      <c r="T30" s="1">
        <f>SQRT(POWER(Octane[[#This Row],[angvel_X]],2) + POWER(Octane[[#This Row],[angvel_Y]],2) + POWER(Octane[[#This Row],[angvel_Z]],2))</f>
        <v>6.9999999999999999E-4</v>
      </c>
      <c r="U30" s="1">
        <f>DEGREES(ASIN(MAX(-1,MIN(1,2 * (Octane[[#This Row],[quart_W]]*Octane[[#This Row],[quart_Y]] - Octane[[#This Row],[quart_Z]]*Octane[[#This Row],[quart_X]])))))</f>
        <v>0.54764788393513697</v>
      </c>
      <c r="V3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3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30" s="1">
        <f>IF(Octane[[#This Row],[Yaw]]&gt;V29,(360-ABS(Octane[[#This Row],[Yaw]])-ABS(V29)),ABS(Octane[[#This Row],[Yaw]]-V29))</f>
        <v>0</v>
      </c>
      <c r="Y30" s="1">
        <f>Octane[[#This Row],[Degree change]]+Y29</f>
        <v>0</v>
      </c>
      <c r="Z30" s="1">
        <f>SQRT(Octane[[#This Row],[vel_X]]*Octane[[#This Row],[vel_X]]+Octane[[#This Row],[vel_Y]]*Octane[[#This Row],[vel_Y]]+Octane[[#This Row],[vel_Z]]*Octane[[#This Row],[vel_Z]])</f>
        <v>2299.9913718418775</v>
      </c>
    </row>
    <row r="31" spans="1:43">
      <c r="A31">
        <v>30</v>
      </c>
      <c r="B31" s="1">
        <v>579.25</v>
      </c>
      <c r="C31" s="1">
        <v>1553.1599120000001</v>
      </c>
      <c r="D31" s="1">
        <v>17.010000000000002</v>
      </c>
      <c r="E31" s="1">
        <v>-1179.3599850000001</v>
      </c>
      <c r="F31" s="1">
        <v>1974.589966</v>
      </c>
      <c r="G31" s="1">
        <v>8.0500000000000007</v>
      </c>
      <c r="H31" s="1">
        <v>-6.9999999999999999E-4</v>
      </c>
      <c r="I31" s="1">
        <v>0</v>
      </c>
      <c r="J31" s="1">
        <v>0</v>
      </c>
      <c r="K31" s="1">
        <v>-4.1619999999999999E-3</v>
      </c>
      <c r="L31" s="1">
        <v>2.349E-3</v>
      </c>
      <c r="M31" s="1">
        <v>0.86969600000000002</v>
      </c>
      <c r="N31" s="1">
        <v>0.493564</v>
      </c>
      <c r="O31">
        <v>0</v>
      </c>
      <c r="P31">
        <v>0</v>
      </c>
      <c r="Q31">
        <v>1</v>
      </c>
      <c r="R31">
        <v>1</v>
      </c>
      <c r="S31">
        <v>1</v>
      </c>
      <c r="T31" s="1">
        <f>SQRT(POWER(Octane[[#This Row],[angvel_X]],2) + POWER(Octane[[#This Row],[angvel_Y]],2) + POWER(Octane[[#This Row],[angvel_Z]],2))</f>
        <v>6.9999999999999999E-4</v>
      </c>
      <c r="U31" s="1">
        <f>DEGREES(ASIN(MAX(-1,MIN(1,2 * (Octane[[#This Row],[quart_W]]*Octane[[#This Row],[quart_Y]] - Octane[[#This Row],[quart_Z]]*Octane[[#This Row],[quart_X]])))))</f>
        <v>0.54764788393513697</v>
      </c>
      <c r="V3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3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31" s="1">
        <f>IF(Octane[[#This Row],[Yaw]]&gt;V30,(360-ABS(Octane[[#This Row],[Yaw]])-ABS(V30)),ABS(Octane[[#This Row],[Yaw]]-V30))</f>
        <v>0</v>
      </c>
      <c r="Y31" s="1">
        <f>Octane[[#This Row],[Degree change]]+Y30</f>
        <v>0</v>
      </c>
      <c r="Z31" s="1">
        <f>SQRT(Octane[[#This Row],[vel_X]]*Octane[[#This Row],[vel_X]]+Octane[[#This Row],[vel_Y]]*Octane[[#This Row],[vel_Y]]+Octane[[#This Row],[vel_Z]]*Octane[[#This Row],[vel_Z]])</f>
        <v>2299.9913718418775</v>
      </c>
    </row>
    <row r="32" spans="1:43">
      <c r="A32">
        <v>31</v>
      </c>
      <c r="B32" s="1">
        <v>569.39001499999995</v>
      </c>
      <c r="C32" s="1">
        <v>1569.669922</v>
      </c>
      <c r="D32" s="1">
        <v>17.010000000000002</v>
      </c>
      <c r="E32" s="1">
        <v>-1179.3599850000001</v>
      </c>
      <c r="F32" s="1">
        <v>1974.589966</v>
      </c>
      <c r="G32" s="1">
        <v>8.0500000000000007</v>
      </c>
      <c r="H32" s="1">
        <v>-6.9999999999999999E-4</v>
      </c>
      <c r="I32" s="1">
        <v>0</v>
      </c>
      <c r="J32" s="1">
        <v>0</v>
      </c>
      <c r="K32" s="1">
        <v>-4.1619999999999999E-3</v>
      </c>
      <c r="L32" s="1">
        <v>2.349E-3</v>
      </c>
      <c r="M32" s="1">
        <v>0.86969600000000002</v>
      </c>
      <c r="N32" s="1">
        <v>0.493564</v>
      </c>
      <c r="O32">
        <v>0</v>
      </c>
      <c r="P32">
        <v>0</v>
      </c>
      <c r="Q32">
        <v>1</v>
      </c>
      <c r="R32">
        <v>1</v>
      </c>
      <c r="S32">
        <v>1</v>
      </c>
      <c r="T32" s="1">
        <f>SQRT(POWER(Octane[[#This Row],[angvel_X]],2) + POWER(Octane[[#This Row],[angvel_Y]],2) + POWER(Octane[[#This Row],[angvel_Z]],2))</f>
        <v>6.9999999999999999E-4</v>
      </c>
      <c r="U32" s="1">
        <f>DEGREES(ASIN(MAX(-1,MIN(1,2 * (Octane[[#This Row],[quart_W]]*Octane[[#This Row],[quart_Y]] - Octane[[#This Row],[quart_Z]]*Octane[[#This Row],[quart_X]])))))</f>
        <v>0.54764788393513697</v>
      </c>
      <c r="V3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3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32" s="1">
        <f>IF(Octane[[#This Row],[Yaw]]&gt;V31,(360-ABS(Octane[[#This Row],[Yaw]])-ABS(V31)),ABS(Octane[[#This Row],[Yaw]]-V31))</f>
        <v>0</v>
      </c>
      <c r="Y32" s="1">
        <f>Octane[[#This Row],[Degree change]]+Y31</f>
        <v>0</v>
      </c>
      <c r="Z32" s="1">
        <f>SQRT(Octane[[#This Row],[vel_X]]*Octane[[#This Row],[vel_X]]+Octane[[#This Row],[vel_Y]]*Octane[[#This Row],[vel_Y]]+Octane[[#This Row],[vel_Z]]*Octane[[#This Row],[vel_Z]])</f>
        <v>2299.9913718418775</v>
      </c>
    </row>
    <row r="33" spans="1:26">
      <c r="A33">
        <v>32</v>
      </c>
      <c r="B33" s="1">
        <v>559.52996800000005</v>
      </c>
      <c r="C33" s="1">
        <v>1586.179932</v>
      </c>
      <c r="D33" s="1">
        <v>17.010000000000002</v>
      </c>
      <c r="E33" s="1">
        <v>-1179.3599850000001</v>
      </c>
      <c r="F33" s="1">
        <v>1974.589966</v>
      </c>
      <c r="G33" s="1">
        <v>8.0500000000000007</v>
      </c>
      <c r="H33" s="1">
        <v>-6.9999999999999999E-4</v>
      </c>
      <c r="I33" s="1">
        <v>0</v>
      </c>
      <c r="J33" s="1">
        <v>0</v>
      </c>
      <c r="K33" s="1">
        <v>-4.1619999999999999E-3</v>
      </c>
      <c r="L33" s="1">
        <v>2.349E-3</v>
      </c>
      <c r="M33" s="1">
        <v>0.86969600000000002</v>
      </c>
      <c r="N33" s="1">
        <v>0.493564</v>
      </c>
      <c r="O33">
        <v>0</v>
      </c>
      <c r="P33">
        <v>0</v>
      </c>
      <c r="Q33">
        <v>1</v>
      </c>
      <c r="R33">
        <v>1</v>
      </c>
      <c r="S33">
        <v>1</v>
      </c>
      <c r="T33" s="1">
        <f>SQRT(POWER(Octane[[#This Row],[angvel_X]],2) + POWER(Octane[[#This Row],[angvel_Y]],2) + POWER(Octane[[#This Row],[angvel_Z]],2))</f>
        <v>6.9999999999999999E-4</v>
      </c>
      <c r="U33" s="1">
        <f>DEGREES(ASIN(MAX(-1,MIN(1,2 * (Octane[[#This Row],[quart_W]]*Octane[[#This Row],[quart_Y]] - Octane[[#This Row],[quart_Z]]*Octane[[#This Row],[quart_X]])))))</f>
        <v>0.54764788393513697</v>
      </c>
      <c r="V3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3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33" s="1">
        <f>IF(Octane[[#This Row],[Yaw]]&gt;V32,(360-ABS(Octane[[#This Row],[Yaw]])-ABS(V32)),ABS(Octane[[#This Row],[Yaw]]-V32))</f>
        <v>0</v>
      </c>
      <c r="Y33" s="1">
        <f>Octane[[#This Row],[Degree change]]+Y32</f>
        <v>0</v>
      </c>
      <c r="Z33" s="1">
        <f>SQRT(Octane[[#This Row],[vel_X]]*Octane[[#This Row],[vel_X]]+Octane[[#This Row],[vel_Y]]*Octane[[#This Row],[vel_Y]]+Octane[[#This Row],[vel_Z]]*Octane[[#This Row],[vel_Z]])</f>
        <v>2299.9913718418775</v>
      </c>
    </row>
    <row r="34" spans="1:26">
      <c r="A34">
        <v>33</v>
      </c>
      <c r="B34" s="1">
        <v>549.669983</v>
      </c>
      <c r="C34" s="1">
        <v>1602.6899410000001</v>
      </c>
      <c r="D34" s="1">
        <v>17.010000000000002</v>
      </c>
      <c r="E34" s="1">
        <v>-1179.3599850000001</v>
      </c>
      <c r="F34" s="1">
        <v>1974.589966</v>
      </c>
      <c r="G34" s="1">
        <v>8.0500000000000007</v>
      </c>
      <c r="H34" s="1">
        <v>-6.9999999999999999E-4</v>
      </c>
      <c r="I34" s="1">
        <v>0</v>
      </c>
      <c r="J34" s="1">
        <v>0</v>
      </c>
      <c r="K34" s="1">
        <v>-4.1619999999999999E-3</v>
      </c>
      <c r="L34" s="1">
        <v>2.349E-3</v>
      </c>
      <c r="M34" s="1">
        <v>0.86969600000000002</v>
      </c>
      <c r="N34" s="1">
        <v>0.493564</v>
      </c>
      <c r="O34">
        <v>0</v>
      </c>
      <c r="P34">
        <v>0</v>
      </c>
      <c r="Q34">
        <v>1</v>
      </c>
      <c r="R34">
        <v>1</v>
      </c>
      <c r="S34">
        <v>1</v>
      </c>
      <c r="T34" s="1">
        <f>SQRT(POWER(Octane[[#This Row],[angvel_X]],2) + POWER(Octane[[#This Row],[angvel_Y]],2) + POWER(Octane[[#This Row],[angvel_Z]],2))</f>
        <v>6.9999999999999999E-4</v>
      </c>
      <c r="U34" s="1">
        <f>DEGREES(ASIN(MAX(-1,MIN(1,2 * (Octane[[#This Row],[quart_W]]*Octane[[#This Row],[quart_Y]] - Octane[[#This Row],[quart_Z]]*Octane[[#This Row],[quart_X]])))))</f>
        <v>0.54764788393513697</v>
      </c>
      <c r="V3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3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34" s="1">
        <f>IF(Octane[[#This Row],[Yaw]]&gt;V33,(360-ABS(Octane[[#This Row],[Yaw]])-ABS(V33)),ABS(Octane[[#This Row],[Yaw]]-V33))</f>
        <v>0</v>
      </c>
      <c r="Y34" s="1">
        <f>Octane[[#This Row],[Degree change]]+Y33</f>
        <v>0</v>
      </c>
      <c r="Z34" s="1">
        <f>SQRT(Octane[[#This Row],[vel_X]]*Octane[[#This Row],[vel_X]]+Octane[[#This Row],[vel_Y]]*Octane[[#This Row],[vel_Y]]+Octane[[#This Row],[vel_Z]]*Octane[[#This Row],[vel_Z]])</f>
        <v>2299.9913718418775</v>
      </c>
    </row>
    <row r="35" spans="1:26">
      <c r="A35">
        <v>34</v>
      </c>
      <c r="B35" s="1">
        <v>539.80999799999995</v>
      </c>
      <c r="C35" s="1">
        <v>1619.1999510000001</v>
      </c>
      <c r="D35" s="1">
        <v>17.010000000000002</v>
      </c>
      <c r="E35" s="1">
        <v>-1179.3599850000001</v>
      </c>
      <c r="F35" s="1">
        <v>1974.589966</v>
      </c>
      <c r="G35" s="1">
        <v>8.0500000000000007</v>
      </c>
      <c r="H35" s="1">
        <v>-6.9999999999999999E-4</v>
      </c>
      <c r="I35" s="1">
        <v>0</v>
      </c>
      <c r="J35" s="1">
        <v>0</v>
      </c>
      <c r="K35" s="1">
        <v>-4.1619999999999999E-3</v>
      </c>
      <c r="L35" s="1">
        <v>2.349E-3</v>
      </c>
      <c r="M35" s="1">
        <v>0.86969600000000002</v>
      </c>
      <c r="N35" s="1">
        <v>0.493564</v>
      </c>
      <c r="O35">
        <v>0</v>
      </c>
      <c r="P35">
        <v>0</v>
      </c>
      <c r="Q35">
        <v>1</v>
      </c>
      <c r="R35">
        <v>1</v>
      </c>
      <c r="S35">
        <v>1</v>
      </c>
      <c r="T35" s="1">
        <f>SQRT(POWER(Octane[[#This Row],[angvel_X]],2) + POWER(Octane[[#This Row],[angvel_Y]],2) + POWER(Octane[[#This Row],[angvel_Z]],2))</f>
        <v>6.9999999999999999E-4</v>
      </c>
      <c r="U35" s="1">
        <f>DEGREES(ASIN(MAX(-1,MIN(1,2 * (Octane[[#This Row],[quart_W]]*Octane[[#This Row],[quart_Y]] - Octane[[#This Row],[quart_Z]]*Octane[[#This Row],[quart_X]])))))</f>
        <v>0.54764788393513697</v>
      </c>
      <c r="V3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3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35" s="1">
        <f>IF(Octane[[#This Row],[Yaw]]&gt;V34,(360-ABS(Octane[[#This Row],[Yaw]])-ABS(V34)),ABS(Octane[[#This Row],[Yaw]]-V34))</f>
        <v>0</v>
      </c>
      <c r="Y35" s="1">
        <f>Octane[[#This Row],[Degree change]]+Y34</f>
        <v>0</v>
      </c>
      <c r="Z35" s="1">
        <f>SQRT(Octane[[#This Row],[vel_X]]*Octane[[#This Row],[vel_X]]+Octane[[#This Row],[vel_Y]]*Octane[[#This Row],[vel_Y]]+Octane[[#This Row],[vel_Z]]*Octane[[#This Row],[vel_Z]])</f>
        <v>2299.9913718418775</v>
      </c>
    </row>
    <row r="36" spans="1:26">
      <c r="A36">
        <v>35</v>
      </c>
      <c r="B36" s="1">
        <v>529.95001200000002</v>
      </c>
      <c r="C36" s="1">
        <v>1635.709961</v>
      </c>
      <c r="D36" s="1">
        <v>17.010000000000002</v>
      </c>
      <c r="E36" s="1">
        <v>-1179.3599850000001</v>
      </c>
      <c r="F36" s="1">
        <v>1974.589966</v>
      </c>
      <c r="G36" s="1">
        <v>8.0500000000000007</v>
      </c>
      <c r="H36" s="1">
        <v>-6.9999999999999999E-4</v>
      </c>
      <c r="I36" s="1">
        <v>0</v>
      </c>
      <c r="J36" s="1">
        <v>0</v>
      </c>
      <c r="K36" s="1">
        <v>-4.1619999999999999E-3</v>
      </c>
      <c r="L36" s="1">
        <v>2.349E-3</v>
      </c>
      <c r="M36" s="1">
        <v>0.86969600000000002</v>
      </c>
      <c r="N36" s="1">
        <v>0.493564</v>
      </c>
      <c r="O36">
        <v>0</v>
      </c>
      <c r="P36">
        <v>0</v>
      </c>
      <c r="Q36">
        <v>1</v>
      </c>
      <c r="R36">
        <v>1</v>
      </c>
      <c r="S36">
        <v>1</v>
      </c>
      <c r="T36" s="1">
        <f>SQRT(POWER(Octane[[#This Row],[angvel_X]],2) + POWER(Octane[[#This Row],[angvel_Y]],2) + POWER(Octane[[#This Row],[angvel_Z]],2))</f>
        <v>6.9999999999999999E-4</v>
      </c>
      <c r="U36" s="1">
        <f>DEGREES(ASIN(MAX(-1,MIN(1,2 * (Octane[[#This Row],[quart_W]]*Octane[[#This Row],[quart_Y]] - Octane[[#This Row],[quart_Z]]*Octane[[#This Row],[quart_X]])))))</f>
        <v>0.54764788393513697</v>
      </c>
      <c r="V3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3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36" s="1">
        <f>IF(Octane[[#This Row],[Yaw]]&gt;V35,(360-ABS(Octane[[#This Row],[Yaw]])-ABS(V35)),ABS(Octane[[#This Row],[Yaw]]-V35))</f>
        <v>0</v>
      </c>
      <c r="Y36" s="1">
        <f>Octane[[#This Row],[Degree change]]+Y35</f>
        <v>0</v>
      </c>
      <c r="Z36" s="1">
        <f>SQRT(Octane[[#This Row],[vel_X]]*Octane[[#This Row],[vel_X]]+Octane[[#This Row],[vel_Y]]*Octane[[#This Row],[vel_Y]]+Octane[[#This Row],[vel_Z]]*Octane[[#This Row],[vel_Z]])</f>
        <v>2299.9913718418775</v>
      </c>
    </row>
    <row r="37" spans="1:26">
      <c r="A37">
        <v>36</v>
      </c>
      <c r="B37" s="1">
        <v>520.089966</v>
      </c>
      <c r="C37" s="1">
        <v>1652.219971</v>
      </c>
      <c r="D37" s="1">
        <v>17.010000000000002</v>
      </c>
      <c r="E37" s="1">
        <v>-1179.3599850000001</v>
      </c>
      <c r="F37" s="1">
        <v>1974.589966</v>
      </c>
      <c r="G37" s="1">
        <v>8.0500000000000007</v>
      </c>
      <c r="H37" s="1">
        <v>-6.9999999999999999E-4</v>
      </c>
      <c r="I37" s="1">
        <v>0</v>
      </c>
      <c r="J37" s="1">
        <v>0</v>
      </c>
      <c r="K37" s="1">
        <v>-4.1619999999999999E-3</v>
      </c>
      <c r="L37" s="1">
        <v>2.349E-3</v>
      </c>
      <c r="M37" s="1">
        <v>0.86969600000000002</v>
      </c>
      <c r="N37" s="1">
        <v>0.493564</v>
      </c>
      <c r="O37">
        <v>0</v>
      </c>
      <c r="P37">
        <v>0</v>
      </c>
      <c r="Q37">
        <v>1</v>
      </c>
      <c r="R37">
        <v>1</v>
      </c>
      <c r="S37">
        <v>1</v>
      </c>
      <c r="T37" s="1">
        <f>SQRT(POWER(Octane[[#This Row],[angvel_X]],2) + POWER(Octane[[#This Row],[angvel_Y]],2) + POWER(Octane[[#This Row],[angvel_Z]],2))</f>
        <v>6.9999999999999999E-4</v>
      </c>
      <c r="U37" s="1">
        <f>DEGREES(ASIN(MAX(-1,MIN(1,2 * (Octane[[#This Row],[quart_W]]*Octane[[#This Row],[quart_Y]] - Octane[[#This Row],[quart_Z]]*Octane[[#This Row],[quart_X]])))))</f>
        <v>0.54764788393513697</v>
      </c>
      <c r="V3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3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37" s="1">
        <f>IF(Octane[[#This Row],[Yaw]]&gt;V36,(360-ABS(Octane[[#This Row],[Yaw]])-ABS(V36)),ABS(Octane[[#This Row],[Yaw]]-V36))</f>
        <v>0</v>
      </c>
      <c r="Y37" s="1">
        <f>Octane[[#This Row],[Degree change]]+Y36</f>
        <v>0</v>
      </c>
      <c r="Z37" s="1">
        <f>SQRT(Octane[[#This Row],[vel_X]]*Octane[[#This Row],[vel_X]]+Octane[[#This Row],[vel_Y]]*Octane[[#This Row],[vel_Y]]+Octane[[#This Row],[vel_Z]]*Octane[[#This Row],[vel_Z]])</f>
        <v>2299.9913718418775</v>
      </c>
    </row>
    <row r="38" spans="1:26">
      <c r="A38">
        <v>37</v>
      </c>
      <c r="B38" s="1">
        <v>510.22998000000001</v>
      </c>
      <c r="C38" s="1">
        <v>1668.7299800000001</v>
      </c>
      <c r="D38" s="1">
        <v>17.010000000000002</v>
      </c>
      <c r="E38" s="1">
        <v>-1179.3599850000001</v>
      </c>
      <c r="F38" s="1">
        <v>1974.589966</v>
      </c>
      <c r="G38" s="1">
        <v>8.0500000000000007</v>
      </c>
      <c r="H38" s="1">
        <v>-6.9999999999999999E-4</v>
      </c>
      <c r="I38" s="1">
        <v>0</v>
      </c>
      <c r="J38" s="1">
        <v>0</v>
      </c>
      <c r="K38" s="1">
        <v>-4.1619999999999999E-3</v>
      </c>
      <c r="L38" s="1">
        <v>2.349E-3</v>
      </c>
      <c r="M38" s="1">
        <v>0.86969600000000002</v>
      </c>
      <c r="N38" s="1">
        <v>0.493564</v>
      </c>
      <c r="O38">
        <v>0</v>
      </c>
      <c r="P38">
        <v>0</v>
      </c>
      <c r="Q38">
        <v>1</v>
      </c>
      <c r="R38">
        <v>1</v>
      </c>
      <c r="S38">
        <v>1</v>
      </c>
      <c r="T38" s="1">
        <f>SQRT(POWER(Octane[[#This Row],[angvel_X]],2) + POWER(Octane[[#This Row],[angvel_Y]],2) + POWER(Octane[[#This Row],[angvel_Z]],2))</f>
        <v>6.9999999999999999E-4</v>
      </c>
      <c r="U38" s="1">
        <f>DEGREES(ASIN(MAX(-1,MIN(1,2 * (Octane[[#This Row],[quart_W]]*Octane[[#This Row],[quart_Y]] - Octane[[#This Row],[quart_Z]]*Octane[[#This Row],[quart_X]])))))</f>
        <v>0.54764788393513697</v>
      </c>
      <c r="V3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3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38" s="1">
        <f>IF(Octane[[#This Row],[Yaw]]&gt;V37,(360-ABS(Octane[[#This Row],[Yaw]])-ABS(V37)),ABS(Octane[[#This Row],[Yaw]]-V37))</f>
        <v>0</v>
      </c>
      <c r="Y38" s="1">
        <f>Octane[[#This Row],[Degree change]]+Y37</f>
        <v>0</v>
      </c>
      <c r="Z38" s="1">
        <f>SQRT(Octane[[#This Row],[vel_X]]*Octane[[#This Row],[vel_X]]+Octane[[#This Row],[vel_Y]]*Octane[[#This Row],[vel_Y]]+Octane[[#This Row],[vel_Z]]*Octane[[#This Row],[vel_Z]])</f>
        <v>2299.9913718418775</v>
      </c>
    </row>
    <row r="39" spans="1:26">
      <c r="A39">
        <v>38</v>
      </c>
      <c r="B39" s="1">
        <v>500.36999500000002</v>
      </c>
      <c r="C39" s="1">
        <v>1685.23999</v>
      </c>
      <c r="D39" s="1">
        <v>17.010000000000002</v>
      </c>
      <c r="E39" s="1">
        <v>-1179.3599850000001</v>
      </c>
      <c r="F39" s="1">
        <v>1974.589966</v>
      </c>
      <c r="G39" s="1">
        <v>8.0500000000000007</v>
      </c>
      <c r="H39" s="1">
        <v>-6.9999999999999999E-4</v>
      </c>
      <c r="I39" s="1">
        <v>0</v>
      </c>
      <c r="J39" s="1">
        <v>0</v>
      </c>
      <c r="K39" s="1">
        <v>-4.1619999999999999E-3</v>
      </c>
      <c r="L39" s="1">
        <v>2.349E-3</v>
      </c>
      <c r="M39" s="1">
        <v>0.86969600000000002</v>
      </c>
      <c r="N39" s="1">
        <v>0.493564</v>
      </c>
      <c r="O39">
        <v>0</v>
      </c>
      <c r="P39">
        <v>0</v>
      </c>
      <c r="Q39">
        <v>1</v>
      </c>
      <c r="R39">
        <v>1</v>
      </c>
      <c r="S39">
        <v>1</v>
      </c>
      <c r="T39" s="1">
        <f>SQRT(POWER(Octane[[#This Row],[angvel_X]],2) + POWER(Octane[[#This Row],[angvel_Y]],2) + POWER(Octane[[#This Row],[angvel_Z]],2))</f>
        <v>6.9999999999999999E-4</v>
      </c>
      <c r="U39" s="1">
        <f>DEGREES(ASIN(MAX(-1,MIN(1,2 * (Octane[[#This Row],[quart_W]]*Octane[[#This Row],[quart_Y]] - Octane[[#This Row],[quart_Z]]*Octane[[#This Row],[quart_X]])))))</f>
        <v>0.54764788393513697</v>
      </c>
      <c r="V3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3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39" s="1">
        <f>IF(Octane[[#This Row],[Yaw]]&gt;V38,(360-ABS(Octane[[#This Row],[Yaw]])-ABS(V38)),ABS(Octane[[#This Row],[Yaw]]-V38))</f>
        <v>0</v>
      </c>
      <c r="Y39" s="1">
        <f>Octane[[#This Row],[Degree change]]+Y38</f>
        <v>0</v>
      </c>
      <c r="Z39" s="1">
        <f>SQRT(Octane[[#This Row],[vel_X]]*Octane[[#This Row],[vel_X]]+Octane[[#This Row],[vel_Y]]*Octane[[#This Row],[vel_Y]]+Octane[[#This Row],[vel_Z]]*Octane[[#This Row],[vel_Z]])</f>
        <v>2299.9913718418775</v>
      </c>
    </row>
    <row r="40" spans="1:26">
      <c r="A40">
        <v>39</v>
      </c>
      <c r="B40" s="1">
        <v>490.50997899999999</v>
      </c>
      <c r="C40" s="1">
        <v>1701.75</v>
      </c>
      <c r="D40" s="1">
        <v>17.010000000000002</v>
      </c>
      <c r="E40" s="1">
        <v>-1179.3599850000001</v>
      </c>
      <c r="F40" s="1">
        <v>1974.589966</v>
      </c>
      <c r="G40" s="1">
        <v>8.0500000000000007</v>
      </c>
      <c r="H40" s="1">
        <v>-6.9999999999999999E-4</v>
      </c>
      <c r="I40" s="1">
        <v>0</v>
      </c>
      <c r="J40" s="1">
        <v>0</v>
      </c>
      <c r="K40" s="1">
        <v>-4.1619999999999999E-3</v>
      </c>
      <c r="L40" s="1">
        <v>2.349E-3</v>
      </c>
      <c r="M40" s="1">
        <v>0.86969600000000002</v>
      </c>
      <c r="N40" s="1">
        <v>0.493564</v>
      </c>
      <c r="O40">
        <v>0</v>
      </c>
      <c r="P40">
        <v>0</v>
      </c>
      <c r="Q40">
        <v>1</v>
      </c>
      <c r="R40">
        <v>1</v>
      </c>
      <c r="S40">
        <v>1</v>
      </c>
      <c r="T40" s="1">
        <f>SQRT(POWER(Octane[[#This Row],[angvel_X]],2) + POWER(Octane[[#This Row],[angvel_Y]],2) + POWER(Octane[[#This Row],[angvel_Z]],2))</f>
        <v>6.9999999999999999E-4</v>
      </c>
      <c r="U40" s="1">
        <f>DEGREES(ASIN(MAX(-1,MIN(1,2 * (Octane[[#This Row],[quart_W]]*Octane[[#This Row],[quart_Y]] - Octane[[#This Row],[quart_Z]]*Octane[[#This Row],[quart_X]])))))</f>
        <v>0.54764788393513697</v>
      </c>
      <c r="V4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4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40" s="1">
        <f>IF(Octane[[#This Row],[Yaw]]&gt;V39,(360-ABS(Octane[[#This Row],[Yaw]])-ABS(V39)),ABS(Octane[[#This Row],[Yaw]]-V39))</f>
        <v>0</v>
      </c>
      <c r="Y40" s="1">
        <f>Octane[[#This Row],[Degree change]]+Y39</f>
        <v>0</v>
      </c>
      <c r="Z40" s="1">
        <f>SQRT(Octane[[#This Row],[vel_X]]*Octane[[#This Row],[vel_X]]+Octane[[#This Row],[vel_Y]]*Octane[[#This Row],[vel_Y]]+Octane[[#This Row],[vel_Z]]*Octane[[#This Row],[vel_Z]])</f>
        <v>2299.9913718418775</v>
      </c>
    </row>
    <row r="41" spans="1:26">
      <c r="A41">
        <v>40</v>
      </c>
      <c r="B41" s="1">
        <v>480.64999399999999</v>
      </c>
      <c r="C41" s="1">
        <v>1718.26001</v>
      </c>
      <c r="D41" s="1">
        <v>17.010000000000002</v>
      </c>
      <c r="E41" s="1">
        <v>-1179.3599850000001</v>
      </c>
      <c r="F41" s="1">
        <v>1974.589966</v>
      </c>
      <c r="G41" s="1">
        <v>8.0500000000000007</v>
      </c>
      <c r="H41" s="1">
        <v>-6.9999999999999999E-4</v>
      </c>
      <c r="I41" s="1">
        <v>0</v>
      </c>
      <c r="J41" s="1">
        <v>0</v>
      </c>
      <c r="K41" s="1">
        <v>-4.1619999999999999E-3</v>
      </c>
      <c r="L41" s="1">
        <v>2.349E-3</v>
      </c>
      <c r="M41" s="1">
        <v>0.86969600000000002</v>
      </c>
      <c r="N41" s="1">
        <v>0.493564</v>
      </c>
      <c r="O41">
        <v>0</v>
      </c>
      <c r="P41">
        <v>0</v>
      </c>
      <c r="Q41">
        <v>1</v>
      </c>
      <c r="R41">
        <v>1</v>
      </c>
      <c r="S41">
        <v>1</v>
      </c>
      <c r="T41" s="1">
        <f>SQRT(POWER(Octane[[#This Row],[angvel_X]],2) + POWER(Octane[[#This Row],[angvel_Y]],2) + POWER(Octane[[#This Row],[angvel_Z]],2))</f>
        <v>6.9999999999999999E-4</v>
      </c>
      <c r="U41" s="1">
        <f>DEGREES(ASIN(MAX(-1,MIN(1,2 * (Octane[[#This Row],[quart_W]]*Octane[[#This Row],[quart_Y]] - Octane[[#This Row],[quart_Z]]*Octane[[#This Row],[quart_X]])))))</f>
        <v>0.54764788393513697</v>
      </c>
      <c r="V4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4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41" s="1">
        <f>IF(Octane[[#This Row],[Yaw]]&gt;V40,(360-ABS(Octane[[#This Row],[Yaw]])-ABS(V40)),ABS(Octane[[#This Row],[Yaw]]-V40))</f>
        <v>0</v>
      </c>
      <c r="Y41" s="1">
        <f>Octane[[#This Row],[Degree change]]+Y40</f>
        <v>0</v>
      </c>
      <c r="Z41" s="1">
        <f>SQRT(Octane[[#This Row],[vel_X]]*Octane[[#This Row],[vel_X]]+Octane[[#This Row],[vel_Y]]*Octane[[#This Row],[vel_Y]]+Octane[[#This Row],[vel_Z]]*Octane[[#This Row],[vel_Z]])</f>
        <v>2299.9913718418775</v>
      </c>
    </row>
    <row r="42" spans="1:26">
      <c r="A42">
        <v>41</v>
      </c>
      <c r="B42" s="1">
        <v>470.78997800000002</v>
      </c>
      <c r="C42" s="1">
        <v>1734.7700199999999</v>
      </c>
      <c r="D42" s="1">
        <v>17.010000000000002</v>
      </c>
      <c r="E42" s="1">
        <v>-1179.3599850000001</v>
      </c>
      <c r="F42" s="1">
        <v>1974.589966</v>
      </c>
      <c r="G42" s="1">
        <v>8.0500000000000007</v>
      </c>
      <c r="H42" s="1">
        <v>-6.9999999999999999E-4</v>
      </c>
      <c r="I42" s="1">
        <v>0</v>
      </c>
      <c r="J42" s="1">
        <v>0</v>
      </c>
      <c r="K42" s="1">
        <v>-4.1619999999999999E-3</v>
      </c>
      <c r="L42" s="1">
        <v>2.349E-3</v>
      </c>
      <c r="M42" s="1">
        <v>0.86969600000000002</v>
      </c>
      <c r="N42" s="1">
        <v>0.493564</v>
      </c>
      <c r="O42">
        <v>0</v>
      </c>
      <c r="P42">
        <v>0</v>
      </c>
      <c r="Q42">
        <v>1</v>
      </c>
      <c r="R42">
        <v>1</v>
      </c>
      <c r="S42">
        <v>1</v>
      </c>
      <c r="T42" s="1">
        <f>SQRT(POWER(Octane[[#This Row],[angvel_X]],2) + POWER(Octane[[#This Row],[angvel_Y]],2) + POWER(Octane[[#This Row],[angvel_Z]],2))</f>
        <v>6.9999999999999999E-4</v>
      </c>
      <c r="U42" s="1">
        <f>DEGREES(ASIN(MAX(-1,MIN(1,2 * (Octane[[#This Row],[quart_W]]*Octane[[#This Row],[quart_Y]] - Octane[[#This Row],[quart_Z]]*Octane[[#This Row],[quart_X]])))))</f>
        <v>0.54764788393513697</v>
      </c>
      <c r="V4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4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42" s="1">
        <f>IF(Octane[[#This Row],[Yaw]]&gt;V41,(360-ABS(Octane[[#This Row],[Yaw]])-ABS(V41)),ABS(Octane[[#This Row],[Yaw]]-V41))</f>
        <v>0</v>
      </c>
      <c r="Y42" s="1">
        <f>Octane[[#This Row],[Degree change]]+Y41</f>
        <v>0</v>
      </c>
      <c r="Z42" s="1">
        <f>SQRT(Octane[[#This Row],[vel_X]]*Octane[[#This Row],[vel_X]]+Octane[[#This Row],[vel_Y]]*Octane[[#This Row],[vel_Y]]+Octane[[#This Row],[vel_Z]]*Octane[[#This Row],[vel_Z]])</f>
        <v>2299.9913718418775</v>
      </c>
    </row>
    <row r="43" spans="1:26">
      <c r="A43">
        <v>42</v>
      </c>
      <c r="B43" s="1">
        <v>460.92999300000002</v>
      </c>
      <c r="C43" s="1">
        <v>1751.2799070000001</v>
      </c>
      <c r="D43" s="1">
        <v>17.010000000000002</v>
      </c>
      <c r="E43" s="1">
        <v>-1179.3599850000001</v>
      </c>
      <c r="F43" s="1">
        <v>1974.589966</v>
      </c>
      <c r="G43" s="1">
        <v>8.0500000000000007</v>
      </c>
      <c r="H43" s="1">
        <v>-6.9999999999999999E-4</v>
      </c>
      <c r="I43" s="1">
        <v>0</v>
      </c>
      <c r="J43" s="1">
        <v>0</v>
      </c>
      <c r="K43" s="1">
        <v>-4.1619999999999999E-3</v>
      </c>
      <c r="L43" s="1">
        <v>2.349E-3</v>
      </c>
      <c r="M43" s="1">
        <v>0.86969600000000002</v>
      </c>
      <c r="N43" s="1">
        <v>0.493564</v>
      </c>
      <c r="O43">
        <v>0</v>
      </c>
      <c r="P43">
        <v>0</v>
      </c>
      <c r="Q43">
        <v>1</v>
      </c>
      <c r="R43">
        <v>1</v>
      </c>
      <c r="S43">
        <v>1</v>
      </c>
      <c r="T43" s="1">
        <f>SQRT(POWER(Octane[[#This Row],[angvel_X]],2) + POWER(Octane[[#This Row],[angvel_Y]],2) + POWER(Octane[[#This Row],[angvel_Z]],2))</f>
        <v>6.9999999999999999E-4</v>
      </c>
      <c r="U43" s="1">
        <f>DEGREES(ASIN(MAX(-1,MIN(1,2 * (Octane[[#This Row],[quart_W]]*Octane[[#This Row],[quart_Y]] - Octane[[#This Row],[quart_Z]]*Octane[[#This Row],[quart_X]])))))</f>
        <v>0.54764788393513697</v>
      </c>
      <c r="V4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4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43" s="1">
        <f>IF(Octane[[#This Row],[Yaw]]&gt;V42,(360-ABS(Octane[[#This Row],[Yaw]])-ABS(V42)),ABS(Octane[[#This Row],[Yaw]]-V42))</f>
        <v>0</v>
      </c>
      <c r="Y43" s="1">
        <f>Octane[[#This Row],[Degree change]]+Y42</f>
        <v>0</v>
      </c>
      <c r="Z43" s="1">
        <f>SQRT(Octane[[#This Row],[vel_X]]*Octane[[#This Row],[vel_X]]+Octane[[#This Row],[vel_Y]]*Octane[[#This Row],[vel_Y]]+Octane[[#This Row],[vel_Z]]*Octane[[#This Row],[vel_Z]])</f>
        <v>2299.9913718418775</v>
      </c>
    </row>
    <row r="44" spans="1:26">
      <c r="A44">
        <v>43</v>
      </c>
      <c r="B44" s="1">
        <v>451.06997699999999</v>
      </c>
      <c r="C44" s="1">
        <v>1767.7899170000001</v>
      </c>
      <c r="D44" s="1">
        <v>17.010000000000002</v>
      </c>
      <c r="E44" s="1">
        <v>-1179.3599850000001</v>
      </c>
      <c r="F44" s="1">
        <v>1974.589966</v>
      </c>
      <c r="G44" s="1">
        <v>8.0500000000000007</v>
      </c>
      <c r="H44" s="1">
        <v>-6.9999999999999999E-4</v>
      </c>
      <c r="I44" s="1">
        <v>0</v>
      </c>
      <c r="J44" s="1">
        <v>0</v>
      </c>
      <c r="K44" s="1">
        <v>-4.1619999999999999E-3</v>
      </c>
      <c r="L44" s="1">
        <v>2.349E-3</v>
      </c>
      <c r="M44" s="1">
        <v>0.86969600000000002</v>
      </c>
      <c r="N44" s="1">
        <v>0.493564</v>
      </c>
      <c r="O44">
        <v>0</v>
      </c>
      <c r="P44">
        <v>0</v>
      </c>
      <c r="Q44">
        <v>1</v>
      </c>
      <c r="R44">
        <v>1</v>
      </c>
      <c r="S44">
        <v>1</v>
      </c>
      <c r="T44" s="1">
        <f>SQRT(POWER(Octane[[#This Row],[angvel_X]],2) + POWER(Octane[[#This Row],[angvel_Y]],2) + POWER(Octane[[#This Row],[angvel_Z]],2))</f>
        <v>6.9999999999999999E-4</v>
      </c>
      <c r="U44" s="1">
        <f>DEGREES(ASIN(MAX(-1,MIN(1,2 * (Octane[[#This Row],[quart_W]]*Octane[[#This Row],[quart_Y]] - Octane[[#This Row],[quart_Z]]*Octane[[#This Row],[quart_X]])))))</f>
        <v>0.54764788393513697</v>
      </c>
      <c r="V4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4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44" s="1">
        <f>IF(Octane[[#This Row],[Yaw]]&gt;V43,(360-ABS(Octane[[#This Row],[Yaw]])-ABS(V43)),ABS(Octane[[#This Row],[Yaw]]-V43))</f>
        <v>0</v>
      </c>
      <c r="Y44" s="1">
        <f>Octane[[#This Row],[Degree change]]+Y43</f>
        <v>0</v>
      </c>
      <c r="Z44" s="1">
        <f>SQRT(Octane[[#This Row],[vel_X]]*Octane[[#This Row],[vel_X]]+Octane[[#This Row],[vel_Y]]*Octane[[#This Row],[vel_Y]]+Octane[[#This Row],[vel_Z]]*Octane[[#This Row],[vel_Z]])</f>
        <v>2299.9913718418775</v>
      </c>
    </row>
    <row r="45" spans="1:26">
      <c r="A45">
        <v>44</v>
      </c>
      <c r="B45" s="1">
        <v>441.209991</v>
      </c>
      <c r="C45" s="1">
        <v>1784.299927</v>
      </c>
      <c r="D45" s="1">
        <v>17.010000000000002</v>
      </c>
      <c r="E45" s="1">
        <v>-1179.3599850000001</v>
      </c>
      <c r="F45" s="1">
        <v>1974.589966</v>
      </c>
      <c r="G45" s="1">
        <v>8.0500000000000007</v>
      </c>
      <c r="H45" s="1">
        <v>-6.9999999999999999E-4</v>
      </c>
      <c r="I45" s="1">
        <v>0</v>
      </c>
      <c r="J45" s="1">
        <v>0</v>
      </c>
      <c r="K45" s="1">
        <v>-4.1619999999999999E-3</v>
      </c>
      <c r="L45" s="1">
        <v>2.349E-3</v>
      </c>
      <c r="M45" s="1">
        <v>0.86969600000000002</v>
      </c>
      <c r="N45" s="1">
        <v>0.493564</v>
      </c>
      <c r="O45">
        <v>0</v>
      </c>
      <c r="P45">
        <v>0</v>
      </c>
      <c r="Q45">
        <v>1</v>
      </c>
      <c r="R45">
        <v>1</v>
      </c>
      <c r="S45">
        <v>1</v>
      </c>
      <c r="T45" s="1">
        <f>SQRT(POWER(Octane[[#This Row],[angvel_X]],2) + POWER(Octane[[#This Row],[angvel_Y]],2) + POWER(Octane[[#This Row],[angvel_Z]],2))</f>
        <v>6.9999999999999999E-4</v>
      </c>
      <c r="U45" s="1">
        <f>DEGREES(ASIN(MAX(-1,MIN(1,2 * (Octane[[#This Row],[quart_W]]*Octane[[#This Row],[quart_Y]] - Octane[[#This Row],[quart_Z]]*Octane[[#This Row],[quart_X]])))))</f>
        <v>0.54764788393513697</v>
      </c>
      <c r="V4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4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45" s="1">
        <f>IF(Octane[[#This Row],[Yaw]]&gt;V44,(360-ABS(Octane[[#This Row],[Yaw]])-ABS(V44)),ABS(Octane[[#This Row],[Yaw]]-V44))</f>
        <v>0</v>
      </c>
      <c r="Y45" s="1">
        <f>Octane[[#This Row],[Degree change]]+Y44</f>
        <v>0</v>
      </c>
      <c r="Z45" s="1">
        <f>SQRT(Octane[[#This Row],[vel_X]]*Octane[[#This Row],[vel_X]]+Octane[[#This Row],[vel_Y]]*Octane[[#This Row],[vel_Y]]+Octane[[#This Row],[vel_Z]]*Octane[[#This Row],[vel_Z]])</f>
        <v>2299.9913718418775</v>
      </c>
    </row>
    <row r="46" spans="1:26">
      <c r="A46">
        <v>45</v>
      </c>
      <c r="B46" s="1">
        <v>431.34997600000003</v>
      </c>
      <c r="C46" s="1">
        <v>1800.809937</v>
      </c>
      <c r="D46" s="1">
        <v>17.010000000000002</v>
      </c>
      <c r="E46" s="1">
        <v>-1179.3599850000001</v>
      </c>
      <c r="F46" s="1">
        <v>1974.589966</v>
      </c>
      <c r="G46" s="1">
        <v>8.0500000000000007</v>
      </c>
      <c r="H46" s="1">
        <v>-6.9999999999999999E-4</v>
      </c>
      <c r="I46" s="1">
        <v>0</v>
      </c>
      <c r="J46" s="1">
        <v>0</v>
      </c>
      <c r="K46" s="1">
        <v>-4.1619999999999999E-3</v>
      </c>
      <c r="L46" s="1">
        <v>2.349E-3</v>
      </c>
      <c r="M46" s="1">
        <v>0.86969600000000002</v>
      </c>
      <c r="N46" s="1">
        <v>0.493564</v>
      </c>
      <c r="O46">
        <v>0</v>
      </c>
      <c r="P46">
        <v>0</v>
      </c>
      <c r="Q46">
        <v>1</v>
      </c>
      <c r="R46">
        <v>1</v>
      </c>
      <c r="S46">
        <v>1</v>
      </c>
      <c r="T46" s="1">
        <f>SQRT(POWER(Octane[[#This Row],[angvel_X]],2) + POWER(Octane[[#This Row],[angvel_Y]],2) + POWER(Octane[[#This Row],[angvel_Z]],2))</f>
        <v>6.9999999999999999E-4</v>
      </c>
      <c r="U46" s="1">
        <f>DEGREES(ASIN(MAX(-1,MIN(1,2 * (Octane[[#This Row],[quart_W]]*Octane[[#This Row],[quart_Y]] - Octane[[#This Row],[quart_Z]]*Octane[[#This Row],[quart_X]])))))</f>
        <v>0.54764788393513697</v>
      </c>
      <c r="V4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4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46" s="1">
        <f>IF(Octane[[#This Row],[Yaw]]&gt;V45,(360-ABS(Octane[[#This Row],[Yaw]])-ABS(V45)),ABS(Octane[[#This Row],[Yaw]]-V45))</f>
        <v>0</v>
      </c>
      <c r="Y46" s="1">
        <f>Octane[[#This Row],[Degree change]]+Y45</f>
        <v>0</v>
      </c>
      <c r="Z46" s="1">
        <f>SQRT(Octane[[#This Row],[vel_X]]*Octane[[#This Row],[vel_X]]+Octane[[#This Row],[vel_Y]]*Octane[[#This Row],[vel_Y]]+Octane[[#This Row],[vel_Z]]*Octane[[#This Row],[vel_Z]])</f>
        <v>2299.9913718418775</v>
      </c>
    </row>
    <row r="47" spans="1:26">
      <c r="A47">
        <v>46</v>
      </c>
      <c r="B47" s="1">
        <v>421.48998999999998</v>
      </c>
      <c r="C47" s="1">
        <v>1817.3199460000001</v>
      </c>
      <c r="D47" s="1">
        <v>17.010000000000002</v>
      </c>
      <c r="E47" s="1">
        <v>-1179.3599850000001</v>
      </c>
      <c r="F47" s="1">
        <v>1974.589966</v>
      </c>
      <c r="G47" s="1">
        <v>8.0500000000000007</v>
      </c>
      <c r="H47" s="1">
        <v>-6.9999999999999999E-4</v>
      </c>
      <c r="I47" s="1">
        <v>0</v>
      </c>
      <c r="J47" s="1">
        <v>0</v>
      </c>
      <c r="K47" s="1">
        <v>-4.1619999999999999E-3</v>
      </c>
      <c r="L47" s="1">
        <v>2.349E-3</v>
      </c>
      <c r="M47" s="1">
        <v>0.86969600000000002</v>
      </c>
      <c r="N47" s="1">
        <v>0.493564</v>
      </c>
      <c r="O47">
        <v>0</v>
      </c>
      <c r="P47">
        <v>0</v>
      </c>
      <c r="Q47">
        <v>1</v>
      </c>
      <c r="R47">
        <v>1</v>
      </c>
      <c r="S47">
        <v>1</v>
      </c>
      <c r="T47" s="1">
        <f>SQRT(POWER(Octane[[#This Row],[angvel_X]],2) + POWER(Octane[[#This Row],[angvel_Y]],2) + POWER(Octane[[#This Row],[angvel_Z]],2))</f>
        <v>6.9999999999999999E-4</v>
      </c>
      <c r="U47" s="1">
        <f>DEGREES(ASIN(MAX(-1,MIN(1,2 * (Octane[[#This Row],[quart_W]]*Octane[[#This Row],[quart_Y]] - Octane[[#This Row],[quart_Z]]*Octane[[#This Row],[quart_X]])))))</f>
        <v>0.54764788393513697</v>
      </c>
      <c r="V4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4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47" s="1">
        <f>IF(Octane[[#This Row],[Yaw]]&gt;V46,(360-ABS(Octane[[#This Row],[Yaw]])-ABS(V46)),ABS(Octane[[#This Row],[Yaw]]-V46))</f>
        <v>0</v>
      </c>
      <c r="Y47" s="1">
        <f>Octane[[#This Row],[Degree change]]+Y46</f>
        <v>0</v>
      </c>
      <c r="Z47" s="1">
        <f>SQRT(Octane[[#This Row],[vel_X]]*Octane[[#This Row],[vel_X]]+Octane[[#This Row],[vel_Y]]*Octane[[#This Row],[vel_Y]]+Octane[[#This Row],[vel_Z]]*Octane[[#This Row],[vel_Z]])</f>
        <v>2299.9913718418775</v>
      </c>
    </row>
    <row r="48" spans="1:26">
      <c r="A48">
        <v>47</v>
      </c>
      <c r="B48" s="1">
        <v>411.63000499999998</v>
      </c>
      <c r="C48" s="1">
        <v>1833.829956</v>
      </c>
      <c r="D48" s="1">
        <v>17.010000000000002</v>
      </c>
      <c r="E48" s="1">
        <v>-1179.3599850000001</v>
      </c>
      <c r="F48" s="1">
        <v>1974.589966</v>
      </c>
      <c r="G48" s="1">
        <v>8.0500000000000007</v>
      </c>
      <c r="H48" s="1">
        <v>-6.9999999999999999E-4</v>
      </c>
      <c r="I48" s="1">
        <v>0</v>
      </c>
      <c r="J48" s="1">
        <v>0</v>
      </c>
      <c r="K48" s="1">
        <v>-4.1619999999999999E-3</v>
      </c>
      <c r="L48" s="1">
        <v>2.349E-3</v>
      </c>
      <c r="M48" s="1">
        <v>0.86969600000000002</v>
      </c>
      <c r="N48" s="1">
        <v>0.493564</v>
      </c>
      <c r="O48">
        <v>0</v>
      </c>
      <c r="P48">
        <v>0</v>
      </c>
      <c r="Q48">
        <v>1</v>
      </c>
      <c r="R48">
        <v>1</v>
      </c>
      <c r="S48">
        <v>1</v>
      </c>
      <c r="T48" s="1">
        <f>SQRT(POWER(Octane[[#This Row],[angvel_X]],2) + POWER(Octane[[#This Row],[angvel_Y]],2) + POWER(Octane[[#This Row],[angvel_Z]],2))</f>
        <v>6.9999999999999999E-4</v>
      </c>
      <c r="U48" s="1">
        <f>DEGREES(ASIN(MAX(-1,MIN(1,2 * (Octane[[#This Row],[quart_W]]*Octane[[#This Row],[quart_Y]] - Octane[[#This Row],[quart_Z]]*Octane[[#This Row],[quart_X]])))))</f>
        <v>0.54764788393513697</v>
      </c>
      <c r="V4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4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48" s="1">
        <f>IF(Octane[[#This Row],[Yaw]]&gt;V47,(360-ABS(Octane[[#This Row],[Yaw]])-ABS(V47)),ABS(Octane[[#This Row],[Yaw]]-V47))</f>
        <v>0</v>
      </c>
      <c r="Y48" s="1">
        <f>Octane[[#This Row],[Degree change]]+Y47</f>
        <v>0</v>
      </c>
      <c r="Z48" s="1">
        <f>SQRT(Octane[[#This Row],[vel_X]]*Octane[[#This Row],[vel_X]]+Octane[[#This Row],[vel_Y]]*Octane[[#This Row],[vel_Y]]+Octane[[#This Row],[vel_Z]]*Octane[[#This Row],[vel_Z]])</f>
        <v>2299.9913718418775</v>
      </c>
    </row>
    <row r="49" spans="1:26">
      <c r="A49">
        <v>48</v>
      </c>
      <c r="B49" s="1">
        <v>401.76998900000001</v>
      </c>
      <c r="C49" s="1">
        <v>1850.339966</v>
      </c>
      <c r="D49" s="1">
        <v>17.010000000000002</v>
      </c>
      <c r="E49" s="1">
        <v>-1179.3599850000001</v>
      </c>
      <c r="F49" s="1">
        <v>1974.589966</v>
      </c>
      <c r="G49" s="1">
        <v>8.0500000000000007</v>
      </c>
      <c r="H49" s="1">
        <v>-6.9999999999999999E-4</v>
      </c>
      <c r="I49" s="1">
        <v>0</v>
      </c>
      <c r="J49" s="1">
        <v>0</v>
      </c>
      <c r="K49" s="1">
        <v>-4.1619999999999999E-3</v>
      </c>
      <c r="L49" s="1">
        <v>2.349E-3</v>
      </c>
      <c r="M49" s="1">
        <v>0.86969600000000002</v>
      </c>
      <c r="N49" s="1">
        <v>0.493564</v>
      </c>
      <c r="O49">
        <v>0</v>
      </c>
      <c r="P49">
        <v>0</v>
      </c>
      <c r="Q49">
        <v>1</v>
      </c>
      <c r="R49">
        <v>1</v>
      </c>
      <c r="S49">
        <v>1</v>
      </c>
      <c r="T49" s="1">
        <f>SQRT(POWER(Octane[[#This Row],[angvel_X]],2) + POWER(Octane[[#This Row],[angvel_Y]],2) + POWER(Octane[[#This Row],[angvel_Z]],2))</f>
        <v>6.9999999999999999E-4</v>
      </c>
      <c r="U49" s="1">
        <f>DEGREES(ASIN(MAX(-1,MIN(1,2 * (Octane[[#This Row],[quart_W]]*Octane[[#This Row],[quart_Y]] - Octane[[#This Row],[quart_Z]]*Octane[[#This Row],[quart_X]])))))</f>
        <v>0.54764788393513697</v>
      </c>
      <c r="V4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4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49" s="1">
        <f>IF(Octane[[#This Row],[Yaw]]&gt;V48,(360-ABS(Octane[[#This Row],[Yaw]])-ABS(V48)),ABS(Octane[[#This Row],[Yaw]]-V48))</f>
        <v>0</v>
      </c>
      <c r="Y49" s="1">
        <f>Octane[[#This Row],[Degree change]]+Y48</f>
        <v>0</v>
      </c>
      <c r="Z49" s="1">
        <f>SQRT(Octane[[#This Row],[vel_X]]*Octane[[#This Row],[vel_X]]+Octane[[#This Row],[vel_Y]]*Octane[[#This Row],[vel_Y]]+Octane[[#This Row],[vel_Z]]*Octane[[#This Row],[vel_Z]])</f>
        <v>2299.9913718418775</v>
      </c>
    </row>
    <row r="50" spans="1:26">
      <c r="A50">
        <v>49</v>
      </c>
      <c r="B50" s="1">
        <v>391.91000400000001</v>
      </c>
      <c r="C50" s="1">
        <v>1866.849976</v>
      </c>
      <c r="D50" s="1">
        <v>17.010000000000002</v>
      </c>
      <c r="E50" s="1">
        <v>-1179.3599850000001</v>
      </c>
      <c r="F50" s="1">
        <v>1974.589966</v>
      </c>
      <c r="G50" s="1">
        <v>8.0500000000000007</v>
      </c>
      <c r="H50" s="1">
        <v>-6.9999999999999999E-4</v>
      </c>
      <c r="I50" s="1">
        <v>0</v>
      </c>
      <c r="J50" s="1">
        <v>0</v>
      </c>
      <c r="K50" s="1">
        <v>-4.1619999999999999E-3</v>
      </c>
      <c r="L50" s="1">
        <v>2.349E-3</v>
      </c>
      <c r="M50" s="1">
        <v>0.86969600000000002</v>
      </c>
      <c r="N50" s="1">
        <v>0.493564</v>
      </c>
      <c r="O50">
        <v>0</v>
      </c>
      <c r="P50">
        <v>0</v>
      </c>
      <c r="Q50">
        <v>1</v>
      </c>
      <c r="R50">
        <v>1</v>
      </c>
      <c r="S50">
        <v>1</v>
      </c>
      <c r="T50" s="1">
        <f>SQRT(POWER(Octane[[#This Row],[angvel_X]],2) + POWER(Octane[[#This Row],[angvel_Y]],2) + POWER(Octane[[#This Row],[angvel_Z]],2))</f>
        <v>6.9999999999999999E-4</v>
      </c>
      <c r="U50" s="1">
        <f>DEGREES(ASIN(MAX(-1,MIN(1,2 * (Octane[[#This Row],[quart_W]]*Octane[[#This Row],[quart_Y]] - Octane[[#This Row],[quart_Z]]*Octane[[#This Row],[quart_X]])))))</f>
        <v>0.54764788393513697</v>
      </c>
      <c r="V5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5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50" s="1">
        <f>IF(Octane[[#This Row],[Yaw]]&gt;V49,(360-ABS(Octane[[#This Row],[Yaw]])-ABS(V49)),ABS(Octane[[#This Row],[Yaw]]-V49))</f>
        <v>0</v>
      </c>
      <c r="Y50" s="1">
        <f>Octane[[#This Row],[Degree change]]+Y49</f>
        <v>0</v>
      </c>
      <c r="Z50" s="1">
        <f>SQRT(Octane[[#This Row],[vel_X]]*Octane[[#This Row],[vel_X]]+Octane[[#This Row],[vel_Y]]*Octane[[#This Row],[vel_Y]]+Octane[[#This Row],[vel_Z]]*Octane[[#This Row],[vel_Z]])</f>
        <v>2299.9913718418775</v>
      </c>
    </row>
    <row r="51" spans="1:26">
      <c r="A51">
        <v>50</v>
      </c>
      <c r="B51" s="1">
        <v>382.04998799999998</v>
      </c>
      <c r="C51" s="1">
        <v>1883.3599850000001</v>
      </c>
      <c r="D51" s="1">
        <v>17.010000000000002</v>
      </c>
      <c r="E51" s="1">
        <v>-1179.3599850000001</v>
      </c>
      <c r="F51" s="1">
        <v>1974.589966</v>
      </c>
      <c r="G51" s="1">
        <v>8.0500000000000007</v>
      </c>
      <c r="H51" s="1">
        <v>-6.9999999999999999E-4</v>
      </c>
      <c r="I51" s="1">
        <v>0</v>
      </c>
      <c r="J51" s="1">
        <v>0</v>
      </c>
      <c r="K51" s="1">
        <v>-4.1619999999999999E-3</v>
      </c>
      <c r="L51" s="1">
        <v>2.349E-3</v>
      </c>
      <c r="M51" s="1">
        <v>0.86969600000000002</v>
      </c>
      <c r="N51" s="1">
        <v>0.493564</v>
      </c>
      <c r="O51">
        <v>0</v>
      </c>
      <c r="P51">
        <v>0</v>
      </c>
      <c r="Q51">
        <v>1</v>
      </c>
      <c r="R51">
        <v>1</v>
      </c>
      <c r="S51">
        <v>1</v>
      </c>
      <c r="T51" s="1">
        <f>SQRT(POWER(Octane[[#This Row],[angvel_X]],2) + POWER(Octane[[#This Row],[angvel_Y]],2) + POWER(Octane[[#This Row],[angvel_Z]],2))</f>
        <v>6.9999999999999999E-4</v>
      </c>
      <c r="U51" s="1">
        <f>DEGREES(ASIN(MAX(-1,MIN(1,2 * (Octane[[#This Row],[quart_W]]*Octane[[#This Row],[quart_Y]] - Octane[[#This Row],[quart_Z]]*Octane[[#This Row],[quart_X]])))))</f>
        <v>0.54764788393513697</v>
      </c>
      <c r="V5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5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51" s="1">
        <f>IF(Octane[[#This Row],[Yaw]]&gt;V50,(360-ABS(Octane[[#This Row],[Yaw]])-ABS(V50)),ABS(Octane[[#This Row],[Yaw]]-V50))</f>
        <v>0</v>
      </c>
      <c r="Y51" s="1">
        <f>Octane[[#This Row],[Degree change]]+Y50</f>
        <v>0</v>
      </c>
      <c r="Z51" s="1">
        <f>SQRT(Octane[[#This Row],[vel_X]]*Octane[[#This Row],[vel_X]]+Octane[[#This Row],[vel_Y]]*Octane[[#This Row],[vel_Y]]+Octane[[#This Row],[vel_Z]]*Octane[[#This Row],[vel_Z]])</f>
        <v>2299.9913718418775</v>
      </c>
    </row>
    <row r="52" spans="1:26">
      <c r="A52">
        <v>51</v>
      </c>
      <c r="B52" s="1">
        <v>372.19000199999999</v>
      </c>
      <c r="C52" s="1">
        <v>1899.869995</v>
      </c>
      <c r="D52" s="1">
        <v>17.010000000000002</v>
      </c>
      <c r="E52" s="1">
        <v>-1179.3599850000001</v>
      </c>
      <c r="F52" s="1">
        <v>1974.589966</v>
      </c>
      <c r="G52" s="1">
        <v>8.0500000000000007</v>
      </c>
      <c r="H52" s="1">
        <v>-6.9999999999999999E-4</v>
      </c>
      <c r="I52" s="1">
        <v>0</v>
      </c>
      <c r="J52" s="1">
        <v>0</v>
      </c>
      <c r="K52" s="1">
        <v>-4.1619999999999999E-3</v>
      </c>
      <c r="L52" s="1">
        <v>2.349E-3</v>
      </c>
      <c r="M52" s="1">
        <v>0.86969600000000002</v>
      </c>
      <c r="N52" s="1">
        <v>0.493564</v>
      </c>
      <c r="O52">
        <v>1</v>
      </c>
      <c r="P52">
        <v>0</v>
      </c>
      <c r="Q52">
        <v>1</v>
      </c>
      <c r="R52">
        <v>1</v>
      </c>
      <c r="S52">
        <v>1</v>
      </c>
      <c r="T52" s="1">
        <f>SQRT(POWER(Octane[[#This Row],[angvel_X]],2) + POWER(Octane[[#This Row],[angvel_Y]],2) + POWER(Octane[[#This Row],[angvel_Z]],2))</f>
        <v>6.9999999999999999E-4</v>
      </c>
      <c r="U52" s="1">
        <f>DEGREES(ASIN(MAX(-1,MIN(1,2 * (Octane[[#This Row],[quart_W]]*Octane[[#This Row],[quart_Y]] - Octane[[#This Row],[quart_Z]]*Octane[[#This Row],[quart_X]])))))</f>
        <v>0.54764788393513697</v>
      </c>
      <c r="V5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5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52" s="1">
        <f>IF(Octane[[#This Row],[Yaw]]&gt;V51,(360-ABS(Octane[[#This Row],[Yaw]])-ABS(V51)),ABS(Octane[[#This Row],[Yaw]]-V51))</f>
        <v>0</v>
      </c>
      <c r="Y52" s="1">
        <f>Octane[[#This Row],[Degree change]]+Y51</f>
        <v>0</v>
      </c>
      <c r="Z52" s="1">
        <f>SQRT(Octane[[#This Row],[vel_X]]*Octane[[#This Row],[vel_X]]+Octane[[#This Row],[vel_Y]]*Octane[[#This Row],[vel_Y]]+Octane[[#This Row],[vel_Z]]*Octane[[#This Row],[vel_Z]])</f>
        <v>2299.9913718418775</v>
      </c>
    </row>
    <row r="53" spans="1:26">
      <c r="A53">
        <v>52</v>
      </c>
      <c r="B53" s="1">
        <v>362.32998700000002</v>
      </c>
      <c r="C53" s="1">
        <v>1916.380005</v>
      </c>
      <c r="D53" s="1">
        <v>17.010000000000002</v>
      </c>
      <c r="E53" s="1">
        <v>-1188.23999</v>
      </c>
      <c r="F53" s="1">
        <v>1969.26001</v>
      </c>
      <c r="G53" s="1">
        <v>8.0500000000000007</v>
      </c>
      <c r="H53" s="1">
        <v>-2.0999999999999999E-3</v>
      </c>
      <c r="I53" s="1">
        <v>2.3E-3</v>
      </c>
      <c r="J53" s="1">
        <v>0.28939999999999999</v>
      </c>
      <c r="K53" s="1">
        <v>-4.1619999999999999E-3</v>
      </c>
      <c r="L53" s="1">
        <v>2.349E-3</v>
      </c>
      <c r="M53" s="1">
        <v>0.86969600000000002</v>
      </c>
      <c r="N53" s="1">
        <v>0.493564</v>
      </c>
      <c r="O53">
        <v>1</v>
      </c>
      <c r="P53">
        <v>0</v>
      </c>
      <c r="Q53">
        <v>1</v>
      </c>
      <c r="R53">
        <v>1</v>
      </c>
      <c r="S53">
        <v>1</v>
      </c>
      <c r="T53" s="1">
        <f>SQRT(POWER(Octane[[#This Row],[angvel_X]],2) + POWER(Octane[[#This Row],[angvel_Y]],2) + POWER(Octane[[#This Row],[angvel_Z]],2))</f>
        <v>0.2894167583261204</v>
      </c>
      <c r="U53" s="1">
        <f>DEGREES(ASIN(MAX(-1,MIN(1,2 * (Octane[[#This Row],[quart_W]]*Octane[[#This Row],[quart_Y]] - Octane[[#This Row],[quart_Z]]*Octane[[#This Row],[quart_X]])))))</f>
        <v>0.54764788393513697</v>
      </c>
      <c r="V5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-30.848994920929144</v>
      </c>
      <c r="W5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90.001294653152456</v>
      </c>
      <c r="X53" s="1">
        <f>IF(Octane[[#This Row],[Yaw]]&gt;V52,(360-ABS(Octane[[#This Row],[Yaw]])-ABS(V52)),ABS(Octane[[#This Row],[Yaw]]-V52))</f>
        <v>0</v>
      </c>
      <c r="Y53" s="1">
        <f>Octane[[#This Row],[Degree change]]+Y52</f>
        <v>0</v>
      </c>
      <c r="Z53" s="1">
        <f>SQRT(Octane[[#This Row],[vel_X]]*Octane[[#This Row],[vel_X]]+Octane[[#This Row],[vel_Y]]*Octane[[#This Row],[vel_Y]]+Octane[[#This Row],[vel_Z]]*Octane[[#This Row],[vel_Z]])</f>
        <v>2299.9921876650801</v>
      </c>
    </row>
    <row r="54" spans="1:26">
      <c r="A54">
        <v>53</v>
      </c>
      <c r="B54" s="1">
        <v>352.38998400000003</v>
      </c>
      <c r="C54" s="1">
        <v>1932.849976</v>
      </c>
      <c r="D54" s="1">
        <v>17.010000000000002</v>
      </c>
      <c r="E54" s="1">
        <v>-1195.98999</v>
      </c>
      <c r="F54" s="1">
        <v>1964.5699460000001</v>
      </c>
      <c r="G54" s="1">
        <v>8.0500000000000007</v>
      </c>
      <c r="H54" s="1">
        <v>-2.8E-3</v>
      </c>
      <c r="I54" s="1">
        <v>3.5999999999999999E-3</v>
      </c>
      <c r="J54" s="1">
        <v>0.52080000000000004</v>
      </c>
      <c r="K54" s="1">
        <v>-4.1619999999999999E-3</v>
      </c>
      <c r="L54" s="1">
        <v>2.3549999999999999E-3</v>
      </c>
      <c r="M54" s="1">
        <v>0.87029000000000001</v>
      </c>
      <c r="N54" s="1">
        <v>0.49251699999999998</v>
      </c>
      <c r="O54">
        <v>1</v>
      </c>
      <c r="P54">
        <v>0</v>
      </c>
      <c r="Q54">
        <v>1</v>
      </c>
      <c r="R54">
        <v>1</v>
      </c>
      <c r="S54">
        <v>1</v>
      </c>
      <c r="T54" s="1">
        <f>SQRT(POWER(Octane[[#This Row],[angvel_X]],2) + POWER(Octane[[#This Row],[angvel_Y]],2) + POWER(Octane[[#This Row],[angvel_Z]],2))</f>
        <v>0.52081996889520277</v>
      </c>
      <c r="U54" s="1">
        <f>DEGREES(ASIN(MAX(-1,MIN(1,2 * (Octane[[#This Row],[quart_W]]*Octane[[#This Row],[quart_Y]] - Octane[[#This Row],[quart_Z]]*Octane[[#This Row],[quart_X]])))))</f>
        <v>0.54798799886317784</v>
      </c>
      <c r="V5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-30.987000249095999</v>
      </c>
      <c r="W5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90.000036992305525</v>
      </c>
      <c r="X54" s="1">
        <f>IF(Octane[[#This Row],[Yaw]]&gt;V53,(360-ABS(Octane[[#This Row],[Yaw]])-ABS(V53)),ABS(Octane[[#This Row],[Yaw]]-V53))</f>
        <v>0.13800532816685518</v>
      </c>
      <c r="Y54" s="1">
        <f>Octane[[#This Row],[Degree change]]+Y53</f>
        <v>0.13800532816685518</v>
      </c>
      <c r="Z54" s="1">
        <f>SQRT(Octane[[#This Row],[vel_X]]*Octane[[#This Row],[vel_X]]+Octane[[#This Row],[vel_Y]]*Octane[[#This Row],[vel_Y]]+Octane[[#This Row],[vel_Z]]*Octane[[#This Row],[vel_Z]])</f>
        <v>2299.9982459572971</v>
      </c>
    </row>
    <row r="55" spans="1:26">
      <c r="A55">
        <v>54</v>
      </c>
      <c r="B55" s="1">
        <v>342.38998400000003</v>
      </c>
      <c r="C55" s="1">
        <v>1949.2799070000001</v>
      </c>
      <c r="D55" s="1">
        <v>17.010000000000002</v>
      </c>
      <c r="E55" s="1">
        <v>-1203.839966</v>
      </c>
      <c r="F55" s="1">
        <v>1959.7698969999999</v>
      </c>
      <c r="G55" s="1">
        <v>8.0500000000000007</v>
      </c>
      <c r="H55" s="1">
        <v>-3.0999999999999999E-3</v>
      </c>
      <c r="I55" s="1">
        <v>4.1999999999999997E-3</v>
      </c>
      <c r="J55" s="1">
        <v>0.71650000000000003</v>
      </c>
      <c r="K55" s="1">
        <v>-4.1619999999999999E-3</v>
      </c>
      <c r="L55" s="1">
        <v>2.366E-3</v>
      </c>
      <c r="M55" s="1">
        <v>0.87135499999999999</v>
      </c>
      <c r="N55" s="1">
        <v>0.49062899999999998</v>
      </c>
      <c r="O55">
        <v>1</v>
      </c>
      <c r="P55">
        <v>0</v>
      </c>
      <c r="Q55">
        <v>1</v>
      </c>
      <c r="R55">
        <v>1</v>
      </c>
      <c r="S55">
        <v>1</v>
      </c>
      <c r="T55" s="1">
        <f>SQRT(POWER(Octane[[#This Row],[angvel_X]],2) + POWER(Octane[[#This Row],[angvel_Y]],2) + POWER(Octane[[#This Row],[angvel_Z]],2))</f>
        <v>0.71651901579790622</v>
      </c>
      <c r="U55" s="1">
        <f>DEGREES(ASIN(MAX(-1,MIN(1,2 * (Octane[[#This Row],[quart_W]]*Octane[[#This Row],[quart_Y]] - Octane[[#This Row],[quart_Z]]*Octane[[#This Row],[quart_X]])))))</f>
        <v>0.54860489742164553</v>
      </c>
      <c r="V5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-31.235347555852542</v>
      </c>
      <c r="W5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89.997750690104397</v>
      </c>
      <c r="X55" s="1">
        <f>IF(Octane[[#This Row],[Yaw]]&gt;V54,(360-ABS(Octane[[#This Row],[Yaw]])-ABS(V54)),ABS(Octane[[#This Row],[Yaw]]-V54))</f>
        <v>0.24834730675654271</v>
      </c>
      <c r="Y55" s="1">
        <f>Octane[[#This Row],[Degree change]]+Y54</f>
        <v>0.38635263492339789</v>
      </c>
      <c r="Z55" s="1">
        <f>SQRT(Octane[[#This Row],[vel_X]]*Octane[[#This Row],[vel_X]]+Octane[[#This Row],[vel_Y]]*Octane[[#This Row],[vel_Y]]+Octane[[#This Row],[vel_Z]]*Octane[[#This Row],[vel_Z]])</f>
        <v>2299.9985903096272</v>
      </c>
    </row>
    <row r="56" spans="1:26">
      <c r="A56">
        <v>55</v>
      </c>
      <c r="B56" s="1">
        <v>332.32000699999998</v>
      </c>
      <c r="C56" s="1">
        <v>1965.669922</v>
      </c>
      <c r="D56" s="1">
        <v>17.010000000000002</v>
      </c>
      <c r="E56" s="1">
        <v>-1212.299927</v>
      </c>
      <c r="F56" s="1">
        <v>1954.5399170000001</v>
      </c>
      <c r="G56" s="1">
        <v>8.0500000000000007</v>
      </c>
      <c r="H56" s="1">
        <v>-3.0999999999999999E-3</v>
      </c>
      <c r="I56" s="1">
        <v>4.1999999999999997E-3</v>
      </c>
      <c r="J56" s="1">
        <v>0.88219999999999998</v>
      </c>
      <c r="K56" s="1">
        <v>-4.1619999999999999E-3</v>
      </c>
      <c r="L56" s="1">
        <v>2.3709999999999998E-3</v>
      </c>
      <c r="M56" s="1">
        <v>0.87281699999999995</v>
      </c>
      <c r="N56" s="1">
        <v>0.48802299999999998</v>
      </c>
      <c r="O56">
        <v>1</v>
      </c>
      <c r="P56">
        <v>0</v>
      </c>
      <c r="Q56">
        <v>1</v>
      </c>
      <c r="R56">
        <v>1</v>
      </c>
      <c r="S56">
        <v>1</v>
      </c>
      <c r="T56" s="1">
        <f>SQRT(POWER(Octane[[#This Row],[angvel_X]],2) + POWER(Octane[[#This Row],[angvel_Y]],2) + POWER(Octane[[#This Row],[angvel_Z]],2))</f>
        <v>0.8822154442084994</v>
      </c>
      <c r="U56" s="1">
        <f>DEGREES(ASIN(MAX(-1,MIN(1,2 * (Octane[[#This Row],[quart_W]]*Octane[[#This Row],[quart_Y]] - Octane[[#This Row],[quart_Z]]*Octane[[#This Row],[quart_X]])))))</f>
        <v>0.54887524998677295</v>
      </c>
      <c r="V5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-31.577754237006399</v>
      </c>
      <c r="W5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89.995611242022861</v>
      </c>
      <c r="X56" s="1">
        <f>IF(Octane[[#This Row],[Yaw]]&gt;V55,(360-ABS(Octane[[#This Row],[Yaw]])-ABS(V55)),ABS(Octane[[#This Row],[Yaw]]-V55))</f>
        <v>0.34240668115385731</v>
      </c>
      <c r="Y56" s="1">
        <f>Octane[[#This Row],[Degree change]]+Y55</f>
        <v>0.72875931607725519</v>
      </c>
      <c r="Z56" s="1">
        <f>SQRT(Octane[[#This Row],[vel_X]]*Octane[[#This Row],[vel_X]]+Octane[[#This Row],[vel_Y]]*Octane[[#This Row],[vel_Y]]+Octane[[#This Row],[vel_Z]]*Octane[[#This Row],[vel_Z]])</f>
        <v>2299.9917831702296</v>
      </c>
    </row>
    <row r="57" spans="1:26">
      <c r="A57">
        <v>56</v>
      </c>
      <c r="B57" s="1">
        <v>322.17999300000002</v>
      </c>
      <c r="C57" s="1">
        <v>1982.0198969999999</v>
      </c>
      <c r="D57" s="1">
        <v>17.010000000000002</v>
      </c>
      <c r="E57" s="1">
        <v>-1221.709961</v>
      </c>
      <c r="F57" s="1">
        <v>1948.669922</v>
      </c>
      <c r="G57" s="1">
        <v>8.0500000000000007</v>
      </c>
      <c r="H57" s="1">
        <v>-2.8E-3</v>
      </c>
      <c r="I57" s="1">
        <v>3.8999999999999998E-3</v>
      </c>
      <c r="J57" s="1">
        <v>1.0226999999999999</v>
      </c>
      <c r="K57" s="1">
        <v>-4.1619999999999999E-3</v>
      </c>
      <c r="L57" s="1">
        <v>2.3760000000000001E-3</v>
      </c>
      <c r="M57" s="1">
        <v>0.87460400000000005</v>
      </c>
      <c r="N57" s="1">
        <v>0.48481299999999999</v>
      </c>
      <c r="O57">
        <v>1</v>
      </c>
      <c r="P57">
        <v>0</v>
      </c>
      <c r="Q57">
        <v>1</v>
      </c>
      <c r="R57">
        <v>1</v>
      </c>
      <c r="S57">
        <v>1</v>
      </c>
      <c r="T57" s="1">
        <f>SQRT(POWER(Octane[[#This Row],[angvel_X]],2) + POWER(Octane[[#This Row],[angvel_Y]],2) + POWER(Octane[[#This Row],[angvel_Z]],2))</f>
        <v>1.0227112691273132</v>
      </c>
      <c r="U57" s="1">
        <f>DEGREES(ASIN(MAX(-1,MIN(1,2 * (Octane[[#This Row],[quart_W]]*Octane[[#This Row],[quart_Y]] - Octane[[#This Row],[quart_Z]]*Octane[[#This Row],[quart_X]])))))</f>
        <v>0.54913316720454219</v>
      </c>
      <c r="V5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-31.998761940209906</v>
      </c>
      <c r="W5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89.99309354768863</v>
      </c>
      <c r="X57" s="1">
        <f>IF(Octane[[#This Row],[Yaw]]&gt;V56,(360-ABS(Octane[[#This Row],[Yaw]])-ABS(V56)),ABS(Octane[[#This Row],[Yaw]]-V56))</f>
        <v>0.42100770320350733</v>
      </c>
      <c r="Y57" s="1">
        <f>Octane[[#This Row],[Degree change]]+Y56</f>
        <v>1.1497670192807625</v>
      </c>
      <c r="Z57" s="1">
        <f>SQRT(Octane[[#This Row],[vel_X]]*Octane[[#This Row],[vel_X]]+Octane[[#This Row],[vel_Y]]*Octane[[#This Row],[vel_Y]]+Octane[[#This Row],[vel_Z]]*Octane[[#This Row],[vel_Z]])</f>
        <v>2299.9901078513594</v>
      </c>
    </row>
    <row r="58" spans="1:26">
      <c r="A58">
        <v>57</v>
      </c>
      <c r="B58" s="1">
        <v>311.959991</v>
      </c>
      <c r="C58" s="1">
        <v>1998.3199460000001</v>
      </c>
      <c r="D58" s="1">
        <v>17.010000000000002</v>
      </c>
      <c r="E58" s="1">
        <v>-1232.280029</v>
      </c>
      <c r="F58" s="1">
        <v>1942.01001</v>
      </c>
      <c r="G58" s="1">
        <v>8.0500000000000007</v>
      </c>
      <c r="H58" s="1">
        <v>-2.3999999999999998E-3</v>
      </c>
      <c r="I58" s="1">
        <v>3.3999999999999998E-3</v>
      </c>
      <c r="J58" s="1">
        <v>1.1422000000000001</v>
      </c>
      <c r="K58" s="1">
        <v>-4.1619999999999999E-3</v>
      </c>
      <c r="L58" s="1">
        <v>2.3760000000000001E-3</v>
      </c>
      <c r="M58" s="1">
        <v>0.876664</v>
      </c>
      <c r="N58" s="1">
        <v>0.48108000000000001</v>
      </c>
      <c r="O58">
        <v>1</v>
      </c>
      <c r="P58">
        <v>0</v>
      </c>
      <c r="Q58">
        <v>1</v>
      </c>
      <c r="R58">
        <v>1</v>
      </c>
      <c r="S58">
        <v>1</v>
      </c>
      <c r="T58" s="1">
        <f>SQRT(POWER(Octane[[#This Row],[angvel_X]],2) + POWER(Octane[[#This Row],[angvel_Y]],2) + POWER(Octane[[#This Row],[angvel_Z]],2))</f>
        <v>1.1422075818344055</v>
      </c>
      <c r="U58" s="1">
        <f>DEGREES(ASIN(MAX(-1,MIN(1,2 * (Octane[[#This Row],[quart_W]]*Octane[[#This Row],[quart_Y]] - Octane[[#This Row],[quart_Z]]*Octane[[#This Row],[quart_X]])))))</f>
        <v>0.54909925938010518</v>
      </c>
      <c r="V5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-32.487453649431274</v>
      </c>
      <c r="W5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89.990752184976941</v>
      </c>
      <c r="X58" s="1">
        <f>IF(Octane[[#This Row],[Yaw]]&gt;V57,(360-ABS(Octane[[#This Row],[Yaw]])-ABS(V57)),ABS(Octane[[#This Row],[Yaw]]-V57))</f>
        <v>0.48869170922136718</v>
      </c>
      <c r="Y58" s="1">
        <f>Octane[[#This Row],[Degree change]]+Y57</f>
        <v>1.6384587285021297</v>
      </c>
      <c r="Z58" s="1">
        <f>SQRT(Octane[[#This Row],[vel_X]]*Octane[[#This Row],[vel_X]]+Octane[[#This Row],[vel_Y]]*Octane[[#This Row],[vel_Y]]+Octane[[#This Row],[vel_Z]]*Octane[[#This Row],[vel_Z]])</f>
        <v>2299.9960328905877</v>
      </c>
    </row>
    <row r="59" spans="1:26">
      <c r="A59">
        <v>58</v>
      </c>
      <c r="B59" s="1">
        <v>301.64999399999999</v>
      </c>
      <c r="C59" s="1">
        <v>2014.559937</v>
      </c>
      <c r="D59" s="1">
        <v>17.010000000000002</v>
      </c>
      <c r="E59" s="1">
        <v>-1244.1099850000001</v>
      </c>
      <c r="F59" s="1">
        <v>1934.4499510000001</v>
      </c>
      <c r="G59" s="1">
        <v>8.0599989999999995</v>
      </c>
      <c r="H59" s="1">
        <v>-1.9E-3</v>
      </c>
      <c r="I59" s="1">
        <v>2.7000000000000001E-3</v>
      </c>
      <c r="J59" s="1">
        <v>1.2443</v>
      </c>
      <c r="K59" s="1">
        <v>-4.1669999999999997E-3</v>
      </c>
      <c r="L59" s="1">
        <v>2.3709999999999998E-3</v>
      </c>
      <c r="M59" s="1">
        <v>0.878942</v>
      </c>
      <c r="N59" s="1">
        <v>0.47690399999999999</v>
      </c>
      <c r="O59">
        <v>1</v>
      </c>
      <c r="P59">
        <v>0</v>
      </c>
      <c r="Q59">
        <v>1</v>
      </c>
      <c r="R59">
        <v>1</v>
      </c>
      <c r="S59">
        <v>1</v>
      </c>
      <c r="T59" s="1">
        <f>SQRT(POWER(Octane[[#This Row],[angvel_X]],2) + POWER(Octane[[#This Row],[angvel_Y]],2) + POWER(Octane[[#This Row],[angvel_Z]],2))</f>
        <v>1.2443043799649665</v>
      </c>
      <c r="U59" s="1">
        <f>DEGREES(ASIN(MAX(-1,MIN(1,2 * (Octane[[#This Row],[quart_W]]*Octane[[#This Row],[quart_Y]] - Octane[[#This Row],[quart_Z]]*Octane[[#This Row],[quart_X]])))))</f>
        <v>0.54927906752569355</v>
      </c>
      <c r="V5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-33.032511366237401</v>
      </c>
      <c r="W5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89.988917052886805</v>
      </c>
      <c r="X59" s="1">
        <f>IF(Octane[[#This Row],[Yaw]]&gt;V58,(360-ABS(Octane[[#This Row],[Yaw]])-ABS(V58)),ABS(Octane[[#This Row],[Yaw]]-V58))</f>
        <v>0.54505771680612725</v>
      </c>
      <c r="Y59" s="1">
        <f>Octane[[#This Row],[Degree change]]+Y58</f>
        <v>2.1835164453082569</v>
      </c>
      <c r="Z59" s="1">
        <f>SQRT(Octane[[#This Row],[vel_X]]*Octane[[#This Row],[vel_X]]+Octane[[#This Row],[vel_Y]]*Octane[[#This Row],[vel_Y]]+Octane[[#This Row],[vel_Z]]*Octane[[#This Row],[vel_Z]])</f>
        <v>2299.9937459229063</v>
      </c>
    </row>
    <row r="60" spans="1:26">
      <c r="A60">
        <v>59</v>
      </c>
      <c r="B60" s="1">
        <v>291.23998999999998</v>
      </c>
      <c r="C60" s="1">
        <v>2030.73999</v>
      </c>
      <c r="D60" s="1">
        <v>17.010000000000002</v>
      </c>
      <c r="E60" s="1">
        <v>-1257.2299800000001</v>
      </c>
      <c r="F60" s="1">
        <v>1925.9499510000001</v>
      </c>
      <c r="G60" s="1">
        <v>8.0599989999999995</v>
      </c>
      <c r="H60" s="1">
        <v>-1.4E-3</v>
      </c>
      <c r="I60" s="1">
        <v>2E-3</v>
      </c>
      <c r="J60" s="1">
        <v>1.3318000000000001</v>
      </c>
      <c r="K60" s="1">
        <v>-4.1729999999999996E-3</v>
      </c>
      <c r="L60" s="1">
        <v>2.3600000000000001E-3</v>
      </c>
      <c r="M60" s="1">
        <v>0.88140300000000005</v>
      </c>
      <c r="N60" s="1">
        <v>0.47233999999999998</v>
      </c>
      <c r="O60">
        <v>1</v>
      </c>
      <c r="P60">
        <v>0</v>
      </c>
      <c r="Q60">
        <v>1</v>
      </c>
      <c r="R60">
        <v>1</v>
      </c>
      <c r="S60">
        <v>1</v>
      </c>
      <c r="T60" s="1">
        <f>SQRT(POWER(Octane[[#This Row],[angvel_X]],2) + POWER(Octane[[#This Row],[angvel_Y]],2) + POWER(Octane[[#This Row],[angvel_Z]],2))</f>
        <v>1.3318022375713297</v>
      </c>
      <c r="U60" s="1">
        <f>DEGREES(ASIN(MAX(-1,MIN(1,2 * (Octane[[#This Row],[quart_W]]*Octane[[#This Row],[quart_Y]] - Octane[[#This Row],[quart_Z]]*Octane[[#This Row],[quart_X]])))))</f>
        <v>0.54922479687614534</v>
      </c>
      <c r="V6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-33.626702851335565</v>
      </c>
      <c r="W6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89.987504790806298</v>
      </c>
      <c r="X60" s="1">
        <f>IF(Octane[[#This Row],[Yaw]]&gt;V59,(360-ABS(Octane[[#This Row],[Yaw]])-ABS(V59)),ABS(Octane[[#This Row],[Yaw]]-V59))</f>
        <v>0.59419148509816466</v>
      </c>
      <c r="Y60" s="1">
        <f>Octane[[#This Row],[Degree change]]+Y59</f>
        <v>2.7777079304064216</v>
      </c>
      <c r="Z60" s="1">
        <f>SQRT(Octane[[#This Row],[vel_X]]*Octane[[#This Row],[vel_X]]+Octane[[#This Row],[vel_Y]]*Octane[[#This Row],[vel_Y]]+Octane[[#This Row],[vel_Z]]*Octane[[#This Row],[vel_Z]])</f>
        <v>2299.9946521571705</v>
      </c>
    </row>
    <row r="61" spans="1:26">
      <c r="A61">
        <v>60</v>
      </c>
      <c r="B61" s="1">
        <v>280.72000100000002</v>
      </c>
      <c r="C61" s="1">
        <v>2046.849976</v>
      </c>
      <c r="D61" s="1">
        <v>17.010000000000002</v>
      </c>
      <c r="E61" s="1">
        <v>-1271.630005</v>
      </c>
      <c r="F61" s="1">
        <v>1916.469971</v>
      </c>
      <c r="G61" s="1">
        <v>8.07</v>
      </c>
      <c r="H61" s="1">
        <v>-8.9999999999999998E-4</v>
      </c>
      <c r="I61" s="1">
        <v>1.2999999999999999E-3</v>
      </c>
      <c r="J61" s="1">
        <v>1.4071</v>
      </c>
      <c r="K61" s="1">
        <v>-4.1840000000000002E-3</v>
      </c>
      <c r="L61" s="1">
        <v>2.3440000000000002E-3</v>
      </c>
      <c r="M61" s="1">
        <v>0.88401099999999999</v>
      </c>
      <c r="N61" s="1">
        <v>0.46744200000000002</v>
      </c>
      <c r="O61">
        <v>1</v>
      </c>
      <c r="P61">
        <v>0</v>
      </c>
      <c r="Q61">
        <v>1</v>
      </c>
      <c r="R61">
        <v>1</v>
      </c>
      <c r="S61">
        <v>1</v>
      </c>
      <c r="T61" s="1">
        <f>SQRT(POWER(Octane[[#This Row],[angvel_X]],2) + POWER(Octane[[#This Row],[angvel_Y]],2) + POWER(Octane[[#This Row],[angvel_Z]],2))</f>
        <v>1.4071008883516491</v>
      </c>
      <c r="U61" s="1">
        <f>DEGREES(ASIN(MAX(-1,MIN(1,2 * (Octane[[#This Row],[quart_W]]*Octane[[#This Row],[quart_Y]] - Octane[[#This Row],[quart_Z]]*Octane[[#This Row],[quart_X]])))))</f>
        <v>0.54940459390961816</v>
      </c>
      <c r="V6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-34.262645865806263</v>
      </c>
      <c r="W6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89.986667294333984</v>
      </c>
      <c r="X61" s="1">
        <f>IF(Octane[[#This Row],[Yaw]]&gt;V60,(360-ABS(Octane[[#This Row],[Yaw]])-ABS(V60)),ABS(Octane[[#This Row],[Yaw]]-V60))</f>
        <v>0.63594301447069768</v>
      </c>
      <c r="Y61" s="1">
        <f>Octane[[#This Row],[Degree change]]+Y60</f>
        <v>3.4136509448771193</v>
      </c>
      <c r="Z61" s="1">
        <f>SQRT(Octane[[#This Row],[vel_X]]*Octane[[#This Row],[vel_X]]+Octane[[#This Row],[vel_Y]]*Octane[[#This Row],[vel_Y]]+Octane[[#This Row],[vel_Z]]*Octane[[#This Row],[vel_Z]])</f>
        <v>2299.992422652962</v>
      </c>
    </row>
    <row r="62" spans="1:26">
      <c r="A62">
        <v>61</v>
      </c>
      <c r="B62" s="1">
        <v>270.07998700000002</v>
      </c>
      <c r="C62" s="1">
        <v>2062.8798830000001</v>
      </c>
      <c r="D62" s="1">
        <v>17.010000000000002</v>
      </c>
      <c r="E62" s="1">
        <v>-1287.2700199999999</v>
      </c>
      <c r="F62" s="1">
        <v>1906</v>
      </c>
      <c r="G62" s="1">
        <v>8.07</v>
      </c>
      <c r="H62" s="1">
        <v>-4.0000000000000002E-4</v>
      </c>
      <c r="I62" s="1">
        <v>5.9999999999999995E-4</v>
      </c>
      <c r="J62" s="1">
        <v>1.4722</v>
      </c>
      <c r="K62" s="1">
        <v>-4.1939999999999998E-3</v>
      </c>
      <c r="L62" s="1">
        <v>2.3280000000000002E-3</v>
      </c>
      <c r="M62" s="1">
        <v>0.88673500000000005</v>
      </c>
      <c r="N62" s="1">
        <v>0.462252</v>
      </c>
      <c r="O62">
        <v>1</v>
      </c>
      <c r="P62">
        <v>0</v>
      </c>
      <c r="Q62">
        <v>1</v>
      </c>
      <c r="R62">
        <v>1</v>
      </c>
      <c r="S62">
        <v>1</v>
      </c>
      <c r="T62" s="1">
        <f>SQRT(POWER(Octane[[#This Row],[angvel_X]],2) + POWER(Octane[[#This Row],[angvel_Y]],2) + POWER(Octane[[#This Row],[angvel_Z]],2))</f>
        <v>1.4722001766064288</v>
      </c>
      <c r="U62" s="1">
        <f>DEGREES(ASIN(MAX(-1,MIN(1,2 * (Octane[[#This Row],[quart_W]]*Octane[[#This Row],[quart_Y]] - Octane[[#This Row],[quart_Z]]*Octane[[#This Row],[quart_X]])))))</f>
        <v>0.54948517541968878</v>
      </c>
      <c r="V6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-34.934254432330839</v>
      </c>
      <c r="W6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89.985602719834375</v>
      </c>
      <c r="X62" s="1">
        <f>IF(Octane[[#This Row],[Yaw]]&gt;V61,(360-ABS(Octane[[#This Row],[Yaw]])-ABS(V61)),ABS(Octane[[#This Row],[Yaw]]-V61))</f>
        <v>0.67160856652457568</v>
      </c>
      <c r="Y62" s="1">
        <f>Octane[[#This Row],[Degree change]]+Y61</f>
        <v>4.085259511401695</v>
      </c>
      <c r="Z62" s="1">
        <f>SQRT(Octane[[#This Row],[vel_X]]*Octane[[#This Row],[vel_X]]+Octane[[#This Row],[vel_Y]]*Octane[[#This Row],[vel_Y]]+Octane[[#This Row],[vel_Z]]*Octane[[#This Row],[vel_Z]])</f>
        <v>2299.9924411377528</v>
      </c>
    </row>
    <row r="63" spans="1:26">
      <c r="A63">
        <v>62</v>
      </c>
      <c r="B63" s="1">
        <v>259.30999800000001</v>
      </c>
      <c r="C63" s="1">
        <v>2078.820068</v>
      </c>
      <c r="D63" s="1">
        <v>17.010000000000002</v>
      </c>
      <c r="E63" s="1">
        <v>-1304.059937</v>
      </c>
      <c r="F63" s="1">
        <v>1894.549927</v>
      </c>
      <c r="G63" s="1">
        <v>8.08</v>
      </c>
      <c r="H63" s="1">
        <v>0</v>
      </c>
      <c r="I63" s="1">
        <v>0</v>
      </c>
      <c r="J63" s="1">
        <v>1.5287999999999999</v>
      </c>
      <c r="K63" s="1">
        <v>-4.2050000000000004E-3</v>
      </c>
      <c r="L63" s="1">
        <v>2.3059999999999999E-3</v>
      </c>
      <c r="M63" s="1">
        <v>0.88955499999999998</v>
      </c>
      <c r="N63" s="1">
        <v>0.45680300000000001</v>
      </c>
      <c r="O63">
        <v>1</v>
      </c>
      <c r="P63">
        <v>0</v>
      </c>
      <c r="Q63">
        <v>1</v>
      </c>
      <c r="R63">
        <v>1</v>
      </c>
      <c r="S63">
        <v>1</v>
      </c>
      <c r="T63" s="1">
        <f>SQRT(POWER(Octane[[#This Row],[angvel_X]],2) + POWER(Octane[[#This Row],[angvel_Y]],2) + POWER(Octane[[#This Row],[angvel_Z]],2))</f>
        <v>1.5287999999999999</v>
      </c>
      <c r="U63" s="1">
        <f>DEGREES(ASIN(MAX(-1,MIN(1,2 * (Octane[[#This Row],[quart_W]]*Octane[[#This Row],[quart_Y]] - Octane[[#This Row],[quart_Z]]*Octane[[#This Row],[quart_X]])))))</f>
        <v>0.54935651148755771</v>
      </c>
      <c r="V6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-35.637395812085479</v>
      </c>
      <c r="W6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89.985050016997121</v>
      </c>
      <c r="X63" s="1">
        <f>IF(Octane[[#This Row],[Yaw]]&gt;V62,(360-ABS(Octane[[#This Row],[Yaw]])-ABS(V62)),ABS(Octane[[#This Row],[Yaw]]-V62))</f>
        <v>0.70314137975464064</v>
      </c>
      <c r="Y63" s="1">
        <f>Octane[[#This Row],[Degree change]]+Y62</f>
        <v>4.7884008911563356</v>
      </c>
      <c r="Z63" s="1">
        <f>SQRT(Octane[[#This Row],[vel_X]]*Octane[[#This Row],[vel_X]]+Octane[[#This Row],[vel_Y]]*Octane[[#This Row],[vel_Y]]+Octane[[#This Row],[vel_Z]]*Octane[[#This Row],[vel_Z]])</f>
        <v>2299.9906590210644</v>
      </c>
    </row>
    <row r="64" spans="1:26">
      <c r="A64">
        <v>63</v>
      </c>
      <c r="B64" s="1">
        <v>248.39999399999999</v>
      </c>
      <c r="C64" s="1">
        <v>2094.6599120000001</v>
      </c>
      <c r="D64" s="1">
        <v>17.010000000000002</v>
      </c>
      <c r="E64" s="1">
        <v>-1321.929932</v>
      </c>
      <c r="F64" s="1">
        <v>1882.130005</v>
      </c>
      <c r="G64" s="1">
        <v>8.08</v>
      </c>
      <c r="H64" s="1">
        <v>2.9999999999999997E-4</v>
      </c>
      <c r="I64" s="1">
        <v>-5.0000000000000001E-4</v>
      </c>
      <c r="J64" s="1">
        <v>1.5781000000000001</v>
      </c>
      <c r="K64" s="1">
        <v>-4.2209999999999999E-3</v>
      </c>
      <c r="L64" s="1">
        <v>2.2790000000000002E-3</v>
      </c>
      <c r="M64" s="1">
        <v>0.89244599999999996</v>
      </c>
      <c r="N64" s="1">
        <v>0.45112799999999997</v>
      </c>
      <c r="O64">
        <v>1</v>
      </c>
      <c r="P64">
        <v>0</v>
      </c>
      <c r="Q64">
        <v>1</v>
      </c>
      <c r="R64">
        <v>1</v>
      </c>
      <c r="S64">
        <v>1</v>
      </c>
      <c r="T64" s="1">
        <f>SQRT(POWER(Octane[[#This Row],[angvel_X]],2) + POWER(Octane[[#This Row],[angvel_Y]],2) + POWER(Octane[[#This Row],[angvel_Z]],2))</f>
        <v>1.5781001077244752</v>
      </c>
      <c r="U64" s="1">
        <f>DEGREES(ASIN(MAX(-1,MIN(1,2 * (Octane[[#This Row],[quart_W]]*Octane[[#This Row],[quart_Y]] - Octane[[#This Row],[quart_Z]]*Octane[[#This Row],[quart_X]])))))</f>
        <v>0.54949045054092205</v>
      </c>
      <c r="V6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-36.367199047379735</v>
      </c>
      <c r="W6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89.985139868485703</v>
      </c>
      <c r="X64" s="1">
        <f>IF(Octane[[#This Row],[Yaw]]&gt;V63,(360-ABS(Octane[[#This Row],[Yaw]])-ABS(V63)),ABS(Octane[[#This Row],[Yaw]]-V63))</f>
        <v>0.72980323529425561</v>
      </c>
      <c r="Y64" s="1">
        <f>Octane[[#This Row],[Degree change]]+Y63</f>
        <v>5.5182041264505912</v>
      </c>
      <c r="Z64" s="1">
        <f>SQRT(Octane[[#This Row],[vel_X]]*Octane[[#This Row],[vel_X]]+Octane[[#This Row],[vel_Y]]*Octane[[#This Row],[vel_Y]]+Octane[[#This Row],[vel_Z]]*Octane[[#This Row],[vel_Z]])</f>
        <v>2299.9950841770997</v>
      </c>
    </row>
    <row r="65" spans="1:26">
      <c r="A65">
        <v>64</v>
      </c>
      <c r="B65" s="1">
        <v>237.33999600000001</v>
      </c>
      <c r="C65" s="1">
        <v>2110.3999020000001</v>
      </c>
      <c r="D65" s="1">
        <v>17.010000000000002</v>
      </c>
      <c r="E65" s="1">
        <v>-1340.7700199999999</v>
      </c>
      <c r="F65" s="1">
        <v>1868.75</v>
      </c>
      <c r="G65" s="1">
        <v>8.09</v>
      </c>
      <c r="H65" s="1">
        <v>5.9999999999999995E-4</v>
      </c>
      <c r="I65" s="1">
        <v>-8.9999999999999998E-4</v>
      </c>
      <c r="J65" s="1">
        <v>1.6213</v>
      </c>
      <c r="K65" s="1">
        <v>-4.2379999999999996E-3</v>
      </c>
      <c r="L65" s="1">
        <v>2.2469999999999999E-3</v>
      </c>
      <c r="M65" s="1">
        <v>0.89539500000000005</v>
      </c>
      <c r="N65" s="1">
        <v>0.44524799999999998</v>
      </c>
      <c r="O65">
        <v>1</v>
      </c>
      <c r="P65">
        <v>0</v>
      </c>
      <c r="Q65">
        <v>1</v>
      </c>
      <c r="R65">
        <v>1</v>
      </c>
      <c r="S65">
        <v>1</v>
      </c>
      <c r="T65" s="1">
        <f>SQRT(POWER(Octane[[#This Row],[angvel_X]],2) + POWER(Octane[[#This Row],[angvel_Y]],2) + POWER(Octane[[#This Row],[angvel_Z]],2))</f>
        <v>1.6213003608215228</v>
      </c>
      <c r="U65" s="1">
        <f>DEGREES(ASIN(MAX(-1,MIN(1,2 * (Octane[[#This Row],[quart_W]]*Octane[[#This Row],[quart_Y]] - Octane[[#This Row],[quart_Z]]*Octane[[#This Row],[quart_X]])))))</f>
        <v>0.54949285569917117</v>
      </c>
      <c r="V6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-37.12107343266382</v>
      </c>
      <c r="W6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89.985676365586386</v>
      </c>
      <c r="X65" s="1">
        <f>IF(Octane[[#This Row],[Yaw]]&gt;V64,(360-ABS(Octane[[#This Row],[Yaw]])-ABS(V64)),ABS(Octane[[#This Row],[Yaw]]-V64))</f>
        <v>0.75387438528408524</v>
      </c>
      <c r="Y65" s="1">
        <f>Octane[[#This Row],[Degree change]]+Y64</f>
        <v>6.2720785117346765</v>
      </c>
      <c r="Z65" s="1">
        <f>SQRT(Octane[[#This Row],[vel_X]]*Octane[[#This Row],[vel_X]]+Octane[[#This Row],[vel_Y]]*Octane[[#This Row],[vel_Y]]+Octane[[#This Row],[vel_Z]]*Octane[[#This Row],[vel_Z]])</f>
        <v>2299.9904906609504</v>
      </c>
    </row>
    <row r="66" spans="1:26">
      <c r="A66">
        <v>65</v>
      </c>
      <c r="B66" s="1">
        <v>226.12998999999999</v>
      </c>
      <c r="C66" s="1">
        <v>2126.030029</v>
      </c>
      <c r="D66" s="1">
        <v>17.010000000000002</v>
      </c>
      <c r="E66" s="1">
        <v>-1360.5</v>
      </c>
      <c r="F66" s="1">
        <v>1854.4399410000001</v>
      </c>
      <c r="G66" s="1">
        <v>8.09</v>
      </c>
      <c r="H66" s="1">
        <v>8.0000000000000004E-4</v>
      </c>
      <c r="I66" s="1">
        <v>-1.1999999999999999E-3</v>
      </c>
      <c r="J66" s="1">
        <v>1.6592</v>
      </c>
      <c r="K66" s="1">
        <v>-4.254E-3</v>
      </c>
      <c r="L66" s="1">
        <v>2.215E-3</v>
      </c>
      <c r="M66" s="1">
        <v>0.89838200000000001</v>
      </c>
      <c r="N66" s="1">
        <v>0.439189</v>
      </c>
      <c r="O66">
        <v>1</v>
      </c>
      <c r="P66">
        <v>0</v>
      </c>
      <c r="Q66">
        <v>1</v>
      </c>
      <c r="R66">
        <v>1</v>
      </c>
      <c r="S66">
        <v>1</v>
      </c>
      <c r="T66" s="1">
        <f>SQRT(POWER(Octane[[#This Row],[angvel_X]],2) + POWER(Octane[[#This Row],[angvel_Y]],2) + POWER(Octane[[#This Row],[angvel_Z]],2))</f>
        <v>1.6592006268079817</v>
      </c>
      <c r="U66" s="1">
        <f>DEGREES(ASIN(MAX(-1,MIN(1,2 * (Octane[[#This Row],[quart_W]]*Octane[[#This Row],[quart_Y]] - Octane[[#This Row],[quart_Z]]*Octane[[#This Row],[quart_X]])))))</f>
        <v>0.54942001761123793</v>
      </c>
      <c r="V6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-37.895141846708981</v>
      </c>
      <c r="W6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89.986064323820997</v>
      </c>
      <c r="X66" s="1">
        <f>IF(Octane[[#This Row],[Yaw]]&gt;V65,(360-ABS(Octane[[#This Row],[Yaw]])-ABS(V65)),ABS(Octane[[#This Row],[Yaw]]-V65))</f>
        <v>0.77406841404516058</v>
      </c>
      <c r="Y66" s="1">
        <f>Octane[[#This Row],[Degree change]]+Y65</f>
        <v>7.046146925779837</v>
      </c>
      <c r="Z66" s="1">
        <f>SQRT(Octane[[#This Row],[vel_X]]*Octane[[#This Row],[vel_X]]+Octane[[#This Row],[vel_Y]]*Octane[[#This Row],[vel_Y]]+Octane[[#This Row],[vel_Z]]*Octane[[#This Row],[vel_Z]])</f>
        <v>2299.9941723569827</v>
      </c>
    </row>
    <row r="67" spans="1:26">
      <c r="A67">
        <v>66</v>
      </c>
      <c r="B67" s="1">
        <v>214.75</v>
      </c>
      <c r="C67" s="1">
        <v>2141.540039</v>
      </c>
      <c r="D67" s="1">
        <v>17.010000000000002</v>
      </c>
      <c r="E67" s="1">
        <v>-1381</v>
      </c>
      <c r="F67" s="1">
        <v>1839.219971</v>
      </c>
      <c r="G67" s="1">
        <v>8.09</v>
      </c>
      <c r="H67" s="1">
        <v>1E-3</v>
      </c>
      <c r="I67" s="1">
        <v>-1.4E-3</v>
      </c>
      <c r="J67" s="1">
        <v>1.6926000000000001</v>
      </c>
      <c r="K67" s="1">
        <v>-4.2700000000000004E-3</v>
      </c>
      <c r="L67" s="1">
        <v>2.1819999999999999E-3</v>
      </c>
      <c r="M67" s="1">
        <v>0.90139599999999998</v>
      </c>
      <c r="N67" s="1">
        <v>0.43296899999999999</v>
      </c>
      <c r="O67">
        <v>1</v>
      </c>
      <c r="P67">
        <v>0</v>
      </c>
      <c r="Q67">
        <v>1</v>
      </c>
      <c r="R67">
        <v>1</v>
      </c>
      <c r="S67">
        <v>1</v>
      </c>
      <c r="T67" s="1">
        <f>SQRT(POWER(Octane[[#This Row],[angvel_X]],2) + POWER(Octane[[#This Row],[angvel_Y]],2) + POWER(Octane[[#This Row],[angvel_Z]],2))</f>
        <v>1.6926008743941972</v>
      </c>
      <c r="U67" s="1">
        <f>DEGREES(ASIN(MAX(-1,MIN(1,2 * (Octane[[#This Row],[quart_W]]*Octane[[#This Row],[quart_Y]] - Octane[[#This Row],[quart_Z]]*Octane[[#This Row],[quart_X]])))))</f>
        <v>0.54932588949664241</v>
      </c>
      <c r="V6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-38.687167776736807</v>
      </c>
      <c r="W6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89.986469731180279</v>
      </c>
      <c r="X67" s="1">
        <f>IF(Octane[[#This Row],[Yaw]]&gt;V66,(360-ABS(Octane[[#This Row],[Yaw]])-ABS(V66)),ABS(Octane[[#This Row],[Yaw]]-V66))</f>
        <v>0.79202593002782606</v>
      </c>
      <c r="Y67" s="1">
        <f>Octane[[#This Row],[Degree change]]+Y66</f>
        <v>7.8381728558076631</v>
      </c>
      <c r="Z67" s="1">
        <f>SQRT(Octane[[#This Row],[vel_X]]*Octane[[#This Row],[vel_X]]+Octane[[#This Row],[vel_Y]]*Octane[[#This Row],[vel_Y]]+Octane[[#This Row],[vel_Z]]*Octane[[#This Row],[vel_Z]])</f>
        <v>2299.9905542904389</v>
      </c>
    </row>
    <row r="68" spans="1:26">
      <c r="A68">
        <v>67</v>
      </c>
      <c r="B68" s="1">
        <v>203.199997</v>
      </c>
      <c r="C68" s="1">
        <v>2156.919922</v>
      </c>
      <c r="D68" s="1">
        <v>17.010000000000002</v>
      </c>
      <c r="E68" s="1">
        <v>-1402.1899410000001</v>
      </c>
      <c r="F68" s="1">
        <v>1823.119995</v>
      </c>
      <c r="G68" s="1">
        <v>8.0999990000000004</v>
      </c>
      <c r="H68" s="1">
        <v>1.1000000000000001E-3</v>
      </c>
      <c r="I68" s="1">
        <v>-1.6000000000000001E-3</v>
      </c>
      <c r="J68" s="1">
        <v>1.7221</v>
      </c>
      <c r="K68" s="1">
        <v>-4.2859999999999999E-3</v>
      </c>
      <c r="L68" s="1">
        <v>2.1440000000000001E-3</v>
      </c>
      <c r="M68" s="1">
        <v>0.90442599999999995</v>
      </c>
      <c r="N68" s="1">
        <v>0.42660300000000001</v>
      </c>
      <c r="O68">
        <v>1</v>
      </c>
      <c r="P68">
        <v>0</v>
      </c>
      <c r="Q68">
        <v>1</v>
      </c>
      <c r="R68">
        <v>1</v>
      </c>
      <c r="S68">
        <v>1</v>
      </c>
      <c r="T68" s="1">
        <f>SQRT(POWER(Octane[[#This Row],[angvel_X]],2) + POWER(Octane[[#This Row],[angvel_Y]],2) + POWER(Octane[[#This Row],[angvel_Z]],2))</f>
        <v>1.7221010945934621</v>
      </c>
      <c r="U68" s="1">
        <f>DEGREES(ASIN(MAX(-1,MIN(1,2 * (Octane[[#This Row],[quart_W]]*Octane[[#This Row],[quart_Y]] - Octane[[#This Row],[quart_Z]]*Octane[[#This Row],[quart_X]])))))</f>
        <v>0.54901732494518074</v>
      </c>
      <c r="V6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-39.495062036938528</v>
      </c>
      <c r="W6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89.987317697487683</v>
      </c>
      <c r="X68" s="1">
        <f>IF(Octane[[#This Row],[Yaw]]&gt;V67,(360-ABS(Octane[[#This Row],[Yaw]])-ABS(V67)),ABS(Octane[[#This Row],[Yaw]]-V67))</f>
        <v>0.80789426020172073</v>
      </c>
      <c r="Y68" s="1">
        <f>Octane[[#This Row],[Degree change]]+Y67</f>
        <v>8.6460671160093838</v>
      </c>
      <c r="Z68" s="1">
        <f>SQRT(Octane[[#This Row],[vel_X]]*Octane[[#This Row],[vel_X]]+Octane[[#This Row],[vel_Y]]*Octane[[#This Row],[vel_Y]]+Octane[[#This Row],[vel_Z]]*Octane[[#This Row],[vel_Z]])</f>
        <v>2299.9932079887071</v>
      </c>
    </row>
    <row r="69" spans="1:26">
      <c r="A69">
        <v>68</v>
      </c>
      <c r="B69" s="1">
        <v>191.470001</v>
      </c>
      <c r="C69" s="1">
        <v>2172.169922</v>
      </c>
      <c r="D69" s="1">
        <v>17.010000000000002</v>
      </c>
      <c r="E69" s="1">
        <v>-1423.9799800000001</v>
      </c>
      <c r="F69" s="1">
        <v>1806.1599120000001</v>
      </c>
      <c r="G69" s="1">
        <v>8.0999990000000004</v>
      </c>
      <c r="H69" s="1">
        <v>1.1999999999999999E-3</v>
      </c>
      <c r="I69" s="1">
        <v>-1.6999999999999999E-3</v>
      </c>
      <c r="J69" s="1">
        <v>1.7483</v>
      </c>
      <c r="K69" s="1">
        <v>-4.3080000000000002E-3</v>
      </c>
      <c r="L69" s="1">
        <v>2.1069999999999999E-3</v>
      </c>
      <c r="M69" s="1">
        <v>0.90746400000000005</v>
      </c>
      <c r="N69" s="1">
        <v>0.42010199999999998</v>
      </c>
      <c r="O69">
        <v>1</v>
      </c>
      <c r="P69">
        <v>0</v>
      </c>
      <c r="Q69">
        <v>1</v>
      </c>
      <c r="R69">
        <v>1</v>
      </c>
      <c r="S69">
        <v>1</v>
      </c>
      <c r="T69" s="1">
        <f>SQRT(POWER(Octane[[#This Row],[angvel_X]],2) + POWER(Octane[[#This Row],[angvel_Y]],2) + POWER(Octane[[#This Row],[angvel_Z]],2))</f>
        <v>1.7483012383453831</v>
      </c>
      <c r="U69" s="1">
        <f>DEGREES(ASIN(MAX(-1,MIN(1,2 * (Octane[[#This Row],[quart_W]]*Octane[[#This Row],[quart_Y]] - Octane[[#This Row],[quart_Z]]*Octane[[#This Row],[quart_X]])))))</f>
        <v>0.54941877572541598</v>
      </c>
      <c r="V6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-40.317363376898896</v>
      </c>
      <c r="W6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89.988285083426803</v>
      </c>
      <c r="X69" s="1">
        <f>IF(Octane[[#This Row],[Yaw]]&gt;V68,(360-ABS(Octane[[#This Row],[Yaw]])-ABS(V68)),ABS(Octane[[#This Row],[Yaw]]-V68))</f>
        <v>0.82230133996036869</v>
      </c>
      <c r="Y69" s="1">
        <f>Octane[[#This Row],[Degree change]]+Y68</f>
        <v>9.4683684559697525</v>
      </c>
      <c r="Z69" s="1">
        <f>SQRT(Octane[[#This Row],[vel_X]]*Octane[[#This Row],[vel_X]]+Octane[[#This Row],[vel_Y]]*Octane[[#This Row],[vel_Y]]+Octane[[#This Row],[vel_Z]]*Octane[[#This Row],[vel_Z]])</f>
        <v>2299.9996132913693</v>
      </c>
    </row>
    <row r="70" spans="1:26">
      <c r="A70">
        <v>69</v>
      </c>
      <c r="B70" s="1">
        <v>179.55999800000001</v>
      </c>
      <c r="C70" s="1">
        <v>2187.2700199999999</v>
      </c>
      <c r="D70" s="1">
        <v>17.010000000000002</v>
      </c>
      <c r="E70" s="1">
        <v>-1446.2700199999999</v>
      </c>
      <c r="F70" s="1">
        <v>1788.349976</v>
      </c>
      <c r="G70" s="1">
        <v>8.0999990000000004</v>
      </c>
      <c r="H70" s="1">
        <v>1.1999999999999999E-3</v>
      </c>
      <c r="I70" s="1">
        <v>-1.6999999999999999E-3</v>
      </c>
      <c r="J70" s="1">
        <v>1.7716000000000001</v>
      </c>
      <c r="K70" s="1">
        <v>-4.3290000000000004E-3</v>
      </c>
      <c r="L70" s="1">
        <v>2.0690000000000001E-3</v>
      </c>
      <c r="M70" s="1">
        <v>0.91049899999999995</v>
      </c>
      <c r="N70" s="1">
        <v>0.41348299999999999</v>
      </c>
      <c r="O70">
        <v>1</v>
      </c>
      <c r="P70">
        <v>0</v>
      </c>
      <c r="Q70">
        <v>1</v>
      </c>
      <c r="R70">
        <v>1</v>
      </c>
      <c r="S70">
        <v>1</v>
      </c>
      <c r="T70" s="1">
        <f>SQRT(POWER(Octane[[#This Row],[angvel_X]],2) + POWER(Octane[[#This Row],[angvel_Y]],2) + POWER(Octane[[#This Row],[angvel_Z]],2))</f>
        <v>1.771601222058734</v>
      </c>
      <c r="U70" s="1">
        <f>DEGREES(ASIN(MAX(-1,MIN(1,2 * (Octane[[#This Row],[quart_W]]*Octane[[#This Row],[quart_Y]] - Octane[[#This Row],[quart_Z]]*Octane[[#This Row],[quart_X]])))))</f>
        <v>0.54970947029659445</v>
      </c>
      <c r="V7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-41.151787709672249</v>
      </c>
      <c r="W7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89.989244568697899</v>
      </c>
      <c r="X70" s="1">
        <f>IF(Octane[[#This Row],[Yaw]]&gt;V69,(360-ABS(Octane[[#This Row],[Yaw]])-ABS(V69)),ABS(Octane[[#This Row],[Yaw]]-V69))</f>
        <v>0.83442433277335226</v>
      </c>
      <c r="Y70" s="1">
        <f>Octane[[#This Row],[Degree change]]+Y69</f>
        <v>10.302792788743105</v>
      </c>
      <c r="Z70" s="1">
        <f>SQRT(Octane[[#This Row],[vel_X]]*Octane[[#This Row],[vel_X]]+Octane[[#This Row],[vel_Y]]*Octane[[#This Row],[vel_Y]]+Octane[[#This Row],[vel_Z]]*Octane[[#This Row],[vel_Z]])</f>
        <v>2299.9909168068034</v>
      </c>
    </row>
    <row r="71" spans="1:26">
      <c r="A71">
        <v>70</v>
      </c>
      <c r="B71" s="1">
        <v>167.459991</v>
      </c>
      <c r="C71" s="1">
        <v>2202.219971</v>
      </c>
      <c r="D71" s="1">
        <v>17.010000000000002</v>
      </c>
      <c r="E71" s="1">
        <v>-1468.9799800000001</v>
      </c>
      <c r="F71" s="1">
        <v>1769.73999</v>
      </c>
      <c r="G71" s="1">
        <v>8.0999990000000004</v>
      </c>
      <c r="H71" s="1">
        <v>1.1999999999999999E-3</v>
      </c>
      <c r="I71" s="1">
        <v>-1.6999999999999999E-3</v>
      </c>
      <c r="J71" s="1">
        <v>1.7923</v>
      </c>
      <c r="K71" s="1">
        <v>-4.3509999999999998E-3</v>
      </c>
      <c r="L71" s="1">
        <v>2.0309999999999998E-3</v>
      </c>
      <c r="M71" s="1">
        <v>0.91352699999999998</v>
      </c>
      <c r="N71" s="1">
        <v>0.40675</v>
      </c>
      <c r="O71">
        <v>1</v>
      </c>
      <c r="P71">
        <v>0</v>
      </c>
      <c r="Q71">
        <v>1</v>
      </c>
      <c r="R71">
        <v>1</v>
      </c>
      <c r="S71">
        <v>1</v>
      </c>
      <c r="T71" s="1">
        <f>SQRT(POWER(Octane[[#This Row],[angvel_X]],2) + POWER(Octane[[#This Row],[angvel_Y]],2) + POWER(Octane[[#This Row],[angvel_Z]],2))</f>
        <v>1.7923012079446914</v>
      </c>
      <c r="U71" s="1">
        <f>DEGREES(ASIN(MAX(-1,MIN(1,2 * (Octane[[#This Row],[quart_W]]*Octane[[#This Row],[quart_Y]] - Octane[[#This Row],[quart_Z]]*Octane[[#This Row],[quart_X]])))))</f>
        <v>0.55014708456316153</v>
      </c>
      <c r="V7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-41.997796970656282</v>
      </c>
      <c r="W7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89.990190041947542</v>
      </c>
      <c r="X71" s="1">
        <f>IF(Octane[[#This Row],[Yaw]]&gt;V70,(360-ABS(Octane[[#This Row],[Yaw]])-ABS(V70)),ABS(Octane[[#This Row],[Yaw]]-V70))</f>
        <v>0.84600926098403306</v>
      </c>
      <c r="Y71" s="1">
        <f>Octane[[#This Row],[Degree change]]+Y70</f>
        <v>11.148802049727138</v>
      </c>
      <c r="Z71" s="1">
        <f>SQRT(Octane[[#This Row],[vel_X]]*Octane[[#This Row],[vel_X]]+Octane[[#This Row],[vel_Y]]*Octane[[#This Row],[vel_Y]]+Octane[[#This Row],[vel_Z]]*Octane[[#This Row],[vel_Z]])</f>
        <v>2299.9885703693835</v>
      </c>
    </row>
    <row r="72" spans="1:26">
      <c r="A72">
        <v>71</v>
      </c>
      <c r="B72" s="1">
        <v>155.16999799999999</v>
      </c>
      <c r="C72" s="1">
        <v>2217.0200199999999</v>
      </c>
      <c r="D72" s="1">
        <v>17.010000000000002</v>
      </c>
      <c r="E72" s="1">
        <v>-1492.0399170000001</v>
      </c>
      <c r="F72" s="1">
        <v>1750.349976</v>
      </c>
      <c r="G72" s="1">
        <v>8.0999990000000004</v>
      </c>
      <c r="H72" s="1">
        <v>1.1999999999999999E-3</v>
      </c>
      <c r="I72" s="1">
        <v>-1.6000000000000001E-3</v>
      </c>
      <c r="J72" s="1">
        <v>1.8108</v>
      </c>
      <c r="K72" s="1">
        <v>-4.372E-3</v>
      </c>
      <c r="L72" s="1">
        <v>1.993E-3</v>
      </c>
      <c r="M72" s="1">
        <v>0.91654000000000002</v>
      </c>
      <c r="N72" s="1">
        <v>0.39991500000000002</v>
      </c>
      <c r="O72">
        <v>1</v>
      </c>
      <c r="P72">
        <v>0</v>
      </c>
      <c r="Q72">
        <v>1</v>
      </c>
      <c r="R72">
        <v>1</v>
      </c>
      <c r="S72">
        <v>1</v>
      </c>
      <c r="T72" s="1">
        <f>SQRT(POWER(Octane[[#This Row],[angvel_X]],2) + POWER(Octane[[#This Row],[angvel_Y]],2) + POWER(Octane[[#This Row],[angvel_Z]],2))</f>
        <v>1.810801104483869</v>
      </c>
      <c r="U72" s="1">
        <f>DEGREES(ASIN(MAX(-1,MIN(1,2 * (Octane[[#This Row],[quart_W]]*Octane[[#This Row],[quart_Y]] - Octane[[#This Row],[quart_Z]]*Octane[[#This Row],[quart_X]])))))</f>
        <v>0.55052276144201551</v>
      </c>
      <c r="V7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-42.853780834573556</v>
      </c>
      <c r="W7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89.991034419229294</v>
      </c>
      <c r="X72" s="1">
        <f>IF(Octane[[#This Row],[Yaw]]&gt;V71,(360-ABS(Octane[[#This Row],[Yaw]])-ABS(V71)),ABS(Octane[[#This Row],[Yaw]]-V71))</f>
        <v>0.85598386391727388</v>
      </c>
      <c r="Y72" s="1">
        <f>Octane[[#This Row],[Degree change]]+Y71</f>
        <v>12.004785913644412</v>
      </c>
      <c r="Z72" s="1">
        <f>SQRT(Octane[[#This Row],[vel_X]]*Octane[[#This Row],[vel_X]]+Octane[[#This Row],[vel_Y]]*Octane[[#This Row],[vel_Y]]+Octane[[#This Row],[vel_Z]]*Octane[[#This Row],[vel_Z]])</f>
        <v>2299.9942961643114</v>
      </c>
    </row>
    <row r="73" spans="1:26">
      <c r="A73">
        <v>72</v>
      </c>
      <c r="B73" s="1">
        <v>142.69000199999999</v>
      </c>
      <c r="C73" s="1">
        <v>2231.6599120000001</v>
      </c>
      <c r="D73" s="1">
        <v>17.010000000000002</v>
      </c>
      <c r="E73" s="1">
        <v>-1515.369995</v>
      </c>
      <c r="F73" s="1">
        <v>1730.1899410000001</v>
      </c>
      <c r="G73" s="1">
        <v>8.0999990000000004</v>
      </c>
      <c r="H73" s="1">
        <v>1.1999999999999999E-3</v>
      </c>
      <c r="I73" s="1">
        <v>-1.4E-3</v>
      </c>
      <c r="J73" s="1">
        <v>1.8273999999999999</v>
      </c>
      <c r="K73" s="1">
        <v>-4.3940000000000003E-3</v>
      </c>
      <c r="L73" s="1">
        <v>1.9559999999999998E-3</v>
      </c>
      <c r="M73" s="1">
        <v>0.91953099999999999</v>
      </c>
      <c r="N73" s="1">
        <v>0.392988</v>
      </c>
      <c r="O73">
        <v>1</v>
      </c>
      <c r="P73">
        <v>0</v>
      </c>
      <c r="Q73">
        <v>1</v>
      </c>
      <c r="R73">
        <v>1</v>
      </c>
      <c r="S73">
        <v>1</v>
      </c>
      <c r="T73" s="1">
        <f>SQRT(POWER(Octane[[#This Row],[angvel_X]],2) + POWER(Octane[[#This Row],[angvel_Y]],2) + POWER(Octane[[#This Row],[angvel_Z]],2))</f>
        <v>1.8274009302832259</v>
      </c>
      <c r="U73" s="1">
        <f>DEGREES(ASIN(MAX(-1,MIN(1,2 * (Octane[[#This Row],[quart_W]]*Octane[[#This Row],[quart_Y]] - Octane[[#This Row],[quart_Z]]*Octane[[#This Row],[quart_X]])))))</f>
        <v>0.55109119243698002</v>
      </c>
      <c r="V7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-43.718371121016652</v>
      </c>
      <c r="W7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89.991770413964062</v>
      </c>
      <c r="X73" s="1">
        <f>IF(Octane[[#This Row],[Yaw]]&gt;V72,(360-ABS(Octane[[#This Row],[Yaw]])-ABS(V72)),ABS(Octane[[#This Row],[Yaw]]-V72))</f>
        <v>0.86459028644309655</v>
      </c>
      <c r="Y73" s="1">
        <f>Octane[[#This Row],[Degree change]]+Y72</f>
        <v>12.869376200087508</v>
      </c>
      <c r="Z73" s="1">
        <f>SQRT(Octane[[#This Row],[vel_X]]*Octane[[#This Row],[vel_X]]+Octane[[#This Row],[vel_Y]]*Octane[[#This Row],[vel_Y]]+Octane[[#This Row],[vel_Z]]*Octane[[#This Row],[vel_Z]])</f>
        <v>2299.9932747005337</v>
      </c>
    </row>
    <row r="74" spans="1:26">
      <c r="A74">
        <v>73</v>
      </c>
      <c r="B74" s="1">
        <v>130.009995</v>
      </c>
      <c r="C74" s="1">
        <v>2246.1298830000001</v>
      </c>
      <c r="D74" s="1">
        <v>17.010000000000002</v>
      </c>
      <c r="E74" s="1">
        <v>-1538.9099120000001</v>
      </c>
      <c r="F74" s="1">
        <v>1709.2899170000001</v>
      </c>
      <c r="G74" s="1">
        <v>8.0999990000000004</v>
      </c>
      <c r="H74" s="1">
        <v>1.1999999999999999E-3</v>
      </c>
      <c r="I74" s="1">
        <v>-1.1999999999999999E-3</v>
      </c>
      <c r="J74" s="1">
        <v>1.8423</v>
      </c>
      <c r="K74" s="1">
        <v>-4.4099999999999999E-3</v>
      </c>
      <c r="L74" s="1">
        <v>1.918E-3</v>
      </c>
      <c r="M74" s="1">
        <v>0.92249700000000001</v>
      </c>
      <c r="N74" s="1">
        <v>0.38597500000000001</v>
      </c>
      <c r="O74">
        <v>1</v>
      </c>
      <c r="P74">
        <v>0</v>
      </c>
      <c r="Q74">
        <v>1</v>
      </c>
      <c r="R74">
        <v>1</v>
      </c>
      <c r="S74">
        <v>1</v>
      </c>
      <c r="T74" s="1">
        <f>SQRT(POWER(Octane[[#This Row],[angvel_X]],2) + POWER(Octane[[#This Row],[angvel_Y]],2) + POWER(Octane[[#This Row],[angvel_Z]],2))</f>
        <v>1.8423007816314902</v>
      </c>
      <c r="U74" s="1">
        <f>DEGREES(ASIN(MAX(-1,MIN(1,2 * (Octane[[#This Row],[quart_W]]*Octane[[#This Row],[quart_Y]] - Octane[[#This Row],[quart_Z]]*Octane[[#This Row],[quart_X]])))))</f>
        <v>0.55102336003490693</v>
      </c>
      <c r="V7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-44.590952155692335</v>
      </c>
      <c r="W7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89.992299148841511</v>
      </c>
      <c r="X74" s="1">
        <f>IF(Octane[[#This Row],[Yaw]]&gt;V73,(360-ABS(Octane[[#This Row],[Yaw]])-ABS(V73)),ABS(Octane[[#This Row],[Yaw]]-V73))</f>
        <v>0.87258103467568304</v>
      </c>
      <c r="Y74" s="1">
        <f>Octane[[#This Row],[Degree change]]+Y73</f>
        <v>13.741957234763191</v>
      </c>
      <c r="Z74" s="1">
        <f>SQRT(Octane[[#This Row],[vel_X]]*Octane[[#This Row],[vel_X]]+Octane[[#This Row],[vel_Y]]*Octane[[#This Row],[vel_Y]]+Octane[[#This Row],[vel_Z]]*Octane[[#This Row],[vel_Z]])</f>
        <v>2299.9959451254508</v>
      </c>
    </row>
    <row r="75" spans="1:26">
      <c r="A75">
        <v>74</v>
      </c>
      <c r="B75" s="1">
        <v>117.139999</v>
      </c>
      <c r="C75" s="1">
        <v>2260.419922</v>
      </c>
      <c r="D75" s="1">
        <v>17.010000000000002</v>
      </c>
      <c r="E75" s="1">
        <v>-1562.589966</v>
      </c>
      <c r="F75" s="1">
        <v>1687.669922</v>
      </c>
      <c r="G75" s="1">
        <v>8.0999990000000004</v>
      </c>
      <c r="H75" s="1">
        <v>1.1999999999999999E-3</v>
      </c>
      <c r="I75" s="1">
        <v>-1.1000000000000001E-3</v>
      </c>
      <c r="J75" s="1">
        <v>1.8556999999999999</v>
      </c>
      <c r="K75" s="1">
        <v>-4.4260000000000002E-3</v>
      </c>
      <c r="L75" s="1">
        <v>1.8799999999999999E-3</v>
      </c>
      <c r="M75" s="1">
        <v>0.92543299999999995</v>
      </c>
      <c r="N75" s="1">
        <v>0.37888100000000002</v>
      </c>
      <c r="O75">
        <v>1</v>
      </c>
      <c r="P75">
        <v>0</v>
      </c>
      <c r="Q75">
        <v>1</v>
      </c>
      <c r="R75">
        <v>1</v>
      </c>
      <c r="S75">
        <v>1</v>
      </c>
      <c r="T75" s="1">
        <f>SQRT(POWER(Octane[[#This Row],[angvel_X]],2) + POWER(Octane[[#This Row],[angvel_Y]],2) + POWER(Octane[[#This Row],[angvel_Z]],2))</f>
        <v>1.8557007140161368</v>
      </c>
      <c r="U75" s="1">
        <f>DEGREES(ASIN(MAX(-1,MIN(1,2 * (Octane[[#This Row],[quart_W]]*Octane[[#This Row],[quart_Y]] - Octane[[#This Row],[quart_Z]]*Octane[[#This Row],[quart_X]])))))</f>
        <v>0.55099481602026235</v>
      </c>
      <c r="V7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-45.470730394406509</v>
      </c>
      <c r="W7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89.992793377856799</v>
      </c>
      <c r="X75" s="1">
        <f>IF(Octane[[#This Row],[Yaw]]&gt;V74,(360-ABS(Octane[[#This Row],[Yaw]])-ABS(V74)),ABS(Octane[[#This Row],[Yaw]]-V74))</f>
        <v>0.87977823871417371</v>
      </c>
      <c r="Y75" s="1">
        <f>Octane[[#This Row],[Degree change]]+Y74</f>
        <v>14.621735473477365</v>
      </c>
      <c r="Z75" s="1">
        <f>SQRT(Octane[[#This Row],[vel_X]]*Octane[[#This Row],[vel_X]]+Octane[[#This Row],[vel_Y]]*Octane[[#This Row],[vel_Y]]+Octane[[#This Row],[vel_Z]]*Octane[[#This Row],[vel_Z]])</f>
        <v>2299.9962559645978</v>
      </c>
    </row>
    <row r="76" spans="1:26">
      <c r="A76">
        <v>75</v>
      </c>
      <c r="B76" s="1">
        <v>104.07</v>
      </c>
      <c r="C76" s="1">
        <v>2274.530029</v>
      </c>
      <c r="D76" s="1">
        <v>17.010000000000002</v>
      </c>
      <c r="E76" s="1">
        <v>-1586.349976</v>
      </c>
      <c r="F76" s="1">
        <v>1665.349976</v>
      </c>
      <c r="G76" s="1">
        <v>8.0999990000000004</v>
      </c>
      <c r="H76" s="1">
        <v>1.1999999999999999E-3</v>
      </c>
      <c r="I76" s="1">
        <v>-1E-3</v>
      </c>
      <c r="J76" s="1">
        <v>1.8676999999999999</v>
      </c>
      <c r="K76" s="1">
        <v>-4.4429999999999999E-3</v>
      </c>
      <c r="L76" s="1">
        <v>1.8370000000000001E-3</v>
      </c>
      <c r="M76" s="1">
        <v>0.92833399999999999</v>
      </c>
      <c r="N76" s="1">
        <v>0.37171599999999999</v>
      </c>
      <c r="O76">
        <v>1</v>
      </c>
      <c r="P76">
        <v>0</v>
      </c>
      <c r="Q76">
        <v>1</v>
      </c>
      <c r="R76">
        <v>1</v>
      </c>
      <c r="S76">
        <v>1</v>
      </c>
      <c r="T76" s="1">
        <f>SQRT(POWER(Octane[[#This Row],[angvel_X]],2) + POWER(Octane[[#This Row],[angvel_Y]],2) + POWER(Octane[[#This Row],[angvel_Z]],2))</f>
        <v>1.867700653209716</v>
      </c>
      <c r="U76" s="1">
        <f>DEGREES(ASIN(MAX(-1,MIN(1,2 * (Octane[[#This Row],[quart_W]]*Octane[[#This Row],[quart_Y]] - Octane[[#This Row],[quart_Z]]*Octane[[#This Row],[quart_X]])))))</f>
        <v>0.55089941597031766</v>
      </c>
      <c r="V7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-46.356521168554174</v>
      </c>
      <c r="W7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89.993832927774434</v>
      </c>
      <c r="X76" s="1">
        <f>IF(Octane[[#This Row],[Yaw]]&gt;V75,(360-ABS(Octane[[#This Row],[Yaw]])-ABS(V75)),ABS(Octane[[#This Row],[Yaw]]-V75))</f>
        <v>0.88579077414766516</v>
      </c>
      <c r="Y76" s="1">
        <f>Octane[[#This Row],[Degree change]]+Y75</f>
        <v>15.50752624762503</v>
      </c>
      <c r="Z76" s="1">
        <f>SQRT(Octane[[#This Row],[vel_X]]*Octane[[#This Row],[vel_X]]+Octane[[#This Row],[vel_Y]]*Octane[[#This Row],[vel_Y]]+Octane[[#This Row],[vel_Z]]*Octane[[#This Row],[vel_Z]])</f>
        <v>2299.9918258337793</v>
      </c>
    </row>
    <row r="77" spans="1:26">
      <c r="A77">
        <v>76</v>
      </c>
      <c r="B77" s="1">
        <v>90.799994999999996</v>
      </c>
      <c r="C77" s="1">
        <v>2288.459961</v>
      </c>
      <c r="D77" s="1">
        <v>17.010000000000002</v>
      </c>
      <c r="E77" s="1">
        <v>-1610.1400149999999</v>
      </c>
      <c r="F77" s="1">
        <v>1642.3599850000001</v>
      </c>
      <c r="G77" s="1">
        <v>8.0999990000000004</v>
      </c>
      <c r="H77" s="1">
        <v>1.1999999999999999E-3</v>
      </c>
      <c r="I77" s="1">
        <v>-8.9999999999999998E-4</v>
      </c>
      <c r="J77" s="1">
        <v>1.8785000000000001</v>
      </c>
      <c r="K77" s="1">
        <v>-4.4590000000000003E-3</v>
      </c>
      <c r="L77" s="1">
        <v>1.794E-3</v>
      </c>
      <c r="M77" s="1">
        <v>0.93119799999999997</v>
      </c>
      <c r="N77" s="1">
        <v>0.36448199999999997</v>
      </c>
      <c r="O77">
        <v>1</v>
      </c>
      <c r="P77">
        <v>0</v>
      </c>
      <c r="Q77">
        <v>1</v>
      </c>
      <c r="R77">
        <v>1</v>
      </c>
      <c r="S77">
        <v>1</v>
      </c>
      <c r="T77" s="1">
        <f>SQRT(POWER(Octane[[#This Row],[angvel_X]],2) + POWER(Octane[[#This Row],[angvel_Y]],2) + POWER(Octane[[#This Row],[angvel_Z]],2))</f>
        <v>1.8785005988819914</v>
      </c>
      <c r="U77" s="1">
        <f>DEGREES(ASIN(MAX(-1,MIN(1,2 * (Octane[[#This Row],[quart_W]]*Octane[[#This Row],[quart_Y]] - Octane[[#This Row],[quart_Z]]*Octane[[#This Row],[quart_X]])))))</f>
        <v>0.55074612388332711</v>
      </c>
      <c r="V7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-47.248088343924231</v>
      </c>
      <c r="W7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89.994803723261555</v>
      </c>
      <c r="X77" s="1">
        <f>IF(Octane[[#This Row],[Yaw]]&gt;V76,(360-ABS(Octane[[#This Row],[Yaw]])-ABS(V76)),ABS(Octane[[#This Row],[Yaw]]-V76))</f>
        <v>0.89156717537005648</v>
      </c>
      <c r="Y77" s="1">
        <f>Octane[[#This Row],[Degree change]]+Y76</f>
        <v>16.399093422995087</v>
      </c>
      <c r="Z77" s="1">
        <f>SQRT(Octane[[#This Row],[vel_X]]*Octane[[#This Row],[vel_X]]+Octane[[#This Row],[vel_Y]]*Octane[[#This Row],[vel_Y]]+Octane[[#This Row],[vel_Z]]*Octane[[#This Row],[vel_Z]])</f>
        <v>2299.9919126416949</v>
      </c>
    </row>
    <row r="78" spans="1:26">
      <c r="A78">
        <v>77</v>
      </c>
      <c r="B78" s="1">
        <v>77.330001999999993</v>
      </c>
      <c r="C78" s="1">
        <v>2302.1899410000001</v>
      </c>
      <c r="D78" s="1">
        <v>17.010000000000002</v>
      </c>
      <c r="E78" s="1">
        <v>-1633.9099120000001</v>
      </c>
      <c r="F78" s="1">
        <v>1618.719971</v>
      </c>
      <c r="G78" s="1">
        <v>8.0999990000000004</v>
      </c>
      <c r="H78" s="1">
        <v>1.1000000000000001E-3</v>
      </c>
      <c r="I78" s="1">
        <v>-8.0000000000000004E-4</v>
      </c>
      <c r="J78" s="1">
        <v>1.8882000000000001</v>
      </c>
      <c r="K78" s="1">
        <v>-4.4749999999999998E-3</v>
      </c>
      <c r="L78" s="1">
        <v>1.751E-3</v>
      </c>
      <c r="M78" s="1">
        <v>0.93402200000000002</v>
      </c>
      <c r="N78" s="1">
        <v>0.35718299999999997</v>
      </c>
      <c r="O78">
        <v>1</v>
      </c>
      <c r="P78">
        <v>0</v>
      </c>
      <c r="Q78">
        <v>1</v>
      </c>
      <c r="R78">
        <v>1</v>
      </c>
      <c r="S78">
        <v>1</v>
      </c>
      <c r="T78" s="1">
        <f>SQRT(POWER(Octane[[#This Row],[angvel_X]],2) + POWER(Octane[[#This Row],[angvel_Y]],2) + POWER(Octane[[#This Row],[angvel_Z]],2))</f>
        <v>1.8882004898844826</v>
      </c>
      <c r="U78" s="1">
        <f>DEGREES(ASIN(MAX(-1,MIN(1,2 * (Octane[[#This Row],[quart_W]]*Octane[[#This Row],[quart_Y]] - Octane[[#This Row],[quart_Z]]*Octane[[#This Row],[quart_X]])))))</f>
        <v>0.55064107214675984</v>
      </c>
      <c r="V7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-48.144917739409181</v>
      </c>
      <c r="W7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89.995750909534237</v>
      </c>
      <c r="X78" s="1">
        <f>IF(Octane[[#This Row],[Yaw]]&gt;V77,(360-ABS(Octane[[#This Row],[Yaw]])-ABS(V77)),ABS(Octane[[#This Row],[Yaw]]-V77))</f>
        <v>0.89682939548495</v>
      </c>
      <c r="Y78" s="1">
        <f>Octane[[#This Row],[Degree change]]+Y77</f>
        <v>17.295922818480037</v>
      </c>
      <c r="Z78" s="1">
        <f>SQRT(Octane[[#This Row],[vel_X]]*Octane[[#This Row],[vel_X]]+Octane[[#This Row],[vel_Y]]*Octane[[#This Row],[vel_Y]]+Octane[[#This Row],[vel_Z]]*Octane[[#This Row],[vel_Z]])</f>
        <v>2299.9959902203937</v>
      </c>
    </row>
    <row r="79" spans="1:26">
      <c r="A79">
        <v>78</v>
      </c>
      <c r="B79" s="1">
        <v>63.66</v>
      </c>
      <c r="C79" s="1">
        <v>2315.7299800000001</v>
      </c>
      <c r="D79" s="1">
        <v>17.010000000000002</v>
      </c>
      <c r="E79" s="1">
        <v>-1657.6099850000001</v>
      </c>
      <c r="F79" s="1">
        <v>1594.4399410000001</v>
      </c>
      <c r="G79" s="1">
        <v>8.0999990000000004</v>
      </c>
      <c r="H79" s="1">
        <v>1E-3</v>
      </c>
      <c r="I79" s="1">
        <v>-5.9999999999999995E-4</v>
      </c>
      <c r="J79" s="1">
        <v>1.897</v>
      </c>
      <c r="K79" s="1">
        <v>-4.4910000000000002E-3</v>
      </c>
      <c r="L79" s="1">
        <v>1.707E-3</v>
      </c>
      <c r="M79" s="1">
        <v>0.93680300000000005</v>
      </c>
      <c r="N79" s="1">
        <v>0.34982400000000002</v>
      </c>
      <c r="O79">
        <v>1</v>
      </c>
      <c r="P79">
        <v>0</v>
      </c>
      <c r="Q79">
        <v>1</v>
      </c>
      <c r="R79">
        <v>1</v>
      </c>
      <c r="S79">
        <v>1</v>
      </c>
      <c r="T79" s="1">
        <f>SQRT(POWER(Octane[[#This Row],[angvel_X]],2) + POWER(Octane[[#This Row],[angvel_Y]],2) + POWER(Octane[[#This Row],[angvel_Z]],2))</f>
        <v>1.8970003584606936</v>
      </c>
      <c r="U79" s="1">
        <f>DEGREES(ASIN(MAX(-1,MIN(1,2 * (Octane[[#This Row],[quart_W]]*Octane[[#This Row],[quart_Y]] - Octane[[#This Row],[quart_Z]]*Octane[[#This Row],[quart_X]])))))</f>
        <v>0.55054434759209292</v>
      </c>
      <c r="V7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-49.046407196042537</v>
      </c>
      <c r="W7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89.996784052916425</v>
      </c>
      <c r="X79" s="1">
        <f>IF(Octane[[#This Row],[Yaw]]&gt;V78,(360-ABS(Octane[[#This Row],[Yaw]])-ABS(V78)),ABS(Octane[[#This Row],[Yaw]]-V78))</f>
        <v>0.90148945663335667</v>
      </c>
      <c r="Y79" s="1">
        <f>Octane[[#This Row],[Degree change]]+Y78</f>
        <v>18.197412275113393</v>
      </c>
      <c r="Z79" s="1">
        <f>SQRT(Octane[[#This Row],[vel_X]]*Octane[[#This Row],[vel_X]]+Octane[[#This Row],[vel_Y]]*Octane[[#This Row],[vel_Y]]+Octane[[#This Row],[vel_Z]]*Octane[[#This Row],[vel_Z]])</f>
        <v>2299.9946082135898</v>
      </c>
    </row>
    <row r="80" spans="1:26">
      <c r="A80">
        <v>79</v>
      </c>
      <c r="B80" s="1">
        <v>49.789997</v>
      </c>
      <c r="C80" s="1">
        <v>2329.0600589999999</v>
      </c>
      <c r="D80" s="1">
        <v>17.010000000000002</v>
      </c>
      <c r="E80" s="1">
        <v>-1681.1999510000001</v>
      </c>
      <c r="F80" s="1">
        <v>1569.549927</v>
      </c>
      <c r="G80" s="1">
        <v>8.0999990000000004</v>
      </c>
      <c r="H80" s="1">
        <v>8.9999999999999998E-4</v>
      </c>
      <c r="I80" s="1">
        <v>-5.0000000000000001E-4</v>
      </c>
      <c r="J80" s="1">
        <v>1.9049</v>
      </c>
      <c r="K80" s="1">
        <v>-4.5069999999999997E-3</v>
      </c>
      <c r="L80" s="1">
        <v>1.67E-3</v>
      </c>
      <c r="M80" s="1">
        <v>0.93954000000000004</v>
      </c>
      <c r="N80" s="1">
        <v>0.34240599999999999</v>
      </c>
      <c r="O80">
        <v>1</v>
      </c>
      <c r="P80">
        <v>0</v>
      </c>
      <c r="Q80">
        <v>1</v>
      </c>
      <c r="R80">
        <v>1</v>
      </c>
      <c r="S80">
        <v>1</v>
      </c>
      <c r="T80" s="1">
        <f>SQRT(POWER(Octane[[#This Row],[angvel_X]],2) + POWER(Octane[[#This Row],[angvel_Y]],2) + POWER(Octane[[#This Row],[angvel_Z]],2))</f>
        <v>1.9049002782298081</v>
      </c>
      <c r="U80" s="1">
        <f>DEGREES(ASIN(MAX(-1,MIN(1,2 * (Octane[[#This Row],[quart_W]]*Octane[[#This Row],[quart_Y]] - Octane[[#This Row],[quart_Z]]*Octane[[#This Row],[quart_X]])))))</f>
        <v>0.5507727344186647</v>
      </c>
      <c r="V8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-49.952496790748739</v>
      </c>
      <c r="W8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89.997042489211609</v>
      </c>
      <c r="X80" s="1">
        <f>IF(Octane[[#This Row],[Yaw]]&gt;V79,(360-ABS(Octane[[#This Row],[Yaw]])-ABS(V79)),ABS(Octane[[#This Row],[Yaw]]-V79))</f>
        <v>0.90608959470620221</v>
      </c>
      <c r="Y80" s="1">
        <f>Octane[[#This Row],[Degree change]]+Y79</f>
        <v>19.103501869819596</v>
      </c>
      <c r="Z80" s="1">
        <f>SQRT(Octane[[#This Row],[vel_X]]*Octane[[#This Row],[vel_X]]+Octane[[#This Row],[vel_Y]]*Octane[[#This Row],[vel_Y]]+Octane[[#This Row],[vel_Z]]*Octane[[#This Row],[vel_Z]])</f>
        <v>2299.9969257744469</v>
      </c>
    </row>
    <row r="81" spans="1:26">
      <c r="A81">
        <v>80</v>
      </c>
      <c r="B81" s="1">
        <v>35.729999999999997</v>
      </c>
      <c r="C81" s="1">
        <v>2342.179932</v>
      </c>
      <c r="D81" s="1">
        <v>17.010000000000002</v>
      </c>
      <c r="E81" s="1">
        <v>-1704.6400149999999</v>
      </c>
      <c r="F81" s="1">
        <v>1544.059937</v>
      </c>
      <c r="G81" s="1">
        <v>8.0999990000000004</v>
      </c>
      <c r="H81" s="1">
        <v>8.0000000000000004E-4</v>
      </c>
      <c r="I81" s="1">
        <v>-4.0000000000000002E-4</v>
      </c>
      <c r="J81" s="1">
        <v>1.9120999999999999</v>
      </c>
      <c r="K81" s="1">
        <v>-4.5240000000000002E-3</v>
      </c>
      <c r="L81" s="1">
        <v>1.632E-3</v>
      </c>
      <c r="M81" s="1">
        <v>0.94222700000000004</v>
      </c>
      <c r="N81" s="1">
        <v>0.33494000000000002</v>
      </c>
      <c r="O81">
        <v>1</v>
      </c>
      <c r="P81">
        <v>0</v>
      </c>
      <c r="Q81">
        <v>1</v>
      </c>
      <c r="R81">
        <v>1</v>
      </c>
      <c r="S81">
        <v>1</v>
      </c>
      <c r="T81" s="1">
        <f>SQRT(POWER(Octane[[#This Row],[angvel_X]],2) + POWER(Octane[[#This Row],[angvel_Y]],2) + POWER(Octane[[#This Row],[angvel_Z]],2))</f>
        <v>1.9121002091940682</v>
      </c>
      <c r="U81" s="1">
        <f>DEGREES(ASIN(MAX(-1,MIN(1,2 * (Octane[[#This Row],[quart_W]]*Octane[[#This Row],[quart_Y]] - Octane[[#This Row],[quart_Z]]*Octane[[#This Row],[quart_X]])))))</f>
        <v>0.55110875853126051</v>
      </c>
      <c r="V8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-50.861742826338585</v>
      </c>
      <c r="W8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89.997427769877262</v>
      </c>
      <c r="X81" s="1">
        <f>IF(Octane[[#This Row],[Yaw]]&gt;V80,(360-ABS(Octane[[#This Row],[Yaw]])-ABS(V80)),ABS(Octane[[#This Row],[Yaw]]-V80))</f>
        <v>0.90924603558984529</v>
      </c>
      <c r="Y81" s="1">
        <f>Octane[[#This Row],[Degree change]]+Y80</f>
        <v>20.012747905409441</v>
      </c>
      <c r="Z81" s="1">
        <f>SQRT(Octane[[#This Row],[vel_X]]*Octane[[#This Row],[vel_X]]+Octane[[#This Row],[vel_Y]]*Octane[[#This Row],[vel_Y]]+Octane[[#This Row],[vel_Z]]*Octane[[#This Row],[vel_Z]])</f>
        <v>2299.9965825564705</v>
      </c>
    </row>
    <row r="82" spans="1:26">
      <c r="A82">
        <v>81</v>
      </c>
      <c r="B82" s="1">
        <v>21.469999000000001</v>
      </c>
      <c r="C82" s="1">
        <v>2355.0898440000001</v>
      </c>
      <c r="D82" s="1">
        <v>17.010000000000002</v>
      </c>
      <c r="E82" s="1">
        <v>-1727.8900149999999</v>
      </c>
      <c r="F82" s="1">
        <v>1517.98999</v>
      </c>
      <c r="G82" s="1">
        <v>8.0999990000000004</v>
      </c>
      <c r="H82" s="1">
        <v>6.9999999999999999E-4</v>
      </c>
      <c r="I82" s="1">
        <v>-2.9999999999999997E-4</v>
      </c>
      <c r="J82" s="1">
        <v>1.9186000000000001</v>
      </c>
      <c r="K82" s="1">
        <v>-4.5339999999999998E-3</v>
      </c>
      <c r="L82" s="1">
        <v>1.5939999999999999E-3</v>
      </c>
      <c r="M82" s="1">
        <v>0.94486499999999995</v>
      </c>
      <c r="N82" s="1">
        <v>0.32742500000000002</v>
      </c>
      <c r="O82">
        <v>1</v>
      </c>
      <c r="P82">
        <v>0</v>
      </c>
      <c r="Q82">
        <v>1</v>
      </c>
      <c r="R82">
        <v>1</v>
      </c>
      <c r="S82">
        <v>1</v>
      </c>
      <c r="T82" s="1">
        <f>SQRT(POWER(Octane[[#This Row],[angvel_X]],2) + POWER(Octane[[#This Row],[angvel_Y]],2) + POWER(Octane[[#This Row],[angvel_Z]],2))</f>
        <v>1.9186001511518758</v>
      </c>
      <c r="U82" s="1">
        <f>DEGREES(ASIN(MAX(-1,MIN(1,2 * (Octane[[#This Row],[quart_W]]*Octane[[#This Row],[quart_Y]] - Octane[[#This Row],[quart_Z]]*Octane[[#This Row],[quart_X]])))))</f>
        <v>0.55072787662642231</v>
      </c>
      <c r="V8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-51.77444305942943</v>
      </c>
      <c r="W8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89.997528161927178</v>
      </c>
      <c r="X82" s="1">
        <f>IF(Octane[[#This Row],[Yaw]]&gt;V81,(360-ABS(Octane[[#This Row],[Yaw]])-ABS(V81)),ABS(Octane[[#This Row],[Yaw]]-V81))</f>
        <v>0.91270023309084536</v>
      </c>
      <c r="Y82" s="1">
        <f>Octane[[#This Row],[Degree change]]+Y81</f>
        <v>20.925448138500286</v>
      </c>
      <c r="Z82" s="1">
        <f>SQRT(Octane[[#This Row],[vel_X]]*Octane[[#This Row],[vel_X]]+Octane[[#This Row],[vel_Y]]*Octane[[#This Row],[vel_Y]]+Octane[[#This Row],[vel_Z]]*Octane[[#This Row],[vel_Z]])</f>
        <v>2299.9919833905292</v>
      </c>
    </row>
    <row r="83" spans="1:26">
      <c r="A83">
        <v>82</v>
      </c>
      <c r="B83" s="1">
        <v>7.02</v>
      </c>
      <c r="C83" s="1">
        <v>2367.780029</v>
      </c>
      <c r="D83" s="1">
        <v>17.010000000000002</v>
      </c>
      <c r="E83" s="1">
        <v>-1750.919922</v>
      </c>
      <c r="F83" s="1">
        <v>1491.3599850000001</v>
      </c>
      <c r="G83" s="1">
        <v>8.0999990000000004</v>
      </c>
      <c r="H83" s="1">
        <v>5.9999999999999995E-4</v>
      </c>
      <c r="I83" s="1">
        <v>-2.0000000000000001E-4</v>
      </c>
      <c r="J83" s="1">
        <v>1.9245000000000001</v>
      </c>
      <c r="K83" s="1">
        <v>-4.5450000000000004E-3</v>
      </c>
      <c r="L83" s="1">
        <v>1.5560000000000001E-3</v>
      </c>
      <c r="M83" s="1">
        <v>0.94745199999999996</v>
      </c>
      <c r="N83" s="1">
        <v>0.31986100000000001</v>
      </c>
      <c r="O83">
        <v>1</v>
      </c>
      <c r="P83">
        <v>0</v>
      </c>
      <c r="Q83">
        <v>1</v>
      </c>
      <c r="R83">
        <v>1</v>
      </c>
      <c r="S83">
        <v>1</v>
      </c>
      <c r="T83" s="1">
        <f>SQRT(POWER(Octane[[#This Row],[angvel_X]],2) + POWER(Octane[[#This Row],[angvel_Y]],2) + POWER(Octane[[#This Row],[angvel_Z]],2))</f>
        <v>1.924500103923094</v>
      </c>
      <c r="U83" s="1">
        <f>DEGREES(ASIN(MAX(-1,MIN(1,2 * (Octane[[#This Row],[quart_W]]*Octane[[#This Row],[quart_Y]] - Octane[[#This Row],[quart_Z]]*Octane[[#This Row],[quart_X]])))))</f>
        <v>0.55049177227681556</v>
      </c>
      <c r="V8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-52.690496098334606</v>
      </c>
      <c r="W8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89.997654538627231</v>
      </c>
      <c r="X83" s="1">
        <f>IF(Octane[[#This Row],[Yaw]]&gt;V82,(360-ABS(Octane[[#This Row],[Yaw]])-ABS(V82)),ABS(Octane[[#This Row],[Yaw]]-V82))</f>
        <v>0.91605303890517575</v>
      </c>
      <c r="Y83" s="1">
        <f>Octane[[#This Row],[Degree change]]+Y82</f>
        <v>21.841501177405462</v>
      </c>
      <c r="Z83" s="1">
        <f>SQRT(Octane[[#This Row],[vel_X]]*Octane[[#This Row],[vel_X]]+Octane[[#This Row],[vel_Y]]*Octane[[#This Row],[vel_Y]]+Octane[[#This Row],[vel_Z]]*Octane[[#This Row],[vel_Z]])</f>
        <v>2299.9871278116943</v>
      </c>
    </row>
    <row r="84" spans="1:26">
      <c r="A84">
        <v>83</v>
      </c>
      <c r="B84" s="1">
        <v>-7.63</v>
      </c>
      <c r="C84" s="1">
        <v>2380.25</v>
      </c>
      <c r="D84" s="1">
        <v>17.010000000000002</v>
      </c>
      <c r="E84" s="1">
        <v>-1773.709961</v>
      </c>
      <c r="F84" s="1">
        <v>1464.1899410000001</v>
      </c>
      <c r="G84" s="1">
        <v>8.0999990000000004</v>
      </c>
      <c r="H84" s="1">
        <v>5.0000000000000001E-4</v>
      </c>
      <c r="I84" s="1">
        <v>-1E-4</v>
      </c>
      <c r="J84" s="1">
        <v>1.9298</v>
      </c>
      <c r="K84" s="1">
        <v>-4.5560000000000002E-3</v>
      </c>
      <c r="L84" s="1">
        <v>1.519E-3</v>
      </c>
      <c r="M84" s="1">
        <v>0.949986</v>
      </c>
      <c r="N84" s="1">
        <v>0.312255</v>
      </c>
      <c r="O84">
        <v>1</v>
      </c>
      <c r="P84">
        <v>0</v>
      </c>
      <c r="Q84">
        <v>1</v>
      </c>
      <c r="R84">
        <v>1</v>
      </c>
      <c r="S84">
        <v>1</v>
      </c>
      <c r="T84" s="1">
        <f>SQRT(POWER(Octane[[#This Row],[angvel_X]],2) + POWER(Octane[[#This Row],[angvel_Y]],2) + POWER(Octane[[#This Row],[angvel_Z]],2))</f>
        <v>1.9298000673644926</v>
      </c>
      <c r="U84" s="1">
        <f>DEGREES(ASIN(MAX(-1,MIN(1,2 * (Octane[[#This Row],[quart_W]]*Octane[[#This Row],[quart_Y]] - Octane[[#This Row],[quart_Z]]*Octane[[#This Row],[quart_X]])))))</f>
        <v>0.55032887343217163</v>
      </c>
      <c r="V8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-53.609198485297469</v>
      </c>
      <c r="W8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89.997662802613618</v>
      </c>
      <c r="X84" s="1">
        <f>IF(Octane[[#This Row],[Yaw]]&gt;V83,(360-ABS(Octane[[#This Row],[Yaw]])-ABS(V83)),ABS(Octane[[#This Row],[Yaw]]-V83))</f>
        <v>0.91870238696286322</v>
      </c>
      <c r="Y84" s="1">
        <f>Octane[[#This Row],[Degree change]]+Y83</f>
        <v>22.760203564368325</v>
      </c>
      <c r="Z84" s="1">
        <f>SQRT(Octane[[#This Row],[vel_X]]*Octane[[#This Row],[vel_X]]+Octane[[#This Row],[vel_Y]]*Octane[[#This Row],[vel_Y]]+Octane[[#This Row],[vel_Z]]*Octane[[#This Row],[vel_Z]])</f>
        <v>2299.9923519568506</v>
      </c>
    </row>
    <row r="85" spans="1:26">
      <c r="A85">
        <v>84</v>
      </c>
      <c r="B85" s="1">
        <v>-22.469999000000001</v>
      </c>
      <c r="C85" s="1">
        <v>2392.48999</v>
      </c>
      <c r="D85" s="1">
        <v>17.010000000000002</v>
      </c>
      <c r="E85" s="1">
        <v>-1796.209961</v>
      </c>
      <c r="F85" s="1">
        <v>1436.48999</v>
      </c>
      <c r="G85" s="1">
        <v>8.0999990000000004</v>
      </c>
      <c r="H85" s="1">
        <v>4.0000000000000002E-4</v>
      </c>
      <c r="I85" s="1">
        <v>-1E-4</v>
      </c>
      <c r="J85" s="1">
        <v>1.9346000000000001</v>
      </c>
      <c r="K85" s="1">
        <v>-4.5669999999999999E-3</v>
      </c>
      <c r="L85" s="1">
        <v>1.4809999999999999E-3</v>
      </c>
      <c r="M85" s="1">
        <v>0.95246699999999995</v>
      </c>
      <c r="N85" s="1">
        <v>0.30460500000000001</v>
      </c>
      <c r="O85">
        <v>1</v>
      </c>
      <c r="P85">
        <v>0</v>
      </c>
      <c r="Q85">
        <v>1</v>
      </c>
      <c r="R85">
        <v>1</v>
      </c>
      <c r="S85">
        <v>1</v>
      </c>
      <c r="T85" s="1">
        <f>SQRT(POWER(Octane[[#This Row],[angvel_X]],2) + POWER(Octane[[#This Row],[angvel_Y]],2) + POWER(Octane[[#This Row],[angvel_Z]],2))</f>
        <v>1.9346000439367306</v>
      </c>
      <c r="U85" s="1">
        <f>DEGREES(ASIN(MAX(-1,MIN(1,2 * (Octane[[#This Row],[quart_W]]*Octane[[#This Row],[quart_Y]] - Octane[[#This Row],[quart_Z]]*Octane[[#This Row],[quart_X]])))))</f>
        <v>0.55016674559952938</v>
      </c>
      <c r="V8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-54.53081880547365</v>
      </c>
      <c r="W8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89.997768502449745</v>
      </c>
      <c r="X85" s="1">
        <f>IF(Octane[[#This Row],[Yaw]]&gt;V84,(360-ABS(Octane[[#This Row],[Yaw]])-ABS(V84)),ABS(Octane[[#This Row],[Yaw]]-V84))</f>
        <v>0.92162032017618145</v>
      </c>
      <c r="Y85" s="1">
        <f>Octane[[#This Row],[Degree change]]+Y84</f>
        <v>23.681823884544507</v>
      </c>
      <c r="Z85" s="1">
        <f>SQRT(Octane[[#This Row],[vel_X]]*Octane[[#This Row],[vel_X]]+Octane[[#This Row],[vel_Y]]*Octane[[#This Row],[vel_Y]]+Octane[[#This Row],[vel_Z]]*Octane[[#This Row],[vel_Z]])</f>
        <v>2299.9868098207912</v>
      </c>
    </row>
    <row r="86" spans="1:26">
      <c r="A86">
        <v>85</v>
      </c>
      <c r="B86" s="1">
        <v>-37.489998</v>
      </c>
      <c r="C86" s="1">
        <v>2404.5</v>
      </c>
      <c r="D86" s="1">
        <v>17.010000000000002</v>
      </c>
      <c r="E86" s="1">
        <v>-1818.419922</v>
      </c>
      <c r="F86" s="1">
        <v>1408.2899170000001</v>
      </c>
      <c r="G86" s="1">
        <v>8.11</v>
      </c>
      <c r="H86" s="1">
        <v>4.0000000000000002E-4</v>
      </c>
      <c r="I86" s="1">
        <v>-1E-4</v>
      </c>
      <c r="J86" s="1">
        <v>1.9390000000000001</v>
      </c>
      <c r="K86" s="1">
        <v>-4.5779999999999996E-3</v>
      </c>
      <c r="L86" s="1">
        <v>1.4430000000000001E-3</v>
      </c>
      <c r="M86" s="1">
        <v>0.95489100000000005</v>
      </c>
      <c r="N86" s="1">
        <v>0.29691699999999999</v>
      </c>
      <c r="O86">
        <v>1</v>
      </c>
      <c r="P86">
        <v>0</v>
      </c>
      <c r="Q86">
        <v>1</v>
      </c>
      <c r="R86">
        <v>1</v>
      </c>
      <c r="S86">
        <v>1</v>
      </c>
      <c r="T86" s="1">
        <f>SQRT(POWER(Octane[[#This Row],[angvel_X]],2) + POWER(Octane[[#This Row],[angvel_Y]],2) + POWER(Octane[[#This Row],[angvel_Z]],2))</f>
        <v>1.939000043837029</v>
      </c>
      <c r="U86" s="1">
        <f>DEGREES(ASIN(MAX(-1,MIN(1,2 * (Octane[[#This Row],[quart_W]]*Octane[[#This Row],[quart_Y]] - Octane[[#This Row],[quart_Z]]*Octane[[#This Row],[quart_X]])))))</f>
        <v>0.55004131190842742</v>
      </c>
      <c r="V8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-55.454528487850418</v>
      </c>
      <c r="W8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89.997866013520451</v>
      </c>
      <c r="X86" s="1">
        <f>IF(Octane[[#This Row],[Yaw]]&gt;V85,(360-ABS(Octane[[#This Row],[Yaw]])-ABS(V85)),ABS(Octane[[#This Row],[Yaw]]-V85))</f>
        <v>0.9237096823767672</v>
      </c>
      <c r="Y86" s="1">
        <f>Octane[[#This Row],[Degree change]]+Y85</f>
        <v>24.605533566921274</v>
      </c>
      <c r="Z86" s="1">
        <f>SQRT(Octane[[#This Row],[vel_X]]*Octane[[#This Row],[vel_X]]+Octane[[#This Row],[vel_Y]]*Octane[[#This Row],[vel_Y]]+Octane[[#This Row],[vel_Z]]*Octane[[#This Row],[vel_Z]])</f>
        <v>2299.999407641305</v>
      </c>
    </row>
    <row r="87" spans="1:26">
      <c r="A87">
        <v>86</v>
      </c>
      <c r="B87" s="1">
        <v>-52.699997000000003</v>
      </c>
      <c r="C87" s="1">
        <v>2416.2700199999999</v>
      </c>
      <c r="D87" s="1">
        <v>17.010000000000002</v>
      </c>
      <c r="E87" s="1">
        <v>-1840.2899170000001</v>
      </c>
      <c r="F87" s="1">
        <v>1379.579956</v>
      </c>
      <c r="G87" s="1">
        <v>8.11</v>
      </c>
      <c r="H87" s="1">
        <v>2.9999999999999997E-4</v>
      </c>
      <c r="I87" s="1">
        <v>-1E-4</v>
      </c>
      <c r="J87" s="1">
        <v>1.9430000000000001</v>
      </c>
      <c r="K87" s="1">
        <v>-4.5880000000000001E-3</v>
      </c>
      <c r="L87" s="1">
        <v>1.405E-3</v>
      </c>
      <c r="M87" s="1">
        <v>0.95725899999999997</v>
      </c>
      <c r="N87" s="1">
        <v>0.289192</v>
      </c>
      <c r="O87">
        <v>1</v>
      </c>
      <c r="P87">
        <v>0</v>
      </c>
      <c r="Q87">
        <v>1</v>
      </c>
      <c r="R87">
        <v>1</v>
      </c>
      <c r="S87">
        <v>1</v>
      </c>
      <c r="T87" s="1">
        <f>SQRT(POWER(Octane[[#This Row],[angvel_X]],2) + POWER(Octane[[#This Row],[angvel_Y]],2) + POWER(Octane[[#This Row],[angvel_Z]],2))</f>
        <v>1.9430000257334017</v>
      </c>
      <c r="U87" s="1">
        <f>DEGREES(ASIN(MAX(-1,MIN(1,2 * (Octane[[#This Row],[quart_W]]*Octane[[#This Row],[quart_Y]] - Octane[[#This Row],[quart_Z]]*Octane[[#This Row],[quart_X]])))))</f>
        <v>0.54984384127334829</v>
      </c>
      <c r="V8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-56.380426235525931</v>
      </c>
      <c r="W8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89.997921671899121</v>
      </c>
      <c r="X87" s="1">
        <f>IF(Octane[[#This Row],[Yaw]]&gt;V86,(360-ABS(Octane[[#This Row],[Yaw]])-ABS(V86)),ABS(Octane[[#This Row],[Yaw]]-V86))</f>
        <v>0.92589774767551347</v>
      </c>
      <c r="Y87" s="1">
        <f>Octane[[#This Row],[Degree change]]+Y86</f>
        <v>25.531431314596787</v>
      </c>
      <c r="Z87" s="1">
        <f>SQRT(Octane[[#This Row],[vel_X]]*Octane[[#This Row],[vel_X]]+Octane[[#This Row],[vel_Y]]*Octane[[#This Row],[vel_Y]]+Octane[[#This Row],[vel_Z]]*Octane[[#This Row],[vel_Z]])</f>
        <v>2299.9942621034575</v>
      </c>
    </row>
    <row r="88" spans="1:26">
      <c r="A88">
        <v>87</v>
      </c>
      <c r="B88" s="1">
        <v>-68.089995999999999</v>
      </c>
      <c r="C88" s="1">
        <v>2427.8000489999999</v>
      </c>
      <c r="D88" s="1">
        <v>17.010000000000002</v>
      </c>
      <c r="E88" s="1">
        <v>-1861.809937</v>
      </c>
      <c r="F88" s="1">
        <v>1350.400024</v>
      </c>
      <c r="G88" s="1">
        <v>8.11</v>
      </c>
      <c r="H88" s="1">
        <v>2.9999999999999997E-4</v>
      </c>
      <c r="I88" s="1">
        <v>-1E-4</v>
      </c>
      <c r="J88" s="1">
        <v>1.9466000000000001</v>
      </c>
      <c r="K88" s="1">
        <v>-4.5989999999999998E-3</v>
      </c>
      <c r="L88" s="1">
        <v>1.3680000000000001E-3</v>
      </c>
      <c r="M88" s="1">
        <v>0.95956900000000001</v>
      </c>
      <c r="N88" s="1">
        <v>0.28143400000000002</v>
      </c>
      <c r="O88">
        <v>1</v>
      </c>
      <c r="P88">
        <v>0</v>
      </c>
      <c r="Q88">
        <v>1</v>
      </c>
      <c r="R88">
        <v>1</v>
      </c>
      <c r="S88">
        <v>1</v>
      </c>
      <c r="T88" s="1">
        <f>SQRT(POWER(Octane[[#This Row],[angvel_X]],2) + POWER(Octane[[#This Row],[angvel_Y]],2) + POWER(Octane[[#This Row],[angvel_Z]],2))</f>
        <v>1.9466000256858109</v>
      </c>
      <c r="U88" s="1">
        <f>DEGREES(ASIN(MAX(-1,MIN(1,2 * (Octane[[#This Row],[quart_W]]*Octane[[#This Row],[quart_Y]] - Octane[[#This Row],[quart_Z]]*Octane[[#This Row],[quart_X]])))))</f>
        <v>0.5498255620466862</v>
      </c>
      <c r="V8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-57.308042755995778</v>
      </c>
      <c r="W8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89.99789423432901</v>
      </c>
      <c r="X88" s="1">
        <f>IF(Octane[[#This Row],[Yaw]]&gt;V87,(360-ABS(Octane[[#This Row],[Yaw]])-ABS(V87)),ABS(Octane[[#This Row],[Yaw]]-V87))</f>
        <v>0.92761652046984722</v>
      </c>
      <c r="Y88" s="1">
        <f>Octane[[#This Row],[Degree change]]+Y87</f>
        <v>26.459047835066634</v>
      </c>
      <c r="Z88" s="1">
        <f>SQRT(Octane[[#This Row],[vel_X]]*Octane[[#This Row],[vel_X]]+Octane[[#This Row],[vel_Y]]*Octane[[#This Row],[vel_Y]]+Octane[[#This Row],[vel_Z]]*Octane[[#This Row],[vel_Z]])</f>
        <v>2299.9961387861381</v>
      </c>
    </row>
    <row r="89" spans="1:26">
      <c r="A89">
        <v>88</v>
      </c>
      <c r="B89" s="1">
        <v>-83.659996000000007</v>
      </c>
      <c r="C89" s="1">
        <v>2439.0898440000001</v>
      </c>
      <c r="D89" s="1">
        <v>17.010000000000002</v>
      </c>
      <c r="E89" s="1">
        <v>-1882.9499510000001</v>
      </c>
      <c r="F89" s="1">
        <v>1320.75</v>
      </c>
      <c r="G89" s="1">
        <v>8.11</v>
      </c>
      <c r="H89" s="1">
        <v>2.9999999999999997E-4</v>
      </c>
      <c r="I89" s="1">
        <v>-1E-4</v>
      </c>
      <c r="J89" s="1">
        <v>1.9499</v>
      </c>
      <c r="K89" s="1">
        <v>-4.6100000000000004E-3</v>
      </c>
      <c r="L89" s="1">
        <v>1.33E-3</v>
      </c>
      <c r="M89" s="1">
        <v>0.96181899999999998</v>
      </c>
      <c r="N89" s="1">
        <v>0.273644</v>
      </c>
      <c r="O89">
        <v>1</v>
      </c>
      <c r="P89">
        <v>0</v>
      </c>
      <c r="Q89">
        <v>1</v>
      </c>
      <c r="R89">
        <v>1</v>
      </c>
      <c r="S89">
        <v>1</v>
      </c>
      <c r="T89" s="1">
        <f>SQRT(POWER(Octane[[#This Row],[angvel_X]],2) + POWER(Octane[[#This Row],[angvel_Y]],2) + POWER(Octane[[#This Row],[angvel_Z]],2))</f>
        <v>1.9499000256423404</v>
      </c>
      <c r="U89" s="1">
        <f>DEGREES(ASIN(MAX(-1,MIN(1,2 * (Octane[[#This Row],[quart_W]]*Octane[[#This Row],[quart_Y]] - Octane[[#This Row],[quart_Z]]*Octane[[#This Row],[quart_X]])))))</f>
        <v>0.54981095862816565</v>
      </c>
      <c r="V8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-58.237184017547385</v>
      </c>
      <c r="W8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89.997969294802814</v>
      </c>
      <c r="X89" s="1">
        <f>IF(Octane[[#This Row],[Yaw]]&gt;V88,(360-ABS(Octane[[#This Row],[Yaw]])-ABS(V88)),ABS(Octane[[#This Row],[Yaw]]-V88))</f>
        <v>0.92914126155160659</v>
      </c>
      <c r="Y89" s="1">
        <f>Octane[[#This Row],[Degree change]]+Y88</f>
        <v>27.388189096618241</v>
      </c>
      <c r="Z89" s="1">
        <f>SQRT(Octane[[#This Row],[vel_X]]*Octane[[#This Row],[vel_X]]+Octane[[#This Row],[vel_Y]]*Octane[[#This Row],[vel_Y]]+Octane[[#This Row],[vel_Z]]*Octane[[#This Row],[vel_Z]])</f>
        <v>2299.9884461820461</v>
      </c>
    </row>
    <row r="90" spans="1:26">
      <c r="A90">
        <v>89</v>
      </c>
      <c r="B90" s="1">
        <v>-99.409996000000007</v>
      </c>
      <c r="C90" s="1">
        <v>2450.1298830000001</v>
      </c>
      <c r="D90" s="1">
        <v>17.010000000000002</v>
      </c>
      <c r="E90" s="1">
        <v>-1903.709961</v>
      </c>
      <c r="F90" s="1">
        <v>1290.6599120000001</v>
      </c>
      <c r="G90" s="1">
        <v>8.11</v>
      </c>
      <c r="H90" s="1">
        <v>2.9999999999999997E-4</v>
      </c>
      <c r="I90" s="1">
        <v>-1E-4</v>
      </c>
      <c r="J90" s="1">
        <v>1.9529000000000001</v>
      </c>
      <c r="K90" s="1">
        <v>-4.6210000000000001E-3</v>
      </c>
      <c r="L90" s="1">
        <v>1.292E-3</v>
      </c>
      <c r="M90" s="1">
        <v>0.96401000000000003</v>
      </c>
      <c r="N90" s="1">
        <v>0.26582099999999997</v>
      </c>
      <c r="O90">
        <v>1</v>
      </c>
      <c r="P90">
        <v>0</v>
      </c>
      <c r="Q90">
        <v>1</v>
      </c>
      <c r="R90">
        <v>1</v>
      </c>
      <c r="S90">
        <v>1</v>
      </c>
      <c r="T90" s="1">
        <f>SQRT(POWER(Octane[[#This Row],[angvel_X]],2) + POWER(Octane[[#This Row],[angvel_Y]],2) + POWER(Octane[[#This Row],[angvel_Z]],2))</f>
        <v>1.9529000256029492</v>
      </c>
      <c r="U90" s="1">
        <f>DEGREES(ASIN(MAX(-1,MIN(1,2 * (Octane[[#This Row],[quart_W]]*Octane[[#This Row],[quart_Y]] - Octane[[#This Row],[quart_Z]]*Octane[[#This Row],[quart_X]])))))</f>
        <v>0.54983374414614972</v>
      </c>
      <c r="V9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-59.168120451497913</v>
      </c>
      <c r="W9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89.998035571989533</v>
      </c>
      <c r="X90" s="1">
        <f>IF(Octane[[#This Row],[Yaw]]&gt;V89,(360-ABS(Octane[[#This Row],[Yaw]])-ABS(V89)),ABS(Octane[[#This Row],[Yaw]]-V89))</f>
        <v>0.93093643395052794</v>
      </c>
      <c r="Y90" s="1">
        <f>Octane[[#This Row],[Degree change]]+Y89</f>
        <v>28.319125530568769</v>
      </c>
      <c r="Z90" s="1">
        <f>SQRT(Octane[[#This Row],[vel_X]]*Octane[[#This Row],[vel_X]]+Octane[[#This Row],[vel_Y]]*Octane[[#This Row],[vel_Y]]+Octane[[#This Row],[vel_Z]]*Octane[[#This Row],[vel_Z]])</f>
        <v>2299.9957382905013</v>
      </c>
    </row>
    <row r="91" spans="1:26">
      <c r="A91">
        <v>90</v>
      </c>
      <c r="B91" s="1">
        <v>-115.329994</v>
      </c>
      <c r="C91" s="1">
        <v>2460.919922</v>
      </c>
      <c r="D91" s="1">
        <v>17.010000000000002</v>
      </c>
      <c r="E91" s="1">
        <v>-1924.049927</v>
      </c>
      <c r="F91" s="1">
        <v>1260.130005</v>
      </c>
      <c r="G91" s="1">
        <v>8.11</v>
      </c>
      <c r="H91" s="1">
        <v>2.9999999999999997E-4</v>
      </c>
      <c r="I91" s="1">
        <v>-1E-4</v>
      </c>
      <c r="J91" s="1">
        <v>1.9556</v>
      </c>
      <c r="K91" s="1">
        <v>-4.6309999999999997E-3</v>
      </c>
      <c r="L91" s="1">
        <v>1.2539999999999999E-3</v>
      </c>
      <c r="M91" s="1">
        <v>0.96614199999999995</v>
      </c>
      <c r="N91" s="1">
        <v>0.257967</v>
      </c>
      <c r="O91">
        <v>1</v>
      </c>
      <c r="P91">
        <v>0</v>
      </c>
      <c r="Q91">
        <v>1</v>
      </c>
      <c r="R91">
        <v>1</v>
      </c>
      <c r="S91">
        <v>1</v>
      </c>
      <c r="T91" s="1">
        <f>SQRT(POWER(Octane[[#This Row],[angvel_X]],2) + POWER(Octane[[#This Row],[angvel_Y]],2) + POWER(Octane[[#This Row],[angvel_Z]],2))</f>
        <v>1.9556000255676005</v>
      </c>
      <c r="U91" s="1">
        <f>DEGREES(ASIN(MAX(-1,MIN(1,2 * (Octane[[#This Row],[quart_W]]*Octane[[#This Row],[quart_Y]] - Octane[[#This Row],[quart_Z]]*Octane[[#This Row],[quart_X]])))))</f>
        <v>0.54978369718709719</v>
      </c>
      <c r="V9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-60.100742264235173</v>
      </c>
      <c r="W9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89.998063669774837</v>
      </c>
      <c r="X91" s="1">
        <f>IF(Octane[[#This Row],[Yaw]]&gt;V90,(360-ABS(Octane[[#This Row],[Yaw]])-ABS(V90)),ABS(Octane[[#This Row],[Yaw]]-V90))</f>
        <v>0.93262181273725986</v>
      </c>
      <c r="Y91" s="1">
        <f>Octane[[#This Row],[Degree change]]+Y90</f>
        <v>29.251747343306029</v>
      </c>
      <c r="Z91" s="1">
        <f>SQRT(Octane[[#This Row],[vel_X]]*Octane[[#This Row],[vel_X]]+Octane[[#This Row],[vel_Y]]*Octane[[#This Row],[vel_Y]]+Octane[[#This Row],[vel_Z]]*Octane[[#This Row],[vel_Z]])</f>
        <v>2299.9916354608781</v>
      </c>
    </row>
    <row r="92" spans="1:26">
      <c r="A92">
        <v>91</v>
      </c>
      <c r="B92" s="1">
        <v>-131.41999799999999</v>
      </c>
      <c r="C92" s="1">
        <v>2471.459961</v>
      </c>
      <c r="D92" s="1">
        <v>17.010000000000002</v>
      </c>
      <c r="E92" s="1">
        <v>-1943.969971</v>
      </c>
      <c r="F92" s="1">
        <v>1229.179932</v>
      </c>
      <c r="G92" s="1">
        <v>8.11</v>
      </c>
      <c r="H92" s="1">
        <v>2.9999999999999997E-4</v>
      </c>
      <c r="I92" s="1">
        <v>-1E-4</v>
      </c>
      <c r="J92" s="1">
        <v>1.958</v>
      </c>
      <c r="K92" s="1">
        <v>-4.6420000000000003E-3</v>
      </c>
      <c r="L92" s="1">
        <v>1.217E-3</v>
      </c>
      <c r="M92" s="1">
        <v>0.96821199999999996</v>
      </c>
      <c r="N92" s="1">
        <v>0.250085</v>
      </c>
      <c r="O92">
        <v>1</v>
      </c>
      <c r="P92">
        <v>0</v>
      </c>
      <c r="Q92">
        <v>1</v>
      </c>
      <c r="R92">
        <v>1</v>
      </c>
      <c r="S92">
        <v>1</v>
      </c>
      <c r="T92" s="1">
        <f>SQRT(POWER(Octane[[#This Row],[angvel_X]],2) + POWER(Octane[[#This Row],[angvel_Y]],2) + POWER(Octane[[#This Row],[angvel_Z]],2))</f>
        <v>1.9580000255362613</v>
      </c>
      <c r="U92" s="1">
        <f>DEGREES(ASIN(MAX(-1,MIN(1,2 * (Octane[[#This Row],[quart_W]]*Octane[[#This Row],[quart_Y]] - Octane[[#This Row],[quart_Z]]*Octane[[#This Row],[quart_X]])))))</f>
        <v>0.54990967681211778</v>
      </c>
      <c r="V9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-61.034585126707356</v>
      </c>
      <c r="W9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89.998003787958851</v>
      </c>
      <c r="X92" s="1">
        <f>IF(Octane[[#This Row],[Yaw]]&gt;V91,(360-ABS(Octane[[#This Row],[Yaw]])-ABS(V91)),ABS(Octane[[#This Row],[Yaw]]-V91))</f>
        <v>0.93384286247218284</v>
      </c>
      <c r="Y92" s="1">
        <f>Octane[[#This Row],[Degree change]]+Y91</f>
        <v>30.185590205778212</v>
      </c>
      <c r="Z92" s="1">
        <f>SQRT(Octane[[#This Row],[vel_X]]*Octane[[#This Row],[vel_X]]+Octane[[#This Row],[vel_Y]]*Octane[[#This Row],[vel_Y]]+Octane[[#This Row],[vel_Z]]*Octane[[#This Row],[vel_Z]])</f>
        <v>2299.9931142247506</v>
      </c>
    </row>
    <row r="93" spans="1:26">
      <c r="A93">
        <v>92</v>
      </c>
      <c r="B93" s="1">
        <v>-147.679993</v>
      </c>
      <c r="C93" s="1">
        <v>2481.73999</v>
      </c>
      <c r="D93" s="1">
        <v>17.010000000000002</v>
      </c>
      <c r="E93" s="1">
        <v>-1963.4499510000001</v>
      </c>
      <c r="F93" s="1">
        <v>1197.8199460000001</v>
      </c>
      <c r="G93" s="1">
        <v>8.11</v>
      </c>
      <c r="H93" s="1">
        <v>2.9999999999999997E-4</v>
      </c>
      <c r="I93" s="1">
        <v>-1E-4</v>
      </c>
      <c r="J93" s="1">
        <v>1.9601999999999999</v>
      </c>
      <c r="K93" s="1">
        <v>-4.653E-3</v>
      </c>
      <c r="L93" s="1">
        <v>1.1789999999999999E-3</v>
      </c>
      <c r="M93" s="1">
        <v>0.97021999999999997</v>
      </c>
      <c r="N93" s="1">
        <v>0.242176</v>
      </c>
      <c r="O93">
        <v>1</v>
      </c>
      <c r="P93">
        <v>0</v>
      </c>
      <c r="Q93">
        <v>1</v>
      </c>
      <c r="R93">
        <v>1</v>
      </c>
      <c r="S93">
        <v>1</v>
      </c>
      <c r="T93" s="1">
        <f>SQRT(POWER(Octane[[#This Row],[angvel_X]],2) + POWER(Octane[[#This Row],[angvel_Y]],2) + POWER(Octane[[#This Row],[angvel_Z]],2))</f>
        <v>1.9602000255076011</v>
      </c>
      <c r="U93" s="1">
        <f>DEGREES(ASIN(MAX(-1,MIN(1,2 * (Octane[[#This Row],[quart_W]]*Octane[[#This Row],[quart_Y]] - Octane[[#This Row],[quart_Z]]*Octane[[#This Row],[quart_X]])))))</f>
        <v>0.55004325260590692</v>
      </c>
      <c r="V9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-61.969632297623477</v>
      </c>
      <c r="W9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89.998046759666252</v>
      </c>
      <c r="X93" s="1">
        <f>IF(Octane[[#This Row],[Yaw]]&gt;V92,(360-ABS(Octane[[#This Row],[Yaw]])-ABS(V92)),ABS(Octane[[#This Row],[Yaw]]-V92))</f>
        <v>0.93504717091612122</v>
      </c>
      <c r="Y93" s="1">
        <f>Octane[[#This Row],[Degree change]]+Y92</f>
        <v>31.120637376694333</v>
      </c>
      <c r="Z93" s="1">
        <f>SQRT(Octane[[#This Row],[vel_X]]*Octane[[#This Row],[vel_X]]+Octane[[#This Row],[vel_Y]]*Octane[[#This Row],[vel_Y]]+Octane[[#This Row],[vel_Z]]*Octane[[#This Row],[vel_Z]])</f>
        <v>2299.9943706925337</v>
      </c>
    </row>
    <row r="94" spans="1:26">
      <c r="A94">
        <v>93</v>
      </c>
      <c r="B94" s="1">
        <v>-164.09999099999999</v>
      </c>
      <c r="C94" s="1">
        <v>2491.75</v>
      </c>
      <c r="D94" s="1">
        <v>17.010000000000002</v>
      </c>
      <c r="E94" s="1">
        <v>-1982.469971</v>
      </c>
      <c r="F94" s="1">
        <v>1166.0699460000001</v>
      </c>
      <c r="G94" s="1">
        <v>8.11</v>
      </c>
      <c r="H94" s="1">
        <v>2.9999999999999997E-4</v>
      </c>
      <c r="I94" s="1">
        <v>-1E-4</v>
      </c>
      <c r="J94" s="1">
        <v>1.9621999999999999</v>
      </c>
      <c r="K94" s="1">
        <v>-4.6639999999999997E-3</v>
      </c>
      <c r="L94" s="1">
        <v>1.1410000000000001E-3</v>
      </c>
      <c r="M94" s="1">
        <v>0.97216599999999997</v>
      </c>
      <c r="N94" s="1">
        <v>0.23424600000000001</v>
      </c>
      <c r="O94">
        <v>1</v>
      </c>
      <c r="P94">
        <v>0</v>
      </c>
      <c r="Q94">
        <v>1</v>
      </c>
      <c r="R94">
        <v>1</v>
      </c>
      <c r="S94">
        <v>1</v>
      </c>
      <c r="T94" s="1">
        <f>SQRT(POWER(Octane[[#This Row],[angvel_X]],2) + POWER(Octane[[#This Row],[angvel_Y]],2) + POWER(Octane[[#This Row],[angvel_Z]],2))</f>
        <v>1.9622000254816021</v>
      </c>
      <c r="U94" s="1">
        <f>DEGREES(ASIN(MAX(-1,MIN(1,2 * (Octane[[#This Row],[quart_W]]*Octane[[#This Row],[quart_Y]] - Octane[[#This Row],[quart_Z]]*Octane[[#This Row],[quart_X]])))))</f>
        <v>0.55021488956661913</v>
      </c>
      <c r="V9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-62.905367345552349</v>
      </c>
      <c r="W9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89.998084162873852</v>
      </c>
      <c r="X94" s="1">
        <f>IF(Octane[[#This Row],[Yaw]]&gt;V93,(360-ABS(Octane[[#This Row],[Yaw]])-ABS(V93)),ABS(Octane[[#This Row],[Yaw]]-V93))</f>
        <v>0.93573504792887263</v>
      </c>
      <c r="Y94" s="1">
        <f>Octane[[#This Row],[Degree change]]+Y93</f>
        <v>32.056372424623206</v>
      </c>
      <c r="Z94" s="1">
        <f>SQRT(Octane[[#This Row],[vel_X]]*Octane[[#This Row],[vel_X]]+Octane[[#This Row],[vel_Y]]*Octane[[#This Row],[vel_Y]]+Octane[[#This Row],[vel_Z]]*Octane[[#This Row],[vel_Z]])</f>
        <v>2299.9939297705077</v>
      </c>
    </row>
    <row r="95" spans="1:26">
      <c r="A95">
        <v>94</v>
      </c>
      <c r="B95" s="1">
        <v>-180.679993</v>
      </c>
      <c r="C95" s="1">
        <v>2501.5</v>
      </c>
      <c r="D95" s="1">
        <v>17.010000000000002</v>
      </c>
      <c r="E95" s="1">
        <v>-2001.0198969999999</v>
      </c>
      <c r="F95" s="1">
        <v>1133.9399410000001</v>
      </c>
      <c r="G95" s="1">
        <v>8.11</v>
      </c>
      <c r="H95" s="1">
        <v>2.9999999999999997E-4</v>
      </c>
      <c r="I95" s="1">
        <v>-1E-4</v>
      </c>
      <c r="J95" s="1">
        <v>1.9641</v>
      </c>
      <c r="K95" s="1">
        <v>-4.6750000000000003E-3</v>
      </c>
      <c r="L95" s="1">
        <v>1.103E-3</v>
      </c>
      <c r="M95" s="1">
        <v>0.97404800000000002</v>
      </c>
      <c r="N95" s="1">
        <v>0.22628799999999999</v>
      </c>
      <c r="O95">
        <v>1</v>
      </c>
      <c r="P95">
        <v>0</v>
      </c>
      <c r="Q95">
        <v>1</v>
      </c>
      <c r="R95">
        <v>1</v>
      </c>
      <c r="S95">
        <v>1</v>
      </c>
      <c r="T95" s="1">
        <f>SQRT(POWER(Octane[[#This Row],[angvel_X]],2) + POWER(Octane[[#This Row],[angvel_Y]],2) + POWER(Octane[[#This Row],[angvel_Z]],2))</f>
        <v>1.9641000254569521</v>
      </c>
      <c r="U95" s="1">
        <f>DEGREES(ASIN(MAX(-1,MIN(1,2 * (Octane[[#This Row],[quart_W]]*Octane[[#This Row],[quart_Y]] - Octane[[#This Row],[quart_Z]]*Octane[[#This Row],[quart_X]])))))</f>
        <v>0.5504226712944682</v>
      </c>
      <c r="V9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-63.842399612282534</v>
      </c>
      <c r="W9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89.998111610814533</v>
      </c>
      <c r="X95" s="1">
        <f>IF(Octane[[#This Row],[Yaw]]&gt;V94,(360-ABS(Octane[[#This Row],[Yaw]])-ABS(V94)),ABS(Octane[[#This Row],[Yaw]]-V94))</f>
        <v>0.93703226673018492</v>
      </c>
      <c r="Y95" s="1">
        <f>Octane[[#This Row],[Degree change]]+Y94</f>
        <v>32.99340469135339</v>
      </c>
      <c r="Z95" s="1">
        <f>SQRT(Octane[[#This Row],[vel_X]]*Octane[[#This Row],[vel_X]]+Octane[[#This Row],[vel_Y]]*Octane[[#This Row],[vel_Y]]+Octane[[#This Row],[vel_Z]]*Octane[[#This Row],[vel_Z]])</f>
        <v>2299.9926500067286</v>
      </c>
    </row>
    <row r="96" spans="1:26">
      <c r="A96">
        <v>95</v>
      </c>
      <c r="B96" s="1">
        <v>-197.41999799999999</v>
      </c>
      <c r="C96" s="1">
        <v>2510.9799800000001</v>
      </c>
      <c r="D96" s="1">
        <v>17.010000000000002</v>
      </c>
      <c r="E96" s="1">
        <v>-2019.089966</v>
      </c>
      <c r="F96" s="1">
        <v>1101.4399410000001</v>
      </c>
      <c r="G96" s="1">
        <v>8.11</v>
      </c>
      <c r="H96" s="1">
        <v>2.9999999999999997E-4</v>
      </c>
      <c r="I96" s="1">
        <v>0</v>
      </c>
      <c r="J96" s="1">
        <v>1.9658</v>
      </c>
      <c r="K96" s="1">
        <v>-4.6849999999999999E-3</v>
      </c>
      <c r="L96" s="1">
        <v>1.065E-3</v>
      </c>
      <c r="M96" s="1">
        <v>0.97586799999999996</v>
      </c>
      <c r="N96" s="1">
        <v>0.218309</v>
      </c>
      <c r="O96">
        <v>1</v>
      </c>
      <c r="P96">
        <v>0</v>
      </c>
      <c r="Q96">
        <v>1</v>
      </c>
      <c r="R96">
        <v>1</v>
      </c>
      <c r="S96">
        <v>1</v>
      </c>
      <c r="T96" s="1">
        <f>SQRT(POWER(Octane[[#This Row],[angvel_X]],2) + POWER(Octane[[#This Row],[angvel_Y]],2) + POWER(Octane[[#This Row],[angvel_Z]],2))</f>
        <v>1.9658000228914436</v>
      </c>
      <c r="U96" s="1">
        <f>DEGREES(ASIN(MAX(-1,MIN(1,2 * (Octane[[#This Row],[quart_W]]*Octane[[#This Row],[quart_Y]] - Octane[[#This Row],[quart_Z]]*Octane[[#This Row],[quart_X]])))))</f>
        <v>0.55055681847963478</v>
      </c>
      <c r="V9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-64.780259122533323</v>
      </c>
      <c r="W9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89.998106658927711</v>
      </c>
      <c r="X96" s="1">
        <f>IF(Octane[[#This Row],[Yaw]]&gt;V95,(360-ABS(Octane[[#This Row],[Yaw]])-ABS(V95)),ABS(Octane[[#This Row],[Yaw]]-V95))</f>
        <v>0.93785951025078873</v>
      </c>
      <c r="Y96" s="1">
        <f>Octane[[#This Row],[Degree change]]+Y95</f>
        <v>33.931264201604179</v>
      </c>
      <c r="Z96" s="1">
        <f>SQRT(Octane[[#This Row],[vel_X]]*Octane[[#This Row],[vel_X]]+Octane[[#This Row],[vel_Y]]*Octane[[#This Row],[vel_Y]]+Octane[[#This Row],[vel_Z]]*Octane[[#This Row],[vel_Z]])</f>
        <v>2299.9913057513859</v>
      </c>
    </row>
    <row r="97" spans="1:26">
      <c r="A97">
        <v>96</v>
      </c>
      <c r="B97" s="1">
        <v>-214.30999800000001</v>
      </c>
      <c r="C97" s="1">
        <v>2520.1899410000001</v>
      </c>
      <c r="D97" s="1">
        <v>17.010000000000002</v>
      </c>
      <c r="E97" s="1">
        <v>-2036.669922</v>
      </c>
      <c r="F97" s="1">
        <v>1068.589966</v>
      </c>
      <c r="G97" s="1">
        <v>8.11</v>
      </c>
      <c r="H97" s="1">
        <v>2.9999999999999997E-4</v>
      </c>
      <c r="I97" s="1">
        <v>0</v>
      </c>
      <c r="J97" s="1">
        <v>1.9673</v>
      </c>
      <c r="K97" s="1">
        <v>-4.6959999999999997E-3</v>
      </c>
      <c r="L97" s="1">
        <v>1.0280000000000001E-3</v>
      </c>
      <c r="M97" s="1">
        <v>0.97762300000000002</v>
      </c>
      <c r="N97" s="1">
        <v>0.210309</v>
      </c>
      <c r="O97">
        <v>1</v>
      </c>
      <c r="P97">
        <v>0</v>
      </c>
      <c r="Q97">
        <v>1</v>
      </c>
      <c r="R97">
        <v>1</v>
      </c>
      <c r="S97">
        <v>1</v>
      </c>
      <c r="T97" s="1">
        <f>SQRT(POWER(Octane[[#This Row],[angvel_X]],2) + POWER(Octane[[#This Row],[angvel_Y]],2) + POWER(Octane[[#This Row],[angvel_Z]],2))</f>
        <v>1.9673000228739896</v>
      </c>
      <c r="U97" s="1">
        <f>DEGREES(ASIN(MAX(-1,MIN(1,2 * (Octane[[#This Row],[quart_W]]*Octane[[#This Row],[quart_Y]] - Octane[[#This Row],[quart_Z]]*Octane[[#This Row],[quart_X]])))))</f>
        <v>0.55086331864832627</v>
      </c>
      <c r="V9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-65.718792419634823</v>
      </c>
      <c r="W9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89.998007690120971</v>
      </c>
      <c r="X97" s="1">
        <f>IF(Octane[[#This Row],[Yaw]]&gt;V96,(360-ABS(Octane[[#This Row],[Yaw]])-ABS(V96)),ABS(Octane[[#This Row],[Yaw]]-V96))</f>
        <v>0.93853329710150035</v>
      </c>
      <c r="Y97" s="1">
        <f>Octane[[#This Row],[Degree change]]+Y96</f>
        <v>34.86979749870568</v>
      </c>
      <c r="Z97" s="1">
        <f>SQRT(Octane[[#This Row],[vel_X]]*Octane[[#This Row],[vel_X]]+Octane[[#This Row],[vel_Y]]*Octane[[#This Row],[vel_Y]]+Octane[[#This Row],[vel_Z]]*Octane[[#This Row],[vel_Z]])</f>
        <v>2299.9944910184822</v>
      </c>
    </row>
    <row r="98" spans="1:26">
      <c r="A98">
        <v>97</v>
      </c>
      <c r="B98" s="1">
        <v>-231.34999099999999</v>
      </c>
      <c r="C98" s="1">
        <v>2529.1198730000001</v>
      </c>
      <c r="D98" s="1">
        <v>17.010000000000002</v>
      </c>
      <c r="E98" s="1">
        <v>-2053.73999</v>
      </c>
      <c r="F98" s="1">
        <v>1035.400024</v>
      </c>
      <c r="G98" s="1">
        <v>8.11</v>
      </c>
      <c r="H98" s="1">
        <v>2.9999999999999997E-4</v>
      </c>
      <c r="I98" s="1">
        <v>0</v>
      </c>
      <c r="J98" s="1">
        <v>1.9686999999999999</v>
      </c>
      <c r="K98" s="1">
        <v>-4.7019999999999996E-3</v>
      </c>
      <c r="L98" s="1">
        <v>9.8999999999999999E-4</v>
      </c>
      <c r="M98" s="1">
        <v>0.97931500000000005</v>
      </c>
      <c r="N98" s="1">
        <v>0.20228699999999999</v>
      </c>
      <c r="O98">
        <v>1</v>
      </c>
      <c r="P98">
        <v>0</v>
      </c>
      <c r="Q98">
        <v>1</v>
      </c>
      <c r="R98">
        <v>1</v>
      </c>
      <c r="S98">
        <v>1</v>
      </c>
      <c r="T98" s="1">
        <f>SQRT(POWER(Octane[[#This Row],[angvel_X]],2) + POWER(Octane[[#This Row],[angvel_Y]],2) + POWER(Octane[[#This Row],[angvel_Z]],2))</f>
        <v>1.9687000228577232</v>
      </c>
      <c r="U98" s="1">
        <f>DEGREES(ASIN(MAX(-1,MIN(1,2 * (Octane[[#This Row],[quart_W]]*Octane[[#This Row],[quart_Y]] - Octane[[#This Row],[quart_Z]]*Octane[[#This Row],[quart_X]])))))</f>
        <v>0.55062129009455385</v>
      </c>
      <c r="V9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-66.65831394900664</v>
      </c>
      <c r="W9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89.997895041955985</v>
      </c>
      <c r="X98" s="1">
        <f>IF(Octane[[#This Row],[Yaw]]&gt;V97,(360-ABS(Octane[[#This Row],[Yaw]])-ABS(V97)),ABS(Octane[[#This Row],[Yaw]]-V97))</f>
        <v>0.93952152937181665</v>
      </c>
      <c r="Y98" s="1">
        <f>Octane[[#This Row],[Degree change]]+Y97</f>
        <v>35.809319028077496</v>
      </c>
      <c r="Z98" s="1">
        <f>SQRT(Octane[[#This Row],[vel_X]]*Octane[[#This Row],[vel_X]]+Octane[[#This Row],[vel_Y]]*Octane[[#This Row],[vel_Y]]+Octane[[#This Row],[vel_Z]]*Octane[[#This Row],[vel_Z]])</f>
        <v>2299.9928104940677</v>
      </c>
    </row>
    <row r="99" spans="1:26">
      <c r="A99">
        <v>98</v>
      </c>
      <c r="B99" s="1">
        <v>-248.529999</v>
      </c>
      <c r="C99" s="1">
        <v>2537.780029</v>
      </c>
      <c r="D99" s="1">
        <v>17.010000000000002</v>
      </c>
      <c r="E99" s="1">
        <v>-2070.3000489999999</v>
      </c>
      <c r="F99" s="1">
        <v>1001.880005</v>
      </c>
      <c r="G99" s="1">
        <v>8.11</v>
      </c>
      <c r="H99" s="1">
        <v>2.9999999999999997E-4</v>
      </c>
      <c r="I99" s="1">
        <v>0</v>
      </c>
      <c r="J99" s="1">
        <v>1.97</v>
      </c>
      <c r="K99" s="1">
        <v>-4.7070000000000002E-3</v>
      </c>
      <c r="L99" s="1">
        <v>9.5200000000000005E-4</v>
      </c>
      <c r="M99" s="1">
        <v>0.98094099999999995</v>
      </c>
      <c r="N99" s="1">
        <v>0.194248</v>
      </c>
      <c r="O99">
        <v>1</v>
      </c>
      <c r="P99">
        <v>0</v>
      </c>
      <c r="Q99">
        <v>1</v>
      </c>
      <c r="R99">
        <v>1</v>
      </c>
      <c r="S99">
        <v>1</v>
      </c>
      <c r="T99" s="1">
        <f>SQRT(POWER(Octane[[#This Row],[angvel_X]],2) + POWER(Octane[[#This Row],[angvel_Y]],2) + POWER(Octane[[#This Row],[angvel_Z]],2))</f>
        <v>1.9700000228426395</v>
      </c>
      <c r="U99" s="1">
        <f>DEGREES(ASIN(MAX(-1,MIN(1,2 * (Octane[[#This Row],[quart_W]]*Octane[[#This Row],[quart_Y]] - Octane[[#This Row],[quart_Z]]*Octane[[#This Row],[quart_X]])))))</f>
        <v>0.55030157898484622</v>
      </c>
      <c r="V9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-67.598174366932753</v>
      </c>
      <c r="W9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89.997761866783605</v>
      </c>
      <c r="X99" s="1">
        <f>IF(Octane[[#This Row],[Yaw]]&gt;V98,(360-ABS(Octane[[#This Row],[Yaw]])-ABS(V98)),ABS(Octane[[#This Row],[Yaw]]-V98))</f>
        <v>0.93986041792611275</v>
      </c>
      <c r="Y99" s="1">
        <f>Octane[[#This Row],[Degree change]]+Y98</f>
        <v>36.749179446003609</v>
      </c>
      <c r="Z99" s="1">
        <f>SQRT(Octane[[#This Row],[vel_X]]*Octane[[#This Row],[vel_X]]+Octane[[#This Row],[vel_Y]]*Octane[[#This Row],[vel_Y]]+Octane[[#This Row],[vel_Z]]*Octane[[#This Row],[vel_Z]])</f>
        <v>2299.993828123937</v>
      </c>
    </row>
    <row r="100" spans="1:26">
      <c r="A100">
        <v>99</v>
      </c>
      <c r="B100" s="1">
        <v>-265.85000600000001</v>
      </c>
      <c r="C100" s="1">
        <v>2546.1599120000001</v>
      </c>
      <c r="D100" s="1">
        <v>17.010000000000002</v>
      </c>
      <c r="E100" s="1">
        <v>-2086.3298340000001</v>
      </c>
      <c r="F100" s="1">
        <v>968.04998799999998</v>
      </c>
      <c r="G100" s="1">
        <v>8.11</v>
      </c>
      <c r="H100" s="1">
        <v>2.9999999999999997E-4</v>
      </c>
      <c r="I100" s="1">
        <v>0</v>
      </c>
      <c r="J100" s="1">
        <v>1.9711000000000001</v>
      </c>
      <c r="K100" s="1">
        <v>-4.712E-3</v>
      </c>
      <c r="L100" s="1">
        <v>9.1399999999999999E-4</v>
      </c>
      <c r="M100" s="1">
        <v>0.98250199999999999</v>
      </c>
      <c r="N100" s="1">
        <v>0.18618899999999999</v>
      </c>
      <c r="O100">
        <v>1</v>
      </c>
      <c r="P100">
        <v>0</v>
      </c>
      <c r="Q100">
        <v>1</v>
      </c>
      <c r="R100">
        <v>1</v>
      </c>
      <c r="S100">
        <v>1</v>
      </c>
      <c r="T100" s="1">
        <f>SQRT(POWER(Octane[[#This Row],[angvel_X]],2) + POWER(Octane[[#This Row],[angvel_Y]],2) + POWER(Octane[[#This Row],[angvel_Z]],2))</f>
        <v>1.9711000228298918</v>
      </c>
      <c r="U100" s="1">
        <f>DEGREES(ASIN(MAX(-1,MIN(1,2 * (Octane[[#This Row],[quart_W]]*Octane[[#This Row],[quart_Y]] - Octane[[#This Row],[quart_Z]]*Octane[[#This Row],[quart_X]])))))</f>
        <v>0.5500165522299022</v>
      </c>
      <c r="V10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-68.538824133106317</v>
      </c>
      <c r="W10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89.997629649182755</v>
      </c>
      <c r="X100" s="1">
        <f>IF(Octane[[#This Row],[Yaw]]&gt;V99,(360-ABS(Octane[[#This Row],[Yaw]])-ABS(V99)),ABS(Octane[[#This Row],[Yaw]]-V99))</f>
        <v>0.94064976617356422</v>
      </c>
      <c r="Y100" s="1">
        <f>Octane[[#This Row],[Degree change]]+Y99</f>
        <v>37.689829212177173</v>
      </c>
      <c r="Z100" s="1">
        <f>SQRT(Octane[[#This Row],[vel_X]]*Octane[[#This Row],[vel_X]]+Octane[[#This Row],[vel_Y]]*Octane[[#This Row],[vel_Y]]+Octane[[#This Row],[vel_Z]]*Octane[[#This Row],[vel_Z]])</f>
        <v>2299.991027722775</v>
      </c>
    </row>
    <row r="101" spans="1:26">
      <c r="A101">
        <v>100</v>
      </c>
      <c r="B101" s="1">
        <v>-283.29998799999998</v>
      </c>
      <c r="C101" s="1">
        <v>2554.25</v>
      </c>
      <c r="D101" s="1">
        <v>17.010000000000002</v>
      </c>
      <c r="E101" s="1">
        <v>-2101.8298340000001</v>
      </c>
      <c r="F101" s="1">
        <v>933.90997300000004</v>
      </c>
      <c r="G101" s="1">
        <v>8.11</v>
      </c>
      <c r="H101" s="1">
        <v>2.9999999999999997E-4</v>
      </c>
      <c r="I101" s="1">
        <v>0</v>
      </c>
      <c r="J101" s="1">
        <v>1.9721</v>
      </c>
      <c r="K101" s="1">
        <v>-4.718E-3</v>
      </c>
      <c r="L101" s="1">
        <v>8.7699999999999996E-4</v>
      </c>
      <c r="M101" s="1">
        <v>0.98399800000000004</v>
      </c>
      <c r="N101" s="1">
        <v>0.17811299999999999</v>
      </c>
      <c r="O101">
        <v>1</v>
      </c>
      <c r="P101">
        <v>0</v>
      </c>
      <c r="Q101">
        <v>1</v>
      </c>
      <c r="R101">
        <v>1</v>
      </c>
      <c r="S101">
        <v>1</v>
      </c>
      <c r="T101" s="1">
        <f>SQRT(POWER(Octane[[#This Row],[angvel_X]],2) + POWER(Octane[[#This Row],[angvel_Y]],2) + POWER(Octane[[#This Row],[angvel_Z]],2))</f>
        <v>1.9721000228183154</v>
      </c>
      <c r="U101" s="1">
        <f>DEGREES(ASIN(MAX(-1,MIN(1,2 * (Octane[[#This Row],[quart_W]]*Octane[[#This Row],[quart_Y]] - Octane[[#This Row],[quart_Z]]*Octane[[#This Row],[quart_X]])))))</f>
        <v>0.54989983477736692</v>
      </c>
      <c r="V10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-69.480020019400541</v>
      </c>
      <c r="W10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89.997406775341375</v>
      </c>
      <c r="X101" s="1">
        <f>IF(Octane[[#This Row],[Yaw]]&gt;V100,(360-ABS(Octane[[#This Row],[Yaw]])-ABS(V100)),ABS(Octane[[#This Row],[Yaw]]-V100))</f>
        <v>0.94119588629422424</v>
      </c>
      <c r="Y101" s="1">
        <f>Octane[[#This Row],[Degree change]]+Y100</f>
        <v>38.631025098471397</v>
      </c>
      <c r="Z101" s="1">
        <f>SQRT(Octane[[#This Row],[vel_X]]*Octane[[#This Row],[vel_X]]+Octane[[#This Row],[vel_Y]]*Octane[[#This Row],[vel_Y]]+Octane[[#This Row],[vel_Z]]*Octane[[#This Row],[vel_Z]])</f>
        <v>2299.9874479790815</v>
      </c>
    </row>
    <row r="102" spans="1:26">
      <c r="A102">
        <v>101</v>
      </c>
      <c r="B102" s="1">
        <v>-300.88000499999998</v>
      </c>
      <c r="C102" s="1">
        <v>2562.0600589999999</v>
      </c>
      <c r="D102" s="1">
        <v>17.010000000000002</v>
      </c>
      <c r="E102" s="1">
        <v>-2116.8000489999999</v>
      </c>
      <c r="F102" s="1">
        <v>899.47997999999995</v>
      </c>
      <c r="G102" s="1">
        <v>8.11</v>
      </c>
      <c r="H102" s="1">
        <v>2.9999999999999997E-4</v>
      </c>
      <c r="I102" s="1">
        <v>0</v>
      </c>
      <c r="J102" s="1">
        <v>1.9731000000000001</v>
      </c>
      <c r="K102" s="1">
        <v>-4.7229999999999998E-3</v>
      </c>
      <c r="L102" s="1">
        <v>8.3900000000000001E-4</v>
      </c>
      <c r="M102" s="1">
        <v>0.985429</v>
      </c>
      <c r="N102" s="1">
        <v>0.17002</v>
      </c>
      <c r="O102">
        <v>1</v>
      </c>
      <c r="P102">
        <v>0</v>
      </c>
      <c r="Q102">
        <v>1</v>
      </c>
      <c r="R102">
        <v>1</v>
      </c>
      <c r="S102">
        <v>1</v>
      </c>
      <c r="T102" s="1">
        <f>SQRT(POWER(Octane[[#This Row],[angvel_X]],2) + POWER(Octane[[#This Row],[angvel_Y]],2) + POWER(Octane[[#This Row],[angvel_Z]],2))</f>
        <v>1.9731000228067508</v>
      </c>
      <c r="U102" s="1">
        <f>DEGREES(ASIN(MAX(-1,MIN(1,2 * (Octane[[#This Row],[quart_W]]*Octane[[#This Row],[quart_Y]] - Octane[[#This Row],[quart_Z]]*Octane[[#This Row],[quart_X]])))))</f>
        <v>0.54968442504413839</v>
      </c>
      <c r="V10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-70.421825431797373</v>
      </c>
      <c r="W10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89.997275979308412</v>
      </c>
      <c r="X102" s="1">
        <f>IF(Octane[[#This Row],[Yaw]]&gt;V101,(360-ABS(Octane[[#This Row],[Yaw]])-ABS(V101)),ABS(Octane[[#This Row],[Yaw]]-V101))</f>
        <v>0.9418054123968318</v>
      </c>
      <c r="Y102" s="1">
        <f>Octane[[#This Row],[Degree change]]+Y101</f>
        <v>39.572830510868229</v>
      </c>
      <c r="Z102" s="1">
        <f>SQRT(Octane[[#This Row],[vel_X]]*Octane[[#This Row],[vel_X]]+Octane[[#This Row],[vel_Y]]*Octane[[#This Row],[vel_Y]]+Octane[[#This Row],[vel_Z]]*Octane[[#This Row],[vel_Z]])</f>
        <v>2299.9940117242049</v>
      </c>
    </row>
    <row r="103" spans="1:26">
      <c r="A103">
        <v>102</v>
      </c>
      <c r="B103" s="1">
        <v>-318.57998700000002</v>
      </c>
      <c r="C103" s="1">
        <v>2569.5798340000001</v>
      </c>
      <c r="D103" s="1">
        <v>17.010000000000002</v>
      </c>
      <c r="E103" s="1">
        <v>-2131.209961</v>
      </c>
      <c r="F103" s="1">
        <v>864.76995799999997</v>
      </c>
      <c r="G103" s="1">
        <v>8.11</v>
      </c>
      <c r="H103" s="1">
        <v>2.9999999999999997E-4</v>
      </c>
      <c r="I103" s="1">
        <v>0</v>
      </c>
      <c r="J103" s="1">
        <v>1.974</v>
      </c>
      <c r="K103" s="1">
        <v>-4.7289999999999997E-3</v>
      </c>
      <c r="L103" s="1">
        <v>8.0099999999999995E-4</v>
      </c>
      <c r="M103" s="1">
        <v>0.98679399999999995</v>
      </c>
      <c r="N103" s="1">
        <v>0.161912</v>
      </c>
      <c r="O103">
        <v>1</v>
      </c>
      <c r="P103">
        <v>0</v>
      </c>
      <c r="Q103">
        <v>1</v>
      </c>
      <c r="R103">
        <v>1</v>
      </c>
      <c r="S103">
        <v>1</v>
      </c>
      <c r="T103" s="1">
        <f>SQRT(POWER(Octane[[#This Row],[angvel_X]],2) + POWER(Octane[[#This Row],[angvel_Y]],2) + POWER(Octane[[#This Row],[angvel_Z]],2))</f>
        <v>1.9740000227963523</v>
      </c>
      <c r="U103" s="1">
        <f>DEGREES(ASIN(MAX(-1,MIN(1,2 * (Octane[[#This Row],[quart_W]]*Octane[[#This Row],[quart_Y]] - Octane[[#This Row],[quart_Z]]*Octane[[#This Row],[quart_X]])))))</f>
        <v>0.54961708691419764</v>
      </c>
      <c r="V10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-71.36403625958971</v>
      </c>
      <c r="W10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89.9971648576565</v>
      </c>
      <c r="X103" s="1">
        <f>IF(Octane[[#This Row],[Yaw]]&gt;V102,(360-ABS(Octane[[#This Row],[Yaw]])-ABS(V102)),ABS(Octane[[#This Row],[Yaw]]-V102))</f>
        <v>0.94221082779233711</v>
      </c>
      <c r="Y103" s="1">
        <f>Octane[[#This Row],[Degree change]]+Y102</f>
        <v>40.515041338660566</v>
      </c>
      <c r="Z103" s="1">
        <f>SQRT(Octane[[#This Row],[vel_X]]*Octane[[#This Row],[vel_X]]+Octane[[#This Row],[vel_Y]]*Octane[[#This Row],[vel_Y]]+Octane[[#This Row],[vel_Z]]*Octane[[#This Row],[vel_Z]])</f>
        <v>2299.9888587175683</v>
      </c>
    </row>
    <row r="104" spans="1:26">
      <c r="A104">
        <v>103</v>
      </c>
      <c r="B104" s="1">
        <v>-336.41000400000001</v>
      </c>
      <c r="C104" s="1">
        <v>2576.8100589999999</v>
      </c>
      <c r="D104" s="1">
        <v>17.010000000000002</v>
      </c>
      <c r="E104" s="1">
        <v>-2145.070068</v>
      </c>
      <c r="F104" s="1">
        <v>829.79998799999998</v>
      </c>
      <c r="G104" s="1">
        <v>8.11</v>
      </c>
      <c r="H104" s="1">
        <v>4.0000000000000002E-4</v>
      </c>
      <c r="I104" s="1">
        <v>0</v>
      </c>
      <c r="J104" s="1">
        <v>1.9748000000000001</v>
      </c>
      <c r="K104" s="1">
        <v>-4.7340000000000004E-3</v>
      </c>
      <c r="L104" s="1">
        <v>7.6300000000000001E-4</v>
      </c>
      <c r="M104" s="1">
        <v>0.98809100000000005</v>
      </c>
      <c r="N104" s="1">
        <v>0.15379300000000001</v>
      </c>
      <c r="O104">
        <v>1</v>
      </c>
      <c r="P104">
        <v>0</v>
      </c>
      <c r="Q104">
        <v>1</v>
      </c>
      <c r="R104">
        <v>1</v>
      </c>
      <c r="S104">
        <v>1</v>
      </c>
      <c r="T104" s="1">
        <f>SQRT(POWER(Octane[[#This Row],[angvel_X]],2) + POWER(Octane[[#This Row],[angvel_Y]],2) + POWER(Octane[[#This Row],[angvel_Z]],2))</f>
        <v>1.9748000405104311</v>
      </c>
      <c r="U104" s="1">
        <f>DEGREES(ASIN(MAX(-1,MIN(1,2 * (Octane[[#This Row],[quart_W]]*Octane[[#This Row],[quart_Y]] - Octane[[#This Row],[quart_Z]]*Octane[[#This Row],[quart_X]])))))</f>
        <v>0.54947114957001708</v>
      </c>
      <c r="V10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-72.306183713795136</v>
      </c>
      <c r="W10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89.997036827283424</v>
      </c>
      <c r="X104" s="1">
        <f>IF(Octane[[#This Row],[Yaw]]&gt;V103,(360-ABS(Octane[[#This Row],[Yaw]])-ABS(V103)),ABS(Octane[[#This Row],[Yaw]]-V103))</f>
        <v>0.94214745420542556</v>
      </c>
      <c r="Y104" s="1">
        <f>Octane[[#This Row],[Degree change]]+Y103</f>
        <v>41.457188792865992</v>
      </c>
      <c r="Z104" s="1">
        <f>SQRT(Octane[[#This Row],[vel_X]]*Octane[[#This Row],[vel_X]]+Octane[[#This Row],[vel_Y]]*Octane[[#This Row],[vel_Y]]+Octane[[#This Row],[vel_Z]]*Octane[[#This Row],[vel_Z]])</f>
        <v>2299.9911714644309</v>
      </c>
    </row>
    <row r="105" spans="1:26">
      <c r="A105">
        <v>104</v>
      </c>
      <c r="B105" s="1">
        <v>-354.35000600000001</v>
      </c>
      <c r="C105" s="1">
        <v>2583.75</v>
      </c>
      <c r="D105" s="1">
        <v>17.010000000000002</v>
      </c>
      <c r="E105" s="1">
        <v>-2158.3698730000001</v>
      </c>
      <c r="F105" s="1">
        <v>794.57995600000004</v>
      </c>
      <c r="G105" s="1">
        <v>8.11</v>
      </c>
      <c r="H105" s="1">
        <v>4.0000000000000002E-4</v>
      </c>
      <c r="I105" s="1">
        <v>-1E-4</v>
      </c>
      <c r="J105" s="1">
        <v>1.9755</v>
      </c>
      <c r="K105" s="1">
        <v>-4.7390000000000002E-3</v>
      </c>
      <c r="L105" s="1">
        <v>7.2000000000000005E-4</v>
      </c>
      <c r="M105" s="1">
        <v>0.98932299999999995</v>
      </c>
      <c r="N105" s="1">
        <v>0.14565700000000001</v>
      </c>
      <c r="O105">
        <v>1</v>
      </c>
      <c r="P105">
        <v>0</v>
      </c>
      <c r="Q105">
        <v>1</v>
      </c>
      <c r="R105">
        <v>1</v>
      </c>
      <c r="S105">
        <v>1</v>
      </c>
      <c r="T105" s="1">
        <f>SQRT(POWER(Octane[[#This Row],[angvel_X]],2) + POWER(Octane[[#This Row],[angvel_Y]],2) + POWER(Octane[[#This Row],[angvel_Z]],2))</f>
        <v>1.9755000430270813</v>
      </c>
      <c r="U105" s="1">
        <f>DEGREES(ASIN(MAX(-1,MIN(1,2 * (Octane[[#This Row],[quart_W]]*Octane[[#This Row],[quart_Y]] - Octane[[#This Row],[quart_Z]]*Octane[[#This Row],[quart_X]])))))</f>
        <v>0.54927723844576981</v>
      </c>
      <c r="V10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-73.249138858926031</v>
      </c>
      <c r="W10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89.997473823349083</v>
      </c>
      <c r="X105" s="1">
        <f>IF(Octane[[#This Row],[Yaw]]&gt;V104,(360-ABS(Octane[[#This Row],[Yaw]])-ABS(V104)),ABS(Octane[[#This Row],[Yaw]]-V104))</f>
        <v>0.94295514513089529</v>
      </c>
      <c r="Y105" s="1">
        <f>Octane[[#This Row],[Degree change]]+Y104</f>
        <v>42.400143937996887</v>
      </c>
      <c r="Z105" s="1">
        <f>SQRT(Octane[[#This Row],[vel_X]]*Octane[[#This Row],[vel_X]]+Octane[[#This Row],[vel_Y]]*Octane[[#This Row],[vel_Y]]+Octane[[#This Row],[vel_Z]]*Octane[[#This Row],[vel_Z]])</f>
        <v>2299.9964320083191</v>
      </c>
    </row>
    <row r="106" spans="1:26">
      <c r="A106">
        <v>105</v>
      </c>
      <c r="B106" s="1">
        <v>-372.39999399999999</v>
      </c>
      <c r="C106" s="1">
        <v>2590.389893</v>
      </c>
      <c r="D106" s="1">
        <v>17.010000000000002</v>
      </c>
      <c r="E106" s="1">
        <v>-2171.0998540000001</v>
      </c>
      <c r="F106" s="1">
        <v>759.10998500000005</v>
      </c>
      <c r="G106" s="1">
        <v>8.11</v>
      </c>
      <c r="H106" s="1">
        <v>4.0000000000000002E-4</v>
      </c>
      <c r="I106" s="1">
        <v>-1E-4</v>
      </c>
      <c r="J106" s="1">
        <v>1.9761</v>
      </c>
      <c r="K106" s="1">
        <v>-4.7450000000000001E-3</v>
      </c>
      <c r="L106" s="1">
        <v>6.7699999999999998E-4</v>
      </c>
      <c r="M106" s="1">
        <v>0.99048899999999995</v>
      </c>
      <c r="N106" s="1">
        <v>0.13751099999999999</v>
      </c>
      <c r="O106">
        <v>1</v>
      </c>
      <c r="P106">
        <v>0</v>
      </c>
      <c r="Q106">
        <v>1</v>
      </c>
      <c r="R106">
        <v>1</v>
      </c>
      <c r="S106">
        <v>1</v>
      </c>
      <c r="T106" s="1">
        <f>SQRT(POWER(Octane[[#This Row],[angvel_X]],2) + POWER(Octane[[#This Row],[angvel_Y]],2) + POWER(Octane[[#This Row],[angvel_Z]],2))</f>
        <v>1.976100043014017</v>
      </c>
      <c r="U106" s="1">
        <f>DEGREES(ASIN(MAX(-1,MIN(1,2 * (Octane[[#This Row],[quart_W]]*Octane[[#This Row],[quart_Y]] - Octane[[#This Row],[quart_Z]]*Octane[[#This Row],[quart_X]])))))</f>
        <v>0.5492417724474955</v>
      </c>
      <c r="V10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-74.192155795330095</v>
      </c>
      <c r="W10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89.997929079761988</v>
      </c>
      <c r="X106" s="1">
        <f>IF(Octane[[#This Row],[Yaw]]&gt;V105,(360-ABS(Octane[[#This Row],[Yaw]])-ABS(V105)),ABS(Octane[[#This Row],[Yaw]]-V105))</f>
        <v>0.9430169364040637</v>
      </c>
      <c r="Y106" s="1">
        <f>Octane[[#This Row],[Degree change]]+Y105</f>
        <v>43.343160874400951</v>
      </c>
      <c r="Z106" s="1">
        <f>SQRT(Octane[[#This Row],[vel_X]]*Octane[[#This Row],[vel_X]]+Octane[[#This Row],[vel_Y]]*Octane[[#This Row],[vel_Y]]+Octane[[#This Row],[vel_Z]]*Octane[[#This Row],[vel_Z]])</f>
        <v>2299.9974603171895</v>
      </c>
    </row>
    <row r="107" spans="1:26">
      <c r="A107">
        <v>106</v>
      </c>
      <c r="B107" s="1">
        <v>-390.55999800000001</v>
      </c>
      <c r="C107" s="1">
        <v>2596.7299800000001</v>
      </c>
      <c r="D107" s="1">
        <v>17.010000000000002</v>
      </c>
      <c r="E107" s="1">
        <v>-2183.25</v>
      </c>
      <c r="F107" s="1">
        <v>723.40997300000004</v>
      </c>
      <c r="G107" s="1">
        <v>8.11</v>
      </c>
      <c r="H107" s="1">
        <v>4.0000000000000002E-4</v>
      </c>
      <c r="I107" s="1">
        <v>-1E-4</v>
      </c>
      <c r="J107" s="1">
        <v>1.9766999999999999</v>
      </c>
      <c r="K107" s="1">
        <v>-4.7499999999999999E-3</v>
      </c>
      <c r="L107" s="1">
        <v>6.3400000000000001E-4</v>
      </c>
      <c r="M107" s="1">
        <v>0.99158800000000002</v>
      </c>
      <c r="N107" s="1">
        <v>0.12934899999999999</v>
      </c>
      <c r="O107">
        <v>1</v>
      </c>
      <c r="P107">
        <v>0</v>
      </c>
      <c r="Q107">
        <v>1</v>
      </c>
      <c r="R107">
        <v>1</v>
      </c>
      <c r="S107">
        <v>1</v>
      </c>
      <c r="T107" s="1">
        <f>SQRT(POWER(Octane[[#This Row],[angvel_X]],2) + POWER(Octane[[#This Row],[angvel_Y]],2) + POWER(Octane[[#This Row],[angvel_Z]],2))</f>
        <v>1.9767000430009607</v>
      </c>
      <c r="U107" s="1">
        <f>DEGREES(ASIN(MAX(-1,MIN(1,2 * (Octane[[#This Row],[quart_W]]*Octane[[#This Row],[quart_Y]] - Octane[[#This Row],[quart_Z]]*Octane[[#This Row],[quart_X]])))))</f>
        <v>0.54913691795853459</v>
      </c>
      <c r="V10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-75.135905632304116</v>
      </c>
      <c r="W10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89.998365959097725</v>
      </c>
      <c r="X107" s="1">
        <f>IF(Octane[[#This Row],[Yaw]]&gt;V106,(360-ABS(Octane[[#This Row],[Yaw]])-ABS(V106)),ABS(Octane[[#This Row],[Yaw]]-V106))</f>
        <v>0.94374983697402115</v>
      </c>
      <c r="Y107" s="1">
        <f>Octane[[#This Row],[Degree change]]+Y106</f>
        <v>44.286910711374972</v>
      </c>
      <c r="Z107" s="1">
        <f>SQRT(Octane[[#This Row],[vel_X]]*Octane[[#This Row],[vel_X]]+Octane[[#This Row],[vel_Y]]*Octane[[#This Row],[vel_Y]]+Octane[[#This Row],[vel_Z]]*Octane[[#This Row],[vel_Z]])</f>
        <v>2299.9931138235743</v>
      </c>
    </row>
    <row r="108" spans="1:26">
      <c r="A108">
        <v>107</v>
      </c>
      <c r="B108" s="1">
        <v>-408.81997699999999</v>
      </c>
      <c r="C108" s="1">
        <v>2602.780029</v>
      </c>
      <c r="D108" s="1">
        <v>17.010000000000002</v>
      </c>
      <c r="E108" s="1">
        <v>-2194.8298340000001</v>
      </c>
      <c r="F108" s="1">
        <v>687.48999000000003</v>
      </c>
      <c r="G108" s="1">
        <v>8.11</v>
      </c>
      <c r="H108" s="1">
        <v>2.9999999999999997E-4</v>
      </c>
      <c r="I108" s="1">
        <v>-1E-4</v>
      </c>
      <c r="J108" s="1">
        <v>1.9772000000000001</v>
      </c>
      <c r="K108" s="1">
        <v>-4.7559999999999998E-3</v>
      </c>
      <c r="L108" s="1">
        <v>5.9100000000000005E-4</v>
      </c>
      <c r="M108" s="1">
        <v>0.99261900000000003</v>
      </c>
      <c r="N108" s="1">
        <v>0.12117600000000001</v>
      </c>
      <c r="O108">
        <v>1</v>
      </c>
      <c r="P108">
        <v>0</v>
      </c>
      <c r="Q108">
        <v>1</v>
      </c>
      <c r="R108">
        <v>1</v>
      </c>
      <c r="S108">
        <v>1</v>
      </c>
      <c r="T108" s="1">
        <f>SQRT(POWER(Octane[[#This Row],[angvel_X]],2) + POWER(Octane[[#This Row],[angvel_Y]],2) + POWER(Octane[[#This Row],[angvel_Z]],2))</f>
        <v>1.9772000252882864</v>
      </c>
      <c r="U108" s="1">
        <f>DEGREES(ASIN(MAX(-1,MIN(1,2 * (Octane[[#This Row],[quart_W]]*Octane[[#This Row],[quart_Y]] - Octane[[#This Row],[quart_Z]]*Octane[[#This Row],[quart_X]])))))</f>
        <v>0.54918971431915287</v>
      </c>
      <c r="V10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-76.079870250844223</v>
      </c>
      <c r="W10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89.998816813812738</v>
      </c>
      <c r="X108" s="1">
        <f>IF(Octane[[#This Row],[Yaw]]&gt;V107,(360-ABS(Octane[[#This Row],[Yaw]])-ABS(V107)),ABS(Octane[[#This Row],[Yaw]]-V107))</f>
        <v>0.94396461854010738</v>
      </c>
      <c r="Y108" s="1">
        <f>Octane[[#This Row],[Degree change]]+Y107</f>
        <v>45.230875329915079</v>
      </c>
      <c r="Z108" s="1">
        <f>SQRT(Octane[[#This Row],[vel_X]]*Octane[[#This Row],[vel_X]]+Octane[[#This Row],[vel_Y]]*Octane[[#This Row],[vel_Y]]+Octane[[#This Row],[vel_Z]]*Octane[[#This Row],[vel_Z]])</f>
        <v>2299.9970127516835</v>
      </c>
    </row>
    <row r="109" spans="1:26">
      <c r="A109">
        <v>108</v>
      </c>
      <c r="B109" s="1">
        <v>-427.17999300000002</v>
      </c>
      <c r="C109" s="1">
        <v>2608.530029</v>
      </c>
      <c r="D109" s="1">
        <v>17.010000000000002</v>
      </c>
      <c r="E109" s="1">
        <v>-2205.820068</v>
      </c>
      <c r="F109" s="1">
        <v>651.35998500000005</v>
      </c>
      <c r="G109" s="1">
        <v>8.11</v>
      </c>
      <c r="H109" s="1">
        <v>2.0000000000000001E-4</v>
      </c>
      <c r="I109" s="1">
        <v>-1E-4</v>
      </c>
      <c r="J109" s="1">
        <v>1.9777</v>
      </c>
      <c r="K109" s="1">
        <v>-4.7609999999999996E-3</v>
      </c>
      <c r="L109" s="1">
        <v>5.53E-4</v>
      </c>
      <c r="M109" s="1">
        <v>0.99358400000000002</v>
      </c>
      <c r="N109" s="1">
        <v>0.112992</v>
      </c>
      <c r="O109">
        <v>1</v>
      </c>
      <c r="P109">
        <v>0</v>
      </c>
      <c r="Q109">
        <v>1</v>
      </c>
      <c r="R109">
        <v>1</v>
      </c>
      <c r="S109">
        <v>1</v>
      </c>
      <c r="T109" s="1">
        <f>SQRT(POWER(Octane[[#This Row],[angvel_X]],2) + POWER(Octane[[#This Row],[angvel_Y]],2) + POWER(Octane[[#This Row],[angvel_Z]],2))</f>
        <v>1.9777000126409465</v>
      </c>
      <c r="U109" s="1">
        <f>DEGREES(ASIN(MAX(-1,MIN(1,2 * (Octane[[#This Row],[quart_W]]*Octane[[#This Row],[quart_Y]] - Octane[[#This Row],[quart_Z]]*Octane[[#This Row],[quart_X]])))))</f>
        <v>0.54923864945484036</v>
      </c>
      <c r="V10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-77.024203252200991</v>
      </c>
      <c r="W10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89.998682475727662</v>
      </c>
      <c r="X109" s="1">
        <f>IF(Octane[[#This Row],[Yaw]]&gt;V108,(360-ABS(Octane[[#This Row],[Yaw]])-ABS(V108)),ABS(Octane[[#This Row],[Yaw]]-V108))</f>
        <v>0.94433300135676745</v>
      </c>
      <c r="Y109" s="1">
        <f>Octane[[#This Row],[Degree change]]+Y108</f>
        <v>46.175208331271847</v>
      </c>
      <c r="Z109" s="1">
        <f>SQRT(Octane[[#This Row],[vel_X]]*Octane[[#This Row],[vel_X]]+Octane[[#This Row],[vel_Y]]*Octane[[#This Row],[vel_Y]]+Octane[[#This Row],[vel_Z]]*Octane[[#This Row],[vel_Z]])</f>
        <v>2299.9951683755176</v>
      </c>
    </row>
    <row r="110" spans="1:26">
      <c r="A110">
        <v>109</v>
      </c>
      <c r="B110" s="1">
        <v>-445.63000499999998</v>
      </c>
      <c r="C110" s="1">
        <v>2613.969971</v>
      </c>
      <c r="D110" s="1">
        <v>17.010000000000002</v>
      </c>
      <c r="E110" s="1">
        <v>-2216.219971</v>
      </c>
      <c r="F110" s="1">
        <v>615.02996800000005</v>
      </c>
      <c r="G110" s="1">
        <v>8.11</v>
      </c>
      <c r="H110" s="1">
        <v>2.0000000000000001E-4</v>
      </c>
      <c r="I110" s="1">
        <v>-1E-4</v>
      </c>
      <c r="J110" s="1">
        <v>1.9781</v>
      </c>
      <c r="K110" s="1">
        <v>-4.7660000000000003E-3</v>
      </c>
      <c r="L110" s="1">
        <v>5.1500000000000005E-4</v>
      </c>
      <c r="M110" s="1">
        <v>0.99448099999999995</v>
      </c>
      <c r="N110" s="1">
        <v>0.10480200000000001</v>
      </c>
      <c r="O110">
        <v>1</v>
      </c>
      <c r="P110">
        <v>0</v>
      </c>
      <c r="Q110">
        <v>1</v>
      </c>
      <c r="R110">
        <v>1</v>
      </c>
      <c r="S110">
        <v>1</v>
      </c>
      <c r="T110" s="1">
        <f>SQRT(POWER(Octane[[#This Row],[angvel_X]],2) + POWER(Octane[[#This Row],[angvel_Y]],2) + POWER(Octane[[#This Row],[angvel_Z]],2))</f>
        <v>1.9781000126383903</v>
      </c>
      <c r="U110" s="1">
        <f>DEGREES(ASIN(MAX(-1,MIN(1,2 * (Octane[[#This Row],[quart_W]]*Octane[[#This Row],[quart_Y]] - Octane[[#This Row],[quart_Z]]*Octane[[#This Row],[quart_X]])))))</f>
        <v>0.54932247428203751</v>
      </c>
      <c r="V11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-77.968330286247763</v>
      </c>
      <c r="W11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89.998547899728848</v>
      </c>
      <c r="X110" s="1">
        <f>IF(Octane[[#This Row],[Yaw]]&gt;V109,(360-ABS(Octane[[#This Row],[Yaw]])-ABS(V109)),ABS(Octane[[#This Row],[Yaw]]-V109))</f>
        <v>0.94412703404677245</v>
      </c>
      <c r="Y110" s="1">
        <f>Octane[[#This Row],[Degree change]]+Y109</f>
        <v>47.119335365318619</v>
      </c>
      <c r="Z110" s="1">
        <f>SQRT(Octane[[#This Row],[vel_X]]*Octane[[#This Row],[vel_X]]+Octane[[#This Row],[vel_Y]]*Octane[[#This Row],[vel_Y]]+Octane[[#This Row],[vel_Z]]*Octane[[#This Row],[vel_Z]])</f>
        <v>2299.99099856876</v>
      </c>
    </row>
    <row r="111" spans="1:26">
      <c r="A111">
        <v>110</v>
      </c>
      <c r="B111" s="1">
        <v>-464.169983</v>
      </c>
      <c r="C111" s="1">
        <v>2619.1098630000001</v>
      </c>
      <c r="D111" s="1">
        <v>17.010000000000002</v>
      </c>
      <c r="E111" s="1">
        <v>-2226.030029</v>
      </c>
      <c r="F111" s="1">
        <v>578.51995799999997</v>
      </c>
      <c r="G111" s="1">
        <v>8.11</v>
      </c>
      <c r="H111" s="1">
        <v>2.0000000000000001E-4</v>
      </c>
      <c r="I111" s="1">
        <v>-1E-4</v>
      </c>
      <c r="J111" s="1">
        <v>1.9784999999999999</v>
      </c>
      <c r="K111" s="1">
        <v>-4.7720000000000002E-3</v>
      </c>
      <c r="L111" s="1">
        <v>4.7699999999999999E-4</v>
      </c>
      <c r="M111" s="1">
        <v>0.99531099999999995</v>
      </c>
      <c r="N111" s="1">
        <v>9.6601999999999993E-2</v>
      </c>
      <c r="O111">
        <v>1</v>
      </c>
      <c r="P111">
        <v>0</v>
      </c>
      <c r="Q111">
        <v>1</v>
      </c>
      <c r="R111">
        <v>1</v>
      </c>
      <c r="S111">
        <v>1</v>
      </c>
      <c r="T111" s="1">
        <f>SQRT(POWER(Octane[[#This Row],[angvel_X]],2) + POWER(Octane[[#This Row],[angvel_Y]],2) + POWER(Octane[[#This Row],[angvel_Z]],2))</f>
        <v>1.9785000126358352</v>
      </c>
      <c r="U111" s="1">
        <f>DEGREES(ASIN(MAX(-1,MIN(1,2 * (Octane[[#This Row],[quart_W]]*Octane[[#This Row],[quart_Y]] - Octane[[#This Row],[quart_Z]]*Octane[[#This Row],[quart_X]])))))</f>
        <v>0.54955553787309053</v>
      </c>
      <c r="V11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-78.91279839632135</v>
      </c>
      <c r="W11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89.998421015769694</v>
      </c>
      <c r="X111" s="1">
        <f>IF(Octane[[#This Row],[Yaw]]&gt;V110,(360-ABS(Octane[[#This Row],[Yaw]])-ABS(V110)),ABS(Octane[[#This Row],[Yaw]]-V110))</f>
        <v>0.94446811007358633</v>
      </c>
      <c r="Y111" s="1">
        <f>Octane[[#This Row],[Degree change]]+Y110</f>
        <v>48.063803475392206</v>
      </c>
      <c r="Z111" s="1">
        <f>SQRT(Octane[[#This Row],[vel_X]]*Octane[[#This Row],[vel_X]]+Octane[[#This Row],[vel_Y]]*Octane[[#This Row],[vel_Y]]+Octane[[#This Row],[vel_Z]]*Octane[[#This Row],[vel_Z]])</f>
        <v>2299.9914790959688</v>
      </c>
    </row>
    <row r="112" spans="1:26">
      <c r="A112">
        <v>111</v>
      </c>
      <c r="B112" s="1">
        <v>-482.78997800000002</v>
      </c>
      <c r="C112" s="1">
        <v>2623.9399410000001</v>
      </c>
      <c r="D112" s="1">
        <v>17.010000000000002</v>
      </c>
      <c r="E112" s="1">
        <v>-2235.23999</v>
      </c>
      <c r="F112" s="1">
        <v>541.839966</v>
      </c>
      <c r="G112" s="1">
        <v>8.11</v>
      </c>
      <c r="H112" s="1">
        <v>2.0000000000000001E-4</v>
      </c>
      <c r="I112" s="1">
        <v>-1E-4</v>
      </c>
      <c r="J112" s="1">
        <v>1.9789000000000001</v>
      </c>
      <c r="K112" s="1">
        <v>-4.777E-3</v>
      </c>
      <c r="L112" s="1">
        <v>4.4000000000000002E-4</v>
      </c>
      <c r="M112" s="1">
        <v>0.99607400000000001</v>
      </c>
      <c r="N112" s="1">
        <v>8.8390999999999997E-2</v>
      </c>
      <c r="O112">
        <v>1</v>
      </c>
      <c r="P112">
        <v>0</v>
      </c>
      <c r="Q112">
        <v>1</v>
      </c>
      <c r="R112">
        <v>1</v>
      </c>
      <c r="S112">
        <v>1</v>
      </c>
      <c r="T112" s="1">
        <f>SQRT(POWER(Octane[[#This Row],[angvel_X]],2) + POWER(Octane[[#This Row],[angvel_Y]],2) + POWER(Octane[[#This Row],[angvel_Z]],2))</f>
        <v>1.9789000126332812</v>
      </c>
      <c r="U112" s="1">
        <f>DEGREES(ASIN(MAX(-1,MIN(1,2 * (Octane[[#This Row],[quart_W]]*Octane[[#This Row],[quart_Y]] - Octane[[#This Row],[quart_Z]]*Octane[[#This Row],[quart_X]])))))</f>
        <v>0.5497199031923049</v>
      </c>
      <c r="V11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-79.85778413524055</v>
      </c>
      <c r="W11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89.998163155661302</v>
      </c>
      <c r="X112" s="1">
        <f>IF(Octane[[#This Row],[Yaw]]&gt;V111,(360-ABS(Octane[[#This Row],[Yaw]])-ABS(V111)),ABS(Octane[[#This Row],[Yaw]]-V111))</f>
        <v>0.94498573891920046</v>
      </c>
      <c r="Y112" s="1">
        <f>Octane[[#This Row],[Degree change]]+Y111</f>
        <v>49.008789214311406</v>
      </c>
      <c r="Z112" s="1">
        <f>SQRT(Octane[[#This Row],[vel_X]]*Octane[[#This Row],[vel_X]]+Octane[[#This Row],[vel_Y]]*Octane[[#This Row],[vel_Y]]+Octane[[#This Row],[vel_Z]]*Octane[[#This Row],[vel_Z]])</f>
        <v>2299.9900290544915</v>
      </c>
    </row>
    <row r="113" spans="1:26">
      <c r="A113">
        <v>112</v>
      </c>
      <c r="B113" s="1">
        <v>-501.47998000000001</v>
      </c>
      <c r="C113" s="1">
        <v>2628.469971</v>
      </c>
      <c r="D113" s="1">
        <v>17.010000000000002</v>
      </c>
      <c r="E113" s="1">
        <v>-2243.8598630000001</v>
      </c>
      <c r="F113" s="1">
        <v>505</v>
      </c>
      <c r="G113" s="1">
        <v>8.11</v>
      </c>
      <c r="H113" s="1">
        <v>2.0000000000000001E-4</v>
      </c>
      <c r="I113" s="1">
        <v>-1E-4</v>
      </c>
      <c r="J113" s="1">
        <v>1.9792000000000001</v>
      </c>
      <c r="K113" s="1">
        <v>-4.7829999999999999E-3</v>
      </c>
      <c r="L113" s="1">
        <v>4.0200000000000001E-4</v>
      </c>
      <c r="M113" s="1">
        <v>0.99676900000000002</v>
      </c>
      <c r="N113" s="1">
        <v>8.0174999999999996E-2</v>
      </c>
      <c r="O113">
        <v>1</v>
      </c>
      <c r="P113">
        <v>0</v>
      </c>
      <c r="Q113">
        <v>1</v>
      </c>
      <c r="R113">
        <v>1</v>
      </c>
      <c r="S113">
        <v>1</v>
      </c>
      <c r="T113" s="1">
        <f>SQRT(POWER(Octane[[#This Row],[angvel_X]],2) + POWER(Octane[[#This Row],[angvel_Y]],2) + POWER(Octane[[#This Row],[angvel_Z]],2))</f>
        <v>1.9792000126313662</v>
      </c>
      <c r="U113" s="1">
        <f>DEGREES(ASIN(MAX(-1,MIN(1,2 * (Octane[[#This Row],[quart_W]]*Octane[[#This Row],[quart_Y]] - Octane[[#This Row],[quart_Z]]*Octane[[#This Row],[quart_X]])))))</f>
        <v>0.55002231725309303</v>
      </c>
      <c r="V11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-80.802646916725365</v>
      </c>
      <c r="W11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89.998026171090402</v>
      </c>
      <c r="X113" s="1">
        <f>IF(Octane[[#This Row],[Yaw]]&gt;V112,(360-ABS(Octane[[#This Row],[Yaw]])-ABS(V112)),ABS(Octane[[#This Row],[Yaw]]-V112))</f>
        <v>0.94486278148481517</v>
      </c>
      <c r="Y113" s="1">
        <f>Octane[[#This Row],[Degree change]]+Y112</f>
        <v>49.953651995796221</v>
      </c>
      <c r="Z113" s="1">
        <f>SQRT(Octane[[#This Row],[vel_X]]*Octane[[#This Row],[vel_X]]+Octane[[#This Row],[vel_Y]]*Octane[[#This Row],[vel_Y]]+Octane[[#This Row],[vel_Z]]*Octane[[#This Row],[vel_Z]])</f>
        <v>2299.9995341048179</v>
      </c>
    </row>
    <row r="114" spans="1:26">
      <c r="A114">
        <v>113</v>
      </c>
      <c r="B114" s="1">
        <v>-520.25</v>
      </c>
      <c r="C114" s="1">
        <v>2632.6899410000001</v>
      </c>
      <c r="D114" s="1">
        <v>17.010000000000002</v>
      </c>
      <c r="E114" s="1">
        <v>-2251.8598630000001</v>
      </c>
      <c r="F114" s="1">
        <v>468</v>
      </c>
      <c r="G114" s="1">
        <v>8.11</v>
      </c>
      <c r="H114" s="1">
        <v>2.0000000000000001E-4</v>
      </c>
      <c r="I114" s="1">
        <v>0</v>
      </c>
      <c r="J114" s="1">
        <v>1.9795</v>
      </c>
      <c r="K114" s="1">
        <v>-4.7879999999999997E-3</v>
      </c>
      <c r="L114" s="1">
        <v>3.6400000000000001E-4</v>
      </c>
      <c r="M114" s="1">
        <v>0.99739599999999995</v>
      </c>
      <c r="N114" s="1">
        <v>7.1953000000000003E-2</v>
      </c>
      <c r="O114">
        <v>1</v>
      </c>
      <c r="P114">
        <v>0</v>
      </c>
      <c r="Q114">
        <v>1</v>
      </c>
      <c r="R114">
        <v>1</v>
      </c>
      <c r="S114">
        <v>1</v>
      </c>
      <c r="T114" s="1">
        <f>SQRT(POWER(Octane[[#This Row],[angvel_X]],2) + POWER(Octane[[#This Row],[angvel_Y]],2) + POWER(Octane[[#This Row],[angvel_Z]],2))</f>
        <v>1.9795000101035616</v>
      </c>
      <c r="U114" s="1">
        <f>DEGREES(ASIN(MAX(-1,MIN(1,2 * (Octane[[#This Row],[quart_W]]*Octane[[#This Row],[quart_Y]] - Octane[[#This Row],[quart_Z]]*Octane[[#This Row],[quart_X]])))))</f>
        <v>0.55024537576483412</v>
      </c>
      <c r="V11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-81.747565801271406</v>
      </c>
      <c r="W11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89.997875239295496</v>
      </c>
      <c r="X114" s="1">
        <f>IF(Octane[[#This Row],[Yaw]]&gt;V113,(360-ABS(Octane[[#This Row],[Yaw]])-ABS(V113)),ABS(Octane[[#This Row],[Yaw]]-V113))</f>
        <v>0.94491888454604123</v>
      </c>
      <c r="Y114" s="1">
        <f>Octane[[#This Row],[Degree change]]+Y113</f>
        <v>50.898570880342263</v>
      </c>
      <c r="Z114" s="1">
        <f>SQRT(Octane[[#This Row],[vel_X]]*Octane[[#This Row],[vel_X]]+Octane[[#This Row],[vel_Y]]*Octane[[#This Row],[vel_Y]]+Octane[[#This Row],[vel_Z]]*Octane[[#This Row],[vel_Z]])</f>
        <v>2299.9918727444187</v>
      </c>
    </row>
    <row r="115" spans="1:26">
      <c r="A115">
        <v>114</v>
      </c>
      <c r="B115" s="1">
        <v>-539.080017</v>
      </c>
      <c r="C115" s="1">
        <v>2636.5998540000001</v>
      </c>
      <c r="D115" s="1">
        <v>17.010000000000002</v>
      </c>
      <c r="E115" s="1">
        <v>-2259.26001</v>
      </c>
      <c r="F115" s="1">
        <v>430.86999500000002</v>
      </c>
      <c r="G115" s="1">
        <v>8.11</v>
      </c>
      <c r="H115" s="1">
        <v>2.9999999999999997E-4</v>
      </c>
      <c r="I115" s="1">
        <v>0</v>
      </c>
      <c r="J115" s="1">
        <v>1.9798</v>
      </c>
      <c r="K115" s="1">
        <v>-4.7930000000000004E-3</v>
      </c>
      <c r="L115" s="1">
        <v>3.2600000000000001E-4</v>
      </c>
      <c r="M115" s="1">
        <v>0.99795599999999995</v>
      </c>
      <c r="N115" s="1">
        <v>6.3726000000000005E-2</v>
      </c>
      <c r="O115">
        <v>1</v>
      </c>
      <c r="P115">
        <v>0</v>
      </c>
      <c r="Q115">
        <v>1</v>
      </c>
      <c r="R115">
        <v>1</v>
      </c>
      <c r="S115">
        <v>1</v>
      </c>
      <c r="T115" s="1">
        <f>SQRT(POWER(Octane[[#This Row],[angvel_X]],2) + POWER(Octane[[#This Row],[angvel_Y]],2) + POWER(Octane[[#This Row],[angvel_Z]],2))</f>
        <v>1.9798000227295685</v>
      </c>
      <c r="U115" s="1">
        <f>DEGREES(ASIN(MAX(-1,MIN(1,2 * (Octane[[#This Row],[quart_W]]*Octane[[#This Row],[quart_Y]] - Octane[[#This Row],[quart_Z]]*Octane[[#This Row],[quart_X]])))))</f>
        <v>0.55050377377555604</v>
      </c>
      <c r="V11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-82.692516062288121</v>
      </c>
      <c r="W11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89.997720102802987</v>
      </c>
      <c r="X115" s="1">
        <f>IF(Octane[[#This Row],[Yaw]]&gt;V114,(360-ABS(Octane[[#This Row],[Yaw]])-ABS(V114)),ABS(Octane[[#This Row],[Yaw]]-V114))</f>
        <v>0.94495026101671442</v>
      </c>
      <c r="Y115" s="1">
        <f>Octane[[#This Row],[Degree change]]+Y114</f>
        <v>51.843521141358977</v>
      </c>
      <c r="Z115" s="1">
        <f>SQRT(Octane[[#This Row],[vel_X]]*Octane[[#This Row],[vel_X]]+Octane[[#This Row],[vel_Y]]*Octane[[#This Row],[vel_Y]]+Octane[[#This Row],[vel_Z]]*Octane[[#This Row],[vel_Z]])</f>
        <v>2299.9935907468307</v>
      </c>
    </row>
    <row r="116" spans="1:26">
      <c r="A116">
        <v>115</v>
      </c>
      <c r="B116" s="1">
        <v>-557.97997999999995</v>
      </c>
      <c r="C116" s="1">
        <v>2640.1999510000001</v>
      </c>
      <c r="D116" s="1">
        <v>17.010000000000002</v>
      </c>
      <c r="E116" s="1">
        <v>-2266.0500489999999</v>
      </c>
      <c r="F116" s="1">
        <v>393.60998499999999</v>
      </c>
      <c r="G116" s="1">
        <v>8.11</v>
      </c>
      <c r="H116" s="1">
        <v>2.9999999999999997E-4</v>
      </c>
      <c r="I116" s="1">
        <v>0</v>
      </c>
      <c r="J116" s="1">
        <v>1.9801</v>
      </c>
      <c r="K116" s="1">
        <v>-4.7930000000000004E-3</v>
      </c>
      <c r="L116" s="1">
        <v>2.8299999999999999E-4</v>
      </c>
      <c r="M116" s="1">
        <v>0.99844699999999997</v>
      </c>
      <c r="N116" s="1">
        <v>5.5494000000000002E-2</v>
      </c>
      <c r="O116">
        <v>1</v>
      </c>
      <c r="P116">
        <v>0</v>
      </c>
      <c r="Q116">
        <v>1</v>
      </c>
      <c r="R116">
        <v>1</v>
      </c>
      <c r="S116">
        <v>1</v>
      </c>
      <c r="T116" s="1">
        <f>SQRT(POWER(Octane[[#This Row],[angvel_X]],2) + POWER(Octane[[#This Row],[angvel_Y]],2) + POWER(Octane[[#This Row],[angvel_Z]],2))</f>
        <v>1.9801000227261247</v>
      </c>
      <c r="U116" s="1">
        <f>DEGREES(ASIN(MAX(-1,MIN(1,2 * (Octane[[#This Row],[quart_W]]*Octane[[#This Row],[quart_Y]] - Octane[[#This Row],[quart_Z]]*Octane[[#This Row],[quart_X]])))))</f>
        <v>0.55019247018409201</v>
      </c>
      <c r="V11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-83.637514211597264</v>
      </c>
      <c r="W11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89.99810024116168</v>
      </c>
      <c r="X116" s="1">
        <f>IF(Octane[[#This Row],[Yaw]]&gt;V115,(360-ABS(Octane[[#This Row],[Yaw]])-ABS(V115)),ABS(Octane[[#This Row],[Yaw]]-V115))</f>
        <v>0.94499814930914283</v>
      </c>
      <c r="Y116" s="1">
        <f>Octane[[#This Row],[Degree change]]+Y115</f>
        <v>52.78851929066812</v>
      </c>
      <c r="Z116" s="1">
        <f>SQRT(Octane[[#This Row],[vel_X]]*Octane[[#This Row],[vel_X]]+Octane[[#This Row],[vel_Y]]*Octane[[#This Row],[vel_Y]]+Octane[[#This Row],[vel_Z]]*Octane[[#This Row],[vel_Z]])</f>
        <v>2299.9950906392392</v>
      </c>
    </row>
    <row r="117" spans="1:26">
      <c r="A117">
        <v>116</v>
      </c>
      <c r="B117" s="1">
        <v>-576.92999299999997</v>
      </c>
      <c r="C117" s="1">
        <v>2643.48999</v>
      </c>
      <c r="D117" s="1">
        <v>17.010000000000002</v>
      </c>
      <c r="E117" s="1">
        <v>-2272.2299800000001</v>
      </c>
      <c r="F117" s="1">
        <v>356.22998000000001</v>
      </c>
      <c r="G117" s="1">
        <v>8.11</v>
      </c>
      <c r="H117" s="1">
        <v>2.9999999999999997E-4</v>
      </c>
      <c r="I117" s="1">
        <v>0</v>
      </c>
      <c r="J117" s="1">
        <v>1.9802999999999999</v>
      </c>
      <c r="K117" s="1">
        <v>-4.7930000000000004E-3</v>
      </c>
      <c r="L117" s="1">
        <v>2.4000000000000001E-4</v>
      </c>
      <c r="M117" s="1">
        <v>0.99887099999999995</v>
      </c>
      <c r="N117" s="1">
        <v>4.7255999999999999E-2</v>
      </c>
      <c r="O117">
        <v>1</v>
      </c>
      <c r="P117">
        <v>0</v>
      </c>
      <c r="Q117">
        <v>1</v>
      </c>
      <c r="R117">
        <v>1</v>
      </c>
      <c r="S117">
        <v>1</v>
      </c>
      <c r="T117" s="1">
        <f>SQRT(POWER(Octane[[#This Row],[angvel_X]],2) + POWER(Octane[[#This Row],[angvel_Y]],2) + POWER(Octane[[#This Row],[angvel_Z]],2))</f>
        <v>1.9803000227238294</v>
      </c>
      <c r="U117" s="1">
        <f>DEGREES(ASIN(MAX(-1,MIN(1,2 * (Octane[[#This Row],[quart_W]]*Octane[[#This Row],[quart_Y]] - Octane[[#This Row],[quart_Z]]*Octane[[#This Row],[quart_X]])))))</f>
        <v>0.5499253300525071</v>
      </c>
      <c r="V11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-84.58278406581644</v>
      </c>
      <c r="W11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89.998483765576836</v>
      </c>
      <c r="X117" s="1">
        <f>IF(Octane[[#This Row],[Yaw]]&gt;V116,(360-ABS(Octane[[#This Row],[Yaw]])-ABS(V116)),ABS(Octane[[#This Row],[Yaw]]-V116))</f>
        <v>0.94526985421917686</v>
      </c>
      <c r="Y117" s="1">
        <f>Octane[[#This Row],[Degree change]]+Y116</f>
        <v>53.733789144887297</v>
      </c>
      <c r="Z117" s="1">
        <f>SQRT(Octane[[#This Row],[vel_X]]*Octane[[#This Row],[vel_X]]+Octane[[#This Row],[vel_Y]]*Octane[[#This Row],[vel_Y]]+Octane[[#This Row],[vel_Z]]*Octane[[#This Row],[vel_Z]])</f>
        <v>2299.9988375565758</v>
      </c>
    </row>
    <row r="118" spans="1:26">
      <c r="A118">
        <v>117</v>
      </c>
      <c r="B118" s="1">
        <v>-595.92999299999997</v>
      </c>
      <c r="C118" s="1">
        <v>2646.469971</v>
      </c>
      <c r="D118" s="1">
        <v>17.010000000000002</v>
      </c>
      <c r="E118" s="1">
        <v>-2277.790039</v>
      </c>
      <c r="F118" s="1">
        <v>318.73998999999998</v>
      </c>
      <c r="G118" s="1">
        <v>8.11</v>
      </c>
      <c r="H118" s="1">
        <v>2.9999999999999997E-4</v>
      </c>
      <c r="I118" s="1">
        <v>0</v>
      </c>
      <c r="J118" s="1">
        <v>1.9804999999999999</v>
      </c>
      <c r="K118" s="1">
        <v>-4.7930000000000004E-3</v>
      </c>
      <c r="L118" s="1">
        <v>1.9699999999999999E-4</v>
      </c>
      <c r="M118" s="1">
        <v>0.99922699999999998</v>
      </c>
      <c r="N118" s="1">
        <v>3.9012999999999999E-2</v>
      </c>
      <c r="O118">
        <v>1</v>
      </c>
      <c r="P118">
        <v>0</v>
      </c>
      <c r="Q118">
        <v>1</v>
      </c>
      <c r="R118">
        <v>1</v>
      </c>
      <c r="S118">
        <v>1</v>
      </c>
      <c r="T118" s="1">
        <f>SQRT(POWER(Octane[[#This Row],[angvel_X]],2) + POWER(Octane[[#This Row],[angvel_Y]],2) + POWER(Octane[[#This Row],[angvel_Z]],2))</f>
        <v>1.9805000227215348</v>
      </c>
      <c r="U118" s="1">
        <f>DEGREES(ASIN(MAX(-1,MIN(1,2 * (Octane[[#This Row],[quart_W]]*Octane[[#This Row],[quart_Y]] - Octane[[#This Row],[quart_Z]]*Octane[[#This Row],[quart_X]])))))</f>
        <v>0.54970191538576907</v>
      </c>
      <c r="V11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-85.528256104258858</v>
      </c>
      <c r="W11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89.998870257434234</v>
      </c>
      <c r="X118" s="1">
        <f>IF(Octane[[#This Row],[Yaw]]&gt;V117,(360-ABS(Octane[[#This Row],[Yaw]])-ABS(V117)),ABS(Octane[[#This Row],[Yaw]]-V117))</f>
        <v>0.94547203844241778</v>
      </c>
      <c r="Y118" s="1">
        <f>Octane[[#This Row],[Degree change]]+Y117</f>
        <v>54.679261183329714</v>
      </c>
      <c r="Z118" s="1">
        <f>SQRT(Octane[[#This Row],[vel_X]]*Octane[[#This Row],[vel_X]]+Octane[[#This Row],[vel_Y]]*Octane[[#This Row],[vel_Y]]+Octane[[#This Row],[vel_Z]]*Octane[[#This Row],[vel_Z]])</f>
        <v>2299.997481540539</v>
      </c>
    </row>
    <row r="119" spans="1:26">
      <c r="A119">
        <v>118</v>
      </c>
      <c r="B119" s="1">
        <v>-614.97997999999995</v>
      </c>
      <c r="C119" s="1">
        <v>2649.1298830000001</v>
      </c>
      <c r="D119" s="1">
        <v>17.010000000000002</v>
      </c>
      <c r="E119" s="1">
        <v>-2282.7299800000001</v>
      </c>
      <c r="F119" s="1">
        <v>281.16000400000001</v>
      </c>
      <c r="G119" s="1">
        <v>8.11</v>
      </c>
      <c r="H119" s="1">
        <v>2.9999999999999997E-4</v>
      </c>
      <c r="I119" s="1">
        <v>0</v>
      </c>
      <c r="J119" s="1">
        <v>1.9806999999999999</v>
      </c>
      <c r="K119" s="1">
        <v>-4.7930000000000004E-3</v>
      </c>
      <c r="L119" s="1">
        <v>1.54E-4</v>
      </c>
      <c r="M119" s="1">
        <v>0.99951500000000004</v>
      </c>
      <c r="N119" s="1">
        <v>3.0764E-2</v>
      </c>
      <c r="O119">
        <v>1</v>
      </c>
      <c r="P119">
        <v>0</v>
      </c>
      <c r="Q119">
        <v>1</v>
      </c>
      <c r="R119">
        <v>1</v>
      </c>
      <c r="S119">
        <v>1</v>
      </c>
      <c r="T119" s="1">
        <f>SQRT(POWER(Octane[[#This Row],[angvel_X]],2) + POWER(Octane[[#This Row],[angvel_Y]],2) + POWER(Octane[[#This Row],[angvel_Z]],2))</f>
        <v>1.9807000227192404</v>
      </c>
      <c r="U119" s="1">
        <f>DEGREES(ASIN(MAX(-1,MIN(1,2 * (Octane[[#This Row],[quart_W]]*Octane[[#This Row],[quart_Y]] - Octane[[#This Row],[quart_Z]]*Octane[[#This Row],[quart_X]])))))</f>
        <v>0.54952228244600865</v>
      </c>
      <c r="V11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-86.474110151950114</v>
      </c>
      <c r="W11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89.999258162236089</v>
      </c>
      <c r="X119" s="1">
        <f>IF(Octane[[#This Row],[Yaw]]&gt;V118,(360-ABS(Octane[[#This Row],[Yaw]])-ABS(V118)),ABS(Octane[[#This Row],[Yaw]]-V118))</f>
        <v>0.94585404769125603</v>
      </c>
      <c r="Y119" s="1">
        <f>Octane[[#This Row],[Degree change]]+Y118</f>
        <v>55.62511523102097</v>
      </c>
      <c r="Z119" s="1">
        <f>SQRT(Octane[[#This Row],[vel_X]]*Octane[[#This Row],[vel_X]]+Octane[[#This Row],[vel_Y]]*Octane[[#This Row],[vel_Y]]+Octane[[#This Row],[vel_Z]]*Octane[[#This Row],[vel_Z]])</f>
        <v>2299.994104675071</v>
      </c>
    </row>
    <row r="120" spans="1:26">
      <c r="A120">
        <v>119</v>
      </c>
      <c r="B120" s="1">
        <v>-634.07000700000003</v>
      </c>
      <c r="C120" s="1">
        <v>2651.4799800000001</v>
      </c>
      <c r="D120" s="1">
        <v>17.010000000000002</v>
      </c>
      <c r="E120" s="1">
        <v>-2287.0500489999999</v>
      </c>
      <c r="F120" s="1">
        <v>243.48999000000001</v>
      </c>
      <c r="G120" s="1">
        <v>8.11</v>
      </c>
      <c r="H120" s="1">
        <v>2.0000000000000001E-4</v>
      </c>
      <c r="I120" s="1">
        <v>0</v>
      </c>
      <c r="J120" s="1">
        <v>1.9809000000000001</v>
      </c>
      <c r="K120" s="1">
        <v>-4.7930000000000004E-3</v>
      </c>
      <c r="L120" s="1">
        <v>1.11E-4</v>
      </c>
      <c r="M120" s="1">
        <v>0.99973500000000004</v>
      </c>
      <c r="N120" s="1">
        <v>2.2515E-2</v>
      </c>
      <c r="O120">
        <v>1</v>
      </c>
      <c r="P120">
        <v>0</v>
      </c>
      <c r="Q120">
        <v>1</v>
      </c>
      <c r="R120">
        <v>1</v>
      </c>
      <c r="S120">
        <v>1</v>
      </c>
      <c r="T120" s="1">
        <f>SQRT(POWER(Octane[[#This Row],[angvel_X]],2) + POWER(Octane[[#This Row],[angvel_Y]],2) + POWER(Octane[[#This Row],[angvel_Z]],2))</f>
        <v>1.9809000100964209</v>
      </c>
      <c r="U120" s="1">
        <f>DEGREES(ASIN(MAX(-1,MIN(1,2 * (Octane[[#This Row],[quart_W]]*Octane[[#This Row],[quart_Y]] - Octane[[#This Row],[quart_Z]]*Octane[[#This Row],[quart_X]])))))</f>
        <v>0.54938659624870467</v>
      </c>
      <c r="V12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-87.419724963382635</v>
      </c>
      <c r="W12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89.999649770323046</v>
      </c>
      <c r="X120" s="1">
        <f>IF(Octane[[#This Row],[Yaw]]&gt;V119,(360-ABS(Octane[[#This Row],[Yaw]])-ABS(V119)),ABS(Octane[[#This Row],[Yaw]]-V119))</f>
        <v>0.94561481143252024</v>
      </c>
      <c r="Y120" s="1">
        <f>Octane[[#This Row],[Degree change]]+Y119</f>
        <v>56.570730042453491</v>
      </c>
      <c r="Z120" s="1">
        <f>SQRT(Octane[[#This Row],[vel_X]]*Octane[[#This Row],[vel_X]]+Octane[[#This Row],[vel_Y]]*Octane[[#This Row],[vel_Y]]+Octane[[#This Row],[vel_Z]]*Octane[[#This Row],[vel_Z]])</f>
        <v>2299.9893638799945</v>
      </c>
    </row>
    <row r="121" spans="1:26">
      <c r="A121">
        <v>120</v>
      </c>
      <c r="B121" s="1">
        <v>-653.20001200000002</v>
      </c>
      <c r="C121" s="1">
        <v>2653.51001</v>
      </c>
      <c r="D121" s="1">
        <v>17.010000000000002</v>
      </c>
      <c r="E121" s="1">
        <v>-2290.76001</v>
      </c>
      <c r="F121" s="1">
        <v>205.75</v>
      </c>
      <c r="G121" s="1">
        <v>8.11</v>
      </c>
      <c r="H121" s="1">
        <v>1E-4</v>
      </c>
      <c r="I121" s="1">
        <v>0</v>
      </c>
      <c r="J121" s="1">
        <v>1.9811000000000001</v>
      </c>
      <c r="K121" s="1">
        <v>-4.7930000000000004E-3</v>
      </c>
      <c r="L121" s="1">
        <v>7.2999999999999999E-5</v>
      </c>
      <c r="M121" s="1">
        <v>0.99988699999999997</v>
      </c>
      <c r="N121" s="1">
        <v>1.4260999999999999E-2</v>
      </c>
      <c r="O121">
        <v>1</v>
      </c>
      <c r="P121">
        <v>0</v>
      </c>
      <c r="Q121">
        <v>1</v>
      </c>
      <c r="R121">
        <v>1</v>
      </c>
      <c r="S121">
        <v>1</v>
      </c>
      <c r="T121" s="1">
        <f>SQRT(POWER(Octane[[#This Row],[angvel_X]],2) + POWER(Octane[[#This Row],[angvel_Y]],2) + POWER(Octane[[#This Row],[angvel_Z]],2))</f>
        <v>1.9811000025238505</v>
      </c>
      <c r="U121" s="1">
        <f>DEGREES(ASIN(MAX(-1,MIN(1,2 * (Octane[[#This Row],[quart_W]]*Octane[[#This Row],[quart_Y]] - Octane[[#This Row],[quart_Z]]*Octane[[#This Row],[quart_X]])))))</f>
        <v>0.54930298915457654</v>
      </c>
      <c r="V12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-88.36573904955344</v>
      </c>
      <c r="W12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89.999468410767122</v>
      </c>
      <c r="X121" s="1">
        <f>IF(Octane[[#This Row],[Yaw]]&gt;V120,(360-ABS(Octane[[#This Row],[Yaw]])-ABS(V120)),ABS(Octane[[#This Row],[Yaw]]-V120))</f>
        <v>0.94601408617080551</v>
      </c>
      <c r="Y121" s="1">
        <f>Octane[[#This Row],[Degree change]]+Y120</f>
        <v>57.516744128624296</v>
      </c>
      <c r="Z121" s="1">
        <f>SQRT(Octane[[#This Row],[vel_X]]*Octane[[#This Row],[vel_X]]+Octane[[#This Row],[vel_Y]]*Octane[[#This Row],[vel_Y]]+Octane[[#This Row],[vel_Z]]*Octane[[#This Row],[vel_Z]])</f>
        <v>2299.9957082601695</v>
      </c>
    </row>
    <row r="122" spans="1:26">
      <c r="A122">
        <v>121</v>
      </c>
      <c r="B122" s="1">
        <v>-672.35998500000005</v>
      </c>
      <c r="C122" s="1">
        <v>2655.2299800000001</v>
      </c>
      <c r="D122" s="1">
        <v>17.010000000000002</v>
      </c>
      <c r="E122" s="1">
        <v>-2293.8398440000001</v>
      </c>
      <c r="F122" s="1">
        <v>167.949997</v>
      </c>
      <c r="G122" s="1">
        <v>8.11</v>
      </c>
      <c r="H122" s="1">
        <v>1E-4</v>
      </c>
      <c r="I122" s="1">
        <v>0</v>
      </c>
      <c r="J122" s="1">
        <v>1.9812000000000001</v>
      </c>
      <c r="K122" s="1">
        <v>-4.7930000000000004E-3</v>
      </c>
      <c r="L122" s="1">
        <v>3.4999999999999997E-5</v>
      </c>
      <c r="M122" s="1">
        <v>0.99997000000000003</v>
      </c>
      <c r="N122" s="1">
        <v>6.0070000000000002E-3</v>
      </c>
      <c r="O122">
        <v>1</v>
      </c>
      <c r="P122">
        <v>0</v>
      </c>
      <c r="Q122">
        <v>1</v>
      </c>
      <c r="R122">
        <v>1</v>
      </c>
      <c r="S122">
        <v>1</v>
      </c>
      <c r="T122" s="1">
        <f>SQRT(POWER(Octane[[#This Row],[angvel_X]],2) + POWER(Octane[[#This Row],[angvel_Y]],2) + POWER(Octane[[#This Row],[angvel_Z]],2))</f>
        <v>1.9812000025237231</v>
      </c>
      <c r="U122" s="1">
        <f>DEGREES(ASIN(MAX(-1,MIN(1,2 * (Octane[[#This Row],[quart_W]]*Octane[[#This Row],[quart_Y]] - Octane[[#This Row],[quart_Z]]*Octane[[#This Row],[quart_X]])))))</f>
        <v>0.5492533699899167</v>
      </c>
      <c r="V12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-89.311638895711638</v>
      </c>
      <c r="W12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89.999288651786003</v>
      </c>
      <c r="X122" s="1">
        <f>IF(Octane[[#This Row],[Yaw]]&gt;V121,(360-ABS(Octane[[#This Row],[Yaw]])-ABS(V121)),ABS(Octane[[#This Row],[Yaw]]-V121))</f>
        <v>0.94589984615819844</v>
      </c>
      <c r="Y122" s="1">
        <f>Octane[[#This Row],[Degree change]]+Y121</f>
        <v>58.462643974782495</v>
      </c>
      <c r="Z122" s="1">
        <f>SQRT(Octane[[#This Row],[vel_X]]*Octane[[#This Row],[vel_X]]+Octane[[#This Row],[vel_Y]]*Octane[[#This Row],[vel_Y]]+Octane[[#This Row],[vel_Z]]*Octane[[#This Row],[vel_Z]])</f>
        <v>2299.9943920614774</v>
      </c>
    </row>
    <row r="123" spans="1:26">
      <c r="A123">
        <v>122</v>
      </c>
      <c r="B123" s="1">
        <v>-691.53997800000002</v>
      </c>
      <c r="C123" s="1">
        <v>2656.6298830000001</v>
      </c>
      <c r="D123" s="1">
        <v>17.010000000000002</v>
      </c>
      <c r="E123" s="1">
        <v>-2296.3000489999999</v>
      </c>
      <c r="F123" s="1">
        <v>130.08999600000001</v>
      </c>
      <c r="G123" s="1">
        <v>8.11</v>
      </c>
      <c r="H123" s="1">
        <v>1E-4</v>
      </c>
      <c r="I123" s="1">
        <v>0</v>
      </c>
      <c r="J123" s="1">
        <v>1.9813000000000001</v>
      </c>
      <c r="K123" s="1">
        <v>-4.7930000000000004E-3</v>
      </c>
      <c r="L123" s="1">
        <v>-3.0000000000000001E-6</v>
      </c>
      <c r="M123" s="1">
        <v>0.99998600000000004</v>
      </c>
      <c r="N123" s="1">
        <v>-2.2469999999999999E-3</v>
      </c>
      <c r="O123">
        <v>1</v>
      </c>
      <c r="P123">
        <v>0</v>
      </c>
      <c r="Q123">
        <v>1</v>
      </c>
      <c r="R123">
        <v>1</v>
      </c>
      <c r="S123">
        <v>1</v>
      </c>
      <c r="T123" s="1">
        <f>SQRT(POWER(Octane[[#This Row],[angvel_X]],2) + POWER(Octane[[#This Row],[angvel_Y]],2) + POWER(Octane[[#This Row],[angvel_Z]],2))</f>
        <v>1.9813000025235956</v>
      </c>
      <c r="U123" s="1">
        <f>DEGREES(ASIN(MAX(-1,MIN(1,2 * (Octane[[#This Row],[quart_W]]*Octane[[#This Row],[quart_Y]] - Octane[[#This Row],[quart_Z]]*Octane[[#This Row],[quart_X]])))))</f>
        <v>0.54923883727903533</v>
      </c>
      <c r="V12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-90.257494666720063</v>
      </c>
      <c r="W12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89.999109592645496</v>
      </c>
      <c r="X123" s="1">
        <f>IF(Octane[[#This Row],[Yaw]]&gt;V122,(360-ABS(Octane[[#This Row],[Yaw]])-ABS(V122)),ABS(Octane[[#This Row],[Yaw]]-V122))</f>
        <v>0.94585577100842499</v>
      </c>
      <c r="Y123" s="1">
        <f>Octane[[#This Row],[Degree change]]+Y122</f>
        <v>59.40849974579092</v>
      </c>
      <c r="Z123" s="1">
        <f>SQRT(Octane[[#This Row],[vel_X]]*Octane[[#This Row],[vel_X]]+Octane[[#This Row],[vel_Y]]*Octane[[#This Row],[vel_Y]]+Octane[[#This Row],[vel_Z]]*Octane[[#This Row],[vel_Z]])</f>
        <v>2299.9963248224294</v>
      </c>
    </row>
    <row r="124" spans="1:26">
      <c r="A124">
        <v>123</v>
      </c>
      <c r="B124" s="1">
        <v>-710.73999000000003</v>
      </c>
      <c r="C124" s="1">
        <v>2657.709961</v>
      </c>
      <c r="D124" s="1">
        <v>17.010000000000002</v>
      </c>
      <c r="E124" s="1">
        <v>-2298.1298830000001</v>
      </c>
      <c r="F124" s="1">
        <v>92.189994999999996</v>
      </c>
      <c r="G124" s="1">
        <v>8.11</v>
      </c>
      <c r="H124" s="1">
        <v>1E-4</v>
      </c>
      <c r="I124" s="1">
        <v>0</v>
      </c>
      <c r="J124" s="1">
        <v>1.9814000000000001</v>
      </c>
      <c r="K124" s="1">
        <v>-4.7930000000000004E-3</v>
      </c>
      <c r="L124" s="1">
        <v>-4.0000000000000003E-5</v>
      </c>
      <c r="M124" s="1">
        <v>0.99993299999999996</v>
      </c>
      <c r="N124" s="1">
        <v>-1.0501E-2</v>
      </c>
      <c r="O124">
        <v>1</v>
      </c>
      <c r="P124">
        <v>0</v>
      </c>
      <c r="Q124">
        <v>1</v>
      </c>
      <c r="R124">
        <v>1</v>
      </c>
      <c r="S124">
        <v>1</v>
      </c>
      <c r="T124" s="1">
        <f>SQRT(POWER(Octane[[#This Row],[angvel_X]],2) + POWER(Octane[[#This Row],[angvel_Y]],2) + POWER(Octane[[#This Row],[angvel_Z]],2))</f>
        <v>1.9814000025234684</v>
      </c>
      <c r="U124" s="1">
        <f>DEGREES(ASIN(MAX(-1,MIN(1,2 * (Octane[[#This Row],[quart_W]]*Octane[[#This Row],[quart_Y]] - Octane[[#This Row],[quart_Z]]*Octane[[#This Row],[quart_X]])))))</f>
        <v>0.54925708911526094</v>
      </c>
      <c r="V12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-91.20336893185474</v>
      </c>
      <c r="W12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89.998815759508616</v>
      </c>
      <c r="X124" s="1">
        <f>IF(Octane[[#This Row],[Yaw]]&gt;V123,(360-ABS(Octane[[#This Row],[Yaw]])-ABS(V123)),ABS(Octane[[#This Row],[Yaw]]-V123))</f>
        <v>0.94587426513467676</v>
      </c>
      <c r="Y124" s="1">
        <f>Octane[[#This Row],[Degree change]]+Y123</f>
        <v>60.354374010925596</v>
      </c>
      <c r="Z124" s="1">
        <f>SQRT(Octane[[#This Row],[vel_X]]*Octane[[#This Row],[vel_X]]+Octane[[#This Row],[vel_Y]]*Octane[[#This Row],[vel_Y]]+Octane[[#This Row],[vel_Z]]*Octane[[#This Row],[vel_Z]])</f>
        <v>2299.9925492087345</v>
      </c>
    </row>
    <row r="125" spans="1:26">
      <c r="A125">
        <v>124</v>
      </c>
      <c r="B125" s="1">
        <v>-729.95996100000002</v>
      </c>
      <c r="C125" s="1">
        <v>2658.4799800000001</v>
      </c>
      <c r="D125" s="1">
        <v>17.010000000000002</v>
      </c>
      <c r="E125" s="1">
        <v>-2299.3398440000001</v>
      </c>
      <c r="F125" s="1">
        <v>54.259998000000003</v>
      </c>
      <c r="G125" s="1">
        <v>8.11</v>
      </c>
      <c r="H125" s="1">
        <v>1E-4</v>
      </c>
      <c r="I125" s="1">
        <v>0</v>
      </c>
      <c r="J125" s="1">
        <v>1.9815</v>
      </c>
      <c r="K125" s="1">
        <v>-4.7930000000000004E-3</v>
      </c>
      <c r="L125" s="1">
        <v>-7.7999999999999999E-5</v>
      </c>
      <c r="M125" s="1">
        <v>0.99981200000000003</v>
      </c>
      <c r="N125" s="1">
        <v>-1.8755000000000001E-2</v>
      </c>
      <c r="O125">
        <v>1</v>
      </c>
      <c r="P125">
        <v>0</v>
      </c>
      <c r="Q125">
        <v>1</v>
      </c>
      <c r="R125">
        <v>1</v>
      </c>
      <c r="S125">
        <v>1</v>
      </c>
      <c r="T125" s="1">
        <f>SQRT(POWER(Octane[[#This Row],[angvel_X]],2) + POWER(Octane[[#This Row],[angvel_Y]],2) + POWER(Octane[[#This Row],[angvel_Z]],2))</f>
        <v>1.9815000025233409</v>
      </c>
      <c r="U125" s="1">
        <f>DEGREES(ASIN(MAX(-1,MIN(1,2 * (Octane[[#This Row],[quart_W]]*Octane[[#This Row],[quart_Y]] - Octane[[#This Row],[quart_Z]]*Octane[[#This Row],[quart_X]])))))</f>
        <v>0.54931013564181108</v>
      </c>
      <c r="V12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-92.14932592656848</v>
      </c>
      <c r="W12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89.998635452165033</v>
      </c>
      <c r="X125" s="1">
        <f>IF(Octane[[#This Row],[Yaw]]&gt;V124,(360-ABS(Octane[[#This Row],[Yaw]])-ABS(V124)),ABS(Octane[[#This Row],[Yaw]]-V124))</f>
        <v>0.94595699471373962</v>
      </c>
      <c r="Y125" s="1">
        <f>Octane[[#This Row],[Degree change]]+Y124</f>
        <v>61.300331005639336</v>
      </c>
      <c r="Z125" s="1">
        <f>SQRT(Octane[[#This Row],[vel_X]]*Octane[[#This Row],[vel_X]]+Octane[[#This Row],[vel_Y]]*Octane[[#This Row],[vel_Y]]+Octane[[#This Row],[vel_Z]]*Octane[[#This Row],[vel_Z]])</f>
        <v>2299.9942690556654</v>
      </c>
    </row>
    <row r="126" spans="1:26">
      <c r="A126">
        <v>125</v>
      </c>
      <c r="B126" s="1">
        <v>-749.19000200000005</v>
      </c>
      <c r="C126" s="1">
        <v>2658.929932</v>
      </c>
      <c r="D126" s="1">
        <v>17.010000000000002</v>
      </c>
      <c r="E126" s="1">
        <v>-2299.919922</v>
      </c>
      <c r="F126" s="1">
        <v>16.32</v>
      </c>
      <c r="G126" s="1">
        <v>8.11</v>
      </c>
      <c r="H126" s="1">
        <v>1E-4</v>
      </c>
      <c r="I126" s="1">
        <v>0</v>
      </c>
      <c r="J126" s="1">
        <v>1.9816</v>
      </c>
      <c r="K126" s="1">
        <v>-4.7930000000000004E-3</v>
      </c>
      <c r="L126" s="1">
        <v>-1.16E-4</v>
      </c>
      <c r="M126" s="1">
        <v>0.99962399999999996</v>
      </c>
      <c r="N126" s="1">
        <v>-2.7008999999999998E-2</v>
      </c>
      <c r="O126">
        <v>1</v>
      </c>
      <c r="P126">
        <v>0</v>
      </c>
      <c r="Q126">
        <v>1</v>
      </c>
      <c r="R126">
        <v>1</v>
      </c>
      <c r="S126">
        <v>1</v>
      </c>
      <c r="T126" s="1">
        <f>SQRT(POWER(Octane[[#This Row],[angvel_X]],2) + POWER(Octane[[#This Row],[angvel_Y]],2) + POWER(Octane[[#This Row],[angvel_Z]],2))</f>
        <v>1.9816000025232134</v>
      </c>
      <c r="U126" s="1">
        <f>DEGREES(ASIN(MAX(-1,MIN(1,2 * (Octane[[#This Row],[quart_W]]*Octane[[#This Row],[quart_Y]] - Octane[[#This Row],[quart_Z]]*Octane[[#This Row],[quart_X]])))))</f>
        <v>0.54939826862313479</v>
      </c>
      <c r="V12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-93.095419986751324</v>
      </c>
      <c r="W12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89.998453200330346</v>
      </c>
      <c r="X126" s="1">
        <f>IF(Octane[[#This Row],[Yaw]]&gt;V125,(360-ABS(Octane[[#This Row],[Yaw]])-ABS(V125)),ABS(Octane[[#This Row],[Yaw]]-V125))</f>
        <v>0.94609406018284403</v>
      </c>
      <c r="Y126" s="1">
        <f>Octane[[#This Row],[Degree change]]+Y125</f>
        <v>62.24642506582218</v>
      </c>
      <c r="Z126" s="1">
        <f>SQRT(Octane[[#This Row],[vel_X]]*Octane[[#This Row],[vel_X]]+Octane[[#This Row],[vel_Y]]*Octane[[#This Row],[vel_Y]]+Octane[[#This Row],[vel_Z]]*Octane[[#This Row],[vel_Z]])</f>
        <v>2299.9921221848754</v>
      </c>
    </row>
    <row r="127" spans="1:26">
      <c r="A127">
        <v>126</v>
      </c>
      <c r="B127" s="1">
        <v>-768.419983</v>
      </c>
      <c r="C127" s="1">
        <v>2659.0600589999999</v>
      </c>
      <c r="D127" s="1">
        <v>17.010000000000002</v>
      </c>
      <c r="E127" s="1">
        <v>-2299.8798830000001</v>
      </c>
      <c r="F127" s="1">
        <v>-21.619999</v>
      </c>
      <c r="G127" s="1">
        <v>8.11</v>
      </c>
      <c r="H127" s="1">
        <v>1E-4</v>
      </c>
      <c r="I127" s="1">
        <v>0</v>
      </c>
      <c r="J127" s="1">
        <v>1.9817</v>
      </c>
      <c r="K127" s="1">
        <v>-4.7930000000000004E-3</v>
      </c>
      <c r="L127" s="1">
        <v>-1.54E-4</v>
      </c>
      <c r="M127" s="1">
        <v>0.99936599999999998</v>
      </c>
      <c r="N127" s="1">
        <v>-3.5263000000000003E-2</v>
      </c>
      <c r="O127">
        <v>1</v>
      </c>
      <c r="P127">
        <v>0</v>
      </c>
      <c r="Q127">
        <v>1</v>
      </c>
      <c r="R127">
        <v>1</v>
      </c>
      <c r="S127">
        <v>1</v>
      </c>
      <c r="T127" s="1">
        <f>SQRT(POWER(Octane[[#This Row],[angvel_X]],2) + POWER(Octane[[#This Row],[angvel_Y]],2) + POWER(Octane[[#This Row],[angvel_Z]],2))</f>
        <v>1.9817000025230862</v>
      </c>
      <c r="U127" s="1">
        <f>DEGREES(ASIN(MAX(-1,MIN(1,2 * (Octane[[#This Row],[quart_W]]*Octane[[#This Row],[quart_Y]] - Octane[[#This Row],[quart_Z]]*Octane[[#This Row],[quart_X]])))))</f>
        <v>0.54951984027297152</v>
      </c>
      <c r="V12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-94.041741664896819</v>
      </c>
      <c r="W12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89.998268075767001</v>
      </c>
      <c r="X127" s="1">
        <f>IF(Octane[[#This Row],[Yaw]]&gt;V126,(360-ABS(Octane[[#This Row],[Yaw]])-ABS(V126)),ABS(Octane[[#This Row],[Yaw]]-V126))</f>
        <v>0.94632167814549462</v>
      </c>
      <c r="Y127" s="1">
        <f>Octane[[#This Row],[Degree change]]+Y126</f>
        <v>63.192746743967675</v>
      </c>
      <c r="Z127" s="1">
        <f>SQRT(Octane[[#This Row],[vel_X]]*Octane[[#This Row],[vel_X]]+Octane[[#This Row],[vel_Y]]*Octane[[#This Row],[vel_Y]]+Octane[[#This Row],[vel_Z]]*Octane[[#This Row],[vel_Z]])</f>
        <v>2299.9957984059133</v>
      </c>
    </row>
    <row r="128" spans="1:26">
      <c r="A128">
        <v>127</v>
      </c>
      <c r="B128" s="1">
        <v>-787.64996299999996</v>
      </c>
      <c r="C128" s="1">
        <v>2658.8798830000001</v>
      </c>
      <c r="D128" s="1">
        <v>17.010000000000002</v>
      </c>
      <c r="E128" s="1">
        <v>-2299.209961</v>
      </c>
      <c r="F128" s="1">
        <v>-59.57</v>
      </c>
      <c r="G128" s="1">
        <v>8.11</v>
      </c>
      <c r="H128" s="1">
        <v>2.0000000000000001E-4</v>
      </c>
      <c r="I128" s="1">
        <v>0</v>
      </c>
      <c r="J128" s="1">
        <v>1.9818</v>
      </c>
      <c r="K128" s="1">
        <v>-4.7930000000000004E-3</v>
      </c>
      <c r="L128" s="1">
        <v>-1.92E-4</v>
      </c>
      <c r="M128" s="1">
        <v>0.99904099999999996</v>
      </c>
      <c r="N128" s="1">
        <v>-4.3512000000000002E-2</v>
      </c>
      <c r="O128">
        <v>1</v>
      </c>
      <c r="P128">
        <v>0</v>
      </c>
      <c r="Q128">
        <v>1</v>
      </c>
      <c r="R128">
        <v>1</v>
      </c>
      <c r="S128">
        <v>1</v>
      </c>
      <c r="T128" s="1">
        <f>SQRT(POWER(Octane[[#This Row],[angvel_X]],2) + POWER(Octane[[#This Row],[angvel_Y]],2) + POWER(Octane[[#This Row],[angvel_Z]],2))</f>
        <v>1.9818000100918358</v>
      </c>
      <c r="U128" s="1">
        <f>DEGREES(ASIN(MAX(-1,MIN(1,2 * (Octane[[#This Row],[quart_W]]*Octane[[#This Row],[quart_Y]] - Octane[[#This Row],[quart_Z]]*Octane[[#This Row],[quart_X]])))))</f>
        <v>0.54967638836826005</v>
      </c>
      <c r="V12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-94.9877550459302</v>
      </c>
      <c r="W12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89.998081976309763</v>
      </c>
      <c r="X128" s="1">
        <f>IF(Octane[[#This Row],[Yaw]]&gt;V127,(360-ABS(Octane[[#This Row],[Yaw]])-ABS(V127)),ABS(Octane[[#This Row],[Yaw]]-V127))</f>
        <v>0.94601338103338151</v>
      </c>
      <c r="Y128" s="1">
        <f>Octane[[#This Row],[Degree change]]+Y127</f>
        <v>64.138760125001056</v>
      </c>
      <c r="Z128" s="1">
        <f>SQRT(Octane[[#This Row],[vel_X]]*Octane[[#This Row],[vel_X]]+Octane[[#This Row],[vel_Y]]*Octane[[#This Row],[vel_Y]]+Octane[[#This Row],[vel_Z]]*Octane[[#This Row],[vel_Z]])</f>
        <v>2299.9958264661313</v>
      </c>
    </row>
    <row r="129" spans="1:26">
      <c r="A129">
        <v>128</v>
      </c>
      <c r="B129" s="1">
        <v>-806.88000499999998</v>
      </c>
      <c r="C129" s="1">
        <v>2658.3798830000001</v>
      </c>
      <c r="D129" s="1">
        <v>17.010000000000002</v>
      </c>
      <c r="E129" s="1">
        <v>-2297.9099120000001</v>
      </c>
      <c r="F129" s="1">
        <v>-97.5</v>
      </c>
      <c r="G129" s="1">
        <v>8.11</v>
      </c>
      <c r="H129" s="1">
        <v>2.0000000000000001E-4</v>
      </c>
      <c r="I129" s="1">
        <v>0</v>
      </c>
      <c r="J129" s="1">
        <v>1.9819</v>
      </c>
      <c r="K129" s="1">
        <v>-4.7930000000000004E-3</v>
      </c>
      <c r="L129" s="1">
        <v>-2.2900000000000001E-4</v>
      </c>
      <c r="M129" s="1">
        <v>0.99864799999999998</v>
      </c>
      <c r="N129" s="1">
        <v>-5.1761000000000001E-2</v>
      </c>
      <c r="O129">
        <v>1</v>
      </c>
      <c r="P129">
        <v>0</v>
      </c>
      <c r="Q129">
        <v>1</v>
      </c>
      <c r="R129">
        <v>1</v>
      </c>
      <c r="S129">
        <v>1</v>
      </c>
      <c r="T129" s="1">
        <f>SQRT(POWER(Octane[[#This Row],[angvel_X]],2) + POWER(Octane[[#This Row],[angvel_Y]],2) + POWER(Octane[[#This Row],[angvel_Z]],2))</f>
        <v>1.9819000100913264</v>
      </c>
      <c r="U129" s="1">
        <f>DEGREES(ASIN(MAX(-1,MIN(1,2 * (Octane[[#This Row],[quart_W]]*Octane[[#This Row],[quart_Y]] - Octane[[#This Row],[quart_Z]]*Octane[[#This Row],[quart_X]])))))</f>
        <v>0.54986149846843935</v>
      </c>
      <c r="V12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-95.934104005752772</v>
      </c>
      <c r="W12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89.997776812095012</v>
      </c>
      <c r="X129" s="1">
        <f>IF(Octane[[#This Row],[Yaw]]&gt;V128,(360-ABS(Octane[[#This Row],[Yaw]])-ABS(V128)),ABS(Octane[[#This Row],[Yaw]]-V128))</f>
        <v>0.94634895982257206</v>
      </c>
      <c r="Y129" s="1">
        <f>Octane[[#This Row],[Degree change]]+Y128</f>
        <v>65.085109084823628</v>
      </c>
      <c r="Z129" s="1">
        <f>SQRT(Octane[[#This Row],[vel_X]]*Octane[[#This Row],[vel_X]]+Octane[[#This Row],[vel_Y]]*Octane[[#This Row],[vel_Y]]+Octane[[#This Row],[vel_Z]]*Octane[[#This Row],[vel_Z]])</f>
        <v>2299.9917360216423</v>
      </c>
    </row>
    <row r="130" spans="1:26">
      <c r="A130">
        <v>129</v>
      </c>
      <c r="B130" s="1">
        <v>-826.09997599999997</v>
      </c>
      <c r="C130" s="1">
        <v>2657.5600589999999</v>
      </c>
      <c r="D130" s="1">
        <v>17.010000000000002</v>
      </c>
      <c r="E130" s="1">
        <v>-2295.98999</v>
      </c>
      <c r="F130" s="1">
        <v>-135.41000399999999</v>
      </c>
      <c r="G130" s="1">
        <v>8.11</v>
      </c>
      <c r="H130" s="1">
        <v>2.9999999999999997E-4</v>
      </c>
      <c r="I130" s="1">
        <v>0</v>
      </c>
      <c r="J130" s="1">
        <v>1.982</v>
      </c>
      <c r="K130" s="1">
        <v>-4.7930000000000004E-3</v>
      </c>
      <c r="L130" s="1">
        <v>-2.6699999999999998E-4</v>
      </c>
      <c r="M130" s="1">
        <v>0.99818700000000005</v>
      </c>
      <c r="N130" s="1">
        <v>-6.0004000000000002E-2</v>
      </c>
      <c r="O130">
        <v>1</v>
      </c>
      <c r="P130">
        <v>0</v>
      </c>
      <c r="Q130">
        <v>1</v>
      </c>
      <c r="R130">
        <v>1</v>
      </c>
      <c r="S130">
        <v>1</v>
      </c>
      <c r="T130" s="1">
        <f>SQRT(POWER(Octane[[#This Row],[angvel_X]],2) + POWER(Octane[[#This Row],[angvel_Y]],2) + POWER(Octane[[#This Row],[angvel_Z]],2))</f>
        <v>1.9820000227043388</v>
      </c>
      <c r="U130" s="1">
        <f>DEGREES(ASIN(MAX(-1,MIN(1,2 * (Octane[[#This Row],[quart_W]]*Octane[[#This Row],[quart_Y]] - Octane[[#This Row],[quart_Z]]*Octane[[#This Row],[quart_X]])))))</f>
        <v>0.55008590497680443</v>
      </c>
      <c r="V13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-96.880167335129343</v>
      </c>
      <c r="W13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89.997583926964097</v>
      </c>
      <c r="X130" s="1">
        <f>IF(Octane[[#This Row],[Yaw]]&gt;V129,(360-ABS(Octane[[#This Row],[Yaw]])-ABS(V129)),ABS(Octane[[#This Row],[Yaw]]-V129))</f>
        <v>0.94606332937657101</v>
      </c>
      <c r="Y130" s="1">
        <f>Octane[[#This Row],[Degree change]]+Y129</f>
        <v>66.031172414200199</v>
      </c>
      <c r="Z130" s="1">
        <f>SQRT(Octane[[#This Row],[vel_X]]*Octane[[#This Row],[vel_X]]+Octane[[#This Row],[vel_Y]]*Octane[[#This Row],[vel_Y]]+Octane[[#This Row],[vel_Z]]*Octane[[#This Row],[vel_Z]])</f>
        <v>2299.9938424838183</v>
      </c>
    </row>
    <row r="131" spans="1:26">
      <c r="A131">
        <v>130</v>
      </c>
      <c r="B131" s="1">
        <v>-845.29998799999998</v>
      </c>
      <c r="C131" s="1">
        <v>2656.419922</v>
      </c>
      <c r="D131" s="1">
        <v>17.010000000000002</v>
      </c>
      <c r="E131" s="1">
        <v>-2293.4399410000001</v>
      </c>
      <c r="F131" s="1">
        <v>-173.28999300000001</v>
      </c>
      <c r="G131" s="1">
        <v>8.11</v>
      </c>
      <c r="H131" s="1">
        <v>2.9999999999999997E-4</v>
      </c>
      <c r="I131" s="1">
        <v>0</v>
      </c>
      <c r="J131" s="1">
        <v>1.9821</v>
      </c>
      <c r="K131" s="1">
        <v>-4.7930000000000004E-3</v>
      </c>
      <c r="L131" s="1">
        <v>-3.1E-4</v>
      </c>
      <c r="M131" s="1">
        <v>0.99765700000000002</v>
      </c>
      <c r="N131" s="1">
        <v>-6.8247000000000002E-2</v>
      </c>
      <c r="O131">
        <v>1</v>
      </c>
      <c r="P131">
        <v>0</v>
      </c>
      <c r="Q131">
        <v>1</v>
      </c>
      <c r="R131">
        <v>1</v>
      </c>
      <c r="S131">
        <v>1</v>
      </c>
      <c r="T131" s="1">
        <f>SQRT(POWER(Octane[[#This Row],[angvel_X]],2) + POWER(Octane[[#This Row],[angvel_Y]],2) + POWER(Octane[[#This Row],[angvel_Z]],2))</f>
        <v>1.9821000227031935</v>
      </c>
      <c r="U131" s="1">
        <f>DEGREES(ASIN(MAX(-1,MIN(1,2 * (Octane[[#This Row],[quart_W]]*Octane[[#This Row],[quart_Y]] - Octane[[#This Row],[quart_Z]]*Octane[[#This Row],[quart_X]])))))</f>
        <v>0.55038330807984237</v>
      </c>
      <c r="V13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-97.826711528166015</v>
      </c>
      <c r="W13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89.997956256810284</v>
      </c>
      <c r="X131" s="1">
        <f>IF(Octane[[#This Row],[Yaw]]&gt;V130,(360-ABS(Octane[[#This Row],[Yaw]])-ABS(V130)),ABS(Octane[[#This Row],[Yaw]]-V130))</f>
        <v>0.94654419303667225</v>
      </c>
      <c r="Y131" s="1">
        <f>Octane[[#This Row],[Degree change]]+Y130</f>
        <v>66.977716607236871</v>
      </c>
      <c r="Z131" s="1">
        <f>SQRT(Octane[[#This Row],[vel_X]]*Octane[[#This Row],[vel_X]]+Octane[[#This Row],[vel_Y]]*Octane[[#This Row],[vel_Y]]+Octane[[#This Row],[vel_Z]]*Octane[[#This Row],[vel_Z]])</f>
        <v>2299.9917297129623</v>
      </c>
    </row>
    <row r="132" spans="1:26">
      <c r="A132">
        <v>131</v>
      </c>
      <c r="B132" s="1">
        <v>-864.47997999999995</v>
      </c>
      <c r="C132" s="1">
        <v>2654.969971</v>
      </c>
      <c r="D132" s="1">
        <v>17.010000000000002</v>
      </c>
      <c r="E132" s="1">
        <v>-2290.2700199999999</v>
      </c>
      <c r="F132" s="1">
        <v>-211.12998999999999</v>
      </c>
      <c r="G132" s="1">
        <v>8.11</v>
      </c>
      <c r="H132" s="1">
        <v>2.9999999999999997E-4</v>
      </c>
      <c r="I132" s="1">
        <v>0</v>
      </c>
      <c r="J132" s="1">
        <v>1.9822</v>
      </c>
      <c r="K132" s="1">
        <v>-4.7930000000000004E-3</v>
      </c>
      <c r="L132" s="1">
        <v>-3.5300000000000002E-4</v>
      </c>
      <c r="M132" s="1">
        <v>0.99705900000000003</v>
      </c>
      <c r="N132" s="1">
        <v>-7.6484999999999997E-2</v>
      </c>
      <c r="O132">
        <v>1</v>
      </c>
      <c r="P132">
        <v>0</v>
      </c>
      <c r="Q132">
        <v>1</v>
      </c>
      <c r="R132">
        <v>1</v>
      </c>
      <c r="S132">
        <v>1</v>
      </c>
      <c r="T132" s="1">
        <f>SQRT(POWER(Octane[[#This Row],[angvel_X]],2) + POWER(Octane[[#This Row],[angvel_Y]],2) + POWER(Octane[[#This Row],[angvel_Z]],2))</f>
        <v>1.982200022702048</v>
      </c>
      <c r="U132" s="1">
        <f>DEGREES(ASIN(MAX(-1,MIN(1,2 * (Octane[[#This Row],[quart_W]]*Octane[[#This Row],[quart_Y]] - Octane[[#This Row],[quart_Z]]*Octane[[#This Row],[quart_X]])))))</f>
        <v>0.55072439654919658</v>
      </c>
      <c r="V13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-98.773216811162612</v>
      </c>
      <c r="W13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89.998323358887404</v>
      </c>
      <c r="X132" s="1">
        <f>IF(Octane[[#This Row],[Yaw]]&gt;V131,(360-ABS(Octane[[#This Row],[Yaw]])-ABS(V131)),ABS(Octane[[#This Row],[Yaw]]-V131))</f>
        <v>0.94650528299659697</v>
      </c>
      <c r="Y132" s="1">
        <f>Octane[[#This Row],[Degree change]]+Y131</f>
        <v>67.924221890233468</v>
      </c>
      <c r="Z132" s="1">
        <f>SQRT(Octane[[#This Row],[vel_X]]*Octane[[#This Row],[vel_X]]+Octane[[#This Row],[vel_Y]]*Octane[[#This Row],[vel_Y]]+Octane[[#This Row],[vel_Z]]*Octane[[#This Row],[vel_Z]])</f>
        <v>2299.9953063622106</v>
      </c>
    </row>
    <row r="133" spans="1:26">
      <c r="A133">
        <v>132</v>
      </c>
      <c r="B133" s="1">
        <v>-883.63000499999998</v>
      </c>
      <c r="C133" s="1">
        <v>2653.1999510000001</v>
      </c>
      <c r="D133" s="1">
        <v>17.010000000000002</v>
      </c>
      <c r="E133" s="1">
        <v>-2286.469971</v>
      </c>
      <c r="F133" s="1">
        <v>-248.909988</v>
      </c>
      <c r="G133" s="1">
        <v>8.11</v>
      </c>
      <c r="H133" s="1">
        <v>2.9999999999999997E-4</v>
      </c>
      <c r="I133" s="1">
        <v>1E-4</v>
      </c>
      <c r="J133" s="1">
        <v>1.9823</v>
      </c>
      <c r="K133" s="1">
        <v>-4.7879999999999997E-3</v>
      </c>
      <c r="L133" s="1">
        <v>-3.97E-4</v>
      </c>
      <c r="M133" s="1">
        <v>0.99639299999999997</v>
      </c>
      <c r="N133" s="1">
        <v>-8.4718000000000002E-2</v>
      </c>
      <c r="O133">
        <v>1</v>
      </c>
      <c r="P133">
        <v>0</v>
      </c>
      <c r="Q133">
        <v>1</v>
      </c>
      <c r="R133">
        <v>1</v>
      </c>
      <c r="S133">
        <v>1</v>
      </c>
      <c r="T133" s="1">
        <f>SQRT(POWER(Octane[[#This Row],[angvel_X]],2) + POWER(Octane[[#This Row],[angvel_Y]],2) + POWER(Octane[[#This Row],[angvel_Z]],2))</f>
        <v>1.9823000252232252</v>
      </c>
      <c r="U133" s="1">
        <f>DEGREES(ASIN(MAX(-1,MIN(1,2 * (Octane[[#This Row],[quart_W]]*Octane[[#This Row],[quart_Y]] - Octane[[#This Row],[quart_Z]]*Octane[[#This Row],[quart_X]])))))</f>
        <v>0.55054788737417204</v>
      </c>
      <c r="V13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-99.719747088459926</v>
      </c>
      <c r="W13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89.99884695366093</v>
      </c>
      <c r="X133" s="1">
        <f>IF(Octane[[#This Row],[Yaw]]&gt;V132,(360-ABS(Octane[[#This Row],[Yaw]])-ABS(V132)),ABS(Octane[[#This Row],[Yaw]]-V132))</f>
        <v>0.94653027729731321</v>
      </c>
      <c r="Y133" s="1">
        <f>Octane[[#This Row],[Degree change]]+Y132</f>
        <v>68.870752167530782</v>
      </c>
      <c r="Z133" s="1">
        <f>SQRT(Octane[[#This Row],[vel_X]]*Octane[[#This Row],[vel_X]]+Octane[[#This Row],[vel_Y]]*Octane[[#This Row],[vel_Y]]+Octane[[#This Row],[vel_Z]]*Octane[[#This Row],[vel_Z]])</f>
        <v>2299.9928005345801</v>
      </c>
    </row>
    <row r="134" spans="1:26">
      <c r="A134">
        <v>133</v>
      </c>
      <c r="B134" s="1">
        <v>-902.75</v>
      </c>
      <c r="C134" s="1">
        <v>2651.1098630000001</v>
      </c>
      <c r="D134" s="1">
        <v>17.010000000000002</v>
      </c>
      <c r="E134" s="1">
        <v>-2282.0500489999999</v>
      </c>
      <c r="F134" s="1">
        <v>-286.63000499999998</v>
      </c>
      <c r="G134" s="1">
        <v>8.11</v>
      </c>
      <c r="H134" s="1">
        <v>2.0000000000000001E-4</v>
      </c>
      <c r="I134" s="1">
        <v>1E-4</v>
      </c>
      <c r="J134" s="1">
        <v>1.9823</v>
      </c>
      <c r="K134" s="1">
        <v>-4.7829999999999999E-3</v>
      </c>
      <c r="L134" s="1">
        <v>-4.4000000000000002E-4</v>
      </c>
      <c r="M134" s="1">
        <v>0.99565999999999999</v>
      </c>
      <c r="N134" s="1">
        <v>-9.2945E-2</v>
      </c>
      <c r="O134">
        <v>1</v>
      </c>
      <c r="P134">
        <v>0</v>
      </c>
      <c r="Q134">
        <v>1</v>
      </c>
      <c r="R134">
        <v>1</v>
      </c>
      <c r="S134">
        <v>1</v>
      </c>
      <c r="T134" s="1">
        <f>SQRT(POWER(Octane[[#This Row],[angvel_X]],2) + POWER(Octane[[#This Row],[angvel_Y]],2) + POWER(Octane[[#This Row],[angvel_Z]],2))</f>
        <v>1.9823000126116126</v>
      </c>
      <c r="U134" s="1">
        <f>DEGREES(ASIN(MAX(-1,MIN(1,2 * (Octane[[#This Row],[quart_W]]*Octane[[#This Row],[quart_Y]] - Octane[[#This Row],[quart_Z]]*Octane[[#This Row],[quart_X]])))))</f>
        <v>0.5504074890458136</v>
      </c>
      <c r="V13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-100.66622334045003</v>
      </c>
      <c r="W13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89.999259070076931</v>
      </c>
      <c r="X134" s="1">
        <f>IF(Octane[[#This Row],[Yaw]]&gt;V133,(360-ABS(Octane[[#This Row],[Yaw]])-ABS(V133)),ABS(Octane[[#This Row],[Yaw]]-V133))</f>
        <v>0.94647625199010577</v>
      </c>
      <c r="Y134" s="1">
        <f>Octane[[#This Row],[Degree change]]+Y133</f>
        <v>69.817228419520887</v>
      </c>
      <c r="Z134" s="1">
        <f>SQRT(Octane[[#This Row],[vel_X]]*Octane[[#This Row],[vel_X]]+Octane[[#This Row],[vel_Y]]*Octane[[#This Row],[vel_Y]]+Octane[[#This Row],[vel_Z]]*Octane[[#This Row],[vel_Z]])</f>
        <v>2299.9945560820797</v>
      </c>
    </row>
    <row r="135" spans="1:26">
      <c r="A135">
        <v>134</v>
      </c>
      <c r="B135" s="1">
        <v>-921.82995600000004</v>
      </c>
      <c r="C135" s="1">
        <v>2648.709961</v>
      </c>
      <c r="D135" s="1">
        <v>17.010000000000002</v>
      </c>
      <c r="E135" s="1">
        <v>-2277.01001</v>
      </c>
      <c r="F135" s="1">
        <v>-324.26998900000001</v>
      </c>
      <c r="G135" s="1">
        <v>8.11</v>
      </c>
      <c r="H135" s="1">
        <v>1E-4</v>
      </c>
      <c r="I135" s="1">
        <v>1E-4</v>
      </c>
      <c r="J135" s="1">
        <v>1.9823</v>
      </c>
      <c r="K135" s="1">
        <v>-4.777E-3</v>
      </c>
      <c r="L135" s="1">
        <v>-4.7699999999999999E-4</v>
      </c>
      <c r="M135" s="1">
        <v>0.99485800000000002</v>
      </c>
      <c r="N135" s="1">
        <v>-0.10116600000000001</v>
      </c>
      <c r="O135">
        <v>1</v>
      </c>
      <c r="P135">
        <v>0</v>
      </c>
      <c r="Q135">
        <v>1</v>
      </c>
      <c r="R135">
        <v>1</v>
      </c>
      <c r="S135">
        <v>1</v>
      </c>
      <c r="T135" s="1">
        <f>SQRT(POWER(Octane[[#This Row],[angvel_X]],2) + POWER(Octane[[#This Row],[angvel_Y]],2) + POWER(Octane[[#This Row],[angvel_Z]],2))</f>
        <v>1.9823000050446449</v>
      </c>
      <c r="U135" s="1">
        <f>DEGREES(ASIN(MAX(-1,MIN(1,2 * (Octane[[#This Row],[quart_W]]*Octane[[#This Row],[quart_Y]] - Octane[[#This Row],[quart_Z]]*Octane[[#This Row],[quart_X]])))))</f>
        <v>0.55012733047422335</v>
      </c>
      <c r="V13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-101.61277403878982</v>
      </c>
      <c r="W13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89.99900040429884</v>
      </c>
      <c r="X135" s="1">
        <f>IF(Octane[[#This Row],[Yaw]]&gt;V134,(360-ABS(Octane[[#This Row],[Yaw]])-ABS(V134)),ABS(Octane[[#This Row],[Yaw]]-V134))</f>
        <v>0.94655069833979155</v>
      </c>
      <c r="Y135" s="1">
        <f>Octane[[#This Row],[Degree change]]+Y134</f>
        <v>70.763779117860679</v>
      </c>
      <c r="Z135" s="1">
        <f>SQRT(Octane[[#This Row],[vel_X]]*Octane[[#This Row],[vel_X]]+Octane[[#This Row],[vel_Y]]*Octane[[#This Row],[vel_Y]]+Octane[[#This Row],[vel_Z]]*Octane[[#This Row],[vel_Z]])</f>
        <v>2299.9981268484239</v>
      </c>
    </row>
    <row r="136" spans="1:26">
      <c r="A136">
        <v>135</v>
      </c>
      <c r="B136" s="1">
        <v>-940.86999500000002</v>
      </c>
      <c r="C136" s="1">
        <v>2645.98999</v>
      </c>
      <c r="D136" s="1">
        <v>17.010000000000002</v>
      </c>
      <c r="E136" s="1">
        <v>-2271.3398440000001</v>
      </c>
      <c r="F136" s="1">
        <v>-361.82998700000002</v>
      </c>
      <c r="G136" s="1">
        <v>8.11</v>
      </c>
      <c r="H136" s="1">
        <v>1E-4</v>
      </c>
      <c r="I136" s="1">
        <v>1E-4</v>
      </c>
      <c r="J136" s="1">
        <v>1.9823</v>
      </c>
      <c r="K136" s="1">
        <v>-4.7720000000000002E-3</v>
      </c>
      <c r="L136" s="1">
        <v>-5.1500000000000005E-4</v>
      </c>
      <c r="M136" s="1">
        <v>0.99398900000000001</v>
      </c>
      <c r="N136" s="1">
        <v>-0.109377</v>
      </c>
      <c r="O136">
        <v>1</v>
      </c>
      <c r="P136">
        <v>0</v>
      </c>
      <c r="Q136">
        <v>1</v>
      </c>
      <c r="R136">
        <v>1</v>
      </c>
      <c r="S136">
        <v>1</v>
      </c>
      <c r="T136" s="1">
        <f>SQRT(POWER(Octane[[#This Row],[angvel_X]],2) + POWER(Octane[[#This Row],[angvel_Y]],2) + POWER(Octane[[#This Row],[angvel_Z]],2))</f>
        <v>1.9823000050446449</v>
      </c>
      <c r="U136" s="1">
        <f>DEGREES(ASIN(MAX(-1,MIN(1,2 * (Octane[[#This Row],[quart_W]]*Octane[[#This Row],[quart_Y]] - Octane[[#This Row],[quart_Z]]*Octane[[#This Row],[quart_X]])))))</f>
        <v>0.5500072117853394</v>
      </c>
      <c r="V13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-102.55894864544707</v>
      </c>
      <c r="W13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89.998849137293675</v>
      </c>
      <c r="X136" s="1">
        <f>IF(Octane[[#This Row],[Yaw]]&gt;V135,(360-ABS(Octane[[#This Row],[Yaw]])-ABS(V135)),ABS(Octane[[#This Row],[Yaw]]-V135))</f>
        <v>0.94617460665725162</v>
      </c>
      <c r="Y136" s="1">
        <f>Octane[[#This Row],[Degree change]]+Y135</f>
        <v>71.709953724517931</v>
      </c>
      <c r="Z136" s="1">
        <f>SQRT(Octane[[#This Row],[vel_X]]*Octane[[#This Row],[vel_X]]+Octane[[#This Row],[vel_Y]]*Octane[[#This Row],[vel_Y]]+Octane[[#This Row],[vel_Z]]*Octane[[#This Row],[vel_Z]])</f>
        <v>2299.9937822816751</v>
      </c>
    </row>
    <row r="137" spans="1:26">
      <c r="A137">
        <v>136</v>
      </c>
      <c r="B137" s="1">
        <v>-959.86999500000002</v>
      </c>
      <c r="C137" s="1">
        <v>2642.959961</v>
      </c>
      <c r="D137" s="1">
        <v>17.010000000000002</v>
      </c>
      <c r="E137" s="1">
        <v>-2265.0600589999999</v>
      </c>
      <c r="F137" s="1">
        <v>-399.28997800000002</v>
      </c>
      <c r="G137" s="1">
        <v>8.11</v>
      </c>
      <c r="H137" s="1">
        <v>1E-4</v>
      </c>
      <c r="I137" s="1">
        <v>0</v>
      </c>
      <c r="J137" s="1">
        <v>1.9823</v>
      </c>
      <c r="K137" s="1">
        <v>-4.7660000000000003E-3</v>
      </c>
      <c r="L137" s="1">
        <v>-5.53E-4</v>
      </c>
      <c r="M137" s="1">
        <v>0.99305100000000002</v>
      </c>
      <c r="N137" s="1">
        <v>-0.11758299999999999</v>
      </c>
      <c r="O137">
        <v>1</v>
      </c>
      <c r="P137">
        <v>0</v>
      </c>
      <c r="Q137">
        <v>1</v>
      </c>
      <c r="R137">
        <v>1</v>
      </c>
      <c r="S137">
        <v>1</v>
      </c>
      <c r="T137" s="1">
        <f>SQRT(POWER(Octane[[#This Row],[angvel_X]],2) + POWER(Octane[[#This Row],[angvel_Y]],2) + POWER(Octane[[#This Row],[angvel_Z]],2))</f>
        <v>1.9823000025223225</v>
      </c>
      <c r="U137" s="1">
        <f>DEGREES(ASIN(MAX(-1,MIN(1,2 * (Octane[[#This Row],[quart_W]]*Octane[[#This Row],[quart_Y]] - Octane[[#This Row],[quart_Z]]*Octane[[#This Row],[quart_X]])))))</f>
        <v>0.54980779059865681</v>
      </c>
      <c r="V13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-103.50544324613644</v>
      </c>
      <c r="W13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89.998711544808316</v>
      </c>
      <c r="X137" s="1">
        <f>IF(Octane[[#This Row],[Yaw]]&gt;V136,(360-ABS(Octane[[#This Row],[Yaw]])-ABS(V136)),ABS(Octane[[#This Row],[Yaw]]-V136))</f>
        <v>0.94649460068936264</v>
      </c>
      <c r="Y137" s="1">
        <f>Octane[[#This Row],[Degree change]]+Y136</f>
        <v>72.656448325207293</v>
      </c>
      <c r="Z137" s="1">
        <f>SQRT(Octane[[#This Row],[vel_X]]*Octane[[#This Row],[vel_X]]+Octane[[#This Row],[vel_Y]]*Octane[[#This Row],[vel_Y]]+Octane[[#This Row],[vel_Z]]*Octane[[#This Row],[vel_Z]])</f>
        <v>2299.9989846754984</v>
      </c>
    </row>
    <row r="138" spans="1:26">
      <c r="A138">
        <v>137</v>
      </c>
      <c r="B138" s="1">
        <v>-978.80999799999995</v>
      </c>
      <c r="C138" s="1">
        <v>2639.6198730000001</v>
      </c>
      <c r="D138" s="1">
        <v>17.010000000000002</v>
      </c>
      <c r="E138" s="1">
        <v>-2258.1499020000001</v>
      </c>
      <c r="F138" s="1">
        <v>-436.63998400000003</v>
      </c>
      <c r="G138" s="1">
        <v>8.11</v>
      </c>
      <c r="H138" s="1">
        <v>1E-4</v>
      </c>
      <c r="I138" s="1">
        <v>0</v>
      </c>
      <c r="J138" s="1">
        <v>1.9823</v>
      </c>
      <c r="K138" s="1">
        <v>-4.7609999999999996E-3</v>
      </c>
      <c r="L138" s="1">
        <v>-5.9100000000000005E-4</v>
      </c>
      <c r="M138" s="1">
        <v>0.99204599999999998</v>
      </c>
      <c r="N138" s="1">
        <v>-0.12578300000000001</v>
      </c>
      <c r="O138">
        <v>1</v>
      </c>
      <c r="P138">
        <v>0</v>
      </c>
      <c r="Q138">
        <v>1</v>
      </c>
      <c r="R138">
        <v>1</v>
      </c>
      <c r="S138">
        <v>1</v>
      </c>
      <c r="T138" s="1">
        <f>SQRT(POWER(Octane[[#This Row],[angvel_X]],2) + POWER(Octane[[#This Row],[angvel_Y]],2) + POWER(Octane[[#This Row],[angvel_Z]],2))</f>
        <v>1.9823000025223225</v>
      </c>
      <c r="U138" s="1">
        <f>DEGREES(ASIN(MAX(-1,MIN(1,2 * (Octane[[#This Row],[quart_W]]*Octane[[#This Row],[quart_Y]] - Octane[[#This Row],[quart_Z]]*Octane[[#This Row],[quart_X]])))))</f>
        <v>0.54975786007020522</v>
      </c>
      <c r="V13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-104.45213231099902</v>
      </c>
      <c r="W13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89.998561388358041</v>
      </c>
      <c r="X138" s="1">
        <f>IF(Octane[[#This Row],[Yaw]]&gt;V137,(360-ABS(Octane[[#This Row],[Yaw]])-ABS(V137)),ABS(Octane[[#This Row],[Yaw]]-V137))</f>
        <v>0.94668906486258209</v>
      </c>
      <c r="Y138" s="1">
        <f>Octane[[#This Row],[Degree change]]+Y137</f>
        <v>73.603137390069875</v>
      </c>
      <c r="Z138" s="1">
        <f>SQRT(Octane[[#This Row],[vel_X]]*Octane[[#This Row],[vel_X]]+Octane[[#This Row],[vel_Y]]*Octane[[#This Row],[vel_Y]]+Octane[[#This Row],[vel_Z]]*Octane[[#This Row],[vel_Z]])</f>
        <v>2299.9915712084967</v>
      </c>
    </row>
    <row r="139" spans="1:26">
      <c r="A139">
        <v>138</v>
      </c>
      <c r="B139" s="1">
        <v>-997.69000200000005</v>
      </c>
      <c r="C139" s="1">
        <v>2635.959961</v>
      </c>
      <c r="D139" s="1">
        <v>17.010000000000002</v>
      </c>
      <c r="E139" s="1">
        <v>-2250.6298830000001</v>
      </c>
      <c r="F139" s="1">
        <v>-473.86999500000002</v>
      </c>
      <c r="G139" s="1">
        <v>8.11</v>
      </c>
      <c r="H139" s="1">
        <v>1E-4</v>
      </c>
      <c r="I139" s="1">
        <v>0</v>
      </c>
      <c r="J139" s="1">
        <v>1.9823</v>
      </c>
      <c r="K139" s="1">
        <v>-4.7559999999999998E-3</v>
      </c>
      <c r="L139" s="1">
        <v>-6.2799999999999998E-4</v>
      </c>
      <c r="M139" s="1">
        <v>0.99097299999999999</v>
      </c>
      <c r="N139" s="1">
        <v>-0.13397200000000001</v>
      </c>
      <c r="O139">
        <v>1</v>
      </c>
      <c r="P139">
        <v>0</v>
      </c>
      <c r="Q139">
        <v>1</v>
      </c>
      <c r="R139">
        <v>1</v>
      </c>
      <c r="S139">
        <v>1</v>
      </c>
      <c r="T139" s="1">
        <f>SQRT(POWER(Octane[[#This Row],[angvel_X]],2) + POWER(Octane[[#This Row],[angvel_Y]],2) + POWER(Octane[[#This Row],[angvel_Z]],2))</f>
        <v>1.9823000025223225</v>
      </c>
      <c r="U139" s="1">
        <f>DEGREES(ASIN(MAX(-1,MIN(1,2 * (Octane[[#This Row],[quart_W]]*Octane[[#This Row],[quart_Y]] - Octane[[#This Row],[quart_Z]]*Octane[[#This Row],[quart_X]])))))</f>
        <v>0.54972729079177607</v>
      </c>
      <c r="V13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-105.39856912555618</v>
      </c>
      <c r="W13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89.998299407283355</v>
      </c>
      <c r="X139" s="1">
        <f>IF(Octane[[#This Row],[Yaw]]&gt;V138,(360-ABS(Octane[[#This Row],[Yaw]])-ABS(V138)),ABS(Octane[[#This Row],[Yaw]]-V138))</f>
        <v>0.94643681455715978</v>
      </c>
      <c r="Y139" s="1">
        <f>Octane[[#This Row],[Degree change]]+Y138</f>
        <v>74.549574204627035</v>
      </c>
      <c r="Z139" s="1">
        <f>SQRT(Octane[[#This Row],[vel_X]]*Octane[[#This Row],[vel_X]]+Octane[[#This Row],[vel_Y]]*Octane[[#This Row],[vel_Y]]+Octane[[#This Row],[vel_Z]]*Octane[[#This Row],[vel_Z]])</f>
        <v>2299.9898726981155</v>
      </c>
    </row>
    <row r="140" spans="1:26">
      <c r="A140">
        <v>139</v>
      </c>
      <c r="B140" s="1">
        <v>-1016.509949</v>
      </c>
      <c r="C140" s="1">
        <v>2631.98999</v>
      </c>
      <c r="D140" s="1">
        <v>17.010000000000002</v>
      </c>
      <c r="E140" s="1">
        <v>-2242.5</v>
      </c>
      <c r="F140" s="1">
        <v>-510.97998000000001</v>
      </c>
      <c r="G140" s="1">
        <v>8.11</v>
      </c>
      <c r="H140" s="1">
        <v>1E-4</v>
      </c>
      <c r="I140" s="1">
        <v>0</v>
      </c>
      <c r="J140" s="1">
        <v>1.9823</v>
      </c>
      <c r="K140" s="1">
        <v>-4.7499999999999999E-3</v>
      </c>
      <c r="L140" s="1">
        <v>-6.6600000000000003E-4</v>
      </c>
      <c r="M140" s="1">
        <v>0.98983299999999996</v>
      </c>
      <c r="N140" s="1">
        <v>-0.142151</v>
      </c>
      <c r="O140">
        <v>1</v>
      </c>
      <c r="P140">
        <v>0</v>
      </c>
      <c r="Q140">
        <v>1</v>
      </c>
      <c r="R140">
        <v>1</v>
      </c>
      <c r="S140">
        <v>1</v>
      </c>
      <c r="T140" s="1">
        <f>SQRT(POWER(Octane[[#This Row],[angvel_X]],2) + POWER(Octane[[#This Row],[angvel_Y]],2) + POWER(Octane[[#This Row],[angvel_Z]],2))</f>
        <v>1.9823000025223225</v>
      </c>
      <c r="U140" s="1">
        <f>DEGREES(ASIN(MAX(-1,MIN(1,2 * (Octane[[#This Row],[quart_W]]*Octane[[#This Row],[quart_Y]] - Octane[[#This Row],[quart_Z]]*Octane[[#This Row],[quart_X]])))))</f>
        <v>0.54963301335266712</v>
      </c>
      <c r="V14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-106.34488465028438</v>
      </c>
      <c r="W14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89.998167771763008</v>
      </c>
      <c r="X140" s="1">
        <f>IF(Octane[[#This Row],[Yaw]]&gt;V139,(360-ABS(Octane[[#This Row],[Yaw]])-ABS(V139)),ABS(Octane[[#This Row],[Yaw]]-V139))</f>
        <v>0.94631552472820601</v>
      </c>
      <c r="Y140" s="1">
        <f>Octane[[#This Row],[Degree change]]+Y139</f>
        <v>75.495889729355241</v>
      </c>
      <c r="Z140" s="1">
        <f>SQRT(Octane[[#This Row],[vel_X]]*Octane[[#This Row],[vel_X]]+Octane[[#This Row],[vel_Y]]*Octane[[#This Row],[vel_Y]]+Octane[[#This Row],[vel_Z]]*Octane[[#This Row],[vel_Z]])</f>
        <v>2299.9940352228741</v>
      </c>
    </row>
    <row r="141" spans="1:26">
      <c r="A141">
        <v>140</v>
      </c>
      <c r="B141" s="1">
        <v>-1035.26001</v>
      </c>
      <c r="C141" s="1">
        <v>2627.709961</v>
      </c>
      <c r="D141" s="1">
        <v>17.010000000000002</v>
      </c>
      <c r="E141" s="1">
        <v>-2233.76001</v>
      </c>
      <c r="F141" s="1">
        <v>-547.95001200000002</v>
      </c>
      <c r="G141" s="1">
        <v>8.11</v>
      </c>
      <c r="H141" s="1">
        <v>2.0000000000000001E-4</v>
      </c>
      <c r="I141" s="1">
        <v>0</v>
      </c>
      <c r="J141" s="1">
        <v>1.9823</v>
      </c>
      <c r="K141" s="1">
        <v>-4.7450000000000001E-3</v>
      </c>
      <c r="L141" s="1">
        <v>-7.0399999999999998E-4</v>
      </c>
      <c r="M141" s="1">
        <v>0.98862499999999998</v>
      </c>
      <c r="N141" s="1">
        <v>-0.15032400000000001</v>
      </c>
      <c r="O141">
        <v>1</v>
      </c>
      <c r="P141">
        <v>0</v>
      </c>
      <c r="Q141">
        <v>1</v>
      </c>
      <c r="R141">
        <v>1</v>
      </c>
      <c r="S141">
        <v>1</v>
      </c>
      <c r="T141" s="1">
        <f>SQRT(POWER(Octane[[#This Row],[angvel_X]],2) + POWER(Octane[[#This Row],[angvel_Y]],2) + POWER(Octane[[#This Row],[angvel_Z]],2))</f>
        <v>1.9823000100892902</v>
      </c>
      <c r="U141" s="1">
        <f>DEGREES(ASIN(MAX(-1,MIN(1,2 * (Octane[[#This Row],[quart_W]]*Octane[[#This Row],[quart_Y]] - Octane[[#This Row],[quart_Z]]*Octane[[#This Row],[quart_X]])))))</f>
        <v>0.54968737866290762</v>
      </c>
      <c r="V14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-107.29162412660956</v>
      </c>
      <c r="W14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89.998018004228655</v>
      </c>
      <c r="X141" s="1">
        <f>IF(Octane[[#This Row],[Yaw]]&gt;V140,(360-ABS(Octane[[#This Row],[Yaw]])-ABS(V140)),ABS(Octane[[#This Row],[Yaw]]-V140))</f>
        <v>0.94673947632517752</v>
      </c>
      <c r="Y141" s="1">
        <f>Octane[[#This Row],[Degree change]]+Y140</f>
        <v>76.442629205680419</v>
      </c>
      <c r="Z141" s="1">
        <f>SQRT(Octane[[#This Row],[vel_X]]*Octane[[#This Row],[vel_X]]+Octane[[#This Row],[vel_Y]]*Octane[[#This Row],[vel_Y]]+Octane[[#This Row],[vel_Z]]*Octane[[#This Row],[vel_Z]])</f>
        <v>2299.9997326143325</v>
      </c>
    </row>
    <row r="142" spans="1:26">
      <c r="A142">
        <v>141</v>
      </c>
      <c r="B142" s="1">
        <v>-1053.9399410000001</v>
      </c>
      <c r="C142" s="1">
        <v>2623.1198730000001</v>
      </c>
      <c r="D142" s="1">
        <v>17.010000000000002</v>
      </c>
      <c r="E142" s="1">
        <v>-2224.3999020000001</v>
      </c>
      <c r="F142" s="1">
        <v>-584.76995799999997</v>
      </c>
      <c r="G142" s="1">
        <v>8.11</v>
      </c>
      <c r="H142" s="1">
        <v>2.0000000000000001E-4</v>
      </c>
      <c r="I142" s="1">
        <v>0</v>
      </c>
      <c r="J142" s="1">
        <v>1.9823</v>
      </c>
      <c r="K142" s="1">
        <v>-4.7390000000000002E-3</v>
      </c>
      <c r="L142" s="1">
        <v>-7.4200000000000004E-4</v>
      </c>
      <c r="M142" s="1">
        <v>0.98734900000000003</v>
      </c>
      <c r="N142" s="1">
        <v>-0.15848599999999999</v>
      </c>
      <c r="O142">
        <v>1</v>
      </c>
      <c r="P142">
        <v>0</v>
      </c>
      <c r="Q142">
        <v>1</v>
      </c>
      <c r="R142">
        <v>1</v>
      </c>
      <c r="S142">
        <v>1</v>
      </c>
      <c r="T142" s="1">
        <f>SQRT(POWER(Octane[[#This Row],[angvel_X]],2) + POWER(Octane[[#This Row],[angvel_Y]],2) + POWER(Octane[[#This Row],[angvel_Z]],2))</f>
        <v>1.9823000100892902</v>
      </c>
      <c r="U142" s="1">
        <f>DEGREES(ASIN(MAX(-1,MIN(1,2 * (Octane[[#This Row],[quart_W]]*Octane[[#This Row],[quart_Y]] - Octane[[#This Row],[quart_Z]]*Octane[[#This Row],[quart_X]])))))</f>
        <v>0.54966329063788499</v>
      </c>
      <c r="V14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-108.23831078022833</v>
      </c>
      <c r="W14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89.997885436787229</v>
      </c>
      <c r="X142" s="1">
        <f>IF(Octane[[#This Row],[Yaw]]&gt;V141,(360-ABS(Octane[[#This Row],[Yaw]])-ABS(V141)),ABS(Octane[[#This Row],[Yaw]]-V141))</f>
        <v>0.94668665361876947</v>
      </c>
      <c r="Y142" s="1">
        <f>Octane[[#This Row],[Degree change]]+Y141</f>
        <v>77.389315859299188</v>
      </c>
      <c r="Z142" s="1">
        <f>SQRT(Octane[[#This Row],[vel_X]]*Octane[[#This Row],[vel_X]]+Octane[[#This Row],[vel_Y]]*Octane[[#This Row],[vel_Y]]+Octane[[#This Row],[vel_Z]]*Octane[[#This Row],[vel_Z]])</f>
        <v>2299.9949130154464</v>
      </c>
    </row>
    <row r="143" spans="1:26">
      <c r="A143">
        <v>142</v>
      </c>
      <c r="B143" s="1">
        <v>-1072.5399170000001</v>
      </c>
      <c r="C143" s="1">
        <v>2618.2299800000001</v>
      </c>
      <c r="D143" s="1">
        <v>17.010000000000002</v>
      </c>
      <c r="E143" s="1">
        <v>-2214.4399410000001</v>
      </c>
      <c r="F143" s="1">
        <v>-621.42999299999997</v>
      </c>
      <c r="G143" s="1">
        <v>8.11</v>
      </c>
      <c r="H143" s="1">
        <v>2.9999999999999997E-4</v>
      </c>
      <c r="I143" s="1">
        <v>0</v>
      </c>
      <c r="J143" s="1">
        <v>1.9823</v>
      </c>
      <c r="K143" s="1">
        <v>-4.7340000000000004E-3</v>
      </c>
      <c r="L143" s="1">
        <v>-7.7999999999999999E-4</v>
      </c>
      <c r="M143" s="1">
        <v>0.98600600000000005</v>
      </c>
      <c r="N143" s="1">
        <v>-0.16663800000000001</v>
      </c>
      <c r="O143">
        <v>1</v>
      </c>
      <c r="P143">
        <v>0</v>
      </c>
      <c r="Q143">
        <v>1</v>
      </c>
      <c r="R143">
        <v>1</v>
      </c>
      <c r="S143">
        <v>1</v>
      </c>
      <c r="T143" s="1">
        <f>SQRT(POWER(Octane[[#This Row],[angvel_X]],2) + POWER(Octane[[#This Row],[angvel_Y]],2) + POWER(Octane[[#This Row],[angvel_Z]],2))</f>
        <v>1.9823000227009027</v>
      </c>
      <c r="U143" s="1">
        <f>DEGREES(ASIN(MAX(-1,MIN(1,2 * (Octane[[#This Row],[quart_W]]*Octane[[#This Row],[quart_Y]] - Octane[[#This Row],[quart_Z]]*Octane[[#This Row],[quart_X]])))))</f>
        <v>0.54978780250410486</v>
      </c>
      <c r="V14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-109.18506507707122</v>
      </c>
      <c r="W14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89.997733319071017</v>
      </c>
      <c r="X143" s="1">
        <f>IF(Octane[[#This Row],[Yaw]]&gt;V142,(360-ABS(Octane[[#This Row],[Yaw]])-ABS(V142)),ABS(Octane[[#This Row],[Yaw]]-V142))</f>
        <v>0.94675429684288304</v>
      </c>
      <c r="Y143" s="1">
        <f>Octane[[#This Row],[Degree change]]+Y142</f>
        <v>78.336070156142071</v>
      </c>
      <c r="Z143" s="1">
        <f>SQRT(Octane[[#This Row],[vel_X]]*Octane[[#This Row],[vel_X]]+Octane[[#This Row],[vel_Y]]*Octane[[#This Row],[vel_Y]]+Octane[[#This Row],[vel_Z]]*Octane[[#This Row],[vel_Z]])</f>
        <v>2299.9967957795207</v>
      </c>
    </row>
    <row r="144" spans="1:26">
      <c r="A144">
        <v>143</v>
      </c>
      <c r="B144" s="1">
        <v>-1091.059937</v>
      </c>
      <c r="C144" s="1">
        <v>2613.030029</v>
      </c>
      <c r="D144" s="1">
        <v>17.010000000000002</v>
      </c>
      <c r="E144" s="1">
        <v>-2203.8698730000001</v>
      </c>
      <c r="F144" s="1">
        <v>-657.919983</v>
      </c>
      <c r="G144" s="1">
        <v>8.11</v>
      </c>
      <c r="H144" s="1">
        <v>2.9999999999999997E-4</v>
      </c>
      <c r="I144" s="1">
        <v>0</v>
      </c>
      <c r="J144" s="1">
        <v>1.9823999999999999</v>
      </c>
      <c r="K144" s="1">
        <v>-4.7289999999999997E-3</v>
      </c>
      <c r="L144" s="1">
        <v>-8.1700000000000002E-4</v>
      </c>
      <c r="M144" s="1">
        <v>0.98459600000000003</v>
      </c>
      <c r="N144" s="1">
        <v>-0.17477899999999999</v>
      </c>
      <c r="O144">
        <v>1</v>
      </c>
      <c r="P144">
        <v>0</v>
      </c>
      <c r="Q144">
        <v>1</v>
      </c>
      <c r="R144">
        <v>1</v>
      </c>
      <c r="S144">
        <v>1</v>
      </c>
      <c r="T144" s="1">
        <f>SQRT(POWER(Octane[[#This Row],[angvel_X]],2) + POWER(Octane[[#This Row],[angvel_Y]],2) + POWER(Octane[[#This Row],[angvel_Z]],2))</f>
        <v>1.9824000226997576</v>
      </c>
      <c r="U144" s="1">
        <f>DEGREES(ASIN(MAX(-1,MIN(1,2 * (Octane[[#This Row],[quart_W]]*Octane[[#This Row],[quart_Y]] - Octane[[#This Row],[quart_Z]]*Octane[[#This Row],[quart_X]])))))</f>
        <v>0.54992748263950175</v>
      </c>
      <c r="V14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-110.13184108604864</v>
      </c>
      <c r="W14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89.997465695637274</v>
      </c>
      <c r="X144" s="1">
        <f>IF(Octane[[#This Row],[Yaw]]&gt;V143,(360-ABS(Octane[[#This Row],[Yaw]])-ABS(V143)),ABS(Octane[[#This Row],[Yaw]]-V143))</f>
        <v>0.94677600897742309</v>
      </c>
      <c r="Y144" s="1">
        <f>Octane[[#This Row],[Degree change]]+Y143</f>
        <v>79.282846165119494</v>
      </c>
      <c r="Z144" s="1">
        <f>SQRT(Octane[[#This Row],[vel_X]]*Octane[[#This Row],[vel_X]]+Octane[[#This Row],[vel_Y]]*Octane[[#This Row],[vel_Y]]+Octane[[#This Row],[vel_Z]]*Octane[[#This Row],[vel_Z]])</f>
        <v>2299.9928028686868</v>
      </c>
    </row>
    <row r="145" spans="1:26">
      <c r="A145">
        <v>144</v>
      </c>
      <c r="B145" s="1">
        <v>-1109.48999</v>
      </c>
      <c r="C145" s="1">
        <v>2607.5200199999999</v>
      </c>
      <c r="D145" s="1">
        <v>17.010000000000002</v>
      </c>
      <c r="E145" s="1">
        <v>-2192.6999510000001</v>
      </c>
      <c r="F145" s="1">
        <v>-694.23999000000003</v>
      </c>
      <c r="G145" s="1">
        <v>8.11</v>
      </c>
      <c r="H145" s="1">
        <v>2.9999999999999997E-4</v>
      </c>
      <c r="I145" s="1">
        <v>0</v>
      </c>
      <c r="J145" s="1">
        <v>1.9823999999999999</v>
      </c>
      <c r="K145" s="1">
        <v>-4.7229999999999998E-3</v>
      </c>
      <c r="L145" s="1">
        <v>-8.5499999999999997E-4</v>
      </c>
      <c r="M145" s="1">
        <v>0.98311899999999997</v>
      </c>
      <c r="N145" s="1">
        <v>-0.18290300000000001</v>
      </c>
      <c r="O145">
        <v>1</v>
      </c>
      <c r="P145">
        <v>0</v>
      </c>
      <c r="Q145">
        <v>1</v>
      </c>
      <c r="R145">
        <v>1</v>
      </c>
      <c r="S145">
        <v>1</v>
      </c>
      <c r="T145" s="1">
        <f>SQRT(POWER(Octane[[#This Row],[angvel_X]],2) + POWER(Octane[[#This Row],[angvel_Y]],2) + POWER(Octane[[#This Row],[angvel_Z]],2))</f>
        <v>1.9824000226997576</v>
      </c>
      <c r="U145" s="1">
        <f>DEGREES(ASIN(MAX(-1,MIN(1,2 * (Octane[[#This Row],[quart_W]]*Octane[[#This Row],[quart_Y]] - Octane[[#This Row],[quart_Z]]*Octane[[#This Row],[quart_X]])))))</f>
        <v>0.55000817886806375</v>
      </c>
      <c r="V14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-111.07806803401984</v>
      </c>
      <c r="W14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89.997331712989535</v>
      </c>
      <c r="X145" s="1">
        <f>IF(Octane[[#This Row],[Yaw]]&gt;V144,(360-ABS(Octane[[#This Row],[Yaw]])-ABS(V144)),ABS(Octane[[#This Row],[Yaw]]-V144))</f>
        <v>0.94622694797119777</v>
      </c>
      <c r="Y145" s="1">
        <f>Octane[[#This Row],[Degree change]]+Y144</f>
        <v>80.229073113090692</v>
      </c>
      <c r="Z145" s="1">
        <f>SQRT(Octane[[#This Row],[vel_X]]*Octane[[#This Row],[vel_X]]+Octane[[#This Row],[vel_Y]]*Octane[[#This Row],[vel_Y]]+Octane[[#This Row],[vel_Z]]*Octane[[#This Row],[vel_Z]])</f>
        <v>2299.9930458439658</v>
      </c>
    </row>
    <row r="146" spans="1:26">
      <c r="A146">
        <v>145</v>
      </c>
      <c r="B146" s="1">
        <v>-1127.829956</v>
      </c>
      <c r="C146" s="1">
        <v>2601.709961</v>
      </c>
      <c r="D146" s="1">
        <v>17.010000000000002</v>
      </c>
      <c r="E146" s="1">
        <v>-2180.929932</v>
      </c>
      <c r="F146" s="1">
        <v>-730.36999500000002</v>
      </c>
      <c r="G146" s="1">
        <v>8.11</v>
      </c>
      <c r="H146" s="1">
        <v>2.9999999999999997E-4</v>
      </c>
      <c r="I146" s="1">
        <v>0</v>
      </c>
      <c r="J146" s="1">
        <v>1.9823999999999999</v>
      </c>
      <c r="K146" s="1">
        <v>-4.718E-3</v>
      </c>
      <c r="L146" s="1">
        <v>-8.9300000000000002E-4</v>
      </c>
      <c r="M146" s="1">
        <v>0.98157499999999998</v>
      </c>
      <c r="N146" s="1">
        <v>-0.19101699999999999</v>
      </c>
      <c r="O146">
        <v>1</v>
      </c>
      <c r="P146">
        <v>0</v>
      </c>
      <c r="Q146">
        <v>1</v>
      </c>
      <c r="R146">
        <v>1</v>
      </c>
      <c r="S146">
        <v>1</v>
      </c>
      <c r="T146" s="1">
        <f>SQRT(POWER(Octane[[#This Row],[angvel_X]],2) + POWER(Octane[[#This Row],[angvel_Y]],2) + POWER(Octane[[#This Row],[angvel_Z]],2))</f>
        <v>1.9824000226997576</v>
      </c>
      <c r="U146" s="1">
        <f>DEGREES(ASIN(MAX(-1,MIN(1,2 * (Octane[[#This Row],[quart_W]]*Octane[[#This Row],[quart_Y]] - Octane[[#This Row],[quart_Z]]*Octane[[#This Row],[quart_X]])))))</f>
        <v>0.55023690602672926</v>
      </c>
      <c r="V14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-112.02455181733214</v>
      </c>
      <c r="W14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89.99717269750505</v>
      </c>
      <c r="X146" s="1">
        <f>IF(Octane[[#This Row],[Yaw]]&gt;V145,(360-ABS(Octane[[#This Row],[Yaw]])-ABS(V145)),ABS(Octane[[#This Row],[Yaw]]-V145))</f>
        <v>0.94648378331230276</v>
      </c>
      <c r="Y146" s="1">
        <f>Octane[[#This Row],[Degree change]]+Y145</f>
        <v>81.175556896402995</v>
      </c>
      <c r="Z146" s="1">
        <f>SQRT(Octane[[#This Row],[vel_X]]*Octane[[#This Row],[vel_X]]+Octane[[#This Row],[vel_Y]]*Octane[[#This Row],[vel_Y]]+Octane[[#This Row],[vel_Z]]*Octane[[#This Row],[vel_Z]])</f>
        <v>2299.9916238955793</v>
      </c>
    </row>
    <row r="147" spans="1:26">
      <c r="A147">
        <v>146</v>
      </c>
      <c r="B147" s="1">
        <v>-1146.0699460000001</v>
      </c>
      <c r="C147" s="1">
        <v>2595.5998540000001</v>
      </c>
      <c r="D147" s="1">
        <v>17.010000000000002</v>
      </c>
      <c r="E147" s="1">
        <v>-2168.570068</v>
      </c>
      <c r="F147" s="1">
        <v>-766.29998799999998</v>
      </c>
      <c r="G147" s="1">
        <v>8.11</v>
      </c>
      <c r="H147" s="1">
        <v>4.0000000000000002E-4</v>
      </c>
      <c r="I147" s="1">
        <v>1E-4</v>
      </c>
      <c r="J147" s="1">
        <v>1.9823999999999999</v>
      </c>
      <c r="K147" s="1">
        <v>-4.712E-3</v>
      </c>
      <c r="L147" s="1">
        <v>-9.3099999999999997E-4</v>
      </c>
      <c r="M147" s="1">
        <v>0.97996300000000003</v>
      </c>
      <c r="N147" s="1">
        <v>-0.19911999999999999</v>
      </c>
      <c r="O147">
        <v>1</v>
      </c>
      <c r="P147">
        <v>0</v>
      </c>
      <c r="Q147">
        <v>1</v>
      </c>
      <c r="R147">
        <v>1</v>
      </c>
      <c r="S147">
        <v>1</v>
      </c>
      <c r="T147" s="1">
        <f>SQRT(POWER(Octane[[#This Row],[angvel_X]],2) + POWER(Octane[[#This Row],[angvel_Y]],2) + POWER(Octane[[#This Row],[angvel_Z]],2))</f>
        <v>1.9824000428773199</v>
      </c>
      <c r="U147" s="1">
        <f>DEGREES(ASIN(MAX(-1,MIN(1,2 * (Octane[[#This Row],[quart_W]]*Octane[[#This Row],[quart_Y]] - Octane[[#This Row],[quart_Z]]*Octane[[#This Row],[quart_X]])))))</f>
        <v>0.55038786960730768</v>
      </c>
      <c r="V14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-112.97131328254832</v>
      </c>
      <c r="W14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89.9970310378541</v>
      </c>
      <c r="X147" s="1">
        <f>IF(Octane[[#This Row],[Yaw]]&gt;V146,(360-ABS(Octane[[#This Row],[Yaw]])-ABS(V146)),ABS(Octane[[#This Row],[Yaw]]-V146))</f>
        <v>0.94676146521618421</v>
      </c>
      <c r="Y147" s="1">
        <f>Octane[[#This Row],[Degree change]]+Y146</f>
        <v>82.122318361619179</v>
      </c>
      <c r="Z147" s="1">
        <f>SQRT(Octane[[#This Row],[vel_X]]*Octane[[#This Row],[vel_X]]+Octane[[#This Row],[vel_Y]]*Octane[[#This Row],[vel_Y]]+Octane[[#This Row],[vel_Z]]*Octane[[#This Row],[vel_Z]])</f>
        <v>2299.9951268501254</v>
      </c>
    </row>
    <row r="148" spans="1:26">
      <c r="A148">
        <v>147</v>
      </c>
      <c r="B148" s="1">
        <v>-1164.1999510000001</v>
      </c>
      <c r="C148" s="1">
        <v>2589.1899410000001</v>
      </c>
      <c r="D148" s="1">
        <v>17.010000000000002</v>
      </c>
      <c r="E148" s="1">
        <v>-2155.6098630000001</v>
      </c>
      <c r="F148" s="1">
        <v>-802.01995799999997</v>
      </c>
      <c r="G148" s="1">
        <v>8.11</v>
      </c>
      <c r="H148" s="1">
        <v>4.0000000000000002E-4</v>
      </c>
      <c r="I148" s="1">
        <v>2.0000000000000001E-4</v>
      </c>
      <c r="J148" s="1">
        <v>1.9823999999999999</v>
      </c>
      <c r="K148" s="1">
        <v>-4.7070000000000002E-3</v>
      </c>
      <c r="L148" s="1">
        <v>-9.7400000000000004E-4</v>
      </c>
      <c r="M148" s="1">
        <v>0.97828499999999996</v>
      </c>
      <c r="N148" s="1">
        <v>-0.207207</v>
      </c>
      <c r="O148">
        <v>1</v>
      </c>
      <c r="P148">
        <v>0</v>
      </c>
      <c r="Q148">
        <v>1</v>
      </c>
      <c r="R148">
        <v>1</v>
      </c>
      <c r="S148">
        <v>1</v>
      </c>
      <c r="T148" s="1">
        <f>SQRT(POWER(Octane[[#This Row],[angvel_X]],2) + POWER(Octane[[#This Row],[angvel_Y]],2) + POWER(Octane[[#This Row],[angvel_Z]],2))</f>
        <v>1.9824000504439057</v>
      </c>
      <c r="U148" s="1">
        <f>DEGREES(ASIN(MAX(-1,MIN(1,2 * (Octane[[#This Row],[quart_W]]*Octane[[#This Row],[quart_Y]] - Octane[[#This Row],[quart_Z]]*Octane[[#This Row],[quart_X]])))))</f>
        <v>0.55080508660031013</v>
      </c>
      <c r="V14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-113.91776511619075</v>
      </c>
      <c r="W14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89.997424577912938</v>
      </c>
      <c r="X148" s="1">
        <f>IF(Octane[[#This Row],[Yaw]]&gt;V147,(360-ABS(Octane[[#This Row],[Yaw]])-ABS(V147)),ABS(Octane[[#This Row],[Yaw]]-V147))</f>
        <v>0.94645183364242769</v>
      </c>
      <c r="Y148" s="1">
        <f>Octane[[#This Row],[Degree change]]+Y147</f>
        <v>83.068770195261607</v>
      </c>
      <c r="Z148" s="1">
        <f>SQRT(Octane[[#This Row],[vel_X]]*Octane[[#This Row],[vel_X]]+Octane[[#This Row],[vel_Y]]*Octane[[#This Row],[vel_Y]]+Octane[[#This Row],[vel_Z]]*Octane[[#This Row],[vel_Z]])</f>
        <v>2299.9903622826773</v>
      </c>
    </row>
    <row r="149" spans="1:26">
      <c r="A149">
        <v>148</v>
      </c>
      <c r="B149" s="1">
        <v>-1182.2299800000001</v>
      </c>
      <c r="C149" s="1">
        <v>2582.4799800000001</v>
      </c>
      <c r="D149" s="1">
        <v>17.010000000000002</v>
      </c>
      <c r="E149" s="1">
        <v>-2142.070068</v>
      </c>
      <c r="F149" s="1">
        <v>-837.51995799999997</v>
      </c>
      <c r="G149" s="1">
        <v>8.11</v>
      </c>
      <c r="H149" s="1">
        <v>4.0000000000000002E-4</v>
      </c>
      <c r="I149" s="1">
        <v>2.9999999999999997E-4</v>
      </c>
      <c r="J149" s="1">
        <v>1.9823999999999999</v>
      </c>
      <c r="K149" s="1">
        <v>-4.6959999999999997E-3</v>
      </c>
      <c r="L149" s="1">
        <v>-1.0169999999999999E-3</v>
      </c>
      <c r="M149" s="1">
        <v>0.97653999999999996</v>
      </c>
      <c r="N149" s="1">
        <v>-0.215283</v>
      </c>
      <c r="O149">
        <v>1</v>
      </c>
      <c r="P149">
        <v>0</v>
      </c>
      <c r="Q149">
        <v>1</v>
      </c>
      <c r="R149">
        <v>1</v>
      </c>
      <c r="S149">
        <v>1</v>
      </c>
      <c r="T149" s="1">
        <f>SQRT(POWER(Octane[[#This Row],[angvel_X]],2) + POWER(Octane[[#This Row],[angvel_Y]],2) + POWER(Octane[[#This Row],[angvel_Z]],2))</f>
        <v>1.9824000630548819</v>
      </c>
      <c r="U149" s="1">
        <f>DEGREES(ASIN(MAX(-1,MIN(1,2 * (Octane[[#This Row],[quart_W]]*Octane[[#This Row],[quart_Y]] - Octane[[#This Row],[quart_Z]]*Octane[[#This Row],[quart_X]])))))</f>
        <v>0.5505950922231504</v>
      </c>
      <c r="V14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-114.8645546755679</v>
      </c>
      <c r="W14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89.9979569916473</v>
      </c>
      <c r="X149" s="1">
        <f>IF(Octane[[#This Row],[Yaw]]&gt;V148,(360-ABS(Octane[[#This Row],[Yaw]])-ABS(V148)),ABS(Octane[[#This Row],[Yaw]]-V148))</f>
        <v>0.94678955937715159</v>
      </c>
      <c r="Y149" s="1">
        <f>Octane[[#This Row],[Degree change]]+Y148</f>
        <v>84.015559754638758</v>
      </c>
      <c r="Z149" s="1">
        <f>SQRT(Octane[[#This Row],[vel_X]]*Octane[[#This Row],[vel_X]]+Octane[[#This Row],[vel_Y]]*Octane[[#This Row],[vel_Y]]+Octane[[#This Row],[vel_Z]]*Octane[[#This Row],[vel_Z]])</f>
        <v>2299.9933974622286</v>
      </c>
    </row>
    <row r="150" spans="1:26">
      <c r="A150">
        <v>149</v>
      </c>
      <c r="B150" s="1">
        <v>-1200.1400149999999</v>
      </c>
      <c r="C150" s="1">
        <v>2575.469971</v>
      </c>
      <c r="D150" s="1">
        <v>17.010000000000002</v>
      </c>
      <c r="E150" s="1">
        <v>-2127.9399410000001</v>
      </c>
      <c r="F150" s="1">
        <v>-872.78997800000002</v>
      </c>
      <c r="G150" s="1">
        <v>8.11</v>
      </c>
      <c r="H150" s="1">
        <v>4.0000000000000002E-4</v>
      </c>
      <c r="I150" s="1">
        <v>2.9999999999999997E-4</v>
      </c>
      <c r="J150" s="1">
        <v>1.9824999999999999</v>
      </c>
      <c r="K150" s="1">
        <v>-4.6849999999999999E-3</v>
      </c>
      <c r="L150" s="1">
        <v>-1.06E-3</v>
      </c>
      <c r="M150" s="1">
        <v>0.97472800000000004</v>
      </c>
      <c r="N150" s="1">
        <v>-0.22334300000000001</v>
      </c>
      <c r="O150">
        <v>1</v>
      </c>
      <c r="P150">
        <v>0</v>
      </c>
      <c r="Q150">
        <v>1</v>
      </c>
      <c r="R150">
        <v>1</v>
      </c>
      <c r="S150">
        <v>1</v>
      </c>
      <c r="T150" s="1">
        <f>SQRT(POWER(Octane[[#This Row],[angvel_X]],2) + POWER(Octane[[#This Row],[angvel_Y]],2) + POWER(Octane[[#This Row],[angvel_Z]],2))</f>
        <v>1.9825000630517013</v>
      </c>
      <c r="U150" s="1">
        <f>DEGREES(ASIN(MAX(-1,MIN(1,2 * (Octane[[#This Row],[quart_W]]*Octane[[#This Row],[quart_Y]] - Octane[[#This Row],[quart_Z]]*Octane[[#This Row],[quart_X]])))))</f>
        <v>0.55043117392213192</v>
      </c>
      <c r="V15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-115.81123557880858</v>
      </c>
      <c r="W15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89.998493019945897</v>
      </c>
      <c r="X150" s="1">
        <f>IF(Octane[[#This Row],[Yaw]]&gt;V149,(360-ABS(Octane[[#This Row],[Yaw]])-ABS(V149)),ABS(Octane[[#This Row],[Yaw]]-V149))</f>
        <v>0.94668090324067578</v>
      </c>
      <c r="Y150" s="1">
        <f>Octane[[#This Row],[Degree change]]+Y149</f>
        <v>84.962240657879434</v>
      </c>
      <c r="Z150" s="1">
        <f>SQRT(Octane[[#This Row],[vel_X]]*Octane[[#This Row],[vel_X]]+Octane[[#This Row],[vel_Y]]*Octane[[#This Row],[vel_Y]]+Octane[[#This Row],[vel_Z]]*Octane[[#This Row],[vel_Z]])</f>
        <v>2299.9905456980305</v>
      </c>
    </row>
    <row r="151" spans="1:26">
      <c r="A151">
        <v>150</v>
      </c>
      <c r="B151" s="1">
        <v>-1217.929932</v>
      </c>
      <c r="C151" s="1">
        <v>2568.169922</v>
      </c>
      <c r="D151" s="1">
        <v>17.010000000000002</v>
      </c>
      <c r="E151" s="1">
        <v>-2113.2299800000001</v>
      </c>
      <c r="F151" s="1">
        <v>-907.82995600000004</v>
      </c>
      <c r="G151" s="1">
        <v>8.11</v>
      </c>
      <c r="H151" s="1">
        <v>2.9999999999999997E-4</v>
      </c>
      <c r="I151" s="1">
        <v>2.9999999999999997E-4</v>
      </c>
      <c r="J151" s="1">
        <v>1.9824999999999999</v>
      </c>
      <c r="K151" s="1">
        <v>-4.6750000000000003E-3</v>
      </c>
      <c r="L151" s="1">
        <v>-1.103E-3</v>
      </c>
      <c r="M151" s="1">
        <v>0.97284999999999999</v>
      </c>
      <c r="N151" s="1">
        <v>-0.23138600000000001</v>
      </c>
      <c r="O151">
        <v>1</v>
      </c>
      <c r="P151">
        <v>0</v>
      </c>
      <c r="Q151">
        <v>1</v>
      </c>
      <c r="R151">
        <v>1</v>
      </c>
      <c r="S151">
        <v>1</v>
      </c>
      <c r="T151" s="1">
        <f>SQRT(POWER(Octane[[#This Row],[angvel_X]],2) + POWER(Octane[[#This Row],[angvel_Y]],2) + POWER(Octane[[#This Row],[angvel_Z]],2))</f>
        <v>1.982500045397225</v>
      </c>
      <c r="U151" s="1">
        <f>DEGREES(ASIN(MAX(-1,MIN(1,2 * (Octane[[#This Row],[quart_W]]*Octane[[#This Row],[quart_Y]] - Octane[[#This Row],[quart_Z]]*Octane[[#This Row],[quart_X]])))))</f>
        <v>0.5504252433061021</v>
      </c>
      <c r="V15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-116.75770216874994</v>
      </c>
      <c r="W15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89.999005757755214</v>
      </c>
      <c r="X151" s="1">
        <f>IF(Octane[[#This Row],[Yaw]]&gt;V150,(360-ABS(Octane[[#This Row],[Yaw]])-ABS(V150)),ABS(Octane[[#This Row],[Yaw]]-V150))</f>
        <v>0.94646658994136601</v>
      </c>
      <c r="Y151" s="1">
        <f>Octane[[#This Row],[Degree change]]+Y150</f>
        <v>85.9087072478208</v>
      </c>
      <c r="Z151" s="1">
        <f>SQRT(Octane[[#This Row],[vel_X]]*Octane[[#This Row],[vel_X]]+Octane[[#This Row],[vel_Y]]*Octane[[#This Row],[vel_Y]]+Octane[[#This Row],[vel_Z]]*Octane[[#This Row],[vel_Z]])</f>
        <v>2299.9917281333346</v>
      </c>
    </row>
    <row r="152" spans="1:26">
      <c r="A152">
        <v>151</v>
      </c>
      <c r="B152" s="1">
        <v>-1235.599976</v>
      </c>
      <c r="C152" s="1">
        <v>2560.5698240000002</v>
      </c>
      <c r="D152" s="1">
        <v>17.010000000000002</v>
      </c>
      <c r="E152" s="1">
        <v>-2097.9499510000001</v>
      </c>
      <c r="F152" s="1">
        <v>-942.61999500000002</v>
      </c>
      <c r="G152" s="1">
        <v>8.11</v>
      </c>
      <c r="H152" s="1">
        <v>2.0000000000000001E-4</v>
      </c>
      <c r="I152" s="1">
        <v>2.0000000000000001E-4</v>
      </c>
      <c r="J152" s="1">
        <v>1.9824999999999999</v>
      </c>
      <c r="K152" s="1">
        <v>-4.6639999999999997E-3</v>
      </c>
      <c r="L152" s="1">
        <v>-1.1410000000000001E-3</v>
      </c>
      <c r="M152" s="1">
        <v>0.97090600000000005</v>
      </c>
      <c r="N152" s="1">
        <v>-0.23941399999999999</v>
      </c>
      <c r="O152">
        <v>1</v>
      </c>
      <c r="P152">
        <v>0</v>
      </c>
      <c r="Q152">
        <v>1</v>
      </c>
      <c r="R152">
        <v>1</v>
      </c>
      <c r="S152">
        <v>1</v>
      </c>
      <c r="T152" s="1">
        <f>SQRT(POWER(Octane[[#This Row],[angvel_X]],2) + POWER(Octane[[#This Row],[angvel_Y]],2) + POWER(Octane[[#This Row],[angvel_Z]],2))</f>
        <v>1.9825000201765446</v>
      </c>
      <c r="U152" s="1">
        <f>DEGREES(ASIN(MAX(-1,MIN(1,2 * (Octane[[#This Row],[quart_W]]*Octane[[#This Row],[quart_Y]] - Octane[[#This Row],[quart_Z]]*Octane[[#This Row],[quart_X]])))))</f>
        <v>0.55021718700412758</v>
      </c>
      <c r="V15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-117.70422050062328</v>
      </c>
      <c r="W15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89.998988894864482</v>
      </c>
      <c r="X152" s="1">
        <f>IF(Octane[[#This Row],[Yaw]]&gt;V151,(360-ABS(Octane[[#This Row],[Yaw]])-ABS(V151)),ABS(Octane[[#This Row],[Yaw]]-V151))</f>
        <v>0.94651833187333523</v>
      </c>
      <c r="Y152" s="1">
        <f>Octane[[#This Row],[Degree change]]+Y151</f>
        <v>86.855225579694135</v>
      </c>
      <c r="Z152" s="1">
        <f>SQRT(Octane[[#This Row],[vel_X]]*Octane[[#This Row],[vel_X]]+Octane[[#This Row],[vel_Y]]*Octane[[#This Row],[vel_Y]]+Octane[[#This Row],[vel_Z]]*Octane[[#This Row],[vel_Z]])</f>
        <v>2299.9983095590969</v>
      </c>
    </row>
    <row r="153" spans="1:26">
      <c r="A153">
        <v>152</v>
      </c>
      <c r="B153" s="1">
        <v>-1253.1400149999999</v>
      </c>
      <c r="C153" s="1">
        <v>2552.679932</v>
      </c>
      <c r="D153" s="1">
        <v>17.010000000000002</v>
      </c>
      <c r="E153" s="1">
        <v>-2082.0898440000001</v>
      </c>
      <c r="F153" s="1">
        <v>-977.14996299999996</v>
      </c>
      <c r="G153" s="1">
        <v>8.11</v>
      </c>
      <c r="H153" s="1">
        <v>2.0000000000000001E-4</v>
      </c>
      <c r="I153" s="1">
        <v>2.0000000000000001E-4</v>
      </c>
      <c r="J153" s="1">
        <v>1.9824999999999999</v>
      </c>
      <c r="K153" s="1">
        <v>-4.653E-3</v>
      </c>
      <c r="L153" s="1">
        <v>-1.1789999999999999E-3</v>
      </c>
      <c r="M153" s="1">
        <v>0.96889499999999995</v>
      </c>
      <c r="N153" s="1">
        <v>-0.24742500000000001</v>
      </c>
      <c r="O153">
        <v>1</v>
      </c>
      <c r="P153">
        <v>0</v>
      </c>
      <c r="Q153">
        <v>1</v>
      </c>
      <c r="R153">
        <v>1</v>
      </c>
      <c r="S153">
        <v>1</v>
      </c>
      <c r="T153" s="1">
        <f>SQRT(POWER(Octane[[#This Row],[angvel_X]],2) + POWER(Octane[[#This Row],[angvel_Y]],2) + POWER(Octane[[#This Row],[angvel_Z]],2))</f>
        <v>1.9825000201765446</v>
      </c>
      <c r="U153" s="1">
        <f>DEGREES(ASIN(MAX(-1,MIN(1,2 * (Octane[[#This Row],[quart_W]]*Octane[[#This Row],[quart_Y]] - Octane[[#This Row],[quart_Z]]*Octane[[#This Row],[quart_X]])))))</f>
        <v>0.55004592798372676</v>
      </c>
      <c r="V15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-118.6507332162498</v>
      </c>
      <c r="W15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89.998975352984914</v>
      </c>
      <c r="X153" s="1">
        <f>IF(Octane[[#This Row],[Yaw]]&gt;V152,(360-ABS(Octane[[#This Row],[Yaw]])-ABS(V152)),ABS(Octane[[#This Row],[Yaw]]-V152))</f>
        <v>0.94651271562652539</v>
      </c>
      <c r="Y153" s="1">
        <f>Octane[[#This Row],[Degree change]]+Y152</f>
        <v>87.801738295320661</v>
      </c>
      <c r="Z153" s="1">
        <f>SQRT(Octane[[#This Row],[vel_X]]*Octane[[#This Row],[vel_X]]+Octane[[#This Row],[vel_Y]]*Octane[[#This Row],[vel_Y]]+Octane[[#This Row],[vel_Z]]*Octane[[#This Row],[vel_Z]])</f>
        <v>2299.9969436455444</v>
      </c>
    </row>
    <row r="154" spans="1:26">
      <c r="A154">
        <v>153</v>
      </c>
      <c r="B154" s="1">
        <v>-1270.549927</v>
      </c>
      <c r="C154" s="1">
        <v>2544.5</v>
      </c>
      <c r="D154" s="1">
        <v>17.010000000000002</v>
      </c>
      <c r="E154" s="1">
        <v>-2065.6599120000001</v>
      </c>
      <c r="F154" s="1">
        <v>-1011.409973</v>
      </c>
      <c r="G154" s="1">
        <v>8.11</v>
      </c>
      <c r="H154" s="1">
        <v>2.0000000000000001E-4</v>
      </c>
      <c r="I154" s="1">
        <v>1E-4</v>
      </c>
      <c r="J154" s="1">
        <v>1.9824999999999999</v>
      </c>
      <c r="K154" s="1">
        <v>-4.6420000000000003E-3</v>
      </c>
      <c r="L154" s="1">
        <v>-1.217E-3</v>
      </c>
      <c r="M154" s="1">
        <v>0.96681799999999996</v>
      </c>
      <c r="N154" s="1">
        <v>-0.25541999999999998</v>
      </c>
      <c r="O154">
        <v>1</v>
      </c>
      <c r="P154">
        <v>0</v>
      </c>
      <c r="Q154">
        <v>1</v>
      </c>
      <c r="R154">
        <v>1</v>
      </c>
      <c r="S154">
        <v>1</v>
      </c>
      <c r="T154" s="1">
        <f>SQRT(POWER(Octane[[#This Row],[angvel_X]],2) + POWER(Octane[[#This Row],[angvel_Y]],2) + POWER(Octane[[#This Row],[angvel_Z]],2))</f>
        <v>1.9825000126103405</v>
      </c>
      <c r="U154" s="1">
        <f>DEGREES(ASIN(MAX(-1,MIN(1,2 * (Octane[[#This Row],[quart_W]]*Octane[[#This Row],[quart_Y]] - Octane[[#This Row],[quart_Z]]*Octane[[#This Row],[quart_X]])))))</f>
        <v>0.54991216894953499</v>
      </c>
      <c r="V15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-119.59732450205676</v>
      </c>
      <c r="W15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89.998963800042304</v>
      </c>
      <c r="X154" s="1">
        <f>IF(Octane[[#This Row],[Yaw]]&gt;V153,(360-ABS(Octane[[#This Row],[Yaw]])-ABS(V153)),ABS(Octane[[#This Row],[Yaw]]-V153))</f>
        <v>0.94659128580696006</v>
      </c>
      <c r="Y154" s="1">
        <f>Octane[[#This Row],[Degree change]]+Y153</f>
        <v>88.748329581127621</v>
      </c>
      <c r="Z154" s="1">
        <f>SQRT(Octane[[#This Row],[vel_X]]*Octane[[#This Row],[vel_X]]+Octane[[#This Row],[vel_Y]]*Octane[[#This Row],[vel_Y]]+Octane[[#This Row],[vel_Z]]*Octane[[#This Row],[vel_Z]])</f>
        <v>2299.9927777338148</v>
      </c>
    </row>
    <row r="155" spans="1:26">
      <c r="A155">
        <v>154</v>
      </c>
      <c r="B155" s="1">
        <v>-1287.8199460000001</v>
      </c>
      <c r="C155" s="1">
        <v>2536.040039</v>
      </c>
      <c r="D155" s="1">
        <v>17.010000000000002</v>
      </c>
      <c r="E155" s="1">
        <v>-2048.669922</v>
      </c>
      <c r="F155" s="1">
        <v>-1045.3900149999999</v>
      </c>
      <c r="G155" s="1">
        <v>8.11</v>
      </c>
      <c r="H155" s="1">
        <v>2.0000000000000001E-4</v>
      </c>
      <c r="I155" s="1">
        <v>1E-4</v>
      </c>
      <c r="J155" s="1">
        <v>1.9824999999999999</v>
      </c>
      <c r="K155" s="1">
        <v>-4.6309999999999997E-3</v>
      </c>
      <c r="L155" s="1">
        <v>-1.2539999999999999E-3</v>
      </c>
      <c r="M155" s="1">
        <v>0.96467499999999995</v>
      </c>
      <c r="N155" s="1">
        <v>-0.26339899999999999</v>
      </c>
      <c r="O155">
        <v>1</v>
      </c>
      <c r="P155">
        <v>0</v>
      </c>
      <c r="Q155">
        <v>1</v>
      </c>
      <c r="R155">
        <v>1</v>
      </c>
      <c r="S155">
        <v>1</v>
      </c>
      <c r="T155" s="1">
        <f>SQRT(POWER(Octane[[#This Row],[angvel_X]],2) + POWER(Octane[[#This Row],[angvel_Y]],2) + POWER(Octane[[#This Row],[angvel_Z]],2))</f>
        <v>1.9825000126103405</v>
      </c>
      <c r="U155" s="1">
        <f>DEGREES(ASIN(MAX(-1,MIN(1,2 * (Octane[[#This Row],[quart_W]]*Octane[[#This Row],[quart_Y]] - Octane[[#This Row],[quart_Z]]*Octane[[#This Row],[quart_X]])))))</f>
        <v>0.54978576577456062</v>
      </c>
      <c r="V15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-120.54405540210391</v>
      </c>
      <c r="W15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89.998842764606351</v>
      </c>
      <c r="X155" s="1">
        <f>IF(Octane[[#This Row],[Yaw]]&gt;V154,(360-ABS(Octane[[#This Row],[Yaw]])-ABS(V154)),ABS(Octane[[#This Row],[Yaw]]-V154))</f>
        <v>0.94673090004714311</v>
      </c>
      <c r="Y155" s="1">
        <f>Octane[[#This Row],[Degree change]]+Y154</f>
        <v>89.695060481174764</v>
      </c>
      <c r="Z155" s="1">
        <f>SQRT(Octane[[#This Row],[vel_X]]*Octane[[#This Row],[vel_X]]+Octane[[#This Row],[vel_Y]]*Octane[[#This Row],[vel_Y]]+Octane[[#This Row],[vel_Z]]*Octane[[#This Row],[vel_Z]])</f>
        <v>2299.9901097329061</v>
      </c>
    </row>
    <row r="156" spans="1:26">
      <c r="A156">
        <v>155</v>
      </c>
      <c r="B156" s="1">
        <v>-1304.9499510000001</v>
      </c>
      <c r="C156" s="1">
        <v>2527.290039</v>
      </c>
      <c r="D156" s="1">
        <v>17.010000000000002</v>
      </c>
      <c r="E156" s="1">
        <v>-2031.119995</v>
      </c>
      <c r="F156" s="1">
        <v>-1079.089966</v>
      </c>
      <c r="G156" s="1">
        <v>8.11</v>
      </c>
      <c r="H156" s="1">
        <v>2.0000000000000001E-4</v>
      </c>
      <c r="I156" s="1">
        <v>1E-4</v>
      </c>
      <c r="J156" s="1">
        <v>1.9824999999999999</v>
      </c>
      <c r="K156" s="1">
        <v>-4.6210000000000001E-3</v>
      </c>
      <c r="L156" s="1">
        <v>-1.292E-3</v>
      </c>
      <c r="M156" s="1">
        <v>0.96246699999999996</v>
      </c>
      <c r="N156" s="1">
        <v>-0.27135700000000001</v>
      </c>
      <c r="O156">
        <v>1</v>
      </c>
      <c r="P156">
        <v>0</v>
      </c>
      <c r="Q156">
        <v>1</v>
      </c>
      <c r="R156">
        <v>1</v>
      </c>
      <c r="S156">
        <v>1</v>
      </c>
      <c r="T156" s="1">
        <f>SQRT(POWER(Octane[[#This Row],[angvel_X]],2) + POWER(Octane[[#This Row],[angvel_Y]],2) + POWER(Octane[[#This Row],[angvel_Z]],2))</f>
        <v>1.9825000126103405</v>
      </c>
      <c r="U156" s="1">
        <f>DEGREES(ASIN(MAX(-1,MIN(1,2 * (Octane[[#This Row],[quart_W]]*Octane[[#This Row],[quart_Y]] - Octane[[#This Row],[quart_Z]]*Octane[[#This Row],[quart_X]])))))</f>
        <v>0.54983630068695699</v>
      </c>
      <c r="V15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-121.49042501583605</v>
      </c>
      <c r="W15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89.998804373052266</v>
      </c>
      <c r="X156" s="1">
        <f>IF(Octane[[#This Row],[Yaw]]&gt;V155,(360-ABS(Octane[[#This Row],[Yaw]])-ABS(V155)),ABS(Octane[[#This Row],[Yaw]]-V155))</f>
        <v>0.9463696137321449</v>
      </c>
      <c r="Y156" s="1">
        <f>Octane[[#This Row],[Degree change]]+Y155</f>
        <v>90.641430094906909</v>
      </c>
      <c r="Z156" s="1">
        <f>SQRT(Octane[[#This Row],[vel_X]]*Octane[[#This Row],[vel_X]]+Octane[[#This Row],[vel_Y]]*Octane[[#This Row],[vel_Y]]+Octane[[#This Row],[vel_Z]]*Octane[[#This Row],[vel_Z]])</f>
        <v>2299.9889914759769</v>
      </c>
    </row>
    <row r="157" spans="1:26">
      <c r="A157">
        <v>156</v>
      </c>
      <c r="B157" s="1">
        <v>-1321.929932</v>
      </c>
      <c r="C157" s="1">
        <v>2518.26001</v>
      </c>
      <c r="D157" s="1">
        <v>17.010000000000002</v>
      </c>
      <c r="E157" s="1">
        <v>-2013.0198969999999</v>
      </c>
      <c r="F157" s="1">
        <v>-1112.5</v>
      </c>
      <c r="G157" s="1">
        <v>8.11</v>
      </c>
      <c r="H157" s="1">
        <v>2.0000000000000001E-4</v>
      </c>
      <c r="I157" s="1">
        <v>1E-4</v>
      </c>
      <c r="J157" s="1">
        <v>1.9824999999999999</v>
      </c>
      <c r="K157" s="1">
        <v>-4.6100000000000004E-3</v>
      </c>
      <c r="L157" s="1">
        <v>-1.33E-3</v>
      </c>
      <c r="M157" s="1">
        <v>0.96019299999999996</v>
      </c>
      <c r="N157" s="1">
        <v>-0.27929799999999999</v>
      </c>
      <c r="O157">
        <v>1</v>
      </c>
      <c r="P157">
        <v>0</v>
      </c>
      <c r="Q157">
        <v>1</v>
      </c>
      <c r="R157">
        <v>1</v>
      </c>
      <c r="S157">
        <v>1</v>
      </c>
      <c r="T157" s="1">
        <f>SQRT(POWER(Octane[[#This Row],[angvel_X]],2) + POWER(Octane[[#This Row],[angvel_Y]],2) + POWER(Octane[[#This Row],[angvel_Z]],2))</f>
        <v>1.9825000126103405</v>
      </c>
      <c r="U157" s="1">
        <f>DEGREES(ASIN(MAX(-1,MIN(1,2 * (Octane[[#This Row],[quart_W]]*Octane[[#This Row],[quart_Y]] - Octane[[#This Row],[quart_Z]]*Octane[[#This Row],[quart_X]])))))</f>
        <v>0.54981370436833832</v>
      </c>
      <c r="V15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-122.43696573809204</v>
      </c>
      <c r="W15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89.998795920738033</v>
      </c>
      <c r="X157" s="1">
        <f>IF(Octane[[#This Row],[Yaw]]&gt;V156,(360-ABS(Octane[[#This Row],[Yaw]])-ABS(V156)),ABS(Octane[[#This Row],[Yaw]]-V156))</f>
        <v>0.94654072225598895</v>
      </c>
      <c r="Y157" s="1">
        <f>Octane[[#This Row],[Degree change]]+Y156</f>
        <v>91.587970817162898</v>
      </c>
      <c r="Z157" s="1">
        <f>SQRT(Octane[[#This Row],[vel_X]]*Octane[[#This Row],[vel_X]]+Octane[[#This Row],[vel_Y]]*Octane[[#This Row],[vel_Y]]+Octane[[#This Row],[vel_Z]]*Octane[[#This Row],[vel_Z]])</f>
        <v>2299.9937234301074</v>
      </c>
    </row>
    <row r="158" spans="1:26">
      <c r="A158">
        <v>157</v>
      </c>
      <c r="B158" s="1">
        <v>-1338.76001</v>
      </c>
      <c r="C158" s="1">
        <v>2508.9499510000001</v>
      </c>
      <c r="D158" s="1">
        <v>17.010000000000002</v>
      </c>
      <c r="E158" s="1">
        <v>-1994.369995</v>
      </c>
      <c r="F158" s="1">
        <v>-1145.599976</v>
      </c>
      <c r="G158" s="1">
        <v>8.11</v>
      </c>
      <c r="H158" s="1">
        <v>2.0000000000000001E-4</v>
      </c>
      <c r="I158" s="1">
        <v>1E-4</v>
      </c>
      <c r="J158" s="1">
        <v>1.9824999999999999</v>
      </c>
      <c r="K158" s="1">
        <v>-4.5989999999999998E-3</v>
      </c>
      <c r="L158" s="1">
        <v>-1.3680000000000001E-3</v>
      </c>
      <c r="M158" s="1">
        <v>0.95785299999999995</v>
      </c>
      <c r="N158" s="1">
        <v>-0.287217</v>
      </c>
      <c r="O158">
        <v>1</v>
      </c>
      <c r="P158">
        <v>0</v>
      </c>
      <c r="Q158">
        <v>1</v>
      </c>
      <c r="R158">
        <v>1</v>
      </c>
      <c r="S158">
        <v>1</v>
      </c>
      <c r="T158" s="1">
        <f>SQRT(POWER(Octane[[#This Row],[angvel_X]],2) + POWER(Octane[[#This Row],[angvel_Y]],2) + POWER(Octane[[#This Row],[angvel_Z]],2))</f>
        <v>1.9825000126103405</v>
      </c>
      <c r="U158" s="1">
        <f>DEGREES(ASIN(MAX(-1,MIN(1,2 * (Octane[[#This Row],[quart_W]]*Octane[[#This Row],[quart_Y]] - Octane[[#This Row],[quart_Z]]*Octane[[#This Row],[quart_X]])))))</f>
        <v>0.54982776918173826</v>
      </c>
      <c r="V15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-123.38328022217078</v>
      </c>
      <c r="W15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89.998788931588678</v>
      </c>
      <c r="X158" s="1">
        <f>IF(Octane[[#This Row],[Yaw]]&gt;V157,(360-ABS(Octane[[#This Row],[Yaw]])-ABS(V157)),ABS(Octane[[#This Row],[Yaw]]-V157))</f>
        <v>0.94631448407874075</v>
      </c>
      <c r="Y158" s="1">
        <f>Octane[[#This Row],[Degree change]]+Y157</f>
        <v>92.534285301241638</v>
      </c>
      <c r="Z158" s="1">
        <f>SQRT(Octane[[#This Row],[vel_X]]*Octane[[#This Row],[vel_X]]+Octane[[#This Row],[vel_Y]]*Octane[[#This Row],[vel_Y]]+Octane[[#This Row],[vel_Z]]*Octane[[#This Row],[vel_Z]])</f>
        <v>2299.9949465308614</v>
      </c>
    </row>
    <row r="159" spans="1:26">
      <c r="A159">
        <v>158</v>
      </c>
      <c r="B159" s="1">
        <v>-1355.4399410000001</v>
      </c>
      <c r="C159" s="1">
        <v>2499.3698730000001</v>
      </c>
      <c r="D159" s="1">
        <v>17.010000000000002</v>
      </c>
      <c r="E159" s="1">
        <v>-1975.169922</v>
      </c>
      <c r="F159" s="1">
        <v>-1178.3900149999999</v>
      </c>
      <c r="G159" s="1">
        <v>8.11</v>
      </c>
      <c r="H159" s="1">
        <v>2.0000000000000001E-4</v>
      </c>
      <c r="I159" s="1">
        <v>1E-4</v>
      </c>
      <c r="J159" s="1">
        <v>1.9824999999999999</v>
      </c>
      <c r="K159" s="1">
        <v>-4.5880000000000001E-3</v>
      </c>
      <c r="L159" s="1">
        <v>-1.405E-3</v>
      </c>
      <c r="M159" s="1">
        <v>0.95544799999999996</v>
      </c>
      <c r="N159" s="1">
        <v>-0.29512100000000002</v>
      </c>
      <c r="O159">
        <v>1</v>
      </c>
      <c r="P159">
        <v>0</v>
      </c>
      <c r="Q159">
        <v>1</v>
      </c>
      <c r="R159">
        <v>1</v>
      </c>
      <c r="S159">
        <v>1</v>
      </c>
      <c r="T159" s="1">
        <f>SQRT(POWER(Octane[[#This Row],[angvel_X]],2) + POWER(Octane[[#This Row],[angvel_Y]],2) + POWER(Octane[[#This Row],[angvel_Z]],2))</f>
        <v>1.9825000126103405</v>
      </c>
      <c r="U159" s="1">
        <f>DEGREES(ASIN(MAX(-1,MIN(1,2 * (Octane[[#This Row],[quart_W]]*Octane[[#This Row],[quart_Y]] - Octane[[#This Row],[quart_Z]]*Octane[[#This Row],[quart_X]])))))</f>
        <v>0.54984629100990867</v>
      </c>
      <c r="V15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-124.3299847957306</v>
      </c>
      <c r="W15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89.998669449600555</v>
      </c>
      <c r="X159" s="1">
        <f>IF(Octane[[#This Row],[Yaw]]&gt;V158,(360-ABS(Octane[[#This Row],[Yaw]])-ABS(V158)),ABS(Octane[[#This Row],[Yaw]]-V158))</f>
        <v>0.94670457355981341</v>
      </c>
      <c r="Y159" s="1">
        <f>Octane[[#This Row],[Degree change]]+Y158</f>
        <v>93.480989874801452</v>
      </c>
      <c r="Z159" s="1">
        <f>SQRT(Octane[[#This Row],[vel_X]]*Octane[[#This Row],[vel_X]]+Octane[[#This Row],[vel_Y]]*Octane[[#This Row],[vel_Y]]+Octane[[#This Row],[vel_Z]]*Octane[[#This Row],[vel_Z]])</f>
        <v>2299.9923957102956</v>
      </c>
    </row>
    <row r="160" spans="1:26">
      <c r="A160">
        <v>159</v>
      </c>
      <c r="B160" s="1">
        <v>-1371.959961</v>
      </c>
      <c r="C160" s="1">
        <v>2489.51001</v>
      </c>
      <c r="D160" s="1">
        <v>17.010000000000002</v>
      </c>
      <c r="E160" s="1">
        <v>-1955.429932</v>
      </c>
      <c r="F160" s="1">
        <v>-1210.8599850000001</v>
      </c>
      <c r="G160" s="1">
        <v>8.11</v>
      </c>
      <c r="H160" s="1">
        <v>2.0000000000000001E-4</v>
      </c>
      <c r="I160" s="1">
        <v>1E-4</v>
      </c>
      <c r="J160" s="1">
        <v>1.9824999999999999</v>
      </c>
      <c r="K160" s="1">
        <v>-4.5779999999999996E-3</v>
      </c>
      <c r="L160" s="1">
        <v>-1.4430000000000001E-3</v>
      </c>
      <c r="M160" s="1">
        <v>0.95297799999999999</v>
      </c>
      <c r="N160" s="1">
        <v>-0.30300300000000002</v>
      </c>
      <c r="O160">
        <v>1</v>
      </c>
      <c r="P160">
        <v>0</v>
      </c>
      <c r="Q160">
        <v>1</v>
      </c>
      <c r="R160">
        <v>1</v>
      </c>
      <c r="S160">
        <v>1</v>
      </c>
      <c r="T160" s="1">
        <f>SQRT(POWER(Octane[[#This Row],[angvel_X]],2) + POWER(Octane[[#This Row],[angvel_Y]],2) + POWER(Octane[[#This Row],[angvel_Z]],2))</f>
        <v>1.9825000126103405</v>
      </c>
      <c r="U160" s="1">
        <f>DEGREES(ASIN(MAX(-1,MIN(1,2 * (Octane[[#This Row],[quart_W]]*Octane[[#This Row],[quart_Y]] - Octane[[#This Row],[quart_Z]]*Octane[[#This Row],[quart_X]])))))</f>
        <v>0.55004410623776578</v>
      </c>
      <c r="V16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-125.27649852430453</v>
      </c>
      <c r="W16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89.998624782917091</v>
      </c>
      <c r="X160" s="1">
        <f>IF(Octane[[#This Row],[Yaw]]&gt;V159,(360-ABS(Octane[[#This Row],[Yaw]])-ABS(V159)),ABS(Octane[[#This Row],[Yaw]]-V159))</f>
        <v>0.94651372857393312</v>
      </c>
      <c r="Y160" s="1">
        <f>Octane[[#This Row],[Degree change]]+Y159</f>
        <v>94.427503603375385</v>
      </c>
      <c r="Z160" s="1">
        <f>SQRT(Octane[[#This Row],[vel_X]]*Octane[[#This Row],[vel_X]]+Octane[[#This Row],[vel_Y]]*Octane[[#This Row],[vel_Y]]+Octane[[#This Row],[vel_Z]]*Octane[[#This Row],[vel_Z]])</f>
        <v>2299.9899770076663</v>
      </c>
    </row>
    <row r="161" spans="1:26">
      <c r="A161">
        <v>160</v>
      </c>
      <c r="B161" s="1">
        <v>-1388.309937</v>
      </c>
      <c r="C161" s="1">
        <v>2479.3798830000001</v>
      </c>
      <c r="D161" s="1">
        <v>17.010000000000002</v>
      </c>
      <c r="E161" s="1">
        <v>-1935.1599120000001</v>
      </c>
      <c r="F161" s="1">
        <v>-1243</v>
      </c>
      <c r="G161" s="1">
        <v>8.11</v>
      </c>
      <c r="H161" s="1">
        <v>2.0000000000000001E-4</v>
      </c>
      <c r="I161" s="1">
        <v>1E-4</v>
      </c>
      <c r="J161" s="1">
        <v>1.9824999999999999</v>
      </c>
      <c r="K161" s="1">
        <v>-4.5669999999999999E-3</v>
      </c>
      <c r="L161" s="1">
        <v>-1.4809999999999999E-3</v>
      </c>
      <c r="M161" s="1">
        <v>0.95044200000000001</v>
      </c>
      <c r="N161" s="1">
        <v>-0.310863</v>
      </c>
      <c r="O161">
        <v>1</v>
      </c>
      <c r="P161">
        <v>0</v>
      </c>
      <c r="Q161">
        <v>1</v>
      </c>
      <c r="R161">
        <v>1</v>
      </c>
      <c r="S161">
        <v>1</v>
      </c>
      <c r="T161" s="1">
        <f>SQRT(POWER(Octane[[#This Row],[angvel_X]],2) + POWER(Octane[[#This Row],[angvel_Y]],2) + POWER(Octane[[#This Row],[angvel_Z]],2))</f>
        <v>1.9825000126103405</v>
      </c>
      <c r="U161" s="1">
        <f>DEGREES(ASIN(MAX(-1,MIN(1,2 * (Octane[[#This Row],[quart_W]]*Octane[[#This Row],[quart_Y]] - Octane[[#This Row],[quart_Z]]*Octane[[#This Row],[quart_X]])))))</f>
        <v>0.55016902871241402</v>
      </c>
      <c r="V16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-126.2229922019866</v>
      </c>
      <c r="W16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89.998612608234254</v>
      </c>
      <c r="X161" s="1">
        <f>IF(Octane[[#This Row],[Yaw]]&gt;V160,(360-ABS(Octane[[#This Row],[Yaw]])-ABS(V160)),ABS(Octane[[#This Row],[Yaw]]-V160))</f>
        <v>0.94649367768207071</v>
      </c>
      <c r="Y161" s="1">
        <f>Octane[[#This Row],[Degree change]]+Y160</f>
        <v>95.373997281057456</v>
      </c>
      <c r="Z161" s="1">
        <f>SQRT(Octane[[#This Row],[vel_X]]*Octane[[#This Row],[vel_X]]+Octane[[#This Row],[vel_Y]]*Octane[[#This Row],[vel_Y]]+Octane[[#This Row],[vel_Z]]*Octane[[#This Row],[vel_Z]])</f>
        <v>2299.991012398059</v>
      </c>
    </row>
    <row r="162" spans="1:26">
      <c r="A162">
        <v>161</v>
      </c>
      <c r="B162" s="1">
        <v>-1404.48999</v>
      </c>
      <c r="C162" s="1">
        <v>2468.9799800000001</v>
      </c>
      <c r="D162" s="1">
        <v>17.010000000000002</v>
      </c>
      <c r="E162" s="1">
        <v>-1914.3599850000001</v>
      </c>
      <c r="F162" s="1">
        <v>-1274.799927</v>
      </c>
      <c r="G162" s="1">
        <v>8.11</v>
      </c>
      <c r="H162" s="1">
        <v>2.0000000000000001E-4</v>
      </c>
      <c r="I162" s="1">
        <v>1E-4</v>
      </c>
      <c r="J162" s="1">
        <v>1.9824999999999999</v>
      </c>
      <c r="K162" s="1">
        <v>-4.5560000000000002E-3</v>
      </c>
      <c r="L162" s="1">
        <v>-1.519E-3</v>
      </c>
      <c r="M162" s="1">
        <v>0.94784299999999999</v>
      </c>
      <c r="N162" s="1">
        <v>-0.31870100000000001</v>
      </c>
      <c r="O162">
        <v>1</v>
      </c>
      <c r="P162">
        <v>0</v>
      </c>
      <c r="Q162">
        <v>1</v>
      </c>
      <c r="R162">
        <v>1</v>
      </c>
      <c r="S162">
        <v>1</v>
      </c>
      <c r="T162" s="1">
        <f>SQRT(POWER(Octane[[#This Row],[angvel_X]],2) + POWER(Octane[[#This Row],[angvel_Y]],2) + POWER(Octane[[#This Row],[angvel_Z]],2))</f>
        <v>1.9825000126103405</v>
      </c>
      <c r="U162" s="1">
        <f>DEGREES(ASIN(MAX(-1,MIN(1,2 * (Octane[[#This Row],[quart_W]]*Octane[[#This Row],[quart_Y]] - Octane[[#This Row],[quart_Z]]*Octane[[#This Row],[quart_X]])))))</f>
        <v>0.55033207824754438</v>
      </c>
      <c r="V16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-127.1692349397957</v>
      </c>
      <c r="W16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89.998598682387751</v>
      </c>
      <c r="X162" s="1">
        <f>IF(Octane[[#This Row],[Yaw]]&gt;V161,(360-ABS(Octane[[#This Row],[Yaw]])-ABS(V161)),ABS(Octane[[#This Row],[Yaw]]-V161))</f>
        <v>0.94624273780910073</v>
      </c>
      <c r="Y162" s="1">
        <f>Octane[[#This Row],[Degree change]]+Y161</f>
        <v>96.320240018866556</v>
      </c>
      <c r="Z162" s="1">
        <f>SQRT(Octane[[#This Row],[vel_X]]*Octane[[#This Row],[vel_X]]+Octane[[#This Row],[vel_Y]]*Octane[[#This Row],[vel_Y]]+Octane[[#This Row],[vel_Z]]*Octane[[#This Row],[vel_Z]])</f>
        <v>2299.9901691416867</v>
      </c>
    </row>
    <row r="163" spans="1:26">
      <c r="A163">
        <v>162</v>
      </c>
      <c r="B163" s="1">
        <v>-1420.5</v>
      </c>
      <c r="C163" s="1">
        <v>2458.3198240000002</v>
      </c>
      <c r="D163" s="1">
        <v>17.010000000000002</v>
      </c>
      <c r="E163" s="1">
        <v>-1893.0399170000001</v>
      </c>
      <c r="F163" s="1">
        <v>-1306.25</v>
      </c>
      <c r="G163" s="1">
        <v>8.11</v>
      </c>
      <c r="H163" s="1">
        <v>2.0000000000000001E-4</v>
      </c>
      <c r="I163" s="1">
        <v>1E-4</v>
      </c>
      <c r="J163" s="1">
        <v>1.9824999999999999</v>
      </c>
      <c r="K163" s="1">
        <v>-4.5450000000000004E-3</v>
      </c>
      <c r="L163" s="1">
        <v>-1.5560000000000001E-3</v>
      </c>
      <c r="M163" s="1">
        <v>0.94517899999999999</v>
      </c>
      <c r="N163" s="1">
        <v>-0.326519</v>
      </c>
      <c r="O163">
        <v>1</v>
      </c>
      <c r="P163">
        <v>0</v>
      </c>
      <c r="Q163">
        <v>1</v>
      </c>
      <c r="R163">
        <v>1</v>
      </c>
      <c r="S163">
        <v>1</v>
      </c>
      <c r="T163" s="1">
        <f>SQRT(POWER(Octane[[#This Row],[angvel_X]],2) + POWER(Octane[[#This Row],[angvel_Y]],2) + POWER(Octane[[#This Row],[angvel_Z]],2))</f>
        <v>1.9825000126103405</v>
      </c>
      <c r="U163" s="1">
        <f>DEGREES(ASIN(MAX(-1,MIN(1,2 * (Octane[[#This Row],[quart_W]]*Octane[[#This Row],[quart_Y]] - Octane[[#This Row],[quart_Z]]*Octane[[#This Row],[quart_X]])))))</f>
        <v>0.55049510280501857</v>
      </c>
      <c r="V16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-128.11566182877871</v>
      </c>
      <c r="W16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89.998472386079698</v>
      </c>
      <c r="X163" s="1">
        <f>IF(Octane[[#This Row],[Yaw]]&gt;V162,(360-ABS(Octane[[#This Row],[Yaw]])-ABS(V162)),ABS(Octane[[#This Row],[Yaw]]-V162))</f>
        <v>0.9464268889830123</v>
      </c>
      <c r="Y163" s="1">
        <f>Octane[[#This Row],[Degree change]]+Y162</f>
        <v>97.266666907849569</v>
      </c>
      <c r="Z163" s="1">
        <f>SQRT(Octane[[#This Row],[vel_X]]*Octane[[#This Row],[vel_X]]+Octane[[#This Row],[vel_Y]]*Octane[[#This Row],[vel_Y]]+Octane[[#This Row],[vel_Z]]*Octane[[#This Row],[vel_Z]])</f>
        <v>2299.9902090998926</v>
      </c>
    </row>
    <row r="164" spans="1:26">
      <c r="A164">
        <v>163</v>
      </c>
      <c r="B164" s="1">
        <v>-1436.329956</v>
      </c>
      <c r="C164" s="1">
        <v>2447.389893</v>
      </c>
      <c r="D164" s="1">
        <v>17.010000000000002</v>
      </c>
      <c r="E164" s="1">
        <v>-1871.209961</v>
      </c>
      <c r="F164" s="1">
        <v>-1337.339966</v>
      </c>
      <c r="G164" s="1">
        <v>8.11</v>
      </c>
      <c r="H164" s="1">
        <v>1E-4</v>
      </c>
      <c r="I164" s="1">
        <v>1E-4</v>
      </c>
      <c r="J164" s="1">
        <v>1.9824999999999999</v>
      </c>
      <c r="K164" s="1">
        <v>-4.5339999999999998E-3</v>
      </c>
      <c r="L164" s="1">
        <v>-1.5939999999999999E-3</v>
      </c>
      <c r="M164" s="1">
        <v>0.94244899999999998</v>
      </c>
      <c r="N164" s="1">
        <v>-0.334314</v>
      </c>
      <c r="O164">
        <v>1</v>
      </c>
      <c r="P164">
        <v>0</v>
      </c>
      <c r="Q164">
        <v>1</v>
      </c>
      <c r="R164">
        <v>1</v>
      </c>
      <c r="S164">
        <v>1</v>
      </c>
      <c r="T164" s="1">
        <f>SQRT(POWER(Octane[[#This Row],[angvel_X]],2) + POWER(Octane[[#This Row],[angvel_Y]],2) + POWER(Octane[[#This Row],[angvel_Z]],2))</f>
        <v>1.9825000050441361</v>
      </c>
      <c r="U164" s="1">
        <f>DEGREES(ASIN(MAX(-1,MIN(1,2 * (Octane[[#This Row],[quart_W]]*Octane[[#This Row],[quart_Y]] - Octane[[#This Row],[quart_Z]]*Octane[[#This Row],[quart_X]])))))</f>
        <v>0.55073096180289516</v>
      </c>
      <c r="V16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-129.06218569016391</v>
      </c>
      <c r="W16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89.998451112373942</v>
      </c>
      <c r="X164" s="1">
        <f>IF(Octane[[#This Row],[Yaw]]&gt;V163,(360-ABS(Octane[[#This Row],[Yaw]])-ABS(V163)),ABS(Octane[[#This Row],[Yaw]]-V163))</f>
        <v>0.94652386138520228</v>
      </c>
      <c r="Y164" s="1">
        <f>Octane[[#This Row],[Degree change]]+Y163</f>
        <v>98.213190769234771</v>
      </c>
      <c r="Z164" s="1">
        <f>SQRT(Octane[[#This Row],[vel_X]]*Octane[[#This Row],[vel_X]]+Octane[[#This Row],[vel_Y]]*Octane[[#This Row],[vel_Y]]+Octane[[#This Row],[vel_Z]]*Octane[[#This Row],[vel_Z]])</f>
        <v>2299.9936249708394</v>
      </c>
    </row>
    <row r="165" spans="1:26">
      <c r="A165">
        <v>164</v>
      </c>
      <c r="B165" s="1">
        <v>-1451.9799800000001</v>
      </c>
      <c r="C165" s="1">
        <v>2436.1999510000001</v>
      </c>
      <c r="D165" s="1">
        <v>17.010000000000002</v>
      </c>
      <c r="E165" s="1">
        <v>-1848.8599850000001</v>
      </c>
      <c r="F165" s="1">
        <v>-1368.0699460000001</v>
      </c>
      <c r="G165" s="1">
        <v>8.11</v>
      </c>
      <c r="H165" s="1">
        <v>1E-4</v>
      </c>
      <c r="I165" s="1">
        <v>2.0000000000000001E-4</v>
      </c>
      <c r="J165" s="1">
        <v>1.9824999999999999</v>
      </c>
      <c r="K165" s="1">
        <v>-4.5180000000000003E-3</v>
      </c>
      <c r="L165" s="1">
        <v>-1.632E-3</v>
      </c>
      <c r="M165" s="1">
        <v>0.93965600000000005</v>
      </c>
      <c r="N165" s="1">
        <v>-0.342088</v>
      </c>
      <c r="O165">
        <v>1</v>
      </c>
      <c r="P165">
        <v>0</v>
      </c>
      <c r="Q165">
        <v>1</v>
      </c>
      <c r="R165">
        <v>1</v>
      </c>
      <c r="S165">
        <v>1</v>
      </c>
      <c r="T165" s="1">
        <f>SQRT(POWER(Octane[[#This Row],[angvel_X]],2) + POWER(Octane[[#This Row],[angvel_Y]],2) + POWER(Octane[[#This Row],[angvel_Z]],2))</f>
        <v>1.9825000126103405</v>
      </c>
      <c r="U165" s="1">
        <f>DEGREES(ASIN(MAX(-1,MIN(1,2 * (Octane[[#This Row],[quart_W]]*Octane[[#This Row],[quart_Y]] - Octane[[#This Row],[quart_Z]]*Octane[[#This Row],[quart_X]])))))</f>
        <v>0.55046660314188378</v>
      </c>
      <c r="V16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-130.00872402953951</v>
      </c>
      <c r="W16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89.998620827853259</v>
      </c>
      <c r="X165" s="1">
        <f>IF(Octane[[#This Row],[Yaw]]&gt;V164,(360-ABS(Octane[[#This Row],[Yaw]])-ABS(V164)),ABS(Octane[[#This Row],[Yaw]]-V164))</f>
        <v>0.94653833937559284</v>
      </c>
      <c r="Y165" s="1">
        <f>Octane[[#This Row],[Degree change]]+Y164</f>
        <v>99.159729108610364</v>
      </c>
      <c r="Z165" s="1">
        <f>SQRT(Octane[[#This Row],[vel_X]]*Octane[[#This Row],[vel_X]]+Octane[[#This Row],[vel_Y]]*Octane[[#This Row],[vel_Y]]+Octane[[#This Row],[vel_Z]]*Octane[[#This Row],[vel_Z]])</f>
        <v>2299.9922594179839</v>
      </c>
    </row>
    <row r="166" spans="1:26">
      <c r="A166">
        <v>165</v>
      </c>
      <c r="B166" s="1">
        <v>-1467.4399410000001</v>
      </c>
      <c r="C166" s="1">
        <v>2424.76001</v>
      </c>
      <c r="D166" s="1">
        <v>17.010000000000002</v>
      </c>
      <c r="E166" s="1">
        <v>-1826.01001</v>
      </c>
      <c r="F166" s="1">
        <v>-1398.419922</v>
      </c>
      <c r="G166" s="1">
        <v>8.11</v>
      </c>
      <c r="H166" s="1">
        <v>1E-4</v>
      </c>
      <c r="I166" s="1">
        <v>2.0000000000000001E-4</v>
      </c>
      <c r="J166" s="1">
        <v>1.9824999999999999</v>
      </c>
      <c r="K166" s="1">
        <v>-4.5019999999999999E-3</v>
      </c>
      <c r="L166" s="1">
        <v>-1.67E-3</v>
      </c>
      <c r="M166" s="1">
        <v>0.93679699999999999</v>
      </c>
      <c r="N166" s="1">
        <v>-0.34983999999999998</v>
      </c>
      <c r="O166">
        <v>1</v>
      </c>
      <c r="P166">
        <v>0</v>
      </c>
      <c r="Q166">
        <v>1</v>
      </c>
      <c r="R166">
        <v>1</v>
      </c>
      <c r="S166">
        <v>1</v>
      </c>
      <c r="T166" s="1">
        <f>SQRT(POWER(Octane[[#This Row],[angvel_X]],2) + POWER(Octane[[#This Row],[angvel_Y]],2) + POWER(Octane[[#This Row],[angvel_Z]],2))</f>
        <v>1.9825000126103405</v>
      </c>
      <c r="U166" s="1">
        <f>DEGREES(ASIN(MAX(-1,MIN(1,2 * (Octane[[#This Row],[quart_W]]*Octane[[#This Row],[quart_Y]] - Octane[[#This Row],[quart_Z]]*Octane[[#This Row],[quart_X]])))))</f>
        <v>0.55024193258807341</v>
      </c>
      <c r="V16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-130.95557495297149</v>
      </c>
      <c r="W16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89.998793445359752</v>
      </c>
      <c r="X166" s="1">
        <f>IF(Octane[[#This Row],[Yaw]]&gt;V165,(360-ABS(Octane[[#This Row],[Yaw]])-ABS(V165)),ABS(Octane[[#This Row],[Yaw]]-V165))</f>
        <v>0.94685092343198107</v>
      </c>
      <c r="Y166" s="1">
        <f>Octane[[#This Row],[Degree change]]+Y165</f>
        <v>100.10658003204234</v>
      </c>
      <c r="Z166" s="1">
        <f>SQRT(Octane[[#This Row],[vel_X]]*Octane[[#This Row],[vel_X]]+Octane[[#This Row],[vel_Y]]*Octane[[#This Row],[vel_Y]]+Octane[[#This Row],[vel_Z]]*Octane[[#This Row],[vel_Z]])</f>
        <v>2299.9905667125431</v>
      </c>
    </row>
    <row r="167" spans="1:26">
      <c r="A167">
        <v>166</v>
      </c>
      <c r="B167" s="1">
        <v>-1482.709961</v>
      </c>
      <c r="C167" s="1">
        <v>2413.0600589999999</v>
      </c>
      <c r="D167" s="1">
        <v>17.010000000000002</v>
      </c>
      <c r="E167" s="1">
        <v>-1802.6599120000001</v>
      </c>
      <c r="F167" s="1">
        <v>-1428.400024</v>
      </c>
      <c r="G167" s="1">
        <v>8.11</v>
      </c>
      <c r="H167" s="1">
        <v>1E-4</v>
      </c>
      <c r="I167" s="1">
        <v>2.0000000000000001E-4</v>
      </c>
      <c r="J167" s="1">
        <v>1.9824999999999999</v>
      </c>
      <c r="K167" s="1">
        <v>-4.4860000000000004E-3</v>
      </c>
      <c r="L167" s="1">
        <v>-1.707E-3</v>
      </c>
      <c r="M167" s="1">
        <v>0.93387600000000004</v>
      </c>
      <c r="N167" s="1">
        <v>-0.35756599999999999</v>
      </c>
      <c r="O167">
        <v>1</v>
      </c>
      <c r="P167">
        <v>0</v>
      </c>
      <c r="Q167">
        <v>1</v>
      </c>
      <c r="R167">
        <v>1</v>
      </c>
      <c r="S167">
        <v>1</v>
      </c>
      <c r="T167" s="1">
        <f>SQRT(POWER(Octane[[#This Row],[angvel_X]],2) + POWER(Octane[[#This Row],[angvel_Y]],2) + POWER(Octane[[#This Row],[angvel_Z]],2))</f>
        <v>1.9825000126103405</v>
      </c>
      <c r="U167" s="1">
        <f>DEGREES(ASIN(MAX(-1,MIN(1,2 * (Octane[[#This Row],[quart_W]]*Octane[[#This Row],[quart_Y]] - Octane[[#This Row],[quart_Z]]*Octane[[#This Row],[quart_X]])))))</f>
        <v>0.55001732323743624</v>
      </c>
      <c r="V16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-131.90204030827616</v>
      </c>
      <c r="W16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89.998863801676265</v>
      </c>
      <c r="X167" s="1">
        <f>IF(Octane[[#This Row],[Yaw]]&gt;V166,(360-ABS(Octane[[#This Row],[Yaw]])-ABS(V166)),ABS(Octane[[#This Row],[Yaw]]-V166))</f>
        <v>0.94646535530466736</v>
      </c>
      <c r="Y167" s="1">
        <f>Octane[[#This Row],[Degree change]]+Y166</f>
        <v>101.05304538734701</v>
      </c>
      <c r="Z167" s="1">
        <f>SQRT(Octane[[#This Row],[vel_X]]*Octane[[#This Row],[vel_X]]+Octane[[#This Row],[vel_Y]]*Octane[[#This Row],[vel_Y]]+Octane[[#This Row],[vel_Z]]*Octane[[#This Row],[vel_Z]])</f>
        <v>2299.9945997751925</v>
      </c>
    </row>
    <row r="168" spans="1:26">
      <c r="A168">
        <v>167</v>
      </c>
      <c r="B168" s="1">
        <v>-1497.7799070000001</v>
      </c>
      <c r="C168" s="1">
        <v>2401.1098630000001</v>
      </c>
      <c r="D168" s="1">
        <v>17.010000000000002</v>
      </c>
      <c r="E168" s="1">
        <v>-1778.8199460000001</v>
      </c>
      <c r="F168" s="1">
        <v>-1457.9799800000001</v>
      </c>
      <c r="G168" s="1">
        <v>8.11</v>
      </c>
      <c r="H168" s="1">
        <v>1E-4</v>
      </c>
      <c r="I168" s="1">
        <v>2.0000000000000001E-4</v>
      </c>
      <c r="J168" s="1">
        <v>1.9824999999999999</v>
      </c>
      <c r="K168" s="1">
        <v>-4.47E-3</v>
      </c>
      <c r="L168" s="1">
        <v>-1.745E-3</v>
      </c>
      <c r="M168" s="1">
        <v>0.93088899999999997</v>
      </c>
      <c r="N168" s="1">
        <v>-0.36526999999999998</v>
      </c>
      <c r="O168">
        <v>1</v>
      </c>
      <c r="P168">
        <v>0</v>
      </c>
      <c r="Q168">
        <v>1</v>
      </c>
      <c r="R168">
        <v>1</v>
      </c>
      <c r="S168">
        <v>1</v>
      </c>
      <c r="T168" s="1">
        <f>SQRT(POWER(Octane[[#This Row],[angvel_X]],2) + POWER(Octane[[#This Row],[angvel_Y]],2) + POWER(Octane[[#This Row],[angvel_Z]],2))</f>
        <v>1.9825000126103405</v>
      </c>
      <c r="U168" s="1">
        <f>DEGREES(ASIN(MAX(-1,MIN(1,2 * (Octane[[#This Row],[quart_W]]*Octane[[#This Row],[quart_Y]] - Octane[[#This Row],[quart_Z]]*Octane[[#This Row],[quart_X]])))))</f>
        <v>0.54987259682824408</v>
      </c>
      <c r="V16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-132.84895101647336</v>
      </c>
      <c r="W16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89.999042475246668</v>
      </c>
      <c r="X168" s="1">
        <f>IF(Octane[[#This Row],[Yaw]]&gt;V167,(360-ABS(Octane[[#This Row],[Yaw]])-ABS(V167)),ABS(Octane[[#This Row],[Yaw]]-V167))</f>
        <v>0.94691070819720835</v>
      </c>
      <c r="Y168" s="1">
        <f>Octane[[#This Row],[Degree change]]+Y167</f>
        <v>101.99995609554422</v>
      </c>
      <c r="Z168" s="1">
        <f>SQRT(Octane[[#This Row],[vel_X]]*Octane[[#This Row],[vel_X]]+Octane[[#This Row],[vel_Y]]*Octane[[#This Row],[vel_Y]]+Octane[[#This Row],[vel_Z]]*Octane[[#This Row],[vel_Z]])</f>
        <v>2299.9938683544883</v>
      </c>
    </row>
    <row r="169" spans="1:26">
      <c r="A169">
        <v>168</v>
      </c>
      <c r="B169" s="1">
        <v>-1512.650024</v>
      </c>
      <c r="C169" s="1">
        <v>2388.9099120000001</v>
      </c>
      <c r="D169" s="1">
        <v>17.010000000000002</v>
      </c>
      <c r="E169" s="1">
        <v>-1754.48999</v>
      </c>
      <c r="F169" s="1">
        <v>-1487.169922</v>
      </c>
      <c r="G169" s="1">
        <v>8.11</v>
      </c>
      <c r="H169" s="1">
        <v>1E-4</v>
      </c>
      <c r="I169" s="1">
        <v>1E-4</v>
      </c>
      <c r="J169" s="1">
        <v>1.9824999999999999</v>
      </c>
      <c r="K169" s="1">
        <v>-4.4530000000000004E-3</v>
      </c>
      <c r="L169" s="1">
        <v>-1.7830000000000001E-3</v>
      </c>
      <c r="M169" s="1">
        <v>0.92784</v>
      </c>
      <c r="N169" s="1">
        <v>-0.372946</v>
      </c>
      <c r="O169">
        <v>1</v>
      </c>
      <c r="P169">
        <v>0</v>
      </c>
      <c r="Q169">
        <v>1</v>
      </c>
      <c r="R169">
        <v>1</v>
      </c>
      <c r="S169">
        <v>1</v>
      </c>
      <c r="T169" s="1">
        <f>SQRT(POWER(Octane[[#This Row],[angvel_X]],2) + POWER(Octane[[#This Row],[angvel_Y]],2) + POWER(Octane[[#This Row],[angvel_Z]],2))</f>
        <v>1.9825000050441361</v>
      </c>
      <c r="U169" s="1">
        <f>DEGREES(ASIN(MAX(-1,MIN(1,2 * (Octane[[#This Row],[quart_W]]*Octane[[#This Row],[quart_Y]] - Octane[[#This Row],[quart_Z]]*Octane[[#This Row],[quart_X]])))))</f>
        <v>0.54966222660629627</v>
      </c>
      <c r="V16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-133.79544879968941</v>
      </c>
      <c r="W16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89.999267747097747</v>
      </c>
      <c r="X169" s="1">
        <f>IF(Octane[[#This Row],[Yaw]]&gt;V168,(360-ABS(Octane[[#This Row],[Yaw]])-ABS(V168)),ABS(Octane[[#This Row],[Yaw]]-V168))</f>
        <v>0.94649778321604572</v>
      </c>
      <c r="Y169" s="1">
        <f>Octane[[#This Row],[Degree change]]+Y168</f>
        <v>102.94645387876027</v>
      </c>
      <c r="Z169" s="1">
        <f>SQRT(Octane[[#This Row],[vel_X]]*Octane[[#This Row],[vel_X]]+Octane[[#This Row],[vel_Y]]*Octane[[#This Row],[vel_Y]]+Octane[[#This Row],[vel_Z]]*Octane[[#This Row],[vel_Z]])</f>
        <v>2299.994624778868</v>
      </c>
    </row>
    <row r="170" spans="1:26">
      <c r="A170">
        <v>169</v>
      </c>
      <c r="B170" s="1">
        <v>-1527.3199460000001</v>
      </c>
      <c r="C170" s="1">
        <v>2376.469971</v>
      </c>
      <c r="D170" s="1">
        <v>17.010000000000002</v>
      </c>
      <c r="E170" s="1">
        <v>-1729.679932</v>
      </c>
      <c r="F170" s="1">
        <v>-1515.9499510000001</v>
      </c>
      <c r="G170" s="1">
        <v>8.11</v>
      </c>
      <c r="H170" s="1">
        <v>1E-4</v>
      </c>
      <c r="I170" s="1">
        <v>1E-4</v>
      </c>
      <c r="J170" s="1">
        <v>1.9824999999999999</v>
      </c>
      <c r="K170" s="1">
        <v>-4.437E-3</v>
      </c>
      <c r="L170" s="1">
        <v>-1.8209999999999999E-3</v>
      </c>
      <c r="M170" s="1">
        <v>0.92472900000000002</v>
      </c>
      <c r="N170" s="1">
        <v>-0.38059599999999999</v>
      </c>
      <c r="O170">
        <v>1</v>
      </c>
      <c r="P170">
        <v>0</v>
      </c>
      <c r="Q170">
        <v>1</v>
      </c>
      <c r="R170">
        <v>1</v>
      </c>
      <c r="S170">
        <v>1</v>
      </c>
      <c r="T170" s="1">
        <f>SQRT(POWER(Octane[[#This Row],[angvel_X]],2) + POWER(Octane[[#This Row],[angvel_Y]],2) + POWER(Octane[[#This Row],[angvel_Z]],2))</f>
        <v>1.9825000050441361</v>
      </c>
      <c r="U170" s="1">
        <f>DEGREES(ASIN(MAX(-1,MIN(1,2 * (Octane[[#This Row],[quart_W]]*Octane[[#This Row],[quart_Y]] - Octane[[#This Row],[quart_Z]]*Octane[[#This Row],[quart_X]])))))</f>
        <v>0.54959961674185775</v>
      </c>
      <c r="V17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-134.74175271250331</v>
      </c>
      <c r="W17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89.99945303585686</v>
      </c>
      <c r="X170" s="1">
        <f>IF(Octane[[#This Row],[Yaw]]&gt;V169,(360-ABS(Octane[[#This Row],[Yaw]])-ABS(V169)),ABS(Octane[[#This Row],[Yaw]]-V169))</f>
        <v>0.94630391281390303</v>
      </c>
      <c r="Y170" s="1">
        <f>Octane[[#This Row],[Degree change]]+Y169</f>
        <v>103.89275779157417</v>
      </c>
      <c r="Z170" s="1">
        <f>SQRT(Octane[[#This Row],[vel_X]]*Octane[[#This Row],[vel_X]]+Octane[[#This Row],[vel_Y]]*Octane[[#This Row],[vel_Y]]+Octane[[#This Row],[vel_Z]]*Octane[[#This Row],[vel_Z]])</f>
        <v>2299.9918898118808</v>
      </c>
    </row>
    <row r="171" spans="1:26">
      <c r="A171">
        <v>170</v>
      </c>
      <c r="B171" s="1">
        <v>-1541.7799070000001</v>
      </c>
      <c r="C171" s="1">
        <v>2363.790039</v>
      </c>
      <c r="D171" s="1">
        <v>17.010000000000002</v>
      </c>
      <c r="E171" s="1">
        <v>-1704.3999020000001</v>
      </c>
      <c r="F171" s="1">
        <v>-1544.3199460000001</v>
      </c>
      <c r="G171" s="1">
        <v>8.11</v>
      </c>
      <c r="H171" s="1">
        <v>1E-4</v>
      </c>
      <c r="I171" s="1">
        <v>0</v>
      </c>
      <c r="J171" s="1">
        <v>1.9824999999999999</v>
      </c>
      <c r="K171" s="1">
        <v>-4.4209999999999996E-3</v>
      </c>
      <c r="L171" s="1">
        <v>-1.859E-3</v>
      </c>
      <c r="M171" s="1">
        <v>0.92155500000000001</v>
      </c>
      <c r="N171" s="1">
        <v>-0.38821899999999998</v>
      </c>
      <c r="O171">
        <v>1</v>
      </c>
      <c r="P171">
        <v>0</v>
      </c>
      <c r="Q171">
        <v>1</v>
      </c>
      <c r="R171">
        <v>1</v>
      </c>
      <c r="S171">
        <v>1</v>
      </c>
      <c r="T171" s="1">
        <f>SQRT(POWER(Octane[[#This Row],[angvel_X]],2) + POWER(Octane[[#This Row],[angvel_Y]],2) + POWER(Octane[[#This Row],[angvel_Z]],2))</f>
        <v>1.982500002522068</v>
      </c>
      <c r="U171" s="1">
        <f>DEGREES(ASIN(MAX(-1,MIN(1,2 * (Octane[[#This Row],[quart_W]]*Octane[[#This Row],[quart_Y]] - Octane[[#This Row],[quart_Z]]*Octane[[#This Row],[quart_X]])))))</f>
        <v>0.54957737200721113</v>
      </c>
      <c r="V17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-135.68796846589785</v>
      </c>
      <c r="W17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89.999639540940379</v>
      </c>
      <c r="X171" s="1">
        <f>IF(Octane[[#This Row],[Yaw]]&gt;V170,(360-ABS(Octane[[#This Row],[Yaw]])-ABS(V170)),ABS(Octane[[#This Row],[Yaw]]-V170))</f>
        <v>0.94621575339454012</v>
      </c>
      <c r="Y171" s="1">
        <f>Octane[[#This Row],[Degree change]]+Y170</f>
        <v>104.83897354496871</v>
      </c>
      <c r="Z171" s="1">
        <f>SQRT(Octane[[#This Row],[vel_X]]*Octane[[#This Row],[vel_X]]+Octane[[#This Row],[vel_Y]]*Octane[[#This Row],[vel_Y]]+Octane[[#This Row],[vel_Z]]*Octane[[#This Row],[vel_Z]])</f>
        <v>2299.9932377402879</v>
      </c>
    </row>
    <row r="172" spans="1:26">
      <c r="A172">
        <v>171</v>
      </c>
      <c r="B172" s="1">
        <v>-1556.0299070000001</v>
      </c>
      <c r="C172" s="1">
        <v>2350.8698730000001</v>
      </c>
      <c r="D172" s="1">
        <v>17.010000000000002</v>
      </c>
      <c r="E172" s="1">
        <v>-1678.6599120000001</v>
      </c>
      <c r="F172" s="1">
        <v>-1572.26001</v>
      </c>
      <c r="G172" s="1">
        <v>8.11</v>
      </c>
      <c r="H172" s="1">
        <v>1E-4</v>
      </c>
      <c r="I172" s="1">
        <v>0</v>
      </c>
      <c r="J172" s="1">
        <v>1.9824999999999999</v>
      </c>
      <c r="K172" s="1">
        <v>-4.4050000000000001E-3</v>
      </c>
      <c r="L172" s="1">
        <v>-1.8959999999999999E-3</v>
      </c>
      <c r="M172" s="1">
        <v>0.91831499999999999</v>
      </c>
      <c r="N172" s="1">
        <v>-0.39582000000000001</v>
      </c>
      <c r="O172">
        <v>1</v>
      </c>
      <c r="P172">
        <v>0</v>
      </c>
      <c r="Q172">
        <v>1</v>
      </c>
      <c r="R172">
        <v>1</v>
      </c>
      <c r="S172">
        <v>1</v>
      </c>
      <c r="T172" s="1">
        <f>SQRT(POWER(Octane[[#This Row],[angvel_X]],2) + POWER(Octane[[#This Row],[angvel_Y]],2) + POWER(Octane[[#This Row],[angvel_Z]],2))</f>
        <v>1.982500002522068</v>
      </c>
      <c r="U172" s="1">
        <f>DEGREES(ASIN(MAX(-1,MIN(1,2 * (Octane[[#This Row],[quart_W]]*Octane[[#This Row],[quart_Y]] - Octane[[#This Row],[quart_Z]]*Octane[[#This Row],[quart_X]])))))</f>
        <v>0.54954969904999185</v>
      </c>
      <c r="V17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-136.634891985152</v>
      </c>
      <c r="W17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89.999717878647573</v>
      </c>
      <c r="X172" s="1">
        <f>IF(Octane[[#This Row],[Yaw]]&gt;V171,(360-ABS(Octane[[#This Row],[Yaw]])-ABS(V171)),ABS(Octane[[#This Row],[Yaw]]-V171))</f>
        <v>0.94692351925414187</v>
      </c>
      <c r="Y172" s="1">
        <f>Octane[[#This Row],[Degree change]]+Y171</f>
        <v>105.78589706422285</v>
      </c>
      <c r="Z172" s="1">
        <f>SQRT(Octane[[#This Row],[vel_X]]*Octane[[#This Row],[vel_X]]+Octane[[#This Row],[vel_Y]]*Octane[[#This Row],[vel_Y]]+Octane[[#This Row],[vel_Z]]*Octane[[#This Row],[vel_Z]])</f>
        <v>2299.9926980973328</v>
      </c>
    </row>
    <row r="173" spans="1:26">
      <c r="A173">
        <v>172</v>
      </c>
      <c r="B173" s="1">
        <v>-1570.0699460000001</v>
      </c>
      <c r="C173" s="1">
        <v>2337.719971</v>
      </c>
      <c r="D173" s="1">
        <v>17.010000000000002</v>
      </c>
      <c r="E173" s="1">
        <v>-1652.459961</v>
      </c>
      <c r="F173" s="1">
        <v>-1599.7799070000001</v>
      </c>
      <c r="G173" s="1">
        <v>8.11</v>
      </c>
      <c r="H173" s="1">
        <v>1E-4</v>
      </c>
      <c r="I173" s="1">
        <v>0</v>
      </c>
      <c r="J173" s="1">
        <v>1.9824999999999999</v>
      </c>
      <c r="K173" s="1">
        <v>-4.3889999999999997E-3</v>
      </c>
      <c r="L173" s="1">
        <v>-1.934E-3</v>
      </c>
      <c r="M173" s="1">
        <v>0.91501299999999997</v>
      </c>
      <c r="N173" s="1">
        <v>-0.403395</v>
      </c>
      <c r="O173">
        <v>1</v>
      </c>
      <c r="P173">
        <v>0</v>
      </c>
      <c r="Q173">
        <v>1</v>
      </c>
      <c r="R173">
        <v>1</v>
      </c>
      <c r="S173">
        <v>1</v>
      </c>
      <c r="T173" s="1">
        <f>SQRT(POWER(Octane[[#This Row],[angvel_X]],2) + POWER(Octane[[#This Row],[angvel_Y]],2) + POWER(Octane[[#This Row],[angvel_Z]],2))</f>
        <v>1.982500002522068</v>
      </c>
      <c r="U173" s="1">
        <f>DEGREES(ASIN(MAX(-1,MIN(1,2 * (Octane[[#This Row],[quart_W]]*Octane[[#This Row],[quart_Y]] - Octane[[#This Row],[quart_Z]]*Octane[[#This Row],[quart_X]])))))</f>
        <v>0.54960764975053422</v>
      </c>
      <c r="V17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-137.58180472709444</v>
      </c>
      <c r="W17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89.999900814952738</v>
      </c>
      <c r="X173" s="1">
        <f>IF(Octane[[#This Row],[Yaw]]&gt;V172,(360-ABS(Octane[[#This Row],[Yaw]])-ABS(V172)),ABS(Octane[[#This Row],[Yaw]]-V172))</f>
        <v>0.94691274194244102</v>
      </c>
      <c r="Y173" s="1">
        <f>Octane[[#This Row],[Degree change]]+Y172</f>
        <v>106.73280980616529</v>
      </c>
      <c r="Z173" s="1">
        <f>SQRT(Octane[[#This Row],[vel_X]]*Octane[[#This Row],[vel_X]]+Octane[[#This Row],[vel_Y]]*Octane[[#This Row],[vel_Y]]+Octane[[#This Row],[vel_Z]]*Octane[[#This Row],[vel_Z]])</f>
        <v>2299.9968360084868</v>
      </c>
    </row>
    <row r="174" spans="1:26">
      <c r="A174">
        <v>173</v>
      </c>
      <c r="B174" s="1">
        <v>-1583.8900149999999</v>
      </c>
      <c r="C174" s="1">
        <v>2324.3398440000001</v>
      </c>
      <c r="D174" s="1">
        <v>17.010000000000002</v>
      </c>
      <c r="E174" s="1">
        <v>-1625.799927</v>
      </c>
      <c r="F174" s="1">
        <v>-1626.8599850000001</v>
      </c>
      <c r="G174" s="1">
        <v>8.11</v>
      </c>
      <c r="H174" s="1">
        <v>0</v>
      </c>
      <c r="I174" s="1">
        <v>0</v>
      </c>
      <c r="J174" s="1">
        <v>1.9824999999999999</v>
      </c>
      <c r="K174" s="1">
        <v>-4.372E-3</v>
      </c>
      <c r="L174" s="1">
        <v>-1.9719999999999998E-3</v>
      </c>
      <c r="M174" s="1">
        <v>0.91165099999999999</v>
      </c>
      <c r="N174" s="1">
        <v>-0.410937</v>
      </c>
      <c r="O174">
        <v>1</v>
      </c>
      <c r="P174">
        <v>0</v>
      </c>
      <c r="Q174">
        <v>1</v>
      </c>
      <c r="R174">
        <v>1</v>
      </c>
      <c r="S174">
        <v>1</v>
      </c>
      <c r="T174" s="1">
        <f>SQRT(POWER(Octane[[#This Row],[angvel_X]],2) + POWER(Octane[[#This Row],[angvel_Y]],2) + POWER(Octane[[#This Row],[angvel_Z]],2))</f>
        <v>1.9824999999999999</v>
      </c>
      <c r="U174" s="1">
        <f>DEGREES(ASIN(MAX(-1,MIN(1,2 * (Octane[[#This Row],[quart_W]]*Octane[[#This Row],[quart_Y]] - Octane[[#This Row],[quart_Z]]*Octane[[#This Row],[quart_X]])))))</f>
        <v>0.54960168487087024</v>
      </c>
      <c r="V17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-138.528028040979</v>
      </c>
      <c r="W17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90.000132841563513</v>
      </c>
      <c r="X174" s="1">
        <f>IF(Octane[[#This Row],[Yaw]]&gt;V173,(360-ABS(Octane[[#This Row],[Yaw]])-ABS(V173)),ABS(Octane[[#This Row],[Yaw]]-V173))</f>
        <v>0.94622331388455905</v>
      </c>
      <c r="Y174" s="1">
        <f>Octane[[#This Row],[Degree change]]+Y173</f>
        <v>107.67903312004985</v>
      </c>
      <c r="Z174" s="1">
        <f>SQRT(Octane[[#This Row],[vel_X]]*Octane[[#This Row],[vel_X]]+Octane[[#This Row],[vel_Y]]*Octane[[#This Row],[vel_Y]]+Octane[[#This Row],[vel_Z]]*Octane[[#This Row],[vel_Z]])</f>
        <v>2299.9923011887245</v>
      </c>
    </row>
    <row r="175" spans="1:26">
      <c r="A175">
        <v>174</v>
      </c>
      <c r="B175" s="1">
        <v>-1597.4799800000001</v>
      </c>
      <c r="C175" s="1">
        <v>2310.7299800000001</v>
      </c>
      <c r="D175" s="1">
        <v>17.010000000000002</v>
      </c>
      <c r="E175" s="1">
        <v>-1598.6999510000001</v>
      </c>
      <c r="F175" s="1">
        <v>-1653.5</v>
      </c>
      <c r="G175" s="1">
        <v>8.11</v>
      </c>
      <c r="H175" s="1">
        <v>0</v>
      </c>
      <c r="I175" s="1">
        <v>0</v>
      </c>
      <c r="J175" s="1">
        <v>1.9824999999999999</v>
      </c>
      <c r="K175" s="1">
        <v>-4.3559999999999996E-3</v>
      </c>
      <c r="L175" s="1">
        <v>-2.0100000000000001E-3</v>
      </c>
      <c r="M175" s="1">
        <v>0.90822599999999998</v>
      </c>
      <c r="N175" s="1">
        <v>-0.41845199999999999</v>
      </c>
      <c r="O175">
        <v>1</v>
      </c>
      <c r="P175">
        <v>0</v>
      </c>
      <c r="Q175">
        <v>1</v>
      </c>
      <c r="R175">
        <v>1</v>
      </c>
      <c r="S175">
        <v>1</v>
      </c>
      <c r="T175" s="1">
        <f>SQRT(POWER(Octane[[#This Row],[angvel_X]],2) + POWER(Octane[[#This Row],[angvel_Y]],2) + POWER(Octane[[#This Row],[angvel_Z]],2))</f>
        <v>1.9824999999999999</v>
      </c>
      <c r="U175" s="1">
        <f>DEGREES(ASIN(MAX(-1,MIN(1,2 * (Octane[[#This Row],[quart_W]]*Octane[[#This Row],[quart_Y]] - Octane[[#This Row],[quart_Z]]*Octane[[#This Row],[quart_X]])))))</f>
        <v>0.54974092460628043</v>
      </c>
      <c r="V17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-139.47442553035489</v>
      </c>
      <c r="W17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90.000315983350703</v>
      </c>
      <c r="X175" s="1">
        <f>IF(Octane[[#This Row],[Yaw]]&gt;V174,(360-ABS(Octane[[#This Row],[Yaw]])-ABS(V174)),ABS(Octane[[#This Row],[Yaw]]-V174))</f>
        <v>0.94639748937589729</v>
      </c>
      <c r="Y175" s="1">
        <f>Octane[[#This Row],[Degree change]]+Y174</f>
        <v>108.62543060942575</v>
      </c>
      <c r="Z175" s="1">
        <f>SQRT(Octane[[#This Row],[vel_X]]*Octane[[#This Row],[vel_X]]+Octane[[#This Row],[vel_Y]]*Octane[[#This Row],[vel_Y]]+Octane[[#This Row],[vel_Z]]*Octane[[#This Row],[vel_Z]])</f>
        <v>2299.9933816051303</v>
      </c>
    </row>
    <row r="176" spans="1:26">
      <c r="A176">
        <v>175</v>
      </c>
      <c r="B176" s="1">
        <v>-1610.849976</v>
      </c>
      <c r="C176" s="1">
        <v>2296.8999020000001</v>
      </c>
      <c r="D176" s="1">
        <v>17.010000000000002</v>
      </c>
      <c r="E176" s="1">
        <v>-1571.169922</v>
      </c>
      <c r="F176" s="1">
        <v>-1679.679932</v>
      </c>
      <c r="G176" s="1">
        <v>8.11</v>
      </c>
      <c r="H176" s="1">
        <v>0</v>
      </c>
      <c r="I176" s="1">
        <v>0</v>
      </c>
      <c r="J176" s="1">
        <v>1.9824999999999999</v>
      </c>
      <c r="K176" s="1">
        <v>-4.3400000000000001E-3</v>
      </c>
      <c r="L176" s="1">
        <v>-2.0470000000000002E-3</v>
      </c>
      <c r="M176" s="1">
        <v>0.90473899999999996</v>
      </c>
      <c r="N176" s="1">
        <v>-0.42593999999999999</v>
      </c>
      <c r="O176">
        <v>1</v>
      </c>
      <c r="P176">
        <v>0</v>
      </c>
      <c r="Q176">
        <v>1</v>
      </c>
      <c r="R176">
        <v>1</v>
      </c>
      <c r="S176">
        <v>1</v>
      </c>
      <c r="T176" s="1">
        <f>SQRT(POWER(Octane[[#This Row],[angvel_X]],2) + POWER(Octane[[#This Row],[angvel_Y]],2) + POWER(Octane[[#This Row],[angvel_Z]],2))</f>
        <v>1.9824999999999999</v>
      </c>
      <c r="U176" s="1">
        <f>DEGREES(ASIN(MAX(-1,MIN(1,2 * (Octane[[#This Row],[quart_W]]*Octane[[#This Row],[quart_Y]] - Octane[[#This Row],[quart_Z]]*Octane[[#This Row],[quart_X]])))))</f>
        <v>0.54987219115544317</v>
      </c>
      <c r="V17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-140.42093257450114</v>
      </c>
      <c r="W17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90.000392051018679</v>
      </c>
      <c r="X176" s="1">
        <f>IF(Octane[[#This Row],[Yaw]]&gt;V175,(360-ABS(Octane[[#This Row],[Yaw]])-ABS(V175)),ABS(Octane[[#This Row],[Yaw]]-V175))</f>
        <v>0.94650704414624443</v>
      </c>
      <c r="Y176" s="1">
        <f>Octane[[#This Row],[Degree change]]+Y175</f>
        <v>109.57193765357199</v>
      </c>
      <c r="Z176" s="1">
        <f>SQRT(Octane[[#This Row],[vel_X]]*Octane[[#This Row],[vel_X]]+Octane[[#This Row],[vel_Y]]*Octane[[#This Row],[vel_Y]]+Octane[[#This Row],[vel_Z]]*Octane[[#This Row],[vel_Z]])</f>
        <v>2299.9924716965947</v>
      </c>
    </row>
    <row r="177" spans="1:26">
      <c r="A177">
        <v>176</v>
      </c>
      <c r="B177" s="1">
        <v>-1623.98999</v>
      </c>
      <c r="C177" s="1">
        <v>2282.8498540000001</v>
      </c>
      <c r="D177" s="1">
        <v>17.010000000000002</v>
      </c>
      <c r="E177" s="1">
        <v>-1543.209961</v>
      </c>
      <c r="F177" s="1">
        <v>-1705.4099120000001</v>
      </c>
      <c r="G177" s="1">
        <v>8.11</v>
      </c>
      <c r="H177" s="1">
        <v>0</v>
      </c>
      <c r="I177" s="1">
        <v>0</v>
      </c>
      <c r="J177" s="1">
        <v>1.9824999999999999</v>
      </c>
      <c r="K177" s="1">
        <v>-4.3239999999999997E-3</v>
      </c>
      <c r="L177" s="1">
        <v>-2.085E-3</v>
      </c>
      <c r="M177" s="1">
        <v>0.90118799999999999</v>
      </c>
      <c r="N177" s="1">
        <v>-0.43340099999999998</v>
      </c>
      <c r="O177">
        <v>1</v>
      </c>
      <c r="P177">
        <v>0</v>
      </c>
      <c r="Q177">
        <v>1</v>
      </c>
      <c r="R177">
        <v>1</v>
      </c>
      <c r="S177">
        <v>1</v>
      </c>
      <c r="T177" s="1">
        <f>SQRT(POWER(Octane[[#This Row],[angvel_X]],2) + POWER(Octane[[#This Row],[angvel_Y]],2) + POWER(Octane[[#This Row],[angvel_Z]],2))</f>
        <v>1.9824999999999999</v>
      </c>
      <c r="U177" s="1">
        <f>DEGREES(ASIN(MAX(-1,MIN(1,2 * (Octane[[#This Row],[quart_W]]*Octane[[#This Row],[quart_Y]] - Octane[[#This Row],[quart_Z]]*Octane[[#This Row],[quart_X]])))))</f>
        <v>0.55009124954425381</v>
      </c>
      <c r="V17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-141.36786534209639</v>
      </c>
      <c r="W17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90.000567375375255</v>
      </c>
      <c r="X177" s="1">
        <f>IF(Octane[[#This Row],[Yaw]]&gt;V176,(360-ABS(Octane[[#This Row],[Yaw]])-ABS(V176)),ABS(Octane[[#This Row],[Yaw]]-V176))</f>
        <v>0.94693276759525702</v>
      </c>
      <c r="Y177" s="1">
        <f>Octane[[#This Row],[Degree change]]+Y176</f>
        <v>110.51887042116725</v>
      </c>
      <c r="Z177" s="1">
        <f>SQRT(Octane[[#This Row],[vel_X]]*Octane[[#This Row],[vel_X]]+Octane[[#This Row],[vel_Y]]*Octane[[#This Row],[vel_Y]]+Octane[[#This Row],[vel_Z]]*Octane[[#This Row],[vel_Z]])</f>
        <v>2299.9968964712689</v>
      </c>
    </row>
    <row r="178" spans="1:26">
      <c r="A178">
        <v>177</v>
      </c>
      <c r="B178" s="1">
        <v>-1636.8900149999999</v>
      </c>
      <c r="C178" s="1">
        <v>2268.5798340000001</v>
      </c>
      <c r="D178" s="1">
        <v>17.010000000000002</v>
      </c>
      <c r="E178" s="1">
        <v>-1514.8199460000001</v>
      </c>
      <c r="F178" s="1">
        <v>-1730.669922</v>
      </c>
      <c r="G178" s="1">
        <v>8.11</v>
      </c>
      <c r="H178" s="1">
        <v>0</v>
      </c>
      <c r="I178" s="1">
        <v>0</v>
      </c>
      <c r="J178" s="1">
        <v>1.9824999999999999</v>
      </c>
      <c r="K178" s="1">
        <v>-4.3080000000000002E-3</v>
      </c>
      <c r="L178" s="1">
        <v>-2.1229999999999999E-3</v>
      </c>
      <c r="M178" s="1">
        <v>0.89757799999999999</v>
      </c>
      <c r="N178" s="1">
        <v>-0.44082900000000003</v>
      </c>
      <c r="O178">
        <v>1</v>
      </c>
      <c r="P178">
        <v>0</v>
      </c>
      <c r="Q178">
        <v>1</v>
      </c>
      <c r="R178">
        <v>1</v>
      </c>
      <c r="S178">
        <v>1</v>
      </c>
      <c r="T178" s="1">
        <f>SQRT(POWER(Octane[[#This Row],[angvel_X]],2) + POWER(Octane[[#This Row],[angvel_Y]],2) + POWER(Octane[[#This Row],[angvel_Z]],2))</f>
        <v>1.9824999999999999</v>
      </c>
      <c r="U178" s="1">
        <f>DEGREES(ASIN(MAX(-1,MIN(1,2 * (Octane[[#This Row],[quart_W]]*Octane[[#This Row],[quart_Y]] - Octane[[#This Row],[quart_Z]]*Octane[[#This Row],[quart_X]])))))</f>
        <v>0.55035115449681882</v>
      </c>
      <c r="V17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-142.31425249646628</v>
      </c>
      <c r="W17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90.000741070526431</v>
      </c>
      <c r="X178" s="1">
        <f>IF(Octane[[#This Row],[Yaw]]&gt;V177,(360-ABS(Octane[[#This Row],[Yaw]])-ABS(V177)),ABS(Octane[[#This Row],[Yaw]]-V177))</f>
        <v>0.94638715436988718</v>
      </c>
      <c r="Y178" s="1">
        <f>Octane[[#This Row],[Degree change]]+Y177</f>
        <v>111.46525757553714</v>
      </c>
      <c r="Z178" s="1">
        <f>SQRT(Octane[[#This Row],[vel_X]]*Octane[[#This Row],[vel_X]]+Octane[[#This Row],[vel_Y]]*Octane[[#This Row],[vel_Y]]+Octane[[#This Row],[vel_Z]]*Octane[[#This Row],[vel_Z]])</f>
        <v>2299.9920912505177</v>
      </c>
    </row>
    <row r="179" spans="1:26">
      <c r="A179">
        <v>178</v>
      </c>
      <c r="B179" s="1">
        <v>-1649.559937</v>
      </c>
      <c r="C179" s="1">
        <v>2254.0998540000001</v>
      </c>
      <c r="D179" s="1">
        <v>17.010000000000002</v>
      </c>
      <c r="E179" s="1">
        <v>-1486.0200199999999</v>
      </c>
      <c r="F179" s="1">
        <v>-1755.459961</v>
      </c>
      <c r="G179" s="1">
        <v>8.11</v>
      </c>
      <c r="H179" s="1">
        <v>0</v>
      </c>
      <c r="I179" s="1">
        <v>0</v>
      </c>
      <c r="J179" s="1">
        <v>1.9824999999999999</v>
      </c>
      <c r="K179" s="1">
        <v>-4.2919999999999998E-3</v>
      </c>
      <c r="L179" s="1">
        <v>-2.1610000000000002E-3</v>
      </c>
      <c r="M179" s="1">
        <v>0.89390499999999995</v>
      </c>
      <c r="N179" s="1">
        <v>-0.44823099999999999</v>
      </c>
      <c r="O179">
        <v>1</v>
      </c>
      <c r="P179">
        <v>0</v>
      </c>
      <c r="Q179">
        <v>1</v>
      </c>
      <c r="R179">
        <v>1</v>
      </c>
      <c r="S179">
        <v>1</v>
      </c>
      <c r="T179" s="1">
        <f>SQRT(POWER(Octane[[#This Row],[angvel_X]],2) + POWER(Octane[[#This Row],[angvel_Y]],2) + POWER(Octane[[#This Row],[angvel_Z]],2))</f>
        <v>1.9824999999999999</v>
      </c>
      <c r="U179" s="1">
        <f>DEGREES(ASIN(MAX(-1,MIN(1,2 * (Octane[[#This Row],[quart_W]]*Octane[[#This Row],[quart_Y]] - Octane[[#This Row],[quart_Z]]*Octane[[#This Row],[quart_X]])))))</f>
        <v>0.55065156555123662</v>
      </c>
      <c r="V17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-143.26112546925216</v>
      </c>
      <c r="W17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90.000907750652715</v>
      </c>
      <c r="X179" s="1">
        <f>IF(Octane[[#This Row],[Yaw]]&gt;V178,(360-ABS(Octane[[#This Row],[Yaw]])-ABS(V178)),ABS(Octane[[#This Row],[Yaw]]-V178))</f>
        <v>0.94687297278588289</v>
      </c>
      <c r="Y179" s="1">
        <f>Octane[[#This Row],[Degree change]]+Y178</f>
        <v>112.41213054832302</v>
      </c>
      <c r="Z179" s="1">
        <f>SQRT(Octane[[#This Row],[vel_X]]*Octane[[#This Row],[vel_X]]+Octane[[#This Row],[vel_Y]]*Octane[[#This Row],[vel_Y]]+Octane[[#This Row],[vel_Z]]*Octane[[#This Row],[vel_Z]])</f>
        <v>2299.9915101180095</v>
      </c>
    </row>
    <row r="180" spans="1:26">
      <c r="A180">
        <v>179</v>
      </c>
      <c r="B180" s="1">
        <v>-1661.9799800000001</v>
      </c>
      <c r="C180" s="1">
        <v>2239.419922</v>
      </c>
      <c r="D180" s="1">
        <v>17.010000000000002</v>
      </c>
      <c r="E180" s="1">
        <v>-1456.8199460000001</v>
      </c>
      <c r="F180" s="1">
        <v>-1779.7700199999999</v>
      </c>
      <c r="G180" s="1">
        <v>8.11</v>
      </c>
      <c r="H180" s="1">
        <v>0</v>
      </c>
      <c r="I180" s="1">
        <v>0</v>
      </c>
      <c r="J180" s="1">
        <v>1.9824999999999999</v>
      </c>
      <c r="K180" s="1">
        <v>-4.2750000000000002E-3</v>
      </c>
      <c r="L180" s="1">
        <v>-2.1979999999999999E-3</v>
      </c>
      <c r="M180" s="1">
        <v>0.89017100000000005</v>
      </c>
      <c r="N180" s="1">
        <v>-0.4556</v>
      </c>
      <c r="O180">
        <v>1</v>
      </c>
      <c r="P180">
        <v>0</v>
      </c>
      <c r="Q180">
        <v>1</v>
      </c>
      <c r="R180">
        <v>1</v>
      </c>
      <c r="S180">
        <v>1</v>
      </c>
      <c r="T180" s="1">
        <f>SQRT(POWER(Octane[[#This Row],[angvel_X]],2) + POWER(Octane[[#This Row],[angvel_Y]],2) + POWER(Octane[[#This Row],[angvel_Z]],2))</f>
        <v>1.9824999999999999</v>
      </c>
      <c r="U180" s="1">
        <f>DEGREES(ASIN(MAX(-1,MIN(1,2 * (Octane[[#This Row],[quart_W]]*Octane[[#This Row],[quart_Y]] - Octane[[#This Row],[quart_Z]]*Octane[[#This Row],[quart_X]])))))</f>
        <v>0.55083748450627645</v>
      </c>
      <c r="V18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-144.20784975468843</v>
      </c>
      <c r="W18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90.001020583317455</v>
      </c>
      <c r="X180" s="1">
        <f>IF(Octane[[#This Row],[Yaw]]&gt;V179,(360-ABS(Octane[[#This Row],[Yaw]])-ABS(V179)),ABS(Octane[[#This Row],[Yaw]]-V179))</f>
        <v>0.94672428543626097</v>
      </c>
      <c r="Y180" s="1">
        <f>Octane[[#This Row],[Degree change]]+Y179</f>
        <v>113.35885483375928</v>
      </c>
      <c r="Z180" s="1">
        <f>SQRT(Octane[[#This Row],[vel_X]]*Octane[[#This Row],[vel_X]]+Octane[[#This Row],[vel_Y]]*Octane[[#This Row],[vel_Y]]+Octane[[#This Row],[vel_Z]]*Octane[[#This Row],[vel_Z]])</f>
        <v>2299.9937937425489</v>
      </c>
    </row>
    <row r="181" spans="1:26">
      <c r="A181">
        <v>180</v>
      </c>
      <c r="B181" s="1">
        <v>-1674.1599120000001</v>
      </c>
      <c r="C181" s="1">
        <v>2224.530029</v>
      </c>
      <c r="D181" s="1">
        <v>17.010000000000002</v>
      </c>
      <c r="E181" s="1">
        <v>-1427.219971</v>
      </c>
      <c r="F181" s="1">
        <v>-1803.589966</v>
      </c>
      <c r="G181" s="1">
        <v>8.11</v>
      </c>
      <c r="H181" s="1">
        <v>-1E-4</v>
      </c>
      <c r="I181" s="1">
        <v>0</v>
      </c>
      <c r="J181" s="1">
        <v>1.9824999999999999</v>
      </c>
      <c r="K181" s="1">
        <v>-4.2589999999999998E-3</v>
      </c>
      <c r="L181" s="1">
        <v>-2.2360000000000001E-3</v>
      </c>
      <c r="M181" s="1">
        <v>0.886378</v>
      </c>
      <c r="N181" s="1">
        <v>-0.46293699999999999</v>
      </c>
      <c r="O181">
        <v>1</v>
      </c>
      <c r="P181">
        <v>0</v>
      </c>
      <c r="Q181">
        <v>1</v>
      </c>
      <c r="R181">
        <v>1</v>
      </c>
      <c r="S181">
        <v>1</v>
      </c>
      <c r="T181" s="1">
        <f>SQRT(POWER(Octane[[#This Row],[angvel_X]],2) + POWER(Octane[[#This Row],[angvel_Y]],2) + POWER(Octane[[#This Row],[angvel_Z]],2))</f>
        <v>1.982500002522068</v>
      </c>
      <c r="U181" s="1">
        <f>DEGREES(ASIN(MAX(-1,MIN(1,2 * (Octane[[#This Row],[quart_W]]*Octane[[#This Row],[quart_Y]] - Octane[[#This Row],[quart_Z]]*Octane[[#This Row],[quart_X]])))))</f>
        <v>0.55121808462443733</v>
      </c>
      <c r="V18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-145.1542844025785</v>
      </c>
      <c r="W18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90.001179491069863</v>
      </c>
      <c r="X181" s="1">
        <f>IF(Octane[[#This Row],[Yaw]]&gt;V180,(360-ABS(Octane[[#This Row],[Yaw]])-ABS(V180)),ABS(Octane[[#This Row],[Yaw]]-V180))</f>
        <v>0.94643464789007226</v>
      </c>
      <c r="Y181" s="1">
        <f>Octane[[#This Row],[Degree change]]+Y180</f>
        <v>114.30528948164935</v>
      </c>
      <c r="Z181" s="1">
        <f>SQRT(Octane[[#This Row],[vel_X]]*Octane[[#This Row],[vel_X]]+Octane[[#This Row],[vel_Y]]*Octane[[#This Row],[vel_Y]]+Octane[[#This Row],[vel_Z]]*Octane[[#This Row],[vel_Z]])</f>
        <v>2299.9911702389472</v>
      </c>
    </row>
    <row r="182" spans="1:26">
      <c r="A182">
        <v>181</v>
      </c>
      <c r="B182" s="1">
        <v>-1686.089966</v>
      </c>
      <c r="C182" s="1">
        <v>2209.4399410000001</v>
      </c>
      <c r="D182" s="1">
        <v>17.010000000000002</v>
      </c>
      <c r="E182" s="1">
        <v>-1397.2299800000001</v>
      </c>
      <c r="F182" s="1">
        <v>-1826.919922</v>
      </c>
      <c r="G182" s="1">
        <v>8.11</v>
      </c>
      <c r="H182" s="1">
        <v>-2.0000000000000001E-4</v>
      </c>
      <c r="I182" s="1">
        <v>0</v>
      </c>
      <c r="J182" s="1">
        <v>1.9824999999999999</v>
      </c>
      <c r="K182" s="1">
        <v>-4.2430000000000002E-3</v>
      </c>
      <c r="L182" s="1">
        <v>-2.2690000000000002E-3</v>
      </c>
      <c r="M182" s="1">
        <v>0.88252399999999998</v>
      </c>
      <c r="N182" s="1">
        <v>-0.47024199999999999</v>
      </c>
      <c r="O182">
        <v>1</v>
      </c>
      <c r="P182">
        <v>0</v>
      </c>
      <c r="Q182">
        <v>1</v>
      </c>
      <c r="R182">
        <v>1</v>
      </c>
      <c r="S182">
        <v>1</v>
      </c>
      <c r="T182" s="1">
        <f>SQRT(POWER(Octane[[#This Row],[angvel_X]],2) + POWER(Octane[[#This Row],[angvel_Y]],2) + POWER(Octane[[#This Row],[angvel_Z]],2))</f>
        <v>1.9825000100882724</v>
      </c>
      <c r="U182" s="1">
        <f>DEGREES(ASIN(MAX(-1,MIN(1,2 * (Octane[[#This Row],[quart_W]]*Octane[[#This Row],[quart_Y]] - Octane[[#This Row],[quart_Z]]*Octane[[#This Row],[quart_X]])))))</f>
        <v>0.55136905407430903</v>
      </c>
      <c r="V18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-146.10077029069905</v>
      </c>
      <c r="W18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90.000826260587445</v>
      </c>
      <c r="X182" s="1">
        <f>IF(Octane[[#This Row],[Yaw]]&gt;V181,(360-ABS(Octane[[#This Row],[Yaw]])-ABS(V181)),ABS(Octane[[#This Row],[Yaw]]-V181))</f>
        <v>0.94648588812054868</v>
      </c>
      <c r="Y182" s="1">
        <f>Octane[[#This Row],[Degree change]]+Y181</f>
        <v>115.2517753697699</v>
      </c>
      <c r="Z182" s="1">
        <f>SQRT(Octane[[#This Row],[vel_X]]*Octane[[#This Row],[vel_X]]+Octane[[#This Row],[vel_Y]]*Octane[[#This Row],[vel_Y]]+Octane[[#This Row],[vel_Z]]*Octane[[#This Row],[vel_Z]])</f>
        <v>2299.9899544370373</v>
      </c>
    </row>
    <row r="183" spans="1:26">
      <c r="A183">
        <v>182</v>
      </c>
      <c r="B183" s="1">
        <v>-1697.7700199999999</v>
      </c>
      <c r="C183" s="1">
        <v>2194.1599120000001</v>
      </c>
      <c r="D183" s="1">
        <v>17.010000000000002</v>
      </c>
      <c r="E183" s="1">
        <v>-1366.8599850000001</v>
      </c>
      <c r="F183" s="1">
        <v>-1849.76001</v>
      </c>
      <c r="G183" s="1">
        <v>8.11</v>
      </c>
      <c r="H183" s="1">
        <v>-2.0000000000000001E-4</v>
      </c>
      <c r="I183" s="1">
        <v>0</v>
      </c>
      <c r="J183" s="1">
        <v>1.9824999999999999</v>
      </c>
      <c r="K183" s="1">
        <v>-4.2209999999999999E-3</v>
      </c>
      <c r="L183" s="1">
        <v>-2.3010000000000001E-3</v>
      </c>
      <c r="M183" s="1">
        <v>0.87861100000000003</v>
      </c>
      <c r="N183" s="1">
        <v>-0.47751399999999999</v>
      </c>
      <c r="O183">
        <v>1</v>
      </c>
      <c r="P183">
        <v>0</v>
      </c>
      <c r="Q183">
        <v>1</v>
      </c>
      <c r="R183">
        <v>1</v>
      </c>
      <c r="S183">
        <v>1</v>
      </c>
      <c r="T183" s="1">
        <f>SQRT(POWER(Octane[[#This Row],[angvel_X]],2) + POWER(Octane[[#This Row],[angvel_Y]],2) + POWER(Octane[[#This Row],[angvel_Z]],2))</f>
        <v>1.9825000100882724</v>
      </c>
      <c r="U183" s="1">
        <f>DEGREES(ASIN(MAX(-1,MIN(1,2 * (Octane[[#This Row],[quart_W]]*Octane[[#This Row],[quart_Y]] - Octane[[#This Row],[quart_Z]]*Octane[[#This Row],[quart_X]])))))</f>
        <v>0.55089328400714599</v>
      </c>
      <c r="V18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-147.0470405074644</v>
      </c>
      <c r="W18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90.000698733358334</v>
      </c>
      <c r="X183" s="1">
        <f>IF(Octane[[#This Row],[Yaw]]&gt;V182,(360-ABS(Octane[[#This Row],[Yaw]])-ABS(V182)),ABS(Octane[[#This Row],[Yaw]]-V182))</f>
        <v>0.94627021676535605</v>
      </c>
      <c r="Y183" s="1">
        <f>Octane[[#This Row],[Degree change]]+Y182</f>
        <v>116.19804558653526</v>
      </c>
      <c r="Z183" s="1">
        <f>SQRT(Octane[[#This Row],[vel_X]]*Octane[[#This Row],[vel_X]]+Octane[[#This Row],[vel_Y]]*Octane[[#This Row],[vel_Y]]+Octane[[#This Row],[vel_Z]]*Octane[[#This Row],[vel_Z]])</f>
        <v>2299.9965402777025</v>
      </c>
    </row>
    <row r="184" spans="1:26">
      <c r="A184">
        <v>183</v>
      </c>
      <c r="B184" s="1">
        <v>-1709.1999510000001</v>
      </c>
      <c r="C184" s="1">
        <v>2178.6899410000001</v>
      </c>
      <c r="D184" s="1">
        <v>17.010000000000002</v>
      </c>
      <c r="E184" s="1">
        <v>-1336.119995</v>
      </c>
      <c r="F184" s="1">
        <v>-1872.079956</v>
      </c>
      <c r="G184" s="1">
        <v>8.11</v>
      </c>
      <c r="H184" s="1">
        <v>-2.0000000000000001E-4</v>
      </c>
      <c r="I184" s="1">
        <v>0</v>
      </c>
      <c r="J184" s="1">
        <v>1.9824999999999999</v>
      </c>
      <c r="K184" s="1">
        <v>-4.1999999999999997E-3</v>
      </c>
      <c r="L184" s="1">
        <v>-2.333E-3</v>
      </c>
      <c r="M184" s="1">
        <v>0.874637</v>
      </c>
      <c r="N184" s="1">
        <v>-0.48475400000000002</v>
      </c>
      <c r="O184">
        <v>1</v>
      </c>
      <c r="P184">
        <v>0</v>
      </c>
      <c r="Q184">
        <v>1</v>
      </c>
      <c r="R184">
        <v>1</v>
      </c>
      <c r="S184">
        <v>1</v>
      </c>
      <c r="T184" s="1">
        <f>SQRT(POWER(Octane[[#This Row],[angvel_X]],2) + POWER(Octane[[#This Row],[angvel_Y]],2) + POWER(Octane[[#This Row],[angvel_Z]],2))</f>
        <v>1.9825000100882724</v>
      </c>
      <c r="U184" s="1">
        <f>DEGREES(ASIN(MAX(-1,MIN(1,2 * (Octane[[#This Row],[quart_W]]*Octane[[#This Row],[quart_Y]] - Octane[[#This Row],[quart_Z]]*Octane[[#This Row],[quart_X]])))))</f>
        <v>0.55055290121552802</v>
      </c>
      <c r="V18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-147.99349112089149</v>
      </c>
      <c r="W18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90.000522713016039</v>
      </c>
      <c r="X184" s="1">
        <f>IF(Octane[[#This Row],[Yaw]]&gt;V183,(360-ABS(Octane[[#This Row],[Yaw]])-ABS(V183)),ABS(Octane[[#This Row],[Yaw]]-V183))</f>
        <v>0.94645061342708914</v>
      </c>
      <c r="Y184" s="1">
        <f>Octane[[#This Row],[Degree change]]+Y183</f>
        <v>117.14449619996235</v>
      </c>
      <c r="Z184" s="1">
        <f>SQRT(Octane[[#This Row],[vel_X]]*Octane[[#This Row],[vel_X]]+Octane[[#This Row],[vel_Y]]*Octane[[#This Row],[vel_Y]]+Octane[[#This Row],[vel_Z]]*Octane[[#This Row],[vel_Z]])</f>
        <v>2299.9925597261749</v>
      </c>
    </row>
    <row r="185" spans="1:26">
      <c r="A185">
        <v>184</v>
      </c>
      <c r="B185" s="1">
        <v>-1720.369995</v>
      </c>
      <c r="C185" s="1">
        <v>2163.030029</v>
      </c>
      <c r="D185" s="1">
        <v>17.010000000000002</v>
      </c>
      <c r="E185" s="1">
        <v>-1305.01001</v>
      </c>
      <c r="F185" s="1">
        <v>-1893.8999020000001</v>
      </c>
      <c r="G185" s="1">
        <v>8.11</v>
      </c>
      <c r="H185" s="1">
        <v>-2.0000000000000001E-4</v>
      </c>
      <c r="I185" s="1">
        <v>0</v>
      </c>
      <c r="J185" s="1">
        <v>1.9824999999999999</v>
      </c>
      <c r="K185" s="1">
        <v>-4.1780000000000003E-3</v>
      </c>
      <c r="L185" s="1">
        <v>-2.366E-3</v>
      </c>
      <c r="M185" s="1">
        <v>0.87060400000000004</v>
      </c>
      <c r="N185" s="1">
        <v>-0.49196099999999998</v>
      </c>
      <c r="O185">
        <v>1</v>
      </c>
      <c r="P185">
        <v>0</v>
      </c>
      <c r="Q185">
        <v>1</v>
      </c>
      <c r="R185">
        <v>1</v>
      </c>
      <c r="S185">
        <v>1</v>
      </c>
      <c r="T185" s="1">
        <f>SQRT(POWER(Octane[[#This Row],[angvel_X]],2) + POWER(Octane[[#This Row],[angvel_Y]],2) + POWER(Octane[[#This Row],[angvel_Z]],2))</f>
        <v>1.9825000100882724</v>
      </c>
      <c r="U185" s="1">
        <f>DEGREES(ASIN(MAX(-1,MIN(1,2 * (Octane[[#This Row],[quart_W]]*Octane[[#This Row],[quart_Y]] - Octane[[#This Row],[quart_Z]]*Octane[[#This Row],[quart_X]])))))</f>
        <v>0.55020415505115372</v>
      </c>
      <c r="V18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-148.93985184555689</v>
      </c>
      <c r="W18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90.000508352282111</v>
      </c>
      <c r="X185" s="1">
        <f>IF(Octane[[#This Row],[Yaw]]&gt;V184,(360-ABS(Octane[[#This Row],[Yaw]])-ABS(V184)),ABS(Octane[[#This Row],[Yaw]]-V184))</f>
        <v>0.94636072466539645</v>
      </c>
      <c r="Y185" s="1">
        <f>Octane[[#This Row],[Degree change]]+Y184</f>
        <v>118.09085692462774</v>
      </c>
      <c r="Z185" s="1">
        <f>SQRT(Octane[[#This Row],[vel_X]]*Octane[[#This Row],[vel_X]]+Octane[[#This Row],[vel_Y]]*Octane[[#This Row],[vel_Y]]+Octane[[#This Row],[vel_Z]]*Octane[[#This Row],[vel_Z]])</f>
        <v>2299.9942906659162</v>
      </c>
    </row>
    <row r="186" spans="1:26">
      <c r="A186">
        <v>185</v>
      </c>
      <c r="B186" s="1">
        <v>-1731.2799070000001</v>
      </c>
      <c r="C186" s="1">
        <v>2147.1899410000001</v>
      </c>
      <c r="D186" s="1">
        <v>17.010000000000002</v>
      </c>
      <c r="E186" s="1">
        <v>-1273.549927</v>
      </c>
      <c r="F186" s="1">
        <v>-1915.1999510000001</v>
      </c>
      <c r="G186" s="1">
        <v>8.11</v>
      </c>
      <c r="H186" s="1">
        <v>-1E-4</v>
      </c>
      <c r="I186" s="1">
        <v>0</v>
      </c>
      <c r="J186" s="1">
        <v>1.9824999999999999</v>
      </c>
      <c r="K186" s="1">
        <v>-4.1570000000000001E-3</v>
      </c>
      <c r="L186" s="1">
        <v>-2.398E-3</v>
      </c>
      <c r="M186" s="1">
        <v>0.86651</v>
      </c>
      <c r="N186" s="1">
        <v>-0.49913600000000002</v>
      </c>
      <c r="O186">
        <v>1</v>
      </c>
      <c r="P186">
        <v>0</v>
      </c>
      <c r="Q186">
        <v>1</v>
      </c>
      <c r="R186">
        <v>1</v>
      </c>
      <c r="S186">
        <v>1</v>
      </c>
      <c r="T186" s="1">
        <f>SQRT(POWER(Octane[[#This Row],[angvel_X]],2) + POWER(Octane[[#This Row],[angvel_Y]],2) + POWER(Octane[[#This Row],[angvel_Z]],2))</f>
        <v>1.982500002522068</v>
      </c>
      <c r="U186" s="1">
        <f>DEGREES(ASIN(MAX(-1,MIN(1,2 * (Octane[[#This Row],[quart_W]]*Octane[[#This Row],[quart_Y]] - Octane[[#This Row],[quart_Z]]*Octane[[#This Row],[quart_X]])))))</f>
        <v>0.54993450410233358</v>
      </c>
      <c r="V18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-149.88652084795518</v>
      </c>
      <c r="W18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90.000341799736518</v>
      </c>
      <c r="X186" s="1">
        <f>IF(Octane[[#This Row],[Yaw]]&gt;V185,(360-ABS(Octane[[#This Row],[Yaw]])-ABS(V185)),ABS(Octane[[#This Row],[Yaw]]-V185))</f>
        <v>0.94666900239829488</v>
      </c>
      <c r="Y186" s="1">
        <f>Octane[[#This Row],[Degree change]]+Y185</f>
        <v>119.03752592702604</v>
      </c>
      <c r="Z186" s="1">
        <f>SQRT(Octane[[#This Row],[vel_X]]*Octane[[#This Row],[vel_X]]+Octane[[#This Row],[vel_Y]]*Octane[[#This Row],[vel_Y]]+Octane[[#This Row],[vel_Z]]*Octane[[#This Row],[vel_Z]])</f>
        <v>2299.9969654267175</v>
      </c>
    </row>
    <row r="187" spans="1:26">
      <c r="A187">
        <v>186</v>
      </c>
      <c r="B187" s="1">
        <v>-1741.929932</v>
      </c>
      <c r="C187" s="1">
        <v>2131.169922</v>
      </c>
      <c r="D187" s="1">
        <v>17.010000000000002</v>
      </c>
      <c r="E187" s="1">
        <v>-1241.73999</v>
      </c>
      <c r="F187" s="1">
        <v>-1935.969971</v>
      </c>
      <c r="G187" s="1">
        <v>8.11</v>
      </c>
      <c r="H187" s="1">
        <v>0</v>
      </c>
      <c r="I187" s="1">
        <v>0</v>
      </c>
      <c r="J187" s="1">
        <v>1.9824999999999999</v>
      </c>
      <c r="K187" s="1">
        <v>-4.1349999999999998E-3</v>
      </c>
      <c r="L187" s="1">
        <v>-2.4299999999999999E-3</v>
      </c>
      <c r="M187" s="1">
        <v>0.86235600000000001</v>
      </c>
      <c r="N187" s="1">
        <v>-0.50627900000000003</v>
      </c>
      <c r="O187">
        <v>1</v>
      </c>
      <c r="P187">
        <v>0</v>
      </c>
      <c r="Q187">
        <v>1</v>
      </c>
      <c r="R187">
        <v>1</v>
      </c>
      <c r="S187">
        <v>1</v>
      </c>
      <c r="T187" s="1">
        <f>SQRT(POWER(Octane[[#This Row],[angvel_X]],2) + POWER(Octane[[#This Row],[angvel_Y]],2) + POWER(Octane[[#This Row],[angvel_Z]],2))</f>
        <v>1.9824999999999999</v>
      </c>
      <c r="U187" s="1">
        <f>DEGREES(ASIN(MAX(-1,MIN(1,2 * (Octane[[#This Row],[quart_W]]*Octane[[#This Row],[quart_Y]] - Octane[[#This Row],[quart_Z]]*Octane[[#This Row],[quart_X]])))))</f>
        <v>0.54960100806198509</v>
      </c>
      <c r="V18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-150.83341542297808</v>
      </c>
      <c r="W18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90.000236231626772</v>
      </c>
      <c r="X187" s="1">
        <f>IF(Octane[[#This Row],[Yaw]]&gt;V186,(360-ABS(Octane[[#This Row],[Yaw]])-ABS(V186)),ABS(Octane[[#This Row],[Yaw]]-V186))</f>
        <v>0.94689457502289542</v>
      </c>
      <c r="Y187" s="1">
        <f>Octane[[#This Row],[Degree change]]+Y186</f>
        <v>119.98442050204893</v>
      </c>
      <c r="Z187" s="1">
        <f>SQRT(Octane[[#This Row],[vel_X]]*Octane[[#This Row],[vel_X]]+Octane[[#This Row],[vel_Y]]*Octane[[#This Row],[vel_Y]]+Octane[[#This Row],[vel_Z]]*Octane[[#This Row],[vel_Z]])</f>
        <v>2299.9921094384085</v>
      </c>
    </row>
    <row r="188" spans="1:26">
      <c r="A188">
        <v>187</v>
      </c>
      <c r="B188" s="1">
        <v>-1752.309937</v>
      </c>
      <c r="C188" s="1">
        <v>2114.9799800000001</v>
      </c>
      <c r="D188" s="1">
        <v>17.010000000000002</v>
      </c>
      <c r="E188" s="1">
        <v>-1209.589966</v>
      </c>
      <c r="F188" s="1">
        <v>-1956.219971</v>
      </c>
      <c r="G188" s="1">
        <v>8.11</v>
      </c>
      <c r="H188" s="1">
        <v>0</v>
      </c>
      <c r="I188" s="1">
        <v>0</v>
      </c>
      <c r="J188" s="1">
        <v>1.9824999999999999</v>
      </c>
      <c r="K188" s="1">
        <v>-4.1139999999999996E-3</v>
      </c>
      <c r="L188" s="1">
        <v>-2.4629999999999999E-3</v>
      </c>
      <c r="M188" s="1">
        <v>0.85814500000000005</v>
      </c>
      <c r="N188" s="1">
        <v>-0.51338399999999995</v>
      </c>
      <c r="O188">
        <v>1</v>
      </c>
      <c r="P188">
        <v>0</v>
      </c>
      <c r="Q188">
        <v>1</v>
      </c>
      <c r="R188">
        <v>1</v>
      </c>
      <c r="S188">
        <v>1</v>
      </c>
      <c r="T188" s="1">
        <f>SQRT(POWER(Octane[[#This Row],[angvel_X]],2) + POWER(Octane[[#This Row],[angvel_Y]],2) + POWER(Octane[[#This Row],[angvel_Z]],2))</f>
        <v>1.9824999999999999</v>
      </c>
      <c r="U188" s="1">
        <f>DEGREES(ASIN(MAX(-1,MIN(1,2 * (Octane[[#This Row],[quart_W]]*Octane[[#This Row],[quart_Y]] - Octane[[#This Row],[quart_Z]]*Octane[[#This Row],[quart_X]])))))</f>
        <v>0.54946043121404131</v>
      </c>
      <c r="V18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-151.77987574958914</v>
      </c>
      <c r="W18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90.000177551627601</v>
      </c>
      <c r="X188" s="1">
        <f>IF(Octane[[#This Row],[Yaw]]&gt;V187,(360-ABS(Octane[[#This Row],[Yaw]])-ABS(V187)),ABS(Octane[[#This Row],[Yaw]]-V187))</f>
        <v>0.94646032661106005</v>
      </c>
      <c r="Y188" s="1">
        <f>Octane[[#This Row],[Degree change]]+Y187</f>
        <v>120.93088082865999</v>
      </c>
      <c r="Z188" s="1">
        <f>SQRT(Octane[[#This Row],[vel_X]]*Octane[[#This Row],[vel_X]]+Octane[[#This Row],[vel_Y]]*Octane[[#This Row],[vel_Y]]+Octane[[#This Row],[vel_Z]]*Octane[[#This Row],[vel_Z]])</f>
        <v>2299.9935288794013</v>
      </c>
    </row>
    <row r="189" spans="1:26">
      <c r="A189">
        <v>188</v>
      </c>
      <c r="B189" s="1">
        <v>-1762.419922</v>
      </c>
      <c r="C189" s="1">
        <v>2098.6198730000001</v>
      </c>
      <c r="D189" s="1">
        <v>17.010000000000002</v>
      </c>
      <c r="E189" s="1">
        <v>-1177.1099850000001</v>
      </c>
      <c r="F189" s="1">
        <v>-1975.9399410000001</v>
      </c>
      <c r="G189" s="1">
        <v>8.11</v>
      </c>
      <c r="H189" s="1">
        <v>0</v>
      </c>
      <c r="I189" s="1">
        <v>0</v>
      </c>
      <c r="J189" s="1">
        <v>1.9824999999999999</v>
      </c>
      <c r="K189" s="1">
        <v>-4.0920000000000002E-3</v>
      </c>
      <c r="L189" s="1">
        <v>-2.4949999999999998E-3</v>
      </c>
      <c r="M189" s="1">
        <v>0.85387400000000002</v>
      </c>
      <c r="N189" s="1">
        <v>-0.52045699999999995</v>
      </c>
      <c r="O189">
        <v>1</v>
      </c>
      <c r="P189">
        <v>0</v>
      </c>
      <c r="Q189">
        <v>1</v>
      </c>
      <c r="R189">
        <v>1</v>
      </c>
      <c r="S189">
        <v>1</v>
      </c>
      <c r="T189" s="1">
        <f>SQRT(POWER(Octane[[#This Row],[angvel_X]],2) + POWER(Octane[[#This Row],[angvel_Y]],2) + POWER(Octane[[#This Row],[angvel_Z]],2))</f>
        <v>1.9824999999999999</v>
      </c>
      <c r="U189" s="1">
        <f>DEGREES(ASIN(MAX(-1,MIN(1,2 * (Octane[[#This Row],[quart_W]]*Octane[[#This Row],[quart_Y]] - Octane[[#This Row],[quart_Z]]*Octane[[#This Row],[quart_X]])))))</f>
        <v>0.54919907034760518</v>
      </c>
      <c r="V18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-152.72668707399762</v>
      </c>
      <c r="W18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90.000080857914298</v>
      </c>
      <c r="X189" s="1">
        <f>IF(Octane[[#This Row],[Yaw]]&gt;V188,(360-ABS(Octane[[#This Row],[Yaw]])-ABS(V188)),ABS(Octane[[#This Row],[Yaw]]-V188))</f>
        <v>0.94681132440848614</v>
      </c>
      <c r="Y189" s="1">
        <f>Octane[[#This Row],[Degree change]]+Y188</f>
        <v>121.87769215306848</v>
      </c>
      <c r="Z189" s="1">
        <f>SQRT(Octane[[#This Row],[vel_X]]*Octane[[#This Row],[vel_X]]+Octane[[#This Row],[vel_Y]]*Octane[[#This Row],[vel_Y]]+Octane[[#This Row],[vel_Z]]*Octane[[#This Row],[vel_Z]])</f>
        <v>2299.998334635437</v>
      </c>
    </row>
    <row r="190" spans="1:26">
      <c r="A190">
        <v>189</v>
      </c>
      <c r="B190" s="1">
        <v>-1772.26001</v>
      </c>
      <c r="C190" s="1">
        <v>2082.0898440000001</v>
      </c>
      <c r="D190" s="1">
        <v>17.010000000000002</v>
      </c>
      <c r="E190" s="1">
        <v>-1144.299927</v>
      </c>
      <c r="F190" s="1">
        <v>-1995.1099850000001</v>
      </c>
      <c r="G190" s="1">
        <v>8.11</v>
      </c>
      <c r="H190" s="1">
        <v>0</v>
      </c>
      <c r="I190" s="1">
        <v>0</v>
      </c>
      <c r="J190" s="1">
        <v>1.9824999999999999</v>
      </c>
      <c r="K190" s="1">
        <v>-4.0699999999999998E-3</v>
      </c>
      <c r="L190" s="1">
        <v>-2.5270000000000002E-3</v>
      </c>
      <c r="M190" s="1">
        <v>0.84954700000000005</v>
      </c>
      <c r="N190" s="1">
        <v>-0.52749199999999996</v>
      </c>
      <c r="O190">
        <v>1</v>
      </c>
      <c r="P190">
        <v>0</v>
      </c>
      <c r="Q190">
        <v>1</v>
      </c>
      <c r="R190">
        <v>1</v>
      </c>
      <c r="S190">
        <v>1</v>
      </c>
      <c r="T190" s="1">
        <f>SQRT(POWER(Octane[[#This Row],[angvel_X]],2) + POWER(Octane[[#This Row],[angvel_Y]],2) + POWER(Octane[[#This Row],[angvel_Z]],2))</f>
        <v>1.9824999999999999</v>
      </c>
      <c r="U190" s="1">
        <f>DEGREES(ASIN(MAX(-1,MIN(1,2 * (Octane[[#This Row],[quart_W]]*Octane[[#This Row],[quart_Y]] - Octane[[#This Row],[quart_Z]]*Octane[[#This Row],[quart_X]])))))</f>
        <v>0.54897399657527701</v>
      </c>
      <c r="V19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-153.67305219393978</v>
      </c>
      <c r="W19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89.999990010480673</v>
      </c>
      <c r="X190" s="1">
        <f>IF(Octane[[#This Row],[Yaw]]&gt;V189,(360-ABS(Octane[[#This Row],[Yaw]])-ABS(V189)),ABS(Octane[[#This Row],[Yaw]]-V189))</f>
        <v>0.94636511994215766</v>
      </c>
      <c r="Y190" s="1">
        <f>Octane[[#This Row],[Degree change]]+Y189</f>
        <v>122.82405727301064</v>
      </c>
      <c r="Z190" s="1">
        <f>SQRT(Octane[[#This Row],[vel_X]]*Octane[[#This Row],[vel_X]]+Octane[[#This Row],[vel_Y]]*Octane[[#This Row],[vel_Y]]+Octane[[#This Row],[vel_Z]]*Octane[[#This Row],[vel_Z]])</f>
        <v>2299.989553732561</v>
      </c>
    </row>
    <row r="191" spans="1:26">
      <c r="A191">
        <v>190</v>
      </c>
      <c r="B191" s="1">
        <v>-1781.829956</v>
      </c>
      <c r="C191" s="1">
        <v>2065.3999020000001</v>
      </c>
      <c r="D191" s="1">
        <v>17.010000000000002</v>
      </c>
      <c r="E191" s="1">
        <v>-1111.179932</v>
      </c>
      <c r="F191" s="1">
        <v>-2013.75</v>
      </c>
      <c r="G191" s="1">
        <v>8.11</v>
      </c>
      <c r="H191" s="1">
        <v>0</v>
      </c>
      <c r="I191" s="1">
        <v>0</v>
      </c>
      <c r="J191" s="1">
        <v>1.9824999999999999</v>
      </c>
      <c r="K191" s="1">
        <v>-4.0489999999999996E-3</v>
      </c>
      <c r="L191" s="1">
        <v>-2.5600000000000002E-3</v>
      </c>
      <c r="M191" s="1">
        <v>0.84516199999999997</v>
      </c>
      <c r="N191" s="1">
        <v>-0.53448899999999999</v>
      </c>
      <c r="O191">
        <v>1</v>
      </c>
      <c r="P191">
        <v>0</v>
      </c>
      <c r="Q191">
        <v>1</v>
      </c>
      <c r="R191">
        <v>1</v>
      </c>
      <c r="S191">
        <v>1</v>
      </c>
      <c r="T191" s="1">
        <f>SQRT(POWER(Octane[[#This Row],[angvel_X]],2) + POWER(Octane[[#This Row],[angvel_Y]],2) + POWER(Octane[[#This Row],[angvel_Z]],2))</f>
        <v>1.9824999999999999</v>
      </c>
      <c r="U191" s="1">
        <f>DEGREES(ASIN(MAX(-1,MIN(1,2 * (Octane[[#This Row],[quart_W]]*Octane[[#This Row],[quart_Y]] - Octane[[#This Row],[quart_Z]]*Octane[[#This Row],[quart_X]])))))</f>
        <v>0.54894239123102107</v>
      </c>
      <c r="V19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-154.61933678445504</v>
      </c>
      <c r="W19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89.999939121471513</v>
      </c>
      <c r="X191" s="1">
        <f>IF(Octane[[#This Row],[Yaw]]&gt;V190,(360-ABS(Octane[[#This Row],[Yaw]])-ABS(V190)),ABS(Octane[[#This Row],[Yaw]]-V190))</f>
        <v>0.94628459051526193</v>
      </c>
      <c r="Y191" s="1">
        <f>Octane[[#This Row],[Degree change]]+Y190</f>
        <v>123.7703418635259</v>
      </c>
      <c r="Z191" s="1">
        <f>SQRT(Octane[[#This Row],[vel_X]]*Octane[[#This Row],[vel_X]]+Octane[[#This Row],[vel_Y]]*Octane[[#This Row],[vel_Y]]+Octane[[#This Row],[vel_Z]]*Octane[[#This Row],[vel_Z]])</f>
        <v>2299.994712141644</v>
      </c>
    </row>
    <row r="192" spans="1:26">
      <c r="A192">
        <v>191</v>
      </c>
      <c r="B192" s="1">
        <v>-1791.119995</v>
      </c>
      <c r="C192" s="1">
        <v>2048.5600589999999</v>
      </c>
      <c r="D192" s="1">
        <v>17.010000000000002</v>
      </c>
      <c r="E192" s="1">
        <v>-1077.76001</v>
      </c>
      <c r="F192" s="1">
        <v>-2031.829956</v>
      </c>
      <c r="G192" s="1">
        <v>8.11</v>
      </c>
      <c r="H192" s="1">
        <v>0</v>
      </c>
      <c r="I192" s="1">
        <v>0</v>
      </c>
      <c r="J192" s="1">
        <v>1.9824999999999999</v>
      </c>
      <c r="K192" s="1">
        <v>-4.0270000000000002E-3</v>
      </c>
      <c r="L192" s="1">
        <v>-2.5920000000000001E-3</v>
      </c>
      <c r="M192" s="1">
        <v>0.84071700000000005</v>
      </c>
      <c r="N192" s="1">
        <v>-0.54145299999999996</v>
      </c>
      <c r="O192">
        <v>1</v>
      </c>
      <c r="P192">
        <v>0</v>
      </c>
      <c r="Q192">
        <v>1</v>
      </c>
      <c r="R192">
        <v>1</v>
      </c>
      <c r="S192">
        <v>1</v>
      </c>
      <c r="T192" s="1">
        <f>SQRT(POWER(Octane[[#This Row],[angvel_X]],2) + POWER(Octane[[#This Row],[angvel_Y]],2) + POWER(Octane[[#This Row],[angvel_Z]],2))</f>
        <v>1.9824999999999999</v>
      </c>
      <c r="U192" s="1">
        <f>DEGREES(ASIN(MAX(-1,MIN(1,2 * (Octane[[#This Row],[quart_W]]*Octane[[#This Row],[quart_Y]] - Octane[[#This Row],[quart_Z]]*Octane[[#This Row],[quart_X]])))))</f>
        <v>0.54878891824590714</v>
      </c>
      <c r="V19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-155.56611545556183</v>
      </c>
      <c r="W19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89.999851853018455</v>
      </c>
      <c r="X192" s="1">
        <f>IF(Octane[[#This Row],[Yaw]]&gt;V191,(360-ABS(Octane[[#This Row],[Yaw]])-ABS(V191)),ABS(Octane[[#This Row],[Yaw]]-V191))</f>
        <v>0.94677867110678449</v>
      </c>
      <c r="Y192" s="1">
        <f>Octane[[#This Row],[Degree change]]+Y191</f>
        <v>124.71712053463268</v>
      </c>
      <c r="Z192" s="1">
        <f>SQRT(Octane[[#This Row],[vel_X]]*Octane[[#This Row],[vel_X]]+Octane[[#This Row],[vel_Y]]*Octane[[#This Row],[vel_Y]]+Octane[[#This Row],[vel_Z]]*Octane[[#This Row],[vel_Z]])</f>
        <v>2299.992474195114</v>
      </c>
    </row>
    <row r="193" spans="1:26">
      <c r="A193">
        <v>192</v>
      </c>
      <c r="B193" s="1">
        <v>-1800.130005</v>
      </c>
      <c r="C193" s="1">
        <v>2031.5699460000001</v>
      </c>
      <c r="D193" s="1">
        <v>17.010000000000002</v>
      </c>
      <c r="E193" s="1">
        <v>-1044.049927</v>
      </c>
      <c r="F193" s="1">
        <v>-2049.3598630000001</v>
      </c>
      <c r="G193" s="1">
        <v>8.11</v>
      </c>
      <c r="H193" s="1">
        <v>0</v>
      </c>
      <c r="I193" s="1">
        <v>0</v>
      </c>
      <c r="J193" s="1">
        <v>1.9824999999999999</v>
      </c>
      <c r="K193" s="1">
        <v>-4.006E-3</v>
      </c>
      <c r="L193" s="1">
        <v>-2.6250000000000002E-3</v>
      </c>
      <c r="M193" s="1">
        <v>0.83621500000000004</v>
      </c>
      <c r="N193" s="1">
        <v>-0.54837999999999998</v>
      </c>
      <c r="O193">
        <v>1</v>
      </c>
      <c r="P193">
        <v>0</v>
      </c>
      <c r="Q193">
        <v>1</v>
      </c>
      <c r="R193">
        <v>1</v>
      </c>
      <c r="S193">
        <v>1</v>
      </c>
      <c r="T193" s="1">
        <f>SQRT(POWER(Octane[[#This Row],[angvel_X]],2) + POWER(Octane[[#This Row],[angvel_Y]],2) + POWER(Octane[[#This Row],[angvel_Z]],2))</f>
        <v>1.9824999999999999</v>
      </c>
      <c r="U193" s="1">
        <f>DEGREES(ASIN(MAX(-1,MIN(1,2 * (Octane[[#This Row],[quart_W]]*Octane[[#This Row],[quart_Y]] - Octane[[#This Row],[quart_Z]]*Octane[[#This Row],[quart_X]])))))</f>
        <v>0.54883031691867812</v>
      </c>
      <c r="V19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-156.51283500678028</v>
      </c>
      <c r="W19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89.999799924845235</v>
      </c>
      <c r="X193" s="1">
        <f>IF(Octane[[#This Row],[Yaw]]&gt;V192,(360-ABS(Octane[[#This Row],[Yaw]])-ABS(V192)),ABS(Octane[[#This Row],[Yaw]]-V192))</f>
        <v>0.94671955121845031</v>
      </c>
      <c r="Y193" s="1">
        <f>Octane[[#This Row],[Degree change]]+Y192</f>
        <v>125.66384008585113</v>
      </c>
      <c r="Z193" s="1">
        <f>SQRT(Octane[[#This Row],[vel_X]]*Octane[[#This Row],[vel_X]]+Octane[[#This Row],[vel_Y]]*Octane[[#This Row],[vel_Y]]+Octane[[#This Row],[vel_Z]]*Octane[[#This Row],[vel_Z]])</f>
        <v>2299.9960587453375</v>
      </c>
    </row>
    <row r="194" spans="1:26">
      <c r="A194">
        <v>193</v>
      </c>
      <c r="B194" s="1">
        <v>-1808.8599850000001</v>
      </c>
      <c r="C194" s="1">
        <v>2014.429932</v>
      </c>
      <c r="D194" s="1">
        <v>17.010000000000002</v>
      </c>
      <c r="E194" s="1">
        <v>-1010.049988</v>
      </c>
      <c r="F194" s="1">
        <v>-2066.3298340000001</v>
      </c>
      <c r="G194" s="1">
        <v>8.11</v>
      </c>
      <c r="H194" s="1">
        <v>1E-4</v>
      </c>
      <c r="I194" s="1">
        <v>0</v>
      </c>
      <c r="J194" s="1">
        <v>1.9824999999999999</v>
      </c>
      <c r="K194" s="1">
        <v>-3.9839999999999997E-3</v>
      </c>
      <c r="L194" s="1">
        <v>-2.6570000000000001E-3</v>
      </c>
      <c r="M194" s="1">
        <v>0.83165699999999998</v>
      </c>
      <c r="N194" s="1">
        <v>-0.55527000000000004</v>
      </c>
      <c r="O194">
        <v>1</v>
      </c>
      <c r="P194">
        <v>0</v>
      </c>
      <c r="Q194">
        <v>1</v>
      </c>
      <c r="R194">
        <v>1</v>
      </c>
      <c r="S194">
        <v>1</v>
      </c>
      <c r="T194" s="1">
        <f>SQRT(POWER(Octane[[#This Row],[angvel_X]],2) + POWER(Octane[[#This Row],[angvel_Y]],2) + POWER(Octane[[#This Row],[angvel_Z]],2))</f>
        <v>1.982500002522068</v>
      </c>
      <c r="U194" s="1">
        <f>DEGREES(ASIN(MAX(-1,MIN(1,2 * (Octane[[#This Row],[quart_W]]*Octane[[#This Row],[quart_Y]] - Octane[[#This Row],[quart_Z]]*Octane[[#This Row],[quart_X]])))))</f>
        <v>0.54874999463542984</v>
      </c>
      <c r="V19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-157.45940846074711</v>
      </c>
      <c r="W19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89.999715452556174</v>
      </c>
      <c r="X194" s="1">
        <f>IF(Octane[[#This Row],[Yaw]]&gt;V193,(360-ABS(Octane[[#This Row],[Yaw]])-ABS(V193)),ABS(Octane[[#This Row],[Yaw]]-V193))</f>
        <v>0.94657345396683468</v>
      </c>
      <c r="Y194" s="1">
        <f>Octane[[#This Row],[Degree change]]+Y193</f>
        <v>126.61041353981797</v>
      </c>
      <c r="Z194" s="1">
        <f>SQRT(Octane[[#This Row],[vel_X]]*Octane[[#This Row],[vel_X]]+Octane[[#This Row],[vel_Y]]*Octane[[#This Row],[vel_Y]]+Octane[[#This Row],[vel_Z]]*Octane[[#This Row],[vel_Z]])</f>
        <v>2299.9968985277496</v>
      </c>
    </row>
    <row r="195" spans="1:26">
      <c r="A195">
        <v>194</v>
      </c>
      <c r="B195" s="1">
        <v>-1817.299927</v>
      </c>
      <c r="C195" s="1">
        <v>1997.1499020000001</v>
      </c>
      <c r="D195" s="1">
        <v>17.010000000000002</v>
      </c>
      <c r="E195" s="1">
        <v>-975.76995799999997</v>
      </c>
      <c r="F195" s="1">
        <v>-2082.7299800000001</v>
      </c>
      <c r="G195" s="1">
        <v>8.11</v>
      </c>
      <c r="H195" s="1">
        <v>1E-4</v>
      </c>
      <c r="I195" s="1">
        <v>0</v>
      </c>
      <c r="J195" s="1">
        <v>1.9824999999999999</v>
      </c>
      <c r="K195" s="1">
        <v>-3.9620000000000002E-3</v>
      </c>
      <c r="L195" s="1">
        <v>-2.689E-3</v>
      </c>
      <c r="M195" s="1">
        <v>0.82704100000000003</v>
      </c>
      <c r="N195" s="1">
        <v>-0.56212099999999998</v>
      </c>
      <c r="O195">
        <v>1</v>
      </c>
      <c r="P195">
        <v>0</v>
      </c>
      <c r="Q195">
        <v>1</v>
      </c>
      <c r="R195">
        <v>1</v>
      </c>
      <c r="S195">
        <v>1</v>
      </c>
      <c r="T195" s="1">
        <f>SQRT(POWER(Octane[[#This Row],[angvel_X]],2) + POWER(Octane[[#This Row],[angvel_Y]],2) + POWER(Octane[[#This Row],[angvel_Z]],2))</f>
        <v>1.982500002522068</v>
      </c>
      <c r="U195" s="1">
        <f>DEGREES(ASIN(MAX(-1,MIN(1,2 * (Octane[[#This Row],[quart_W]]*Octane[[#This Row],[quart_Y]] - Octane[[#This Row],[quart_Z]]*Octane[[#This Row],[quart_X]])))))</f>
        <v>0.54870483581255225</v>
      </c>
      <c r="V19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-158.4061291594777</v>
      </c>
      <c r="W19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89.999632126693697</v>
      </c>
      <c r="X195" s="1">
        <f>IF(Octane[[#This Row],[Yaw]]&gt;V194,(360-ABS(Octane[[#This Row],[Yaw]])-ABS(V194)),ABS(Octane[[#This Row],[Yaw]]-V194))</f>
        <v>0.94672069873058717</v>
      </c>
      <c r="Y195" s="1">
        <f>Octane[[#This Row],[Degree change]]+Y194</f>
        <v>127.55713423854856</v>
      </c>
      <c r="Z195" s="1">
        <f>SQRT(Octane[[#This Row],[vel_X]]*Octane[[#This Row],[vel_X]]+Octane[[#This Row],[vel_Y]]*Octane[[#This Row],[vel_Y]]+Octane[[#This Row],[vel_Z]]*Octane[[#This Row],[vel_Z]])</f>
        <v>2299.9906418562059</v>
      </c>
    </row>
    <row r="196" spans="1:26">
      <c r="A196">
        <v>195</v>
      </c>
      <c r="B196" s="1">
        <v>-1825.459961</v>
      </c>
      <c r="C196" s="1">
        <v>1979.7299800000001</v>
      </c>
      <c r="D196" s="1">
        <v>17.010000000000002</v>
      </c>
      <c r="E196" s="1">
        <v>-941.22997999999995</v>
      </c>
      <c r="F196" s="1">
        <v>-2098.570068</v>
      </c>
      <c r="G196" s="1">
        <v>8.11</v>
      </c>
      <c r="H196" s="1">
        <v>1E-4</v>
      </c>
      <c r="I196" s="1">
        <v>0</v>
      </c>
      <c r="J196" s="1">
        <v>1.9824999999999999</v>
      </c>
      <c r="K196" s="1">
        <v>-3.9410000000000001E-3</v>
      </c>
      <c r="L196" s="1">
        <v>-2.722E-3</v>
      </c>
      <c r="M196" s="1">
        <v>0.82236900000000002</v>
      </c>
      <c r="N196" s="1">
        <v>-0.56893499999999997</v>
      </c>
      <c r="O196">
        <v>1</v>
      </c>
      <c r="P196">
        <v>0</v>
      </c>
      <c r="Q196">
        <v>1</v>
      </c>
      <c r="R196">
        <v>1</v>
      </c>
      <c r="S196">
        <v>1</v>
      </c>
      <c r="T196" s="1">
        <f>SQRT(POWER(Octane[[#This Row],[angvel_X]],2) + POWER(Octane[[#This Row],[angvel_Y]],2) + POWER(Octane[[#This Row],[angvel_Z]],2))</f>
        <v>1.982500002522068</v>
      </c>
      <c r="U196" s="1">
        <f>DEGREES(ASIN(MAX(-1,MIN(1,2 * (Octane[[#This Row],[quart_W]]*Octane[[#This Row],[quart_Y]] - Octane[[#This Row],[quart_Z]]*Octane[[#This Row],[quart_X]])))))</f>
        <v>0.54885581574175646</v>
      </c>
      <c r="V19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-159.35282850565542</v>
      </c>
      <c r="W19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89.999577777539656</v>
      </c>
      <c r="X196" s="1">
        <f>IF(Octane[[#This Row],[Yaw]]&gt;V195,(360-ABS(Octane[[#This Row],[Yaw]])-ABS(V195)),ABS(Octane[[#This Row],[Yaw]]-V195))</f>
        <v>0.94669934617772356</v>
      </c>
      <c r="Y196" s="1">
        <f>Octane[[#This Row],[Degree change]]+Y195</f>
        <v>128.50383358472629</v>
      </c>
      <c r="Z196" s="1">
        <f>SQRT(Octane[[#This Row],[vel_X]]*Octane[[#This Row],[vel_X]]+Octane[[#This Row],[vel_Y]]*Octane[[#This Row],[vel_Y]]+Octane[[#This Row],[vel_Z]]*Octane[[#This Row],[vel_Z]])</f>
        <v>2299.9947777454463</v>
      </c>
    </row>
    <row r="197" spans="1:26">
      <c r="A197">
        <v>196</v>
      </c>
      <c r="B197" s="1">
        <v>-1833.329956</v>
      </c>
      <c r="C197" s="1">
        <v>1962.179932</v>
      </c>
      <c r="D197" s="1">
        <v>17.010000000000002</v>
      </c>
      <c r="E197" s="1">
        <v>-906.42999299999997</v>
      </c>
      <c r="F197" s="1">
        <v>-2113.8298340000001</v>
      </c>
      <c r="G197" s="1">
        <v>8.11</v>
      </c>
      <c r="H197" s="1">
        <v>1E-4</v>
      </c>
      <c r="I197" s="1">
        <v>0</v>
      </c>
      <c r="J197" s="1">
        <v>1.9824999999999999</v>
      </c>
      <c r="K197" s="1">
        <v>-3.9189999999999997E-3</v>
      </c>
      <c r="L197" s="1">
        <v>-2.7539999999999999E-3</v>
      </c>
      <c r="M197" s="1">
        <v>0.817639</v>
      </c>
      <c r="N197" s="1">
        <v>-0.57571099999999997</v>
      </c>
      <c r="O197">
        <v>1</v>
      </c>
      <c r="P197">
        <v>0</v>
      </c>
      <c r="Q197">
        <v>1</v>
      </c>
      <c r="R197">
        <v>1</v>
      </c>
      <c r="S197">
        <v>1</v>
      </c>
      <c r="T197" s="1">
        <f>SQRT(POWER(Octane[[#This Row],[angvel_X]],2) + POWER(Octane[[#This Row],[angvel_Y]],2) + POWER(Octane[[#This Row],[angvel_Z]],2))</f>
        <v>1.982500002522068</v>
      </c>
      <c r="U197" s="1">
        <f>DEGREES(ASIN(MAX(-1,MIN(1,2 * (Octane[[#This Row],[quart_W]]*Octane[[#This Row],[quart_Y]] - Octane[[#This Row],[quart_Z]]*Octane[[#This Row],[quart_X]])))))</f>
        <v>0.54888309390972712</v>
      </c>
      <c r="V19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-160.29984098969618</v>
      </c>
      <c r="W19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89.999491923206449</v>
      </c>
      <c r="X197" s="1">
        <f>IF(Octane[[#This Row],[Yaw]]&gt;V196,(360-ABS(Octane[[#This Row],[Yaw]])-ABS(V196)),ABS(Octane[[#This Row],[Yaw]]-V196))</f>
        <v>0.947012484040755</v>
      </c>
      <c r="Y197" s="1">
        <f>Octane[[#This Row],[Degree change]]+Y196</f>
        <v>129.45084606876705</v>
      </c>
      <c r="Z197" s="1">
        <f>SQRT(Octane[[#This Row],[vel_X]]*Octane[[#This Row],[vel_X]]+Octane[[#This Row],[vel_Y]]*Octane[[#This Row],[vel_Y]]+Octane[[#This Row],[vel_Z]]*Octane[[#This Row],[vel_Z]])</f>
        <v>2299.9907981160377</v>
      </c>
    </row>
    <row r="198" spans="1:26">
      <c r="A198">
        <v>197</v>
      </c>
      <c r="B198" s="1">
        <v>-1840.9099120000001</v>
      </c>
      <c r="C198" s="1">
        <v>1944.5</v>
      </c>
      <c r="D198" s="1">
        <v>17.010000000000002</v>
      </c>
      <c r="E198" s="1">
        <v>-871.38000499999998</v>
      </c>
      <c r="F198" s="1">
        <v>-2128.5200199999999</v>
      </c>
      <c r="G198" s="1">
        <v>8.11</v>
      </c>
      <c r="H198" s="1">
        <v>1E-4</v>
      </c>
      <c r="I198" s="1">
        <v>0</v>
      </c>
      <c r="J198" s="1">
        <v>1.9824999999999999</v>
      </c>
      <c r="K198" s="1">
        <v>-3.898E-3</v>
      </c>
      <c r="L198" s="1">
        <v>-2.7859999999999998E-3</v>
      </c>
      <c r="M198" s="1">
        <v>0.81285700000000005</v>
      </c>
      <c r="N198" s="1">
        <v>-0.58244300000000004</v>
      </c>
      <c r="O198">
        <v>1</v>
      </c>
      <c r="P198">
        <v>0</v>
      </c>
      <c r="Q198">
        <v>1</v>
      </c>
      <c r="R198">
        <v>1</v>
      </c>
      <c r="S198">
        <v>1</v>
      </c>
      <c r="T198" s="1">
        <f>SQRT(POWER(Octane[[#This Row],[angvel_X]],2) + POWER(Octane[[#This Row],[angvel_Y]],2) + POWER(Octane[[#This Row],[angvel_Z]],2))</f>
        <v>1.982500002522068</v>
      </c>
      <c r="U198" s="1">
        <f>DEGREES(ASIN(MAX(-1,MIN(1,2 * (Octane[[#This Row],[quart_W]]*Octane[[#This Row],[quart_Y]] - Octane[[#This Row],[quart_Z]]*Octane[[#This Row],[quart_X]])))))</f>
        <v>0.5490397992151741</v>
      </c>
      <c r="V19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-161.24612033687819</v>
      </c>
      <c r="W19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89.999341846165706</v>
      </c>
      <c r="X198" s="1">
        <f>IF(Octane[[#This Row],[Yaw]]&gt;V197,(360-ABS(Octane[[#This Row],[Yaw]])-ABS(V197)),ABS(Octane[[#This Row],[Yaw]]-V197))</f>
        <v>0.94627934718201345</v>
      </c>
      <c r="Y198" s="1">
        <f>Octane[[#This Row],[Degree change]]+Y197</f>
        <v>130.39712541594906</v>
      </c>
      <c r="Z198" s="1">
        <f>SQRT(Octane[[#This Row],[vel_X]]*Octane[[#This Row],[vel_X]]+Octane[[#This Row],[vel_Y]]*Octane[[#This Row],[vel_Y]]+Octane[[#This Row],[vel_Z]]*Octane[[#This Row],[vel_Z]])</f>
        <v>2299.9926871089397</v>
      </c>
    </row>
    <row r="199" spans="1:26">
      <c r="A199">
        <v>198</v>
      </c>
      <c r="B199" s="1">
        <v>-1848.1899410000001</v>
      </c>
      <c r="C199" s="1">
        <v>1926.6999510000001</v>
      </c>
      <c r="D199" s="1">
        <v>17.010000000000002</v>
      </c>
      <c r="E199" s="1">
        <v>-836.09997599999997</v>
      </c>
      <c r="F199" s="1">
        <v>-2142.6298830000001</v>
      </c>
      <c r="G199" s="1">
        <v>8.11</v>
      </c>
      <c r="H199" s="1">
        <v>1E-4</v>
      </c>
      <c r="I199" s="1">
        <v>0</v>
      </c>
      <c r="J199" s="1">
        <v>1.9824999999999999</v>
      </c>
      <c r="K199" s="1">
        <v>-3.8760000000000001E-3</v>
      </c>
      <c r="L199" s="1">
        <v>-2.8189999999999999E-3</v>
      </c>
      <c r="M199" s="1">
        <v>0.80801800000000001</v>
      </c>
      <c r="N199" s="1">
        <v>-0.58913800000000005</v>
      </c>
      <c r="O199">
        <v>1</v>
      </c>
      <c r="P199">
        <v>0</v>
      </c>
      <c r="Q199">
        <v>1</v>
      </c>
      <c r="R199">
        <v>1</v>
      </c>
      <c r="S199">
        <v>1</v>
      </c>
      <c r="T199" s="1">
        <f>SQRT(POWER(Octane[[#This Row],[angvel_X]],2) + POWER(Octane[[#This Row],[angvel_Y]],2) + POWER(Octane[[#This Row],[angvel_Z]],2))</f>
        <v>1.982500002522068</v>
      </c>
      <c r="U199" s="1">
        <f>DEGREES(ASIN(MAX(-1,MIN(1,2 * (Octane[[#This Row],[quart_W]]*Octane[[#This Row],[quart_Y]] - Octane[[#This Row],[quart_Z]]*Octane[[#This Row],[quart_X]])))))</f>
        <v>0.54920653827880583</v>
      </c>
      <c r="V19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-162.19272104906346</v>
      </c>
      <c r="W19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89.999347239761477</v>
      </c>
      <c r="X199" s="1">
        <f>IF(Octane[[#This Row],[Yaw]]&gt;V198,(360-ABS(Octane[[#This Row],[Yaw]])-ABS(V198)),ABS(Octane[[#This Row],[Yaw]]-V198))</f>
        <v>0.94660071218527264</v>
      </c>
      <c r="Y199" s="1">
        <f>Octane[[#This Row],[Degree change]]+Y198</f>
        <v>131.34372612813434</v>
      </c>
      <c r="Z199" s="1">
        <f>SQRT(Octane[[#This Row],[vel_X]]*Octane[[#This Row],[vel_X]]+Octane[[#This Row],[vel_Y]]*Octane[[#This Row],[vel_Y]]+Octane[[#This Row],[vel_Z]]*Octane[[#This Row],[vel_Z]])</f>
        <v>2299.9982081496919</v>
      </c>
    </row>
    <row r="200" spans="1:26">
      <c r="A200">
        <v>199</v>
      </c>
      <c r="B200" s="1">
        <v>-1855.179932</v>
      </c>
      <c r="C200" s="1">
        <v>1908.7799070000001</v>
      </c>
      <c r="D200" s="1">
        <v>17.010000000000002</v>
      </c>
      <c r="E200" s="1">
        <v>-800.589966</v>
      </c>
      <c r="F200" s="1">
        <v>-2156.1499020000001</v>
      </c>
      <c r="G200" s="1">
        <v>8.11</v>
      </c>
      <c r="H200" s="1">
        <v>1E-4</v>
      </c>
      <c r="I200" s="1">
        <v>0</v>
      </c>
      <c r="J200" s="1">
        <v>1.9824999999999999</v>
      </c>
      <c r="K200" s="1">
        <v>-3.8549999999999999E-3</v>
      </c>
      <c r="L200" s="1">
        <v>-2.8509999999999998E-3</v>
      </c>
      <c r="M200" s="1">
        <v>0.80312600000000001</v>
      </c>
      <c r="N200" s="1">
        <v>-0.59579000000000004</v>
      </c>
      <c r="O200">
        <v>1</v>
      </c>
      <c r="P200">
        <v>0</v>
      </c>
      <c r="Q200">
        <v>1</v>
      </c>
      <c r="R200">
        <v>1</v>
      </c>
      <c r="S200">
        <v>1</v>
      </c>
      <c r="T200" s="1">
        <f>SQRT(POWER(Octane[[#This Row],[angvel_X]],2) + POWER(Octane[[#This Row],[angvel_Y]],2) + POWER(Octane[[#This Row],[angvel_Z]],2))</f>
        <v>1.982500002522068</v>
      </c>
      <c r="U200" s="1">
        <f>DEGREES(ASIN(MAX(-1,MIN(1,2 * (Octane[[#This Row],[quart_W]]*Octane[[#This Row],[quart_Y]] - Octane[[#This Row],[quart_Z]]*Octane[[#This Row],[quart_X]])))))</f>
        <v>0.54943461231944357</v>
      </c>
      <c r="V20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-163.13891256397488</v>
      </c>
      <c r="W20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89.999191149918261</v>
      </c>
      <c r="X200" s="1">
        <f>IF(Octane[[#This Row],[Yaw]]&gt;V199,(360-ABS(Octane[[#This Row],[Yaw]])-ABS(V199)),ABS(Octane[[#This Row],[Yaw]]-V199))</f>
        <v>0.94619151491141906</v>
      </c>
      <c r="Y200" s="1">
        <f>Octane[[#This Row],[Degree change]]+Y199</f>
        <v>132.28991764304575</v>
      </c>
      <c r="Z200" s="1">
        <f>SQRT(Octane[[#This Row],[vel_X]]*Octane[[#This Row],[vel_X]]+Octane[[#This Row],[vel_Y]]*Octane[[#This Row],[vel_Y]]+Octane[[#This Row],[vel_Z]]*Octane[[#This Row],[vel_Z]])</f>
        <v>2299.9983620982189</v>
      </c>
    </row>
    <row r="201" spans="1:26">
      <c r="A201">
        <v>200</v>
      </c>
      <c r="B201" s="1">
        <v>-1861.869995</v>
      </c>
      <c r="C201" s="1">
        <v>1890.75</v>
      </c>
      <c r="D201" s="1">
        <v>17.010000000000002</v>
      </c>
      <c r="E201" s="1">
        <v>-764.85998500000005</v>
      </c>
      <c r="F201" s="1">
        <v>-2169.0798340000001</v>
      </c>
      <c r="G201" s="1">
        <v>8.11</v>
      </c>
      <c r="H201" s="1">
        <v>1E-4</v>
      </c>
      <c r="I201" s="1">
        <v>0</v>
      </c>
      <c r="J201" s="1">
        <v>1.9824999999999999</v>
      </c>
      <c r="K201" s="1">
        <v>-3.833E-3</v>
      </c>
      <c r="L201" s="1">
        <v>-2.8839999999999998E-3</v>
      </c>
      <c r="M201" s="1">
        <v>0.79817700000000003</v>
      </c>
      <c r="N201" s="1">
        <v>-0.60240400000000005</v>
      </c>
      <c r="O201">
        <v>1</v>
      </c>
      <c r="P201">
        <v>0</v>
      </c>
      <c r="Q201">
        <v>1</v>
      </c>
      <c r="R201">
        <v>1</v>
      </c>
      <c r="S201">
        <v>1</v>
      </c>
      <c r="T201" s="1">
        <f>SQRT(POWER(Octane[[#This Row],[angvel_X]],2) + POWER(Octane[[#This Row],[angvel_Y]],2) + POWER(Octane[[#This Row],[angvel_Z]],2))</f>
        <v>1.982500002522068</v>
      </c>
      <c r="U201" s="1">
        <f>DEGREES(ASIN(MAX(-1,MIN(1,2 * (Octane[[#This Row],[quart_W]]*Octane[[#This Row],[quart_Y]] - Octane[[#This Row],[quart_Z]]*Octane[[#This Row],[quart_X]])))))</f>
        <v>0.54967498570302875</v>
      </c>
      <c r="V20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-164.08552023007204</v>
      </c>
      <c r="W20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89.999189563865556</v>
      </c>
      <c r="X201" s="1">
        <f>IF(Octane[[#This Row],[Yaw]]&gt;V200,(360-ABS(Octane[[#This Row],[Yaw]])-ABS(V200)),ABS(Octane[[#This Row],[Yaw]]-V200))</f>
        <v>0.94660766609715097</v>
      </c>
      <c r="Y201" s="1">
        <f>Octane[[#This Row],[Degree change]]+Y200</f>
        <v>133.23652530914291</v>
      </c>
      <c r="Z201" s="1">
        <f>SQRT(Octane[[#This Row],[vel_X]]*Octane[[#This Row],[vel_X]]+Octane[[#This Row],[vel_Y]]*Octane[[#This Row],[vel_Y]]+Octane[[#This Row],[vel_Z]]*Octane[[#This Row],[vel_Z]])</f>
        <v>2299.9964989146547</v>
      </c>
    </row>
    <row r="202" spans="1:26">
      <c r="A202">
        <v>201</v>
      </c>
      <c r="B202" s="1">
        <v>-1868.26001</v>
      </c>
      <c r="C202" s="1">
        <v>1872.6099850000001</v>
      </c>
      <c r="D202" s="1">
        <v>17.010000000000002</v>
      </c>
      <c r="E202" s="1">
        <v>-728.919983</v>
      </c>
      <c r="F202" s="1">
        <v>-2181.419922</v>
      </c>
      <c r="G202" s="1">
        <v>8.11</v>
      </c>
      <c r="H202" s="1">
        <v>1E-4</v>
      </c>
      <c r="I202" s="1">
        <v>0</v>
      </c>
      <c r="J202" s="1">
        <v>1.9824999999999999</v>
      </c>
      <c r="K202" s="1">
        <v>-3.8110000000000002E-3</v>
      </c>
      <c r="L202" s="1">
        <v>-2.9160000000000002E-3</v>
      </c>
      <c r="M202" s="1">
        <v>0.79317499999999996</v>
      </c>
      <c r="N202" s="1">
        <v>-0.60897500000000004</v>
      </c>
      <c r="O202">
        <v>1</v>
      </c>
      <c r="P202">
        <v>0</v>
      </c>
      <c r="Q202">
        <v>1</v>
      </c>
      <c r="R202">
        <v>1</v>
      </c>
      <c r="S202">
        <v>1</v>
      </c>
      <c r="T202" s="1">
        <f>SQRT(POWER(Octane[[#This Row],[angvel_X]],2) + POWER(Octane[[#This Row],[angvel_Y]],2) + POWER(Octane[[#This Row],[angvel_Z]],2))</f>
        <v>1.982500002522068</v>
      </c>
      <c r="U202" s="1">
        <f>DEGREES(ASIN(MAX(-1,MIN(1,2 * (Octane[[#This Row],[quart_W]]*Octane[[#This Row],[quart_Y]] - Octane[[#This Row],[quart_Z]]*Octane[[#This Row],[quart_X]])))))</f>
        <v>0.54988303029722363</v>
      </c>
      <c r="V20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-165.03185287053597</v>
      </c>
      <c r="W20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89.999094063302948</v>
      </c>
      <c r="X202" s="1">
        <f>IF(Octane[[#This Row],[Yaw]]&gt;V201,(360-ABS(Octane[[#This Row],[Yaw]])-ABS(V201)),ABS(Octane[[#This Row],[Yaw]]-V201))</f>
        <v>0.94633264046393606</v>
      </c>
      <c r="Y202" s="1">
        <f>Octane[[#This Row],[Degree change]]+Y201</f>
        <v>134.18285794960684</v>
      </c>
      <c r="Z202" s="1">
        <f>SQRT(Octane[[#This Row],[vel_X]]*Octane[[#This Row],[vel_X]]+Octane[[#This Row],[vel_Y]]*Octane[[#This Row],[vel_Y]]+Octane[[#This Row],[vel_Z]]*Octane[[#This Row],[vel_Z]])</f>
        <v>2299.9963021307676</v>
      </c>
    </row>
    <row r="203" spans="1:26">
      <c r="A203">
        <v>202</v>
      </c>
      <c r="B203" s="1">
        <v>-1874.349976</v>
      </c>
      <c r="C203" s="1">
        <v>1854.369995</v>
      </c>
      <c r="D203" s="1">
        <v>17.010000000000002</v>
      </c>
      <c r="E203" s="1">
        <v>-692.77996800000005</v>
      </c>
      <c r="F203" s="1">
        <v>-2193.1599120000001</v>
      </c>
      <c r="G203" s="1">
        <v>8.11</v>
      </c>
      <c r="H203" s="1">
        <v>0</v>
      </c>
      <c r="I203" s="1">
        <v>0</v>
      </c>
      <c r="J203" s="1">
        <v>1.9824999999999999</v>
      </c>
      <c r="K203" s="1">
        <v>-3.79E-3</v>
      </c>
      <c r="L203" s="1">
        <v>-2.9480000000000001E-3</v>
      </c>
      <c r="M203" s="1">
        <v>0.78811600000000004</v>
      </c>
      <c r="N203" s="1">
        <v>-0.61550800000000006</v>
      </c>
      <c r="O203">
        <v>1</v>
      </c>
      <c r="P203">
        <v>0</v>
      </c>
      <c r="Q203">
        <v>1</v>
      </c>
      <c r="R203">
        <v>1</v>
      </c>
      <c r="S203">
        <v>1</v>
      </c>
      <c r="T203" s="1">
        <f>SQRT(POWER(Octane[[#This Row],[angvel_X]],2) + POWER(Octane[[#This Row],[angvel_Y]],2) + POWER(Octane[[#This Row],[angvel_Z]],2))</f>
        <v>1.9824999999999999</v>
      </c>
      <c r="U203" s="1">
        <f>DEGREES(ASIN(MAX(-1,MIN(1,2 * (Octane[[#This Row],[quart_W]]*Octane[[#This Row],[quart_Y]] - Octane[[#This Row],[quart_Z]]*Octane[[#This Row],[quart_X]])))))</f>
        <v>0.55021721748688801</v>
      </c>
      <c r="V20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-165.97872209574302</v>
      </c>
      <c r="W20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89.998921717965871</v>
      </c>
      <c r="X203" s="1">
        <f>IF(Octane[[#This Row],[Yaw]]&gt;V202,(360-ABS(Octane[[#This Row],[Yaw]])-ABS(V202)),ABS(Octane[[#This Row],[Yaw]]-V202))</f>
        <v>0.94686922520705252</v>
      </c>
      <c r="Y203" s="1">
        <f>Octane[[#This Row],[Degree change]]+Y202</f>
        <v>135.12972717481389</v>
      </c>
      <c r="Z203" s="1">
        <f>SQRT(Octane[[#This Row],[vel_X]]*Octane[[#This Row],[vel_X]]+Octane[[#This Row],[vel_Y]]*Octane[[#This Row],[vel_Y]]+Octane[[#This Row],[vel_Z]]*Octane[[#This Row],[vel_Z]])</f>
        <v>2299.9913599328866</v>
      </c>
    </row>
    <row r="204" spans="1:26">
      <c r="A204">
        <v>203</v>
      </c>
      <c r="B204" s="1">
        <v>-1880.1400149999999</v>
      </c>
      <c r="C204" s="1">
        <v>1836.0299070000001</v>
      </c>
      <c r="D204" s="1">
        <v>17.010000000000002</v>
      </c>
      <c r="E204" s="1">
        <v>-656.45001200000002</v>
      </c>
      <c r="F204" s="1">
        <v>-2204.3100589999999</v>
      </c>
      <c r="G204" s="1">
        <v>8.11</v>
      </c>
      <c r="H204" s="1">
        <v>0</v>
      </c>
      <c r="I204" s="1">
        <v>0</v>
      </c>
      <c r="J204" s="1">
        <v>1.9824999999999999</v>
      </c>
      <c r="K204" s="1">
        <v>-3.7629999999999999E-3</v>
      </c>
      <c r="L204" s="1">
        <v>-2.9810000000000001E-3</v>
      </c>
      <c r="M204" s="1">
        <v>0.78300400000000003</v>
      </c>
      <c r="N204" s="1">
        <v>-0.62199800000000005</v>
      </c>
      <c r="O204">
        <v>1</v>
      </c>
      <c r="P204">
        <v>0</v>
      </c>
      <c r="Q204">
        <v>1</v>
      </c>
      <c r="R204">
        <v>1</v>
      </c>
      <c r="S204">
        <v>1</v>
      </c>
      <c r="T204" s="1">
        <f>SQRT(POWER(Octane[[#This Row],[angvel_X]],2) + POWER(Octane[[#This Row],[angvel_Y]],2) + POWER(Octane[[#This Row],[angvel_Z]],2))</f>
        <v>1.9824999999999999</v>
      </c>
      <c r="U204" s="1">
        <f>DEGREES(ASIN(MAX(-1,MIN(1,2 * (Octane[[#This Row],[quart_W]]*Octane[[#This Row],[quart_Y]] - Octane[[#This Row],[quart_Z]]*Octane[[#This Row],[quart_X]])))))</f>
        <v>0.55011899263725039</v>
      </c>
      <c r="V20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-166.92544301454629</v>
      </c>
      <c r="W20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89.999261589524281</v>
      </c>
      <c r="X204" s="1">
        <f>IF(Octane[[#This Row],[Yaw]]&gt;V203,(360-ABS(Octane[[#This Row],[Yaw]])-ABS(V203)),ABS(Octane[[#This Row],[Yaw]]-V203))</f>
        <v>0.94672091880326548</v>
      </c>
      <c r="Y204" s="1">
        <f>Octane[[#This Row],[Degree change]]+Y203</f>
        <v>136.07644809361716</v>
      </c>
      <c r="Z204" s="1">
        <f>SQRT(Octane[[#This Row],[vel_X]]*Octane[[#This Row],[vel_X]]+Octane[[#This Row],[vel_Y]]*Octane[[#This Row],[vel_Y]]+Octane[[#This Row],[vel_Z]]*Octane[[#This Row],[vel_Z]])</f>
        <v>2299.9946144639953</v>
      </c>
    </row>
    <row r="205" spans="1:26">
      <c r="A205">
        <v>204</v>
      </c>
      <c r="B205" s="1">
        <v>-1885.630005</v>
      </c>
      <c r="C205" s="1">
        <v>1817.589966</v>
      </c>
      <c r="D205" s="1">
        <v>17.010000000000002</v>
      </c>
      <c r="E205" s="1">
        <v>-619.94000200000005</v>
      </c>
      <c r="F205" s="1">
        <v>-2214.8498540000001</v>
      </c>
      <c r="G205" s="1">
        <v>8.11</v>
      </c>
      <c r="H205" s="1">
        <v>0</v>
      </c>
      <c r="I205" s="1">
        <v>0</v>
      </c>
      <c r="J205" s="1">
        <v>1.9824999999999999</v>
      </c>
      <c r="K205" s="1">
        <v>-3.7360000000000002E-3</v>
      </c>
      <c r="L205" s="1">
        <v>-3.0130000000000001E-3</v>
      </c>
      <c r="M205" s="1">
        <v>0.77783899999999995</v>
      </c>
      <c r="N205" s="1">
        <v>-0.62844500000000003</v>
      </c>
      <c r="O205">
        <v>1</v>
      </c>
      <c r="P205">
        <v>0</v>
      </c>
      <c r="Q205">
        <v>1</v>
      </c>
      <c r="R205">
        <v>1</v>
      </c>
      <c r="S205">
        <v>1</v>
      </c>
      <c r="T205" s="1">
        <f>SQRT(POWER(Octane[[#This Row],[angvel_X]],2) + POWER(Octane[[#This Row],[angvel_Y]],2) + POWER(Octane[[#This Row],[angvel_Z]],2))</f>
        <v>1.9824999999999999</v>
      </c>
      <c r="U205" s="1">
        <f>DEGREES(ASIN(MAX(-1,MIN(1,2 * (Octane[[#This Row],[quart_W]]*Octane[[#This Row],[quart_Y]] - Octane[[#This Row],[quart_Z]]*Octane[[#This Row],[quart_X]])))))</f>
        <v>0.54999192754655601</v>
      </c>
      <c r="V20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-167.87208390918394</v>
      </c>
      <c r="W20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89.999513924559224</v>
      </c>
      <c r="X205" s="1">
        <f>IF(Octane[[#This Row],[Yaw]]&gt;V204,(360-ABS(Octane[[#This Row],[Yaw]])-ABS(V204)),ABS(Octane[[#This Row],[Yaw]]-V204))</f>
        <v>0.94664089463765322</v>
      </c>
      <c r="Y205" s="1">
        <f>Octane[[#This Row],[Degree change]]+Y204</f>
        <v>137.02308898825481</v>
      </c>
      <c r="Z205" s="1">
        <f>SQRT(Octane[[#This Row],[vel_X]]*Octane[[#This Row],[vel_X]]+Octane[[#This Row],[vel_Y]]*Octane[[#This Row],[vel_Y]]+Octane[[#This Row],[vel_Z]]*Octane[[#This Row],[vel_Z]])</f>
        <v>2299.9894030068012</v>
      </c>
    </row>
    <row r="206" spans="1:26">
      <c r="A206">
        <v>205</v>
      </c>
      <c r="B206" s="1">
        <v>-1890.809937</v>
      </c>
      <c r="C206" s="1">
        <v>1799.0699460000001</v>
      </c>
      <c r="D206" s="1">
        <v>17.010000000000002</v>
      </c>
      <c r="E206" s="1">
        <v>-583.26995799999997</v>
      </c>
      <c r="F206" s="1">
        <v>-2224.790039</v>
      </c>
      <c r="G206" s="1">
        <v>8.11</v>
      </c>
      <c r="H206" s="1">
        <v>0</v>
      </c>
      <c r="I206" s="1">
        <v>0</v>
      </c>
      <c r="J206" s="1">
        <v>1.9824999999999999</v>
      </c>
      <c r="K206" s="1">
        <v>-3.7090000000000001E-3</v>
      </c>
      <c r="L206" s="1">
        <v>-3.045E-3</v>
      </c>
      <c r="M206" s="1">
        <v>0.77262200000000003</v>
      </c>
      <c r="N206" s="1">
        <v>-0.634849</v>
      </c>
      <c r="O206">
        <v>1</v>
      </c>
      <c r="P206">
        <v>0</v>
      </c>
      <c r="Q206">
        <v>1</v>
      </c>
      <c r="R206">
        <v>1</v>
      </c>
      <c r="S206">
        <v>1</v>
      </c>
      <c r="T206" s="1">
        <f>SQRT(POWER(Octane[[#This Row],[angvel_X]],2) + POWER(Octane[[#This Row],[angvel_Y]],2) + POWER(Octane[[#This Row],[angvel_Z]],2))</f>
        <v>1.9824999999999999</v>
      </c>
      <c r="U206" s="1">
        <f>DEGREES(ASIN(MAX(-1,MIN(1,2 * (Octane[[#This Row],[quart_W]]*Octane[[#This Row],[quart_Y]] - Octane[[#This Row],[quart_Z]]*Octane[[#This Row],[quart_X]])))))</f>
        <v>0.54990700143435889</v>
      </c>
      <c r="V20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-168.81855018847378</v>
      </c>
      <c r="W20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89.999768405407551</v>
      </c>
      <c r="X206" s="1">
        <f>IF(Octane[[#This Row],[Yaw]]&gt;V205,(360-ABS(Octane[[#This Row],[Yaw]])-ABS(V205)),ABS(Octane[[#This Row],[Yaw]]-V205))</f>
        <v>0.94646627928983662</v>
      </c>
      <c r="Y206" s="1">
        <f>Octane[[#This Row],[Degree change]]+Y205</f>
        <v>137.96955526754465</v>
      </c>
      <c r="Z206" s="1">
        <f>SQRT(Octane[[#This Row],[vel_X]]*Octane[[#This Row],[vel_X]]+Octane[[#This Row],[vel_Y]]*Octane[[#This Row],[vel_Y]]+Octane[[#This Row],[vel_Z]]*Octane[[#This Row],[vel_Z]])</f>
        <v>2299.9913768618662</v>
      </c>
    </row>
    <row r="207" spans="1:26">
      <c r="A207">
        <v>206</v>
      </c>
      <c r="B207" s="1">
        <v>-1895.679932</v>
      </c>
      <c r="C207" s="1">
        <v>1780.459961</v>
      </c>
      <c r="D207" s="1">
        <v>17.010000000000002</v>
      </c>
      <c r="E207" s="1">
        <v>-546.44000200000005</v>
      </c>
      <c r="F207" s="1">
        <v>-2234.1198730000001</v>
      </c>
      <c r="G207" s="1">
        <v>8.11</v>
      </c>
      <c r="H207" s="1">
        <v>0</v>
      </c>
      <c r="I207" s="1">
        <v>0</v>
      </c>
      <c r="J207" s="1">
        <v>1.9824999999999999</v>
      </c>
      <c r="K207" s="1">
        <v>-3.6819999999999999E-3</v>
      </c>
      <c r="L207" s="1">
        <v>-3.078E-3</v>
      </c>
      <c r="M207" s="1">
        <v>0.76735100000000001</v>
      </c>
      <c r="N207" s="1">
        <v>-0.64120900000000003</v>
      </c>
      <c r="O207">
        <v>1</v>
      </c>
      <c r="P207">
        <v>0</v>
      </c>
      <c r="Q207">
        <v>1</v>
      </c>
      <c r="R207">
        <v>1</v>
      </c>
      <c r="S207">
        <v>1</v>
      </c>
      <c r="T207" s="1">
        <f>SQRT(POWER(Octane[[#This Row],[angvel_X]],2) + POWER(Octane[[#This Row],[angvel_Y]],2) + POWER(Octane[[#This Row],[angvel_Z]],2))</f>
        <v>1.9824999999999999</v>
      </c>
      <c r="U207" s="1">
        <f>DEGREES(ASIN(MAX(-1,MIN(1,2 * (Octane[[#This Row],[quart_W]]*Octane[[#This Row],[quart_Y]] - Octane[[#This Row],[quart_Z]]*Octane[[#This Row],[quart_X]])))))</f>
        <v>0.54993650794263604</v>
      </c>
      <c r="V20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-169.76520850075971</v>
      </c>
      <c r="W20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90.000111713581191</v>
      </c>
      <c r="X207" s="1">
        <f>IF(Octane[[#This Row],[Yaw]]&gt;V206,(360-ABS(Octane[[#This Row],[Yaw]])-ABS(V206)),ABS(Octane[[#This Row],[Yaw]]-V206))</f>
        <v>0.94665831228593333</v>
      </c>
      <c r="Y207" s="1">
        <f>Octane[[#This Row],[Degree change]]+Y206</f>
        <v>138.91621357983058</v>
      </c>
      <c r="Z207" s="1">
        <f>SQRT(Octane[[#This Row],[vel_X]]*Octane[[#This Row],[vel_X]]+Octane[[#This Row],[vel_Y]]*Octane[[#This Row],[vel_Y]]+Octane[[#This Row],[vel_Z]]*Octane[[#This Row],[vel_Z]])</f>
        <v>2299.9900118955511</v>
      </c>
    </row>
    <row r="208" spans="1:26">
      <c r="A208">
        <v>207</v>
      </c>
      <c r="B208" s="1">
        <v>-1900.25</v>
      </c>
      <c r="C208" s="1">
        <v>1761.7700199999999</v>
      </c>
      <c r="D208" s="1">
        <v>17.010000000000002</v>
      </c>
      <c r="E208" s="1">
        <v>-509.459991</v>
      </c>
      <c r="F208" s="1">
        <v>-2242.8498540000001</v>
      </c>
      <c r="G208" s="1">
        <v>8.11</v>
      </c>
      <c r="H208" s="1">
        <v>0</v>
      </c>
      <c r="I208" s="1">
        <v>0</v>
      </c>
      <c r="J208" s="1">
        <v>1.9824999999999999</v>
      </c>
      <c r="K208" s="1">
        <v>-3.6549999999999998E-3</v>
      </c>
      <c r="L208" s="1">
        <v>-3.1099999999999999E-3</v>
      </c>
      <c r="M208" s="1">
        <v>0.76202800000000004</v>
      </c>
      <c r="N208" s="1">
        <v>-0.64752600000000005</v>
      </c>
      <c r="O208">
        <v>1</v>
      </c>
      <c r="P208">
        <v>0</v>
      </c>
      <c r="Q208">
        <v>1</v>
      </c>
      <c r="R208">
        <v>1</v>
      </c>
      <c r="S208">
        <v>1</v>
      </c>
      <c r="T208" s="1">
        <f>SQRT(POWER(Octane[[#This Row],[angvel_X]],2) + POWER(Octane[[#This Row],[angvel_Y]],2) + POWER(Octane[[#This Row],[angvel_Z]],2))</f>
        <v>1.9824999999999999</v>
      </c>
      <c r="U208" s="1">
        <f>DEGREES(ASIN(MAX(-1,MIN(1,2 * (Octane[[#This Row],[quart_W]]*Octane[[#This Row],[quart_Y]] - Octane[[#This Row],[quart_Z]]*Octane[[#This Row],[quart_X]])))))</f>
        <v>0.54993542110622795</v>
      </c>
      <c r="V20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-170.71182213616382</v>
      </c>
      <c r="W20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90.000366658311776</v>
      </c>
      <c r="X208" s="1">
        <f>IF(Octane[[#This Row],[Yaw]]&gt;V207,(360-ABS(Octane[[#This Row],[Yaw]])-ABS(V207)),ABS(Octane[[#This Row],[Yaw]]-V207))</f>
        <v>0.94661363540410548</v>
      </c>
      <c r="Y208" s="1">
        <f>Octane[[#This Row],[Degree change]]+Y207</f>
        <v>139.86282721523469</v>
      </c>
      <c r="Z208" s="1">
        <f>SQRT(Octane[[#This Row],[vel_X]]*Octane[[#This Row],[vel_X]]+Octane[[#This Row],[vel_Y]]*Octane[[#This Row],[vel_Y]]+Octane[[#This Row],[vel_Z]]*Octane[[#This Row],[vel_Z]])</f>
        <v>2299.9979830681464</v>
      </c>
    </row>
    <row r="209" spans="1:26">
      <c r="A209">
        <v>208</v>
      </c>
      <c r="B209" s="1">
        <v>-1904.51001</v>
      </c>
      <c r="C209" s="1">
        <v>1743.01001</v>
      </c>
      <c r="D209" s="1">
        <v>17.010000000000002</v>
      </c>
      <c r="E209" s="1">
        <v>-472.33999599999999</v>
      </c>
      <c r="F209" s="1">
        <v>-2250.959961</v>
      </c>
      <c r="G209" s="1">
        <v>8.11</v>
      </c>
      <c r="H209" s="1">
        <v>0</v>
      </c>
      <c r="I209" s="1">
        <v>0</v>
      </c>
      <c r="J209" s="1">
        <v>1.9824999999999999</v>
      </c>
      <c r="K209" s="1">
        <v>-3.6280000000000001E-3</v>
      </c>
      <c r="L209" s="1">
        <v>-3.1419999999999998E-3</v>
      </c>
      <c r="M209" s="1">
        <v>0.75665199999999999</v>
      </c>
      <c r="N209" s="1">
        <v>-0.65380099999999997</v>
      </c>
      <c r="O209">
        <v>1</v>
      </c>
      <c r="P209">
        <v>0</v>
      </c>
      <c r="Q209">
        <v>1</v>
      </c>
      <c r="R209">
        <v>1</v>
      </c>
      <c r="S209">
        <v>1</v>
      </c>
      <c r="T209" s="1">
        <f>SQRT(POWER(Octane[[#This Row],[angvel_X]],2) + POWER(Octane[[#This Row],[angvel_Y]],2) + POWER(Octane[[#This Row],[angvel_Z]],2))</f>
        <v>1.9824999999999999</v>
      </c>
      <c r="U209" s="1">
        <f>DEGREES(ASIN(MAX(-1,MIN(1,2 * (Octane[[#This Row],[quart_W]]*Octane[[#This Row],[quart_Y]] - Octane[[#This Row],[quart_Z]]*Octane[[#This Row],[quart_X]])))))</f>
        <v>0.54997644654503974</v>
      </c>
      <c r="V20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-171.65862355449983</v>
      </c>
      <c r="W20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90.00062003261155</v>
      </c>
      <c r="X209" s="1">
        <f>IF(Octane[[#This Row],[Yaw]]&gt;V208,(360-ABS(Octane[[#This Row],[Yaw]])-ABS(V208)),ABS(Octane[[#This Row],[Yaw]]-V208))</f>
        <v>0.94680141833600828</v>
      </c>
      <c r="Y209" s="1">
        <f>Octane[[#This Row],[Degree change]]+Y208</f>
        <v>140.8096286335707</v>
      </c>
      <c r="Z209" s="1">
        <f>SQRT(Octane[[#This Row],[vel_X]]*Octane[[#This Row],[vel_X]]+Octane[[#This Row],[vel_Y]]*Octane[[#This Row],[vel_Y]]+Octane[[#This Row],[vel_Z]]*Octane[[#This Row],[vel_Z]])</f>
        <v>2299.9981717267519</v>
      </c>
    </row>
    <row r="210" spans="1:26">
      <c r="A210">
        <v>209</v>
      </c>
      <c r="B210" s="1">
        <v>-1908.459961</v>
      </c>
      <c r="C210" s="1">
        <v>1724.179932</v>
      </c>
      <c r="D210" s="1">
        <v>17.010000000000002</v>
      </c>
      <c r="E210" s="1">
        <v>-435.08999599999999</v>
      </c>
      <c r="F210" s="1">
        <v>-2258.4499510000001</v>
      </c>
      <c r="G210" s="1">
        <v>8.11</v>
      </c>
      <c r="H210" s="1">
        <v>0</v>
      </c>
      <c r="I210" s="1">
        <v>0</v>
      </c>
      <c r="J210" s="1">
        <v>1.9824999999999999</v>
      </c>
      <c r="K210" s="1">
        <v>-3.601E-3</v>
      </c>
      <c r="L210" s="1">
        <v>-3.1749999999999999E-3</v>
      </c>
      <c r="M210" s="1">
        <v>0.75122699999999998</v>
      </c>
      <c r="N210" s="1">
        <v>-0.660026</v>
      </c>
      <c r="O210">
        <v>1</v>
      </c>
      <c r="P210">
        <v>0</v>
      </c>
      <c r="Q210">
        <v>1</v>
      </c>
      <c r="R210">
        <v>1</v>
      </c>
      <c r="S210">
        <v>1</v>
      </c>
      <c r="T210" s="1">
        <f>SQRT(POWER(Octane[[#This Row],[angvel_X]],2) + POWER(Octane[[#This Row],[angvel_Y]],2) + POWER(Octane[[#This Row],[angvel_Z]],2))</f>
        <v>1.9824999999999999</v>
      </c>
      <c r="U210" s="1">
        <f>DEGREES(ASIN(MAX(-1,MIN(1,2 * (Octane[[#This Row],[quart_W]]*Octane[[#This Row],[quart_Y]] - Octane[[#This Row],[quart_Z]]*Octane[[#This Row],[quart_X]])))))</f>
        <v>0.55013399187401457</v>
      </c>
      <c r="V21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-172.60493414906205</v>
      </c>
      <c r="W21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90.000961708038375</v>
      </c>
      <c r="X210" s="1">
        <f>IF(Octane[[#This Row],[Yaw]]&gt;V209,(360-ABS(Octane[[#This Row],[Yaw]])-ABS(V209)),ABS(Octane[[#This Row],[Yaw]]-V209))</f>
        <v>0.94631059456222033</v>
      </c>
      <c r="Y210" s="1">
        <f>Octane[[#This Row],[Degree change]]+Y209</f>
        <v>141.75593922813292</v>
      </c>
      <c r="Z210" s="1">
        <f>SQRT(Octane[[#This Row],[vel_X]]*Octane[[#This Row],[vel_X]]+Octane[[#This Row],[vel_Y]]*Octane[[#This Row],[vel_Y]]+Octane[[#This Row],[vel_Z]]*Octane[[#This Row],[vel_Z]])</f>
        <v>2299.9924473552478</v>
      </c>
    </row>
    <row r="211" spans="1:26">
      <c r="A211">
        <v>210</v>
      </c>
      <c r="B211" s="1">
        <v>-1912.089966</v>
      </c>
      <c r="C211" s="1">
        <v>1705.2899170000001</v>
      </c>
      <c r="D211" s="1">
        <v>17.010000000000002</v>
      </c>
      <c r="E211" s="1">
        <v>-397.72000100000002</v>
      </c>
      <c r="F211" s="1">
        <v>-2265.3298340000001</v>
      </c>
      <c r="G211" s="1">
        <v>8.11</v>
      </c>
      <c r="H211" s="1">
        <v>0</v>
      </c>
      <c r="I211" s="1">
        <v>0</v>
      </c>
      <c r="J211" s="1">
        <v>1.9824999999999999</v>
      </c>
      <c r="K211" s="1">
        <v>-3.5739999999999999E-3</v>
      </c>
      <c r="L211" s="1">
        <v>-3.202E-3</v>
      </c>
      <c r="M211" s="1">
        <v>0.74575000000000002</v>
      </c>
      <c r="N211" s="1">
        <v>-0.66620900000000005</v>
      </c>
      <c r="O211">
        <v>1</v>
      </c>
      <c r="P211">
        <v>0</v>
      </c>
      <c r="Q211">
        <v>1</v>
      </c>
      <c r="R211">
        <v>1</v>
      </c>
      <c r="S211">
        <v>1</v>
      </c>
      <c r="T211" s="1">
        <f>SQRT(POWER(Octane[[#This Row],[angvel_X]],2) + POWER(Octane[[#This Row],[angvel_Y]],2) + POWER(Octane[[#This Row],[angvel_Z]],2))</f>
        <v>1.9824999999999999</v>
      </c>
      <c r="U211" s="1">
        <f>DEGREES(ASIN(MAX(-1,MIN(1,2 * (Octane[[#This Row],[quart_W]]*Octane[[#This Row],[quart_Y]] - Octane[[#This Row],[quart_Z]]*Octane[[#This Row],[quart_X]])))))</f>
        <v>0.54987737987100371</v>
      </c>
      <c r="V21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-173.55140564851908</v>
      </c>
      <c r="W21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90.000786195493077</v>
      </c>
      <c r="X211" s="1">
        <f>IF(Octane[[#This Row],[Yaw]]&gt;V210,(360-ABS(Octane[[#This Row],[Yaw]])-ABS(V210)),ABS(Octane[[#This Row],[Yaw]]-V210))</f>
        <v>0.94647149945703291</v>
      </c>
      <c r="Y211" s="1">
        <f>Octane[[#This Row],[Degree change]]+Y210</f>
        <v>142.70241072758995</v>
      </c>
      <c r="Z211" s="1">
        <f>SQRT(Octane[[#This Row],[vel_X]]*Octane[[#This Row],[vel_X]]+Octane[[#This Row],[vel_Y]]*Octane[[#This Row],[vel_Y]]+Octane[[#This Row],[vel_Z]]*Octane[[#This Row],[vel_Z]])</f>
        <v>2299.9926582721755</v>
      </c>
    </row>
    <row r="212" spans="1:26">
      <c r="A212">
        <v>211</v>
      </c>
      <c r="B212" s="1">
        <v>-1915.4099120000001</v>
      </c>
      <c r="C212" s="1">
        <v>1686.339966</v>
      </c>
      <c r="D212" s="1">
        <v>17.010000000000002</v>
      </c>
      <c r="E212" s="1">
        <v>-360.23998999999998</v>
      </c>
      <c r="F212" s="1">
        <v>-2271.5898440000001</v>
      </c>
      <c r="G212" s="1">
        <v>8.11</v>
      </c>
      <c r="H212" s="1">
        <v>0</v>
      </c>
      <c r="I212" s="1">
        <v>0</v>
      </c>
      <c r="J212" s="1">
        <v>1.9824999999999999</v>
      </c>
      <c r="K212" s="1">
        <v>-3.5469999999999998E-3</v>
      </c>
      <c r="L212" s="1">
        <v>-3.2290000000000001E-3</v>
      </c>
      <c r="M212" s="1">
        <v>0.74021999999999999</v>
      </c>
      <c r="N212" s="1">
        <v>-0.67234799999999995</v>
      </c>
      <c r="O212">
        <v>1</v>
      </c>
      <c r="P212">
        <v>0</v>
      </c>
      <c r="Q212">
        <v>1</v>
      </c>
      <c r="R212">
        <v>1</v>
      </c>
      <c r="S212">
        <v>1</v>
      </c>
      <c r="T212" s="1">
        <f>SQRT(POWER(Octane[[#This Row],[angvel_X]],2) + POWER(Octane[[#This Row],[angvel_Y]],2) + POWER(Octane[[#This Row],[angvel_Z]],2))</f>
        <v>1.9824999999999999</v>
      </c>
      <c r="U212" s="1">
        <f>DEGREES(ASIN(MAX(-1,MIN(1,2 * (Octane[[#This Row],[quart_W]]*Octane[[#This Row],[quart_Y]] - Octane[[#This Row],[quart_Z]]*Octane[[#This Row],[quart_X]])))))</f>
        <v>0.5496550979957463</v>
      </c>
      <c r="V21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-174.49822956898561</v>
      </c>
      <c r="W21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90.000613324996408</v>
      </c>
      <c r="X212" s="1">
        <f>IF(Octane[[#This Row],[Yaw]]&gt;V211,(360-ABS(Octane[[#This Row],[Yaw]])-ABS(V211)),ABS(Octane[[#This Row],[Yaw]]-V211))</f>
        <v>0.94682392046652808</v>
      </c>
      <c r="Y212" s="1">
        <f>Octane[[#This Row],[Degree change]]+Y211</f>
        <v>143.64923464805648</v>
      </c>
      <c r="Z212" s="1">
        <f>SQRT(Octane[[#This Row],[vel_X]]*Octane[[#This Row],[vel_X]]+Octane[[#This Row],[vel_Y]]*Octane[[#This Row],[vel_Y]]+Octane[[#This Row],[vel_Z]]*Octane[[#This Row],[vel_Z]])</f>
        <v>2299.9910960391007</v>
      </c>
    </row>
    <row r="213" spans="1:26">
      <c r="A213">
        <v>212</v>
      </c>
      <c r="B213" s="1">
        <v>-1918.419922</v>
      </c>
      <c r="C213" s="1">
        <v>1667.339966</v>
      </c>
      <c r="D213" s="1">
        <v>17.010000000000002</v>
      </c>
      <c r="E213" s="1">
        <v>-322.66000400000001</v>
      </c>
      <c r="F213" s="1">
        <v>-2277.2299800000001</v>
      </c>
      <c r="G213" s="1">
        <v>8.11</v>
      </c>
      <c r="H213" s="1">
        <v>0</v>
      </c>
      <c r="I213" s="1">
        <v>0</v>
      </c>
      <c r="J213" s="1">
        <v>1.9824999999999999</v>
      </c>
      <c r="K213" s="1">
        <v>-3.5200000000000001E-3</v>
      </c>
      <c r="L213" s="1">
        <v>-3.2560000000000002E-3</v>
      </c>
      <c r="M213" s="1">
        <v>0.73464099999999999</v>
      </c>
      <c r="N213" s="1">
        <v>-0.67843900000000001</v>
      </c>
      <c r="O213">
        <v>1</v>
      </c>
      <c r="P213">
        <v>0</v>
      </c>
      <c r="Q213">
        <v>1</v>
      </c>
      <c r="R213">
        <v>1</v>
      </c>
      <c r="S213">
        <v>1</v>
      </c>
      <c r="T213" s="1">
        <f>SQRT(POWER(Octane[[#This Row],[angvel_X]],2) + POWER(Octane[[#This Row],[angvel_Y]],2) + POWER(Octane[[#This Row],[angvel_Z]],2))</f>
        <v>1.9824999999999999</v>
      </c>
      <c r="U213" s="1">
        <f>DEGREES(ASIN(MAX(-1,MIN(1,2 * (Octane[[#This Row],[quart_W]]*Octane[[#This Row],[quart_Y]] - Octane[[#This Row],[quart_Z]]*Octane[[#This Row],[quart_X]])))))</f>
        <v>0.54946735079974363</v>
      </c>
      <c r="V21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-175.44479119422203</v>
      </c>
      <c r="W21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90.000445302190229</v>
      </c>
      <c r="X213" s="1">
        <f>IF(Octane[[#This Row],[Yaw]]&gt;V212,(360-ABS(Octane[[#This Row],[Yaw]])-ABS(V212)),ABS(Octane[[#This Row],[Yaw]]-V212))</f>
        <v>0.94656162523642706</v>
      </c>
      <c r="Y213" s="1">
        <f>Octane[[#This Row],[Degree change]]+Y212</f>
        <v>144.5957962732929</v>
      </c>
      <c r="Z213" s="1">
        <f>SQRT(Octane[[#This Row],[vel_X]]*Octane[[#This Row],[vel_X]]+Octane[[#This Row],[vel_Y]]*Octane[[#This Row],[vel_Y]]+Octane[[#This Row],[vel_Z]]*Octane[[#This Row],[vel_Z]])</f>
        <v>2299.9894852133739</v>
      </c>
    </row>
    <row r="214" spans="1:26">
      <c r="A214">
        <v>213</v>
      </c>
      <c r="B214" s="1">
        <v>-1921.1099850000001</v>
      </c>
      <c r="C214" s="1">
        <v>1648.2899170000001</v>
      </c>
      <c r="D214" s="1">
        <v>17.010000000000002</v>
      </c>
      <c r="E214" s="1">
        <v>-284.98998999999998</v>
      </c>
      <c r="F214" s="1">
        <v>-2282.25</v>
      </c>
      <c r="G214" s="1">
        <v>8.11</v>
      </c>
      <c r="H214" s="1">
        <v>0</v>
      </c>
      <c r="I214" s="1">
        <v>0</v>
      </c>
      <c r="J214" s="1">
        <v>1.9824999999999999</v>
      </c>
      <c r="K214" s="1">
        <v>-3.493E-3</v>
      </c>
      <c r="L214" s="1">
        <v>-3.2829999999999999E-3</v>
      </c>
      <c r="M214" s="1">
        <v>0.72901000000000005</v>
      </c>
      <c r="N214" s="1">
        <v>-0.68448600000000004</v>
      </c>
      <c r="O214">
        <v>1</v>
      </c>
      <c r="P214">
        <v>0</v>
      </c>
      <c r="Q214">
        <v>1</v>
      </c>
      <c r="R214">
        <v>1</v>
      </c>
      <c r="S214">
        <v>1</v>
      </c>
      <c r="T214" s="1">
        <f>SQRT(POWER(Octane[[#This Row],[angvel_X]],2) + POWER(Octane[[#This Row],[angvel_Y]],2) + POWER(Octane[[#This Row],[angvel_Z]],2))</f>
        <v>1.9824999999999999</v>
      </c>
      <c r="U214" s="1">
        <f>DEGREES(ASIN(MAX(-1,MIN(1,2 * (Octane[[#This Row],[quart_W]]*Octane[[#This Row],[quart_Y]] - Octane[[#This Row],[quart_Z]]*Octane[[#This Row],[quart_X]])))))</f>
        <v>0.54931445158745884</v>
      </c>
      <c r="V21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-176.39166915392681</v>
      </c>
      <c r="W21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90.000278496872909</v>
      </c>
      <c r="X214" s="1">
        <f>IF(Octane[[#This Row],[Yaw]]&gt;V213,(360-ABS(Octane[[#This Row],[Yaw]])-ABS(V213)),ABS(Octane[[#This Row],[Yaw]]-V213))</f>
        <v>0.9468779597047785</v>
      </c>
      <c r="Y214" s="1">
        <f>Octane[[#This Row],[Degree change]]+Y213</f>
        <v>145.54267423299768</v>
      </c>
      <c r="Z214" s="1">
        <f>SQRT(Octane[[#This Row],[vel_X]]*Octane[[#This Row],[vel_X]]+Octane[[#This Row],[vel_Y]]*Octane[[#This Row],[vel_Y]]+Octane[[#This Row],[vel_Z]]*Octane[[#This Row],[vel_Z]])</f>
        <v>2299.9891584527522</v>
      </c>
    </row>
    <row r="215" spans="1:26">
      <c r="A215">
        <v>214</v>
      </c>
      <c r="B215" s="1">
        <v>-1923.48999</v>
      </c>
      <c r="C215" s="1">
        <v>1629.1999510000001</v>
      </c>
      <c r="D215" s="1">
        <v>17.010000000000002</v>
      </c>
      <c r="E215" s="1">
        <v>-247.25</v>
      </c>
      <c r="F215" s="1">
        <v>-2286.6499020000001</v>
      </c>
      <c r="G215" s="1">
        <v>8.11</v>
      </c>
      <c r="H215" s="1">
        <v>0</v>
      </c>
      <c r="I215" s="1">
        <v>0</v>
      </c>
      <c r="J215" s="1">
        <v>1.9824999999999999</v>
      </c>
      <c r="K215" s="1">
        <v>-3.4659999999999999E-3</v>
      </c>
      <c r="L215" s="1">
        <v>-3.31E-3</v>
      </c>
      <c r="M215" s="1">
        <v>0.72333000000000003</v>
      </c>
      <c r="N215" s="1">
        <v>-0.69048500000000002</v>
      </c>
      <c r="O215">
        <v>1</v>
      </c>
      <c r="P215">
        <v>0</v>
      </c>
      <c r="Q215">
        <v>1</v>
      </c>
      <c r="R215">
        <v>1</v>
      </c>
      <c r="S215">
        <v>1</v>
      </c>
      <c r="T215" s="1">
        <f>SQRT(POWER(Octane[[#This Row],[angvel_X]],2) + POWER(Octane[[#This Row],[angvel_Y]],2) + POWER(Octane[[#This Row],[angvel_Z]],2))</f>
        <v>1.9824999999999999</v>
      </c>
      <c r="U215" s="1">
        <f>DEGREES(ASIN(MAX(-1,MIN(1,2 * (Octane[[#This Row],[quart_W]]*Octane[[#This Row],[quart_Y]] - Octane[[#This Row],[quart_Z]]*Octane[[#This Row],[quart_X]])))))</f>
        <v>0.54919614893078483</v>
      </c>
      <c r="V21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-177.33841697184775</v>
      </c>
      <c r="W21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90.000114744653331</v>
      </c>
      <c r="X215" s="1">
        <f>IF(Octane[[#This Row],[Yaw]]&gt;V214,(360-ABS(Octane[[#This Row],[Yaw]])-ABS(V214)),ABS(Octane[[#This Row],[Yaw]]-V214))</f>
        <v>0.94674781792093654</v>
      </c>
      <c r="Y215" s="1">
        <f>Octane[[#This Row],[Degree change]]+Y214</f>
        <v>146.48942205091862</v>
      </c>
      <c r="Z215" s="1">
        <f>SQRT(Octane[[#This Row],[vel_X]]*Octane[[#This Row],[vel_X]]+Octane[[#This Row],[vel_Y]]*Octane[[#This Row],[vel_Y]]+Octane[[#This Row],[vel_Z]]*Octane[[#This Row],[vel_Z]])</f>
        <v>2299.9926323613754</v>
      </c>
    </row>
    <row r="216" spans="1:26">
      <c r="A216">
        <v>215</v>
      </c>
      <c r="B216" s="1">
        <v>-1925.549927</v>
      </c>
      <c r="C216" s="1">
        <v>1610.079956</v>
      </c>
      <c r="D216" s="1">
        <v>17.010000000000002</v>
      </c>
      <c r="E216" s="1">
        <v>-209.44000199999999</v>
      </c>
      <c r="F216" s="1">
        <v>-2290.429932</v>
      </c>
      <c r="G216" s="1">
        <v>8.11</v>
      </c>
      <c r="H216" s="1">
        <v>0</v>
      </c>
      <c r="I216" s="1">
        <v>0</v>
      </c>
      <c r="J216" s="1">
        <v>1.9824999999999999</v>
      </c>
      <c r="K216" s="1">
        <v>-3.4390000000000002E-3</v>
      </c>
      <c r="L216" s="1">
        <v>-3.3370000000000001E-3</v>
      </c>
      <c r="M216" s="1">
        <v>0.71760299999999999</v>
      </c>
      <c r="N216" s="1">
        <v>-0.69643600000000006</v>
      </c>
      <c r="O216">
        <v>1</v>
      </c>
      <c r="P216">
        <v>0</v>
      </c>
      <c r="Q216">
        <v>1</v>
      </c>
      <c r="R216">
        <v>1</v>
      </c>
      <c r="S216">
        <v>1</v>
      </c>
      <c r="T216" s="1">
        <f>SQRT(POWER(Octane[[#This Row],[angvel_X]],2) + POWER(Octane[[#This Row],[angvel_Y]],2) + POWER(Octane[[#This Row],[angvel_Z]],2))</f>
        <v>1.9824999999999999</v>
      </c>
      <c r="U216" s="1">
        <f>DEGREES(ASIN(MAX(-1,MIN(1,2 * (Octane[[#This Row],[quart_W]]*Octane[[#This Row],[quart_Y]] - Octane[[#This Row],[quart_Z]]*Octane[[#This Row],[quart_X]])))))</f>
        <v>0.54911324030694997</v>
      </c>
      <c r="V21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-178.28477955727428</v>
      </c>
      <c r="W21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89.999953909960439</v>
      </c>
      <c r="X216" s="1">
        <f>IF(Octane[[#This Row],[Yaw]]&gt;V215,(360-ABS(Octane[[#This Row],[Yaw]])-ABS(V215)),ABS(Octane[[#This Row],[Yaw]]-V215))</f>
        <v>0.9463625854265274</v>
      </c>
      <c r="Y216" s="1">
        <f>Octane[[#This Row],[Degree change]]+Y215</f>
        <v>147.43578463634515</v>
      </c>
      <c r="Z216" s="1">
        <f>SQRT(Octane[[#This Row],[vel_X]]*Octane[[#This Row],[vel_X]]+Octane[[#This Row],[vel_Y]]*Octane[[#This Row],[vel_Y]]+Octane[[#This Row],[vel_Z]]*Octane[[#This Row],[vel_Z]])</f>
        <v>2300.0000347694095</v>
      </c>
    </row>
    <row r="217" spans="1:26">
      <c r="A217">
        <v>216</v>
      </c>
      <c r="B217" s="1">
        <v>-1927.299927</v>
      </c>
      <c r="C217" s="1">
        <v>1590.919922</v>
      </c>
      <c r="D217" s="1">
        <v>17.010000000000002</v>
      </c>
      <c r="E217" s="1">
        <v>-171.56999200000001</v>
      </c>
      <c r="F217" s="1">
        <v>-2293.570068</v>
      </c>
      <c r="G217" s="1">
        <v>8.11</v>
      </c>
      <c r="H217" s="1">
        <v>0</v>
      </c>
      <c r="I217" s="1">
        <v>0</v>
      </c>
      <c r="J217" s="1">
        <v>1.9824999999999999</v>
      </c>
      <c r="K217" s="1">
        <v>-3.4120000000000001E-3</v>
      </c>
      <c r="L217" s="1">
        <v>-3.3639999999999998E-3</v>
      </c>
      <c r="M217" s="1">
        <v>0.71182800000000002</v>
      </c>
      <c r="N217" s="1">
        <v>-0.70233800000000002</v>
      </c>
      <c r="O217">
        <v>1</v>
      </c>
      <c r="P217">
        <v>0</v>
      </c>
      <c r="Q217">
        <v>1</v>
      </c>
      <c r="R217">
        <v>1</v>
      </c>
      <c r="S217">
        <v>1</v>
      </c>
      <c r="T217" s="1">
        <f>SQRT(POWER(Octane[[#This Row],[angvel_X]],2) + POWER(Octane[[#This Row],[angvel_Y]],2) + POWER(Octane[[#This Row],[angvel_Z]],2))</f>
        <v>1.9824999999999999</v>
      </c>
      <c r="U217" s="1">
        <f>DEGREES(ASIN(MAX(-1,MIN(1,2 * (Octane[[#This Row],[quart_W]]*Octane[[#This Row],[quart_Y]] - Octane[[#This Row],[quart_Z]]*Octane[[#This Row],[quart_X]])))))</f>
        <v>0.54906493992408001</v>
      </c>
      <c r="V21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-179.23098489797823</v>
      </c>
      <c r="W21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89.999795116469386</v>
      </c>
      <c r="X217" s="1">
        <f>IF(Octane[[#This Row],[Yaw]]&gt;V216,(360-ABS(Octane[[#This Row],[Yaw]])-ABS(V216)),ABS(Octane[[#This Row],[Yaw]]-V216))</f>
        <v>0.94620534070395479</v>
      </c>
      <c r="Y217" s="1">
        <f>Octane[[#This Row],[Degree change]]+Y216</f>
        <v>148.3819899770491</v>
      </c>
      <c r="Z217" s="1">
        <f>SQRT(Octane[[#This Row],[vel_X]]*Octane[[#This Row],[vel_X]]+Octane[[#This Row],[vel_Y]]*Octane[[#This Row],[vel_Y]]+Octane[[#This Row],[vel_Z]]*Octane[[#This Row],[vel_Z]])</f>
        <v>2299.992541527125</v>
      </c>
    </row>
    <row r="218" spans="1:26">
      <c r="A218">
        <v>217</v>
      </c>
      <c r="B218" s="1">
        <v>-1928.7299800000001</v>
      </c>
      <c r="C218" s="1">
        <v>1571.73999</v>
      </c>
      <c r="D218" s="1">
        <v>17.010000000000002</v>
      </c>
      <c r="E218" s="1">
        <v>-133.66000399999999</v>
      </c>
      <c r="F218" s="1">
        <v>-2296.0898440000001</v>
      </c>
      <c r="G218" s="1">
        <v>8.11</v>
      </c>
      <c r="H218" s="1">
        <v>0</v>
      </c>
      <c r="I218" s="1">
        <v>0</v>
      </c>
      <c r="J218" s="1">
        <v>1.9824999999999999</v>
      </c>
      <c r="K218" s="1">
        <v>3.385E-3</v>
      </c>
      <c r="L218" s="1">
        <v>3.3909999999999999E-3</v>
      </c>
      <c r="M218" s="1">
        <v>-0.70600099999999999</v>
      </c>
      <c r="N218" s="1">
        <v>0.70819500000000002</v>
      </c>
      <c r="O218">
        <v>1</v>
      </c>
      <c r="P218">
        <v>0</v>
      </c>
      <c r="Q218">
        <v>1</v>
      </c>
      <c r="R218">
        <v>1</v>
      </c>
      <c r="S218">
        <v>1</v>
      </c>
      <c r="T218" s="1">
        <f>SQRT(POWER(Octane[[#This Row],[angvel_X]],2) + POWER(Octane[[#This Row],[angvel_Y]],2) + POWER(Octane[[#This Row],[angvel_Z]],2))</f>
        <v>1.9824999999999999</v>
      </c>
      <c r="U218" s="1">
        <f>DEGREES(ASIN(MAX(-1,MIN(1,2 * (Octane[[#This Row],[quart_W]]*Octane[[#This Row],[quart_Y]] - Octane[[#This Row],[quart_Z]]*Octane[[#This Row],[quart_X]])))))</f>
        <v>0.54905124124931759</v>
      </c>
      <c r="V21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179.82224992682566</v>
      </c>
      <c r="W21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89.999634357757913</v>
      </c>
      <c r="X218" s="1">
        <f>IF(Octane[[#This Row],[Yaw]]&gt;V217,(360-ABS(Octane[[#This Row],[Yaw]])-ABS(V217)),ABS(Octane[[#This Row],[Yaw]]-V217))</f>
        <v>0.9467651751961057</v>
      </c>
      <c r="Y218" s="1">
        <f>Octane[[#This Row],[Degree change]]+Y217</f>
        <v>149.32875515224521</v>
      </c>
      <c r="Z218" s="1">
        <f>SQRT(Octane[[#This Row],[vel_X]]*Octane[[#This Row],[vel_X]]+Octane[[#This Row],[vel_Y]]*Octane[[#This Row],[vel_Y]]+Octane[[#This Row],[vel_Z]]*Octane[[#This Row],[vel_Z]])</f>
        <v>2299.991160958934</v>
      </c>
    </row>
    <row r="219" spans="1:26">
      <c r="A219">
        <v>218</v>
      </c>
      <c r="B219" s="1">
        <v>-1929.839966</v>
      </c>
      <c r="C219" s="1">
        <v>1552.5399170000001</v>
      </c>
      <c r="D219" s="1">
        <v>17.010000000000002</v>
      </c>
      <c r="E219" s="1">
        <v>-95.709998999999996</v>
      </c>
      <c r="F219" s="1">
        <v>-2297.98999</v>
      </c>
      <c r="G219" s="1">
        <v>8.11</v>
      </c>
      <c r="H219" s="1">
        <v>0</v>
      </c>
      <c r="I219" s="1">
        <v>0</v>
      </c>
      <c r="J219" s="1">
        <v>1.9824999999999999</v>
      </c>
      <c r="K219" s="1">
        <v>3.3579999999999999E-3</v>
      </c>
      <c r="L219" s="1">
        <v>3.418E-3</v>
      </c>
      <c r="M219" s="1">
        <v>-0.70012600000000003</v>
      </c>
      <c r="N219" s="1">
        <v>0.71400300000000005</v>
      </c>
      <c r="O219">
        <v>1</v>
      </c>
      <c r="P219">
        <v>0</v>
      </c>
      <c r="Q219">
        <v>1</v>
      </c>
      <c r="R219">
        <v>1</v>
      </c>
      <c r="S219">
        <v>1</v>
      </c>
      <c r="T219" s="1">
        <f>SQRT(POWER(Octane[[#This Row],[angvel_X]],2) + POWER(Octane[[#This Row],[angvel_Y]],2) + POWER(Octane[[#This Row],[angvel_Z]],2))</f>
        <v>1.9824999999999999</v>
      </c>
      <c r="U219" s="1">
        <f>DEGREES(ASIN(MAX(-1,MIN(1,2 * (Octane[[#This Row],[quart_W]]*Octane[[#This Row],[quart_Y]] - Octane[[#This Row],[quart_Z]]*Octane[[#This Row],[quart_X]])))))</f>
        <v>0.54907218175558525</v>
      </c>
      <c r="V21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178.8755147283369</v>
      </c>
      <c r="W21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89.999473839468237</v>
      </c>
      <c r="X219" s="1">
        <f>IF(Octane[[#This Row],[Yaw]]&gt;V218,(360-ABS(Octane[[#This Row],[Yaw]])-ABS(V218)),ABS(Octane[[#This Row],[Yaw]]-V218))</f>
        <v>0.94673519848876708</v>
      </c>
      <c r="Y219" s="1">
        <f>Octane[[#This Row],[Degree change]]+Y218</f>
        <v>150.27549035073397</v>
      </c>
      <c r="Z219" s="1">
        <f>SQRT(Octane[[#This Row],[vel_X]]*Octane[[#This Row],[vel_X]]+Octane[[#This Row],[vel_Y]]*Octane[[#This Row],[vel_Y]]+Octane[[#This Row],[vel_Z]]*Octane[[#This Row],[vel_Z]])</f>
        <v>2299.996558725421</v>
      </c>
    </row>
    <row r="220" spans="1:26">
      <c r="A220">
        <v>219</v>
      </c>
      <c r="B220" s="1">
        <v>-1930.6400149999999</v>
      </c>
      <c r="C220" s="1">
        <v>1533.3199460000001</v>
      </c>
      <c r="D220" s="1">
        <v>17.010000000000002</v>
      </c>
      <c r="E220" s="1">
        <v>-57.73</v>
      </c>
      <c r="F220" s="1">
        <v>-2299.26001</v>
      </c>
      <c r="G220" s="1">
        <v>8.11</v>
      </c>
      <c r="H220" s="1">
        <v>0</v>
      </c>
      <c r="I220" s="1">
        <v>0</v>
      </c>
      <c r="J220" s="1">
        <v>1.9824999999999999</v>
      </c>
      <c r="K220" s="1">
        <v>3.3310000000000002E-3</v>
      </c>
      <c r="L220" s="1">
        <v>3.4450000000000001E-3</v>
      </c>
      <c r="M220" s="1">
        <v>-0.69420199999999999</v>
      </c>
      <c r="N220" s="1">
        <v>0.71976399999999996</v>
      </c>
      <c r="O220">
        <v>1</v>
      </c>
      <c r="P220">
        <v>0</v>
      </c>
      <c r="Q220">
        <v>1</v>
      </c>
      <c r="R220">
        <v>1</v>
      </c>
      <c r="S220">
        <v>1</v>
      </c>
      <c r="T220" s="1">
        <f>SQRT(POWER(Octane[[#This Row],[angvel_X]],2) + POWER(Octane[[#This Row],[angvel_Y]],2) + POWER(Octane[[#This Row],[angvel_Z]],2))</f>
        <v>1.9824999999999999</v>
      </c>
      <c r="U220" s="1">
        <f>DEGREES(ASIN(MAX(-1,MIN(1,2 * (Octane[[#This Row],[quart_W]]*Octane[[#This Row],[quart_Y]] - Octane[[#This Row],[quart_Z]]*Octane[[#This Row],[quart_X]])))))</f>
        <v>0.54912816001099407</v>
      </c>
      <c r="V22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177.92858685831257</v>
      </c>
      <c r="W22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89.999311502980234</v>
      </c>
      <c r="X220" s="1">
        <f>IF(Octane[[#This Row],[Yaw]]&gt;V219,(360-ABS(Octane[[#This Row],[Yaw]])-ABS(V219)),ABS(Octane[[#This Row],[Yaw]]-V219))</f>
        <v>0.9469278700243251</v>
      </c>
      <c r="Y220" s="1">
        <f>Octane[[#This Row],[Degree change]]+Y219</f>
        <v>151.2224182207583</v>
      </c>
      <c r="Z220" s="1">
        <f>SQRT(Octane[[#This Row],[vel_X]]*Octane[[#This Row],[vel_X]]+Octane[[#This Row],[vel_Y]]*Octane[[#This Row],[vel_Y]]+Octane[[#This Row],[vel_Z]]*Octane[[#This Row],[vel_Z]])</f>
        <v>2299.9989388226245</v>
      </c>
    </row>
    <row r="221" spans="1:26">
      <c r="A221">
        <v>220</v>
      </c>
      <c r="B221" s="1">
        <v>-1931.119995</v>
      </c>
      <c r="C221" s="1">
        <v>1514.089966</v>
      </c>
      <c r="D221" s="1">
        <v>17.010000000000002</v>
      </c>
      <c r="E221" s="1">
        <v>-19.73</v>
      </c>
      <c r="F221" s="1">
        <v>-2299.8999020000001</v>
      </c>
      <c r="G221" s="1">
        <v>8.11</v>
      </c>
      <c r="H221" s="1">
        <v>0</v>
      </c>
      <c r="I221" s="1">
        <v>0</v>
      </c>
      <c r="J221" s="1">
        <v>1.9824999999999999</v>
      </c>
      <c r="K221" s="1">
        <v>3.3040000000000001E-3</v>
      </c>
      <c r="L221" s="1">
        <v>3.4719999999999998E-3</v>
      </c>
      <c r="M221" s="1">
        <v>-0.68823599999999996</v>
      </c>
      <c r="N221" s="1">
        <v>0.72547099999999998</v>
      </c>
      <c r="O221">
        <v>1</v>
      </c>
      <c r="P221">
        <v>0</v>
      </c>
      <c r="Q221">
        <v>1</v>
      </c>
      <c r="R221">
        <v>1</v>
      </c>
      <c r="S221">
        <v>1</v>
      </c>
      <c r="T221" s="1">
        <f>SQRT(POWER(Octane[[#This Row],[angvel_X]],2) + POWER(Octane[[#This Row],[angvel_Y]],2) + POWER(Octane[[#This Row],[angvel_Z]],2))</f>
        <v>1.9824999999999999</v>
      </c>
      <c r="U221" s="1">
        <f>DEGREES(ASIN(MAX(-1,MIN(1,2 * (Octane[[#This Row],[quart_W]]*Octane[[#This Row],[quart_Y]] - Octane[[#This Row],[quart_Z]]*Octane[[#This Row],[quart_X]])))))</f>
        <v>0.54921905981534924</v>
      </c>
      <c r="V22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176.98251371850048</v>
      </c>
      <c r="W22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89.999151892742674</v>
      </c>
      <c r="X221" s="1">
        <f>IF(Octane[[#This Row],[Yaw]]&gt;V220,(360-ABS(Octane[[#This Row],[Yaw]])-ABS(V220)),ABS(Octane[[#This Row],[Yaw]]-V220))</f>
        <v>0.94607313981208563</v>
      </c>
      <c r="Y221" s="1">
        <f>Octane[[#This Row],[Degree change]]+Y220</f>
        <v>152.16849136057039</v>
      </c>
      <c r="Z221" s="1">
        <f>SQRT(Octane[[#This Row],[vel_X]]*Octane[[#This Row],[vel_X]]+Octane[[#This Row],[vel_Y]]*Octane[[#This Row],[vel_Y]]+Octane[[#This Row],[vel_Z]]*Octane[[#This Row],[vel_Z]])</f>
        <v>2299.9988270039639</v>
      </c>
    </row>
    <row r="222" spans="1:26">
      <c r="A222">
        <v>221</v>
      </c>
      <c r="B222" s="1">
        <v>-1931.2799070000001</v>
      </c>
      <c r="C222" s="1">
        <v>1494.8599850000001</v>
      </c>
      <c r="D222" s="1">
        <v>17.010000000000002</v>
      </c>
      <c r="E222" s="1">
        <v>18.260000000000002</v>
      </c>
      <c r="F222" s="1">
        <v>-2299.9099120000001</v>
      </c>
      <c r="G222" s="1">
        <v>8.11</v>
      </c>
      <c r="H222" s="1">
        <v>0</v>
      </c>
      <c r="I222" s="1">
        <v>0</v>
      </c>
      <c r="J222" s="1">
        <v>1.9824999999999999</v>
      </c>
      <c r="K222" s="1">
        <v>3.277E-3</v>
      </c>
      <c r="L222" s="1">
        <v>3.4989999999999999E-3</v>
      </c>
      <c r="M222" s="1">
        <v>-0.68222000000000005</v>
      </c>
      <c r="N222" s="1">
        <v>0.73113099999999998</v>
      </c>
      <c r="O222">
        <v>1</v>
      </c>
      <c r="P222">
        <v>0</v>
      </c>
      <c r="Q222">
        <v>1</v>
      </c>
      <c r="R222">
        <v>1</v>
      </c>
      <c r="S222">
        <v>1</v>
      </c>
      <c r="T222" s="1">
        <f>SQRT(POWER(Octane[[#This Row],[angvel_X]],2) + POWER(Octane[[#This Row],[angvel_Y]],2) + POWER(Octane[[#This Row],[angvel_Z]],2))</f>
        <v>1.9824999999999999</v>
      </c>
      <c r="U222" s="1">
        <f>DEGREES(ASIN(MAX(-1,MIN(1,2 * (Octane[[#This Row],[quart_W]]*Octane[[#This Row],[quart_Y]] - Octane[[#This Row],[quart_Z]]*Octane[[#This Row],[quart_X]])))))</f>
        <v>0.54934457233179734</v>
      </c>
      <c r="V22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176.03595490385649</v>
      </c>
      <c r="W22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89.998988281117008</v>
      </c>
      <c r="X222" s="1">
        <f>IF(Octane[[#This Row],[Yaw]]&gt;V221,(360-ABS(Octane[[#This Row],[Yaw]])-ABS(V221)),ABS(Octane[[#This Row],[Yaw]]-V221))</f>
        <v>0.94655881464399272</v>
      </c>
      <c r="Y222" s="1">
        <f>Octane[[#This Row],[Degree change]]+Y221</f>
        <v>153.11505017521438</v>
      </c>
      <c r="Z222" s="1">
        <f>SQRT(Octane[[#This Row],[vel_X]]*Octane[[#This Row],[vel_X]]+Octane[[#This Row],[vel_Y]]*Octane[[#This Row],[vel_Y]]+Octane[[#This Row],[vel_Z]]*Octane[[#This Row],[vel_Z]])</f>
        <v>2299.9966963054203</v>
      </c>
    </row>
    <row r="223" spans="1:26">
      <c r="A223">
        <v>222</v>
      </c>
      <c r="B223" s="1">
        <v>-1931.119995</v>
      </c>
      <c r="C223" s="1">
        <v>1475.630005</v>
      </c>
      <c r="D223" s="1">
        <v>17.010000000000002</v>
      </c>
      <c r="E223" s="1">
        <v>56.239998</v>
      </c>
      <c r="F223" s="1">
        <v>-2299.290039</v>
      </c>
      <c r="G223" s="1">
        <v>8.11</v>
      </c>
      <c r="H223" s="1">
        <v>0</v>
      </c>
      <c r="I223" s="1">
        <v>0</v>
      </c>
      <c r="J223" s="1">
        <v>1.9824999999999999</v>
      </c>
      <c r="K223" s="1">
        <v>3.2499999999999999E-3</v>
      </c>
      <c r="L223" s="1">
        <v>3.5260000000000001E-3</v>
      </c>
      <c r="M223" s="1">
        <v>-0.67615700000000001</v>
      </c>
      <c r="N223" s="1">
        <v>0.73674200000000001</v>
      </c>
      <c r="O223">
        <v>1</v>
      </c>
      <c r="P223">
        <v>0</v>
      </c>
      <c r="Q223">
        <v>1</v>
      </c>
      <c r="R223">
        <v>1</v>
      </c>
      <c r="S223">
        <v>1</v>
      </c>
      <c r="T223" s="1">
        <f>SQRT(POWER(Octane[[#This Row],[angvel_X]],2) + POWER(Octane[[#This Row],[angvel_Y]],2) + POWER(Octane[[#This Row],[angvel_Z]],2))</f>
        <v>1.9824999999999999</v>
      </c>
      <c r="U223" s="1">
        <f>DEGREES(ASIN(MAX(-1,MIN(1,2 * (Octane[[#This Row],[quart_W]]*Octane[[#This Row],[quart_Y]] - Octane[[#This Row],[quart_Z]]*Octane[[#This Row],[quart_X]])))))</f>
        <v>0.54950503459179489</v>
      </c>
      <c r="V22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175.08932873674726</v>
      </c>
      <c r="W22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89.99882172479748</v>
      </c>
      <c r="X223" s="1">
        <f>IF(Octane[[#This Row],[Yaw]]&gt;V222,(360-ABS(Octane[[#This Row],[Yaw]])-ABS(V222)),ABS(Octane[[#This Row],[Yaw]]-V222))</f>
        <v>0.94662616710922975</v>
      </c>
      <c r="Y223" s="1">
        <f>Octane[[#This Row],[Degree change]]+Y222</f>
        <v>154.06167634232361</v>
      </c>
      <c r="Z223" s="1">
        <f>SQRT(Octane[[#This Row],[vel_X]]*Octane[[#This Row],[vel_X]]+Octane[[#This Row],[vel_Y]]*Octane[[#This Row],[vel_Y]]+Octane[[#This Row],[vel_Z]]*Octane[[#This Row],[vel_Z]])</f>
        <v>2299.992041925289</v>
      </c>
    </row>
    <row r="224" spans="1:26">
      <c r="A224">
        <v>223</v>
      </c>
      <c r="B224" s="1">
        <v>-1930.6499020000001</v>
      </c>
      <c r="C224" s="1">
        <v>1456.400024</v>
      </c>
      <c r="D224" s="1">
        <v>17.010000000000002</v>
      </c>
      <c r="E224" s="1">
        <v>94.209998999999996</v>
      </c>
      <c r="F224" s="1">
        <v>-2298.0500489999999</v>
      </c>
      <c r="G224" s="1">
        <v>8.11</v>
      </c>
      <c r="H224" s="1">
        <v>0</v>
      </c>
      <c r="I224" s="1">
        <v>0</v>
      </c>
      <c r="J224" s="1">
        <v>1.9824999999999999</v>
      </c>
      <c r="K224" s="1">
        <v>3.2230000000000002E-3</v>
      </c>
      <c r="L224" s="1">
        <v>3.552E-3</v>
      </c>
      <c r="M224" s="1">
        <v>-0.67005000000000003</v>
      </c>
      <c r="N224" s="1">
        <v>0.74230099999999999</v>
      </c>
      <c r="O224">
        <v>1</v>
      </c>
      <c r="P224">
        <v>0</v>
      </c>
      <c r="Q224">
        <v>1</v>
      </c>
      <c r="R224">
        <v>1</v>
      </c>
      <c r="S224">
        <v>1</v>
      </c>
      <c r="T224" s="1">
        <f>SQRT(POWER(Octane[[#This Row],[angvel_X]],2) + POWER(Octane[[#This Row],[angvel_Y]],2) + POWER(Octane[[#This Row],[angvel_Z]],2))</f>
        <v>1.9824999999999999</v>
      </c>
      <c r="U224" s="1">
        <f>DEGREES(ASIN(MAX(-1,MIN(1,2 * (Octane[[#This Row],[quart_W]]*Octane[[#This Row],[quart_Y]] - Octane[[#This Row],[quart_Z]]*Octane[[#This Row],[quart_X]])))))</f>
        <v>0.54961524923940797</v>
      </c>
      <c r="V22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174.14303495427288</v>
      </c>
      <c r="W22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89.998576876612631</v>
      </c>
      <c r="X224" s="1">
        <f>IF(Octane[[#This Row],[Yaw]]&gt;V223,(360-ABS(Octane[[#This Row],[Yaw]])-ABS(V223)),ABS(Octane[[#This Row],[Yaw]]-V223))</f>
        <v>0.94629378247438467</v>
      </c>
      <c r="Y224" s="1">
        <f>Octane[[#This Row],[Degree change]]+Y223</f>
        <v>155.00797012479799</v>
      </c>
      <c r="Z224" s="1">
        <f>SQRT(Octane[[#This Row],[vel_X]]*Octane[[#This Row],[vel_X]]+Octane[[#This Row],[vel_Y]]*Octane[[#This Row],[vel_Y]]+Octane[[#This Row],[vel_Z]]*Octane[[#This Row],[vel_Z]])</f>
        <v>2299.9946355851534</v>
      </c>
    </row>
    <row r="225" spans="1:26">
      <c r="A225">
        <v>224</v>
      </c>
      <c r="B225" s="1">
        <v>-1929.8599850000001</v>
      </c>
      <c r="C225" s="1">
        <v>1437.179932</v>
      </c>
      <c r="D225" s="1">
        <v>17.010000000000002</v>
      </c>
      <c r="E225" s="1">
        <v>132.14999399999999</v>
      </c>
      <c r="F225" s="1">
        <v>-2296.179932</v>
      </c>
      <c r="G225" s="1">
        <v>8.11</v>
      </c>
      <c r="H225" s="1">
        <v>0</v>
      </c>
      <c r="I225" s="1">
        <v>1E-4</v>
      </c>
      <c r="J225" s="1">
        <v>1.9824999999999999</v>
      </c>
      <c r="K225" s="1">
        <v>3.1960000000000001E-3</v>
      </c>
      <c r="L225" s="1">
        <v>3.5790000000000001E-3</v>
      </c>
      <c r="M225" s="1">
        <v>-0.66389399999999998</v>
      </c>
      <c r="N225" s="1">
        <v>0.747811</v>
      </c>
      <c r="O225">
        <v>1</v>
      </c>
      <c r="P225">
        <v>0</v>
      </c>
      <c r="Q225">
        <v>1</v>
      </c>
      <c r="R225">
        <v>1</v>
      </c>
      <c r="S225">
        <v>1</v>
      </c>
      <c r="T225" s="1">
        <f>SQRT(POWER(Octane[[#This Row],[angvel_X]],2) + POWER(Octane[[#This Row],[angvel_Y]],2) + POWER(Octane[[#This Row],[angvel_Z]],2))</f>
        <v>1.982500002522068</v>
      </c>
      <c r="U225" s="1">
        <f>DEGREES(ASIN(MAX(-1,MIN(1,2 * (Octane[[#This Row],[quart_W]]*Octane[[#This Row],[quart_Y]] - Octane[[#This Row],[quart_Z]]*Octane[[#This Row],[quart_X]])))))</f>
        <v>0.54984404078643945</v>
      </c>
      <c r="V22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173.19622468030164</v>
      </c>
      <c r="W22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89.998403972049843</v>
      </c>
      <c r="X225" s="1">
        <f>IF(Octane[[#This Row],[Yaw]]&gt;V224,(360-ABS(Octane[[#This Row],[Yaw]])-ABS(V224)),ABS(Octane[[#This Row],[Yaw]]-V224))</f>
        <v>0.94681027397123785</v>
      </c>
      <c r="Y225" s="1">
        <f>Octane[[#This Row],[Degree change]]+Y224</f>
        <v>155.95478039876923</v>
      </c>
      <c r="Z225" s="1">
        <f>SQRT(Octane[[#This Row],[vel_X]]*Octane[[#This Row],[vel_X]]+Octane[[#This Row],[vel_Y]]*Octane[[#This Row],[vel_Y]]+Octane[[#This Row],[vel_Z]]*Octane[[#This Row],[vel_Z]])</f>
        <v>2299.9938419773484</v>
      </c>
    </row>
    <row r="226" spans="1:26">
      <c r="A226">
        <v>225</v>
      </c>
      <c r="B226" s="1">
        <v>-1928.75</v>
      </c>
      <c r="C226" s="1">
        <v>1417.9799800000001</v>
      </c>
      <c r="D226" s="1">
        <v>17.010000000000002</v>
      </c>
      <c r="E226" s="1">
        <v>170.05999800000001</v>
      </c>
      <c r="F226" s="1">
        <v>-2293.679932</v>
      </c>
      <c r="G226" s="1">
        <v>8.11</v>
      </c>
      <c r="H226" s="1">
        <v>0</v>
      </c>
      <c r="I226" s="1">
        <v>1E-4</v>
      </c>
      <c r="J226" s="1">
        <v>1.9824999999999999</v>
      </c>
      <c r="K226" s="1">
        <v>3.1640000000000001E-3</v>
      </c>
      <c r="L226" s="1">
        <v>3.6059999999999998E-3</v>
      </c>
      <c r="M226" s="1">
        <v>-0.65769599999999995</v>
      </c>
      <c r="N226" s="1">
        <v>0.75326800000000005</v>
      </c>
      <c r="O226">
        <v>1</v>
      </c>
      <c r="P226">
        <v>0</v>
      </c>
      <c r="Q226">
        <v>1</v>
      </c>
      <c r="R226">
        <v>1</v>
      </c>
      <c r="S226">
        <v>1</v>
      </c>
      <c r="T226" s="1">
        <f>SQRT(POWER(Octane[[#This Row],[angvel_X]],2) + POWER(Octane[[#This Row],[angvel_Y]],2) + POWER(Octane[[#This Row],[angvel_Z]],2))</f>
        <v>1.982500002522068</v>
      </c>
      <c r="U226" s="1">
        <f>DEGREES(ASIN(MAX(-1,MIN(1,2 * (Octane[[#This Row],[quart_W]]*Octane[[#This Row],[quart_Y]] - Octane[[#This Row],[quart_Z]]*Octane[[#This Row],[quart_X]])))))</f>
        <v>0.54973102068951785</v>
      </c>
      <c r="V22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172.24992796366703</v>
      </c>
      <c r="W22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89.998660572038688</v>
      </c>
      <c r="X226" s="1">
        <f>IF(Octane[[#This Row],[Yaw]]&gt;V225,(360-ABS(Octane[[#This Row],[Yaw]])-ABS(V225)),ABS(Octane[[#This Row],[Yaw]]-V225))</f>
        <v>0.94629671663460613</v>
      </c>
      <c r="Y226" s="1">
        <f>Octane[[#This Row],[Degree change]]+Y225</f>
        <v>156.90107711540384</v>
      </c>
      <c r="Z226" s="1">
        <f>SQRT(Octane[[#This Row],[vel_X]]*Octane[[#This Row],[vel_X]]+Octane[[#This Row],[vel_Y]]*Octane[[#This Row],[vel_Y]]+Octane[[#This Row],[vel_Z]]*Octane[[#This Row],[vel_Z]])</f>
        <v>2299.9899576909643</v>
      </c>
    </row>
    <row r="227" spans="1:26">
      <c r="A227">
        <v>226</v>
      </c>
      <c r="B227" s="1">
        <v>-1927.3199460000001</v>
      </c>
      <c r="C227" s="1">
        <v>1398.799927</v>
      </c>
      <c r="D227" s="1">
        <v>17.010000000000002</v>
      </c>
      <c r="E227" s="1">
        <v>207.929993</v>
      </c>
      <c r="F227" s="1">
        <v>-2290.5600589999999</v>
      </c>
      <c r="G227" s="1">
        <v>8.11</v>
      </c>
      <c r="H227" s="1">
        <v>0</v>
      </c>
      <c r="I227" s="1">
        <v>1E-4</v>
      </c>
      <c r="J227" s="1">
        <v>1.9824999999999999</v>
      </c>
      <c r="K227" s="1">
        <v>3.1319999999999998E-3</v>
      </c>
      <c r="L227" s="1">
        <v>3.6329999999999999E-3</v>
      </c>
      <c r="M227" s="1">
        <v>-0.65144800000000003</v>
      </c>
      <c r="N227" s="1">
        <v>0.75867799999999996</v>
      </c>
      <c r="O227">
        <v>1</v>
      </c>
      <c r="P227">
        <v>0</v>
      </c>
      <c r="Q227">
        <v>1</v>
      </c>
      <c r="R227">
        <v>1</v>
      </c>
      <c r="S227">
        <v>1</v>
      </c>
      <c r="T227" s="1">
        <f>SQRT(POWER(Octane[[#This Row],[angvel_X]],2) + POWER(Octane[[#This Row],[angvel_Y]],2) + POWER(Octane[[#This Row],[angvel_Z]],2))</f>
        <v>1.982500002522068</v>
      </c>
      <c r="U227" s="1">
        <f>DEGREES(ASIN(MAX(-1,MIN(1,2 * (Octane[[#This Row],[quart_W]]*Octane[[#This Row],[quart_Y]] - Octane[[#This Row],[quart_Z]]*Octane[[#This Row],[quart_X]])))))</f>
        <v>0.54965971372695666</v>
      </c>
      <c r="V22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171.30285342404269</v>
      </c>
      <c r="W22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89.998914892679224</v>
      </c>
      <c r="X227" s="1">
        <f>IF(Octane[[#This Row],[Yaw]]&gt;V226,(360-ABS(Octane[[#This Row],[Yaw]])-ABS(V226)),ABS(Octane[[#This Row],[Yaw]]-V226))</f>
        <v>0.94707453962433874</v>
      </c>
      <c r="Y227" s="1">
        <f>Octane[[#This Row],[Degree change]]+Y226</f>
        <v>157.84815165502818</v>
      </c>
      <c r="Z227" s="1">
        <f>SQRT(Octane[[#This Row],[vel_X]]*Octane[[#This Row],[vel_X]]+Octane[[#This Row],[vel_Y]]*Octane[[#This Row],[vel_Y]]+Octane[[#This Row],[vel_Z]]*Octane[[#This Row],[vel_Z]])</f>
        <v>2299.9926169392506</v>
      </c>
    </row>
    <row r="228" spans="1:26">
      <c r="A228">
        <v>227</v>
      </c>
      <c r="B228" s="1">
        <v>-1925.579956</v>
      </c>
      <c r="C228" s="1">
        <v>1379.6400149999999</v>
      </c>
      <c r="D228" s="1">
        <v>17.010000000000002</v>
      </c>
      <c r="E228" s="1">
        <v>245.73999000000001</v>
      </c>
      <c r="F228" s="1">
        <v>-2286.8100589999999</v>
      </c>
      <c r="G228" s="1">
        <v>8.11</v>
      </c>
      <c r="H228" s="1">
        <v>0</v>
      </c>
      <c r="I228" s="1">
        <v>1E-4</v>
      </c>
      <c r="J228" s="1">
        <v>1.9824999999999999</v>
      </c>
      <c r="K228" s="1">
        <v>3.0990000000000002E-3</v>
      </c>
      <c r="L228" s="1">
        <v>3.6600000000000001E-3</v>
      </c>
      <c r="M228" s="1">
        <v>-0.64515800000000001</v>
      </c>
      <c r="N228" s="1">
        <v>0.76403399999999999</v>
      </c>
      <c r="O228">
        <v>1</v>
      </c>
      <c r="P228">
        <v>0</v>
      </c>
      <c r="Q228">
        <v>1</v>
      </c>
      <c r="R228">
        <v>1</v>
      </c>
      <c r="S228">
        <v>1</v>
      </c>
      <c r="T228" s="1">
        <f>SQRT(POWER(Octane[[#This Row],[angvel_X]],2) + POWER(Octane[[#This Row],[angvel_Y]],2) + POWER(Octane[[#This Row],[angvel_Z]],2))</f>
        <v>1.982500002522068</v>
      </c>
      <c r="U228" s="1">
        <f>DEGREES(ASIN(MAX(-1,MIN(1,2 * (Octane[[#This Row],[quart_W]]*Octane[[#This Row],[quart_Y]] - Octane[[#This Row],[quart_Z]]*Octane[[#This Row],[quart_X]])))))</f>
        <v>0.54955620666019223</v>
      </c>
      <c r="V22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170.35615314444689</v>
      </c>
      <c r="W22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89.999259350830215</v>
      </c>
      <c r="X228" s="1">
        <f>IF(Octane[[#This Row],[Yaw]]&gt;V227,(360-ABS(Octane[[#This Row],[Yaw]])-ABS(V227)),ABS(Octane[[#This Row],[Yaw]]-V227))</f>
        <v>0.94670027959580239</v>
      </c>
      <c r="Y228" s="1">
        <f>Octane[[#This Row],[Degree change]]+Y227</f>
        <v>158.79485193462398</v>
      </c>
      <c r="Z228" s="1">
        <f>SQRT(Octane[[#This Row],[vel_X]]*Octane[[#This Row],[vel_X]]+Octane[[#This Row],[vel_Y]]*Octane[[#This Row],[vel_Y]]+Octane[[#This Row],[vel_Z]]*Octane[[#This Row],[vel_Z]])</f>
        <v>2299.9900349194522</v>
      </c>
    </row>
    <row r="229" spans="1:26">
      <c r="A229">
        <v>228</v>
      </c>
      <c r="B229" s="1">
        <v>-1923.5198969999999</v>
      </c>
      <c r="C229" s="1">
        <v>1360.5200199999999</v>
      </c>
      <c r="D229" s="1">
        <v>17.010000000000002</v>
      </c>
      <c r="E229" s="1">
        <v>283.48998999999998</v>
      </c>
      <c r="F229" s="1">
        <v>-2282.4399410000001</v>
      </c>
      <c r="G229" s="1">
        <v>8.11</v>
      </c>
      <c r="H229" s="1">
        <v>0</v>
      </c>
      <c r="I229" s="1">
        <v>1E-4</v>
      </c>
      <c r="J229" s="1">
        <v>1.9824999999999999</v>
      </c>
      <c r="K229" s="1">
        <v>3.0669999999999998E-3</v>
      </c>
      <c r="L229" s="1">
        <v>3.6870000000000002E-3</v>
      </c>
      <c r="M229" s="1">
        <v>-0.63882499999999998</v>
      </c>
      <c r="N229" s="1">
        <v>0.76933700000000005</v>
      </c>
      <c r="O229">
        <v>1</v>
      </c>
      <c r="P229">
        <v>0</v>
      </c>
      <c r="Q229">
        <v>1</v>
      </c>
      <c r="R229">
        <v>1</v>
      </c>
      <c r="S229">
        <v>1</v>
      </c>
      <c r="T229" s="1">
        <f>SQRT(POWER(Octane[[#This Row],[angvel_X]],2) + POWER(Octane[[#This Row],[angvel_Y]],2) + POWER(Octane[[#This Row],[angvel_Z]],2))</f>
        <v>1.982500002522068</v>
      </c>
      <c r="U229" s="1">
        <f>DEGREES(ASIN(MAX(-1,MIN(1,2 * (Octane[[#This Row],[quart_W]]*Octane[[#This Row],[quart_Y]] - Octane[[#This Row],[quart_Z]]*Octane[[#This Row],[quart_X]])))))</f>
        <v>0.54956912309814665</v>
      </c>
      <c r="V22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169.40960702812316</v>
      </c>
      <c r="W22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89.999517684401056</v>
      </c>
      <c r="X229" s="1">
        <f>IF(Octane[[#This Row],[Yaw]]&gt;V228,(360-ABS(Octane[[#This Row],[Yaw]])-ABS(V228)),ABS(Octane[[#This Row],[Yaw]]-V228))</f>
        <v>0.94654611632373076</v>
      </c>
      <c r="Y229" s="1">
        <f>Octane[[#This Row],[Degree change]]+Y228</f>
        <v>159.74139805094771</v>
      </c>
      <c r="Z229" s="1">
        <f>SQRT(Octane[[#This Row],[vel_X]]*Octane[[#This Row],[vel_X]]+Octane[[#This Row],[vel_Y]]*Octane[[#This Row],[vel_Y]]+Octane[[#This Row],[vel_Z]]*Octane[[#This Row],[vel_Z]])</f>
        <v>2299.9922675527159</v>
      </c>
    </row>
    <row r="230" spans="1:26">
      <c r="A230">
        <v>229</v>
      </c>
      <c r="B230" s="1">
        <v>-1921.1400149999999</v>
      </c>
      <c r="C230" s="1">
        <v>1341.429932</v>
      </c>
      <c r="D230" s="1">
        <v>17.010000000000002</v>
      </c>
      <c r="E230" s="1">
        <v>321.16000400000001</v>
      </c>
      <c r="F230" s="1">
        <v>-2277.4499510000001</v>
      </c>
      <c r="G230" s="1">
        <v>8.11</v>
      </c>
      <c r="H230" s="1">
        <v>0</v>
      </c>
      <c r="I230" s="1">
        <v>1E-4</v>
      </c>
      <c r="J230" s="1">
        <v>1.9824999999999999</v>
      </c>
      <c r="K230" s="1">
        <v>3.0349999999999999E-3</v>
      </c>
      <c r="L230" s="1">
        <v>3.7139999999999999E-3</v>
      </c>
      <c r="M230" s="1">
        <v>-0.63244800000000001</v>
      </c>
      <c r="N230" s="1">
        <v>0.77458800000000005</v>
      </c>
      <c r="O230">
        <v>1</v>
      </c>
      <c r="P230">
        <v>0</v>
      </c>
      <c r="Q230">
        <v>1</v>
      </c>
      <c r="R230">
        <v>1</v>
      </c>
      <c r="S230">
        <v>1</v>
      </c>
      <c r="T230" s="1">
        <f>SQRT(POWER(Octane[[#This Row],[angvel_X]],2) + POWER(Octane[[#This Row],[angvel_Y]],2) + POWER(Octane[[#This Row],[angvel_Z]],2))</f>
        <v>1.982500002522068</v>
      </c>
      <c r="U230" s="1">
        <f>DEGREES(ASIN(MAX(-1,MIN(1,2 * (Octane[[#This Row],[quart_W]]*Octane[[#This Row],[quart_Y]] - Octane[[#This Row],[quart_Z]]*Octane[[#This Row],[quart_X]])))))</f>
        <v>0.54962386806710872</v>
      </c>
      <c r="V23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168.46300228785233</v>
      </c>
      <c r="W23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89.999775079881786</v>
      </c>
      <c r="X230" s="1">
        <f>IF(Octane[[#This Row],[Yaw]]&gt;V229,(360-ABS(Octane[[#This Row],[Yaw]])-ABS(V229)),ABS(Octane[[#This Row],[Yaw]]-V229))</f>
        <v>0.94660474027082842</v>
      </c>
      <c r="Y230" s="1">
        <f>Octane[[#This Row],[Degree change]]+Y229</f>
        <v>160.68800279121854</v>
      </c>
      <c r="Z230" s="1">
        <f>SQRT(Octane[[#This Row],[vel_X]]*Octane[[#This Row],[vel_X]]+Octane[[#This Row],[vel_Y]]*Octane[[#This Row],[vel_Y]]+Octane[[#This Row],[vel_Z]]*Octane[[#This Row],[vel_Z]])</f>
        <v>2299.9973477330755</v>
      </c>
    </row>
    <row r="231" spans="1:26">
      <c r="A231">
        <v>230</v>
      </c>
      <c r="B231" s="1">
        <v>-1918.4499510000001</v>
      </c>
      <c r="C231" s="1">
        <v>1322.380005</v>
      </c>
      <c r="D231" s="1">
        <v>17.010000000000002</v>
      </c>
      <c r="E231" s="1">
        <v>358.73998999999998</v>
      </c>
      <c r="F231" s="1">
        <v>-2271.8298340000001</v>
      </c>
      <c r="G231" s="1">
        <v>8.11</v>
      </c>
      <c r="H231" s="1">
        <v>0</v>
      </c>
      <c r="I231" s="1">
        <v>0</v>
      </c>
      <c r="J231" s="1">
        <v>1.9824999999999999</v>
      </c>
      <c r="K231" s="1">
        <v>3.0019999999999999E-3</v>
      </c>
      <c r="L231" s="1">
        <v>3.741E-3</v>
      </c>
      <c r="M231" s="1">
        <v>-0.62602800000000003</v>
      </c>
      <c r="N231" s="1">
        <v>0.77978599999999998</v>
      </c>
      <c r="O231">
        <v>1</v>
      </c>
      <c r="P231">
        <v>0</v>
      </c>
      <c r="Q231">
        <v>1</v>
      </c>
      <c r="R231">
        <v>1</v>
      </c>
      <c r="S231">
        <v>1</v>
      </c>
      <c r="T231" s="1">
        <f>SQRT(POWER(Octane[[#This Row],[angvel_X]],2) + POWER(Octane[[#This Row],[angvel_Y]],2) + POWER(Octane[[#This Row],[angvel_Z]],2))</f>
        <v>1.9824999999999999</v>
      </c>
      <c r="U231" s="1">
        <f>DEGREES(ASIN(MAX(-1,MIN(1,2 * (Octane[[#This Row],[quart_W]]*Octane[[#This Row],[quart_Y]] - Octane[[#This Row],[quart_Z]]*Octane[[#This Row],[quart_X]])))))</f>
        <v>0.54964861754488736</v>
      </c>
      <c r="V23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167.51642106574573</v>
      </c>
      <c r="W23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90.000120690633238</v>
      </c>
      <c r="X231" s="1">
        <f>IF(Octane[[#This Row],[Yaw]]&gt;V230,(360-ABS(Octane[[#This Row],[Yaw]])-ABS(V230)),ABS(Octane[[#This Row],[Yaw]]-V230))</f>
        <v>0.94658122210660167</v>
      </c>
      <c r="Y231" s="1">
        <f>Octane[[#This Row],[Degree change]]+Y230</f>
        <v>161.63458401332514</v>
      </c>
      <c r="Z231" s="1">
        <f>SQRT(Octane[[#This Row],[vel_X]]*Octane[[#This Row],[vel_X]]+Octane[[#This Row],[vel_Y]]*Octane[[#This Row],[vel_Y]]+Octane[[#This Row],[vel_Z]]*Octane[[#This Row],[vel_Z]])</f>
        <v>2299.9936841603867</v>
      </c>
    </row>
    <row r="232" spans="1:26">
      <c r="A232">
        <v>231</v>
      </c>
      <c r="B232" s="1">
        <v>-1915.4499510000001</v>
      </c>
      <c r="C232" s="1">
        <v>1303.380005</v>
      </c>
      <c r="D232" s="1">
        <v>17.010000000000002</v>
      </c>
      <c r="E232" s="1">
        <v>396.22000100000002</v>
      </c>
      <c r="F232" s="1">
        <v>-2265.5898440000001</v>
      </c>
      <c r="G232" s="1">
        <v>8.11</v>
      </c>
      <c r="H232" s="1">
        <v>0</v>
      </c>
      <c r="I232" s="1">
        <v>0</v>
      </c>
      <c r="J232" s="1">
        <v>1.9824999999999999</v>
      </c>
      <c r="K232" s="1">
        <v>2.97E-3</v>
      </c>
      <c r="L232" s="1">
        <v>3.7680000000000001E-3</v>
      </c>
      <c r="M232" s="1">
        <v>-0.61956500000000003</v>
      </c>
      <c r="N232" s="1">
        <v>0.78493100000000005</v>
      </c>
      <c r="O232">
        <v>1</v>
      </c>
      <c r="P232">
        <v>0</v>
      </c>
      <c r="Q232">
        <v>1</v>
      </c>
      <c r="R232">
        <v>1</v>
      </c>
      <c r="S232">
        <v>1</v>
      </c>
      <c r="T232" s="1">
        <f>SQRT(POWER(Octane[[#This Row],[angvel_X]],2) + POWER(Octane[[#This Row],[angvel_Y]],2) + POWER(Octane[[#This Row],[angvel_Z]],2))</f>
        <v>1.9824999999999999</v>
      </c>
      <c r="U232" s="1">
        <f>DEGREES(ASIN(MAX(-1,MIN(1,2 * (Octane[[#This Row],[quart_W]]*Octane[[#This Row],[quart_Y]] - Octane[[#This Row],[quart_Z]]*Octane[[#This Row],[quart_X]])))))</f>
        <v>0.54978757491479091</v>
      </c>
      <c r="V23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166.56979874269589</v>
      </c>
      <c r="W23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90.000375402041172</v>
      </c>
      <c r="X232" s="1">
        <f>IF(Octane[[#This Row],[Yaw]]&gt;V231,(360-ABS(Octane[[#This Row],[Yaw]])-ABS(V231)),ABS(Octane[[#This Row],[Yaw]]-V231))</f>
        <v>0.94662232304983718</v>
      </c>
      <c r="Y232" s="1">
        <f>Octane[[#This Row],[Degree change]]+Y231</f>
        <v>162.58120633637498</v>
      </c>
      <c r="Z232" s="1">
        <f>SQRT(Octane[[#This Row],[vel_X]]*Octane[[#This Row],[vel_X]]+Octane[[#This Row],[vel_Y]]*Octane[[#This Row],[vel_Y]]+Octane[[#This Row],[vel_Z]]*Octane[[#This Row],[vel_Z]])</f>
        <v>2299.9898700925587</v>
      </c>
    </row>
    <row r="233" spans="1:26">
      <c r="A233">
        <v>232</v>
      </c>
      <c r="B233" s="1">
        <v>-1912.130005</v>
      </c>
      <c r="C233" s="1">
        <v>1284.429932</v>
      </c>
      <c r="D233" s="1">
        <v>17.010000000000002</v>
      </c>
      <c r="E233" s="1">
        <v>433.58999599999999</v>
      </c>
      <c r="F233" s="1">
        <v>-2258.73999</v>
      </c>
      <c r="G233" s="1">
        <v>8.11</v>
      </c>
      <c r="H233" s="1">
        <v>0</v>
      </c>
      <c r="I233" s="1">
        <v>0</v>
      </c>
      <c r="J233" s="1">
        <v>1.9824999999999999</v>
      </c>
      <c r="K233" s="1">
        <v>2.9369999999999999E-3</v>
      </c>
      <c r="L233" s="1">
        <v>3.7950000000000002E-3</v>
      </c>
      <c r="M233" s="1">
        <v>-0.61305900000000002</v>
      </c>
      <c r="N233" s="1">
        <v>0.79002300000000003</v>
      </c>
      <c r="O233">
        <v>1</v>
      </c>
      <c r="P233">
        <v>0</v>
      </c>
      <c r="Q233">
        <v>1</v>
      </c>
      <c r="R233">
        <v>1</v>
      </c>
      <c r="S233">
        <v>1</v>
      </c>
      <c r="T233" s="1">
        <f>SQRT(POWER(Octane[[#This Row],[angvel_X]],2) + POWER(Octane[[#This Row],[angvel_Y]],2) + POWER(Octane[[#This Row],[angvel_Z]],2))</f>
        <v>1.9824999999999999</v>
      </c>
      <c r="U233" s="1">
        <f>DEGREES(ASIN(MAX(-1,MIN(1,2 * (Octane[[#This Row],[quart_W]]*Octane[[#This Row],[quart_Y]] - Octane[[#This Row],[quart_Z]]*Octane[[#This Row],[quart_X]])))))</f>
        <v>0.54989799011208318</v>
      </c>
      <c r="V23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165.62307263676712</v>
      </c>
      <c r="W23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90.000717531363051</v>
      </c>
      <c r="X233" s="1">
        <f>IF(Octane[[#This Row],[Yaw]]&gt;V232,(360-ABS(Octane[[#This Row],[Yaw]])-ABS(V232)),ABS(Octane[[#This Row],[Yaw]]-V232))</f>
        <v>0.94672610592877504</v>
      </c>
      <c r="Y233" s="1">
        <f>Octane[[#This Row],[Degree change]]+Y232</f>
        <v>163.52793244230375</v>
      </c>
      <c r="Z233" s="1">
        <f>SQRT(Octane[[#This Row],[vel_X]]*Octane[[#This Row],[vel_X]]+Octane[[#This Row],[vel_Y]]*Octane[[#This Row],[vel_Y]]+Octane[[#This Row],[vel_Z]]*Octane[[#This Row],[vel_Z]])</f>
        <v>2299.9939998087993</v>
      </c>
    </row>
    <row r="234" spans="1:26">
      <c r="A234">
        <v>233</v>
      </c>
      <c r="B234" s="1">
        <v>-1908.5</v>
      </c>
      <c r="C234" s="1">
        <v>1265.5399170000001</v>
      </c>
      <c r="D234" s="1">
        <v>17.010000000000002</v>
      </c>
      <c r="E234" s="1">
        <v>470.84997600000003</v>
      </c>
      <c r="F234" s="1">
        <v>-2251.2700199999999</v>
      </c>
      <c r="G234" s="1">
        <v>8.11</v>
      </c>
      <c r="H234" s="1">
        <v>0</v>
      </c>
      <c r="I234" s="1">
        <v>0</v>
      </c>
      <c r="J234" s="1">
        <v>1.9824999999999999</v>
      </c>
      <c r="K234" s="1">
        <v>2.905E-3</v>
      </c>
      <c r="L234" s="1">
        <v>3.8170000000000001E-3</v>
      </c>
      <c r="M234" s="1">
        <v>-0.60650999999999999</v>
      </c>
      <c r="N234" s="1">
        <v>0.79506200000000005</v>
      </c>
      <c r="O234">
        <v>1</v>
      </c>
      <c r="P234">
        <v>0</v>
      </c>
      <c r="Q234">
        <v>1</v>
      </c>
      <c r="R234">
        <v>1</v>
      </c>
      <c r="S234">
        <v>1</v>
      </c>
      <c r="T234" s="1">
        <f>SQRT(POWER(Octane[[#This Row],[angvel_X]],2) + POWER(Octane[[#This Row],[angvel_Y]],2) + POWER(Octane[[#This Row],[angvel_Z]],2))</f>
        <v>1.9824999999999999</v>
      </c>
      <c r="U234" s="1">
        <f>DEGREES(ASIN(MAX(-1,MIN(1,2 * (Octane[[#This Row],[quart_W]]*Octane[[#This Row],[quart_Y]] - Octane[[#This Row],[quart_Z]]*Octane[[#This Row],[quart_X]])))))</f>
        <v>0.54966554601814355</v>
      </c>
      <c r="V23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164.67617744156584</v>
      </c>
      <c r="W23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90.000618084891499</v>
      </c>
      <c r="X234" s="1">
        <f>IF(Octane[[#This Row],[Yaw]]&gt;V233,(360-ABS(Octane[[#This Row],[Yaw]])-ABS(V233)),ABS(Octane[[#This Row],[Yaw]]-V233))</f>
        <v>0.94689519520127874</v>
      </c>
      <c r="Y234" s="1">
        <f>Octane[[#This Row],[Degree change]]+Y233</f>
        <v>164.47482763750503</v>
      </c>
      <c r="Z234" s="1">
        <f>SQRT(Octane[[#This Row],[vel_X]]*Octane[[#This Row],[vel_X]]+Octane[[#This Row],[vel_Y]]*Octane[[#This Row],[vel_Y]]+Octane[[#This Row],[vel_Z]]*Octane[[#This Row],[vel_Z]])</f>
        <v>2299.9961249858661</v>
      </c>
    </row>
    <row r="235" spans="1:26">
      <c r="A235">
        <v>234</v>
      </c>
      <c r="B235" s="1">
        <v>-1904.559937</v>
      </c>
      <c r="C235" s="1">
        <v>1246.709961</v>
      </c>
      <c r="D235" s="1">
        <v>17.010000000000002</v>
      </c>
      <c r="E235" s="1">
        <v>507.97998000000001</v>
      </c>
      <c r="F235" s="1">
        <v>-2243.179932</v>
      </c>
      <c r="G235" s="1">
        <v>8.11</v>
      </c>
      <c r="H235" s="1">
        <v>0</v>
      </c>
      <c r="I235" s="1">
        <v>0</v>
      </c>
      <c r="J235" s="1">
        <v>1.9824999999999999</v>
      </c>
      <c r="K235" s="1">
        <v>2.8730000000000001E-3</v>
      </c>
      <c r="L235" s="1">
        <v>3.8379999999999998E-3</v>
      </c>
      <c r="M235" s="1">
        <v>-0.59992299999999998</v>
      </c>
      <c r="N235" s="1">
        <v>0.80004399999999998</v>
      </c>
      <c r="O235">
        <v>1</v>
      </c>
      <c r="P235">
        <v>0</v>
      </c>
      <c r="Q235">
        <v>1</v>
      </c>
      <c r="R235">
        <v>1</v>
      </c>
      <c r="S235">
        <v>1</v>
      </c>
      <c r="T235" s="1">
        <f>SQRT(POWER(Octane[[#This Row],[angvel_X]],2) + POWER(Octane[[#This Row],[angvel_Y]],2) + POWER(Octane[[#This Row],[angvel_Z]],2))</f>
        <v>1.9824999999999999</v>
      </c>
      <c r="U235" s="1">
        <f>DEGREES(ASIN(MAX(-1,MIN(1,2 * (Octane[[#This Row],[quart_W]]*Octane[[#This Row],[quart_Y]] - Octane[[#This Row],[quart_Z]]*Octane[[#This Row],[quart_X]])))))</f>
        <v>0.54937727161948913</v>
      </c>
      <c r="V23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163.72976788583927</v>
      </c>
      <c r="W23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90.000455873282391</v>
      </c>
      <c r="X235" s="1">
        <f>IF(Octane[[#This Row],[Yaw]]&gt;V234,(360-ABS(Octane[[#This Row],[Yaw]])-ABS(V234)),ABS(Octane[[#This Row],[Yaw]]-V234))</f>
        <v>0.94640955572657504</v>
      </c>
      <c r="Y235" s="1">
        <f>Octane[[#This Row],[Degree change]]+Y234</f>
        <v>165.4212371932316</v>
      </c>
      <c r="Z235" s="1">
        <f>SQRT(Octane[[#This Row],[vel_X]]*Octane[[#This Row],[vel_X]]+Octane[[#This Row],[vel_Y]]*Octane[[#This Row],[vel_Y]]+Octane[[#This Row],[vel_Z]]*Octane[[#This Row],[vel_Z]])</f>
        <v>2299.992530315767</v>
      </c>
    </row>
    <row r="236" spans="1:26">
      <c r="A236">
        <v>235</v>
      </c>
      <c r="B236" s="1">
        <v>-1900.309937</v>
      </c>
      <c r="C236" s="1">
        <v>1227.9499510000001</v>
      </c>
      <c r="D236" s="1">
        <v>17.010000000000002</v>
      </c>
      <c r="E236" s="1">
        <v>544.96997099999999</v>
      </c>
      <c r="F236" s="1">
        <v>-2234.4799800000001</v>
      </c>
      <c r="G236" s="1">
        <v>8.11</v>
      </c>
      <c r="H236" s="1">
        <v>0</v>
      </c>
      <c r="I236" s="1">
        <v>0</v>
      </c>
      <c r="J236" s="1">
        <v>1.9824999999999999</v>
      </c>
      <c r="K236" s="1">
        <v>2.8400000000000001E-3</v>
      </c>
      <c r="L236" s="1">
        <v>3.8600000000000001E-3</v>
      </c>
      <c r="M236" s="1">
        <v>-0.59329200000000004</v>
      </c>
      <c r="N236" s="1">
        <v>0.80497300000000005</v>
      </c>
      <c r="O236">
        <v>1</v>
      </c>
      <c r="P236">
        <v>0</v>
      </c>
      <c r="Q236">
        <v>1</v>
      </c>
      <c r="R236">
        <v>1</v>
      </c>
      <c r="S236">
        <v>1</v>
      </c>
      <c r="T236" s="1">
        <f>SQRT(POWER(Octane[[#This Row],[angvel_X]],2) + POWER(Octane[[#This Row],[angvel_Y]],2) + POWER(Octane[[#This Row],[angvel_Z]],2))</f>
        <v>1.9824999999999999</v>
      </c>
      <c r="U236" s="1">
        <f>DEGREES(ASIN(MAX(-1,MIN(1,2 * (Octane[[#This Row],[quart_W]]*Octane[[#This Row],[quart_Y]] - Octane[[#This Row],[quart_Z]]*Octane[[#This Row],[quart_X]])))))</f>
        <v>0.54914778104971684</v>
      </c>
      <c r="V23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162.78290703871312</v>
      </c>
      <c r="W23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90.000456530821481</v>
      </c>
      <c r="X236" s="1">
        <f>IF(Octane[[#This Row],[Yaw]]&gt;V235,(360-ABS(Octane[[#This Row],[Yaw]])-ABS(V235)),ABS(Octane[[#This Row],[Yaw]]-V235))</f>
        <v>0.94686084712614615</v>
      </c>
      <c r="Y236" s="1">
        <f>Octane[[#This Row],[Degree change]]+Y235</f>
        <v>166.36809804035775</v>
      </c>
      <c r="Z236" s="1">
        <f>SQRT(Octane[[#This Row],[vel_X]]*Octane[[#This Row],[vel_X]]+Octane[[#This Row],[vel_Y]]*Octane[[#This Row],[vel_Y]]+Octane[[#This Row],[vel_Z]]*Octane[[#This Row],[vel_Z]])</f>
        <v>2299.9910483331323</v>
      </c>
    </row>
    <row r="237" spans="1:26">
      <c r="A237">
        <v>236</v>
      </c>
      <c r="B237" s="1">
        <v>-1895.75</v>
      </c>
      <c r="C237" s="1">
        <v>1209.26001</v>
      </c>
      <c r="D237" s="1">
        <v>17.010000000000002</v>
      </c>
      <c r="E237" s="1">
        <v>581.80999799999995</v>
      </c>
      <c r="F237" s="1">
        <v>-2225.169922</v>
      </c>
      <c r="G237" s="1">
        <v>8.11</v>
      </c>
      <c r="H237" s="1">
        <v>0</v>
      </c>
      <c r="I237" s="1">
        <v>0</v>
      </c>
      <c r="J237" s="1">
        <v>1.9824999999999999</v>
      </c>
      <c r="K237" s="1">
        <v>2.8080000000000002E-3</v>
      </c>
      <c r="L237" s="1">
        <v>3.882E-3</v>
      </c>
      <c r="M237" s="1">
        <v>-0.58662400000000003</v>
      </c>
      <c r="N237" s="1">
        <v>0.80984500000000004</v>
      </c>
      <c r="O237">
        <v>1</v>
      </c>
      <c r="P237">
        <v>0</v>
      </c>
      <c r="Q237">
        <v>1</v>
      </c>
      <c r="R237">
        <v>1</v>
      </c>
      <c r="S237">
        <v>1</v>
      </c>
      <c r="T237" s="1">
        <f>SQRT(POWER(Octane[[#This Row],[angvel_X]],2) + POWER(Octane[[#This Row],[angvel_Y]],2) + POWER(Octane[[#This Row],[angvel_Z]],2))</f>
        <v>1.9824999999999999</v>
      </c>
      <c r="U237" s="1">
        <f>DEGREES(ASIN(MAX(-1,MIN(1,2 * (Octane[[#This Row],[quart_W]]*Octane[[#This Row],[quart_Y]] - Octane[[#This Row],[quart_Z]]*Octane[[#This Row],[quart_X]])))))</f>
        <v>0.54902326266481516</v>
      </c>
      <c r="V23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161.83655165893322</v>
      </c>
      <c r="W23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90.000370102807011</v>
      </c>
      <c r="X237" s="1">
        <f>IF(Octane[[#This Row],[Yaw]]&gt;V236,(360-ABS(Octane[[#This Row],[Yaw]])-ABS(V236)),ABS(Octane[[#This Row],[Yaw]]-V236))</f>
        <v>0.94635537977990225</v>
      </c>
      <c r="Y237" s="1">
        <f>Octane[[#This Row],[Degree change]]+Y236</f>
        <v>167.31445342013765</v>
      </c>
      <c r="Z237" s="1">
        <f>SQRT(Octane[[#This Row],[vel_X]]*Octane[[#This Row],[vel_X]]+Octane[[#This Row],[vel_Y]]*Octane[[#This Row],[vel_Y]]+Octane[[#This Row],[vel_Z]]*Octane[[#This Row],[vel_Z]])</f>
        <v>2299.9890929407134</v>
      </c>
    </row>
    <row r="238" spans="1:26">
      <c r="A238">
        <v>237</v>
      </c>
      <c r="B238" s="1">
        <v>-1890.880005</v>
      </c>
      <c r="C238" s="1">
        <v>1190.650024</v>
      </c>
      <c r="D238" s="1">
        <v>17.010000000000002</v>
      </c>
      <c r="E238" s="1">
        <v>618.48999000000003</v>
      </c>
      <c r="F238" s="1">
        <v>-2215.26001</v>
      </c>
      <c r="G238" s="1">
        <v>8.11</v>
      </c>
      <c r="H238" s="1">
        <v>0</v>
      </c>
      <c r="I238" s="1">
        <v>0</v>
      </c>
      <c r="J238" s="1">
        <v>1.9824999999999999</v>
      </c>
      <c r="K238" s="1">
        <v>2.7759999999999998E-3</v>
      </c>
      <c r="L238" s="1">
        <v>3.9029999999999998E-3</v>
      </c>
      <c r="M238" s="1">
        <v>-0.57991300000000001</v>
      </c>
      <c r="N238" s="1">
        <v>0.81466400000000005</v>
      </c>
      <c r="O238">
        <v>1</v>
      </c>
      <c r="P238">
        <v>0</v>
      </c>
      <c r="Q238">
        <v>1</v>
      </c>
      <c r="R238">
        <v>1</v>
      </c>
      <c r="S238">
        <v>1</v>
      </c>
      <c r="T238" s="1">
        <f>SQRT(POWER(Octane[[#This Row],[angvel_X]],2) + POWER(Octane[[#This Row],[angvel_Y]],2) + POWER(Octane[[#This Row],[angvel_Z]],2))</f>
        <v>1.9824999999999999</v>
      </c>
      <c r="U238" s="1">
        <f>DEGREES(ASIN(MAX(-1,MIN(1,2 * (Octane[[#This Row],[quart_W]]*Octane[[#This Row],[quart_Y]] - Octane[[#This Row],[quart_Z]]*Octane[[#This Row],[quart_X]])))))</f>
        <v>0.54884146604295769</v>
      </c>
      <c r="V23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160.88977694702021</v>
      </c>
      <c r="W23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90.000216951828335</v>
      </c>
      <c r="X238" s="1">
        <f>IF(Octane[[#This Row],[Yaw]]&gt;V237,(360-ABS(Octane[[#This Row],[Yaw]])-ABS(V237)),ABS(Octane[[#This Row],[Yaw]]-V237))</f>
        <v>0.9467747119130081</v>
      </c>
      <c r="Y238" s="1">
        <f>Octane[[#This Row],[Degree change]]+Y237</f>
        <v>168.26122813205066</v>
      </c>
      <c r="Z238" s="1">
        <f>SQRT(Octane[[#This Row],[vel_X]]*Octane[[#This Row],[vel_X]]+Octane[[#This Row],[vel_Y]]*Octane[[#This Row],[vel_Y]]+Octane[[#This Row],[vel_Z]]*Octane[[#This Row],[vel_Z]])</f>
        <v>2299.9940329782162</v>
      </c>
    </row>
    <row r="239" spans="1:26">
      <c r="A239">
        <v>238</v>
      </c>
      <c r="B239" s="1">
        <v>-1885.6999510000001</v>
      </c>
      <c r="C239" s="1">
        <v>1172.119995</v>
      </c>
      <c r="D239" s="1">
        <v>17.010000000000002</v>
      </c>
      <c r="E239" s="1">
        <v>655</v>
      </c>
      <c r="F239" s="1">
        <v>-2204.73999</v>
      </c>
      <c r="G239" s="1">
        <v>8.11</v>
      </c>
      <c r="H239" s="1">
        <v>1E-4</v>
      </c>
      <c r="I239" s="1">
        <v>0</v>
      </c>
      <c r="J239" s="1">
        <v>1.9824999999999999</v>
      </c>
      <c r="K239" s="1">
        <v>2.7430000000000002E-3</v>
      </c>
      <c r="L239" s="1">
        <v>3.9249999999999997E-3</v>
      </c>
      <c r="M239" s="1">
        <v>-0.57316400000000001</v>
      </c>
      <c r="N239" s="1">
        <v>0.81942599999999999</v>
      </c>
      <c r="O239">
        <v>1</v>
      </c>
      <c r="P239">
        <v>0</v>
      </c>
      <c r="Q239">
        <v>1</v>
      </c>
      <c r="R239">
        <v>1</v>
      </c>
      <c r="S239">
        <v>1</v>
      </c>
      <c r="T239" s="1">
        <f>SQRT(POWER(Octane[[#This Row],[angvel_X]],2) + POWER(Octane[[#This Row],[angvel_Y]],2) + POWER(Octane[[#This Row],[angvel_Z]],2))</f>
        <v>1.982500002522068</v>
      </c>
      <c r="U239" s="1">
        <f>DEGREES(ASIN(MAX(-1,MIN(1,2 * (Octane[[#This Row],[quart_W]]*Octane[[#This Row],[quart_Y]] - Octane[[#This Row],[quart_Z]]*Octane[[#This Row],[quart_X]])))))</f>
        <v>0.54872272334387484</v>
      </c>
      <c r="V23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159.94321875534681</v>
      </c>
      <c r="W23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90.000227266339493</v>
      </c>
      <c r="X239" s="1">
        <f>IF(Octane[[#This Row],[Yaw]]&gt;V238,(360-ABS(Octane[[#This Row],[Yaw]])-ABS(V238)),ABS(Octane[[#This Row],[Yaw]]-V238))</f>
        <v>0.94655819167340383</v>
      </c>
      <c r="Y239" s="1">
        <f>Octane[[#This Row],[Degree change]]+Y238</f>
        <v>169.20778632372406</v>
      </c>
      <c r="Z239" s="1">
        <f>SQRT(Octane[[#This Row],[vel_X]]*Octane[[#This Row],[vel_X]]+Octane[[#This Row],[vel_Y]]*Octane[[#This Row],[vel_Y]]+Octane[[#This Row],[vel_Z]]*Octane[[#This Row],[vel_Z]])</f>
        <v>2299.993303382686</v>
      </c>
    </row>
    <row r="240" spans="1:26">
      <c r="A240">
        <v>239</v>
      </c>
      <c r="B240" s="1">
        <v>-1880.219971</v>
      </c>
      <c r="C240" s="1">
        <v>1153.679932</v>
      </c>
      <c r="D240" s="1">
        <v>17.010000000000002</v>
      </c>
      <c r="E240" s="1">
        <v>691.339966</v>
      </c>
      <c r="F240" s="1">
        <v>-2193.6198730000001</v>
      </c>
      <c r="G240" s="1">
        <v>8.11</v>
      </c>
      <c r="H240" s="1">
        <v>1E-4</v>
      </c>
      <c r="I240" s="1">
        <v>0</v>
      </c>
      <c r="J240" s="1">
        <v>1.9824999999999999</v>
      </c>
      <c r="K240" s="1">
        <v>2.7109999999999999E-3</v>
      </c>
      <c r="L240" s="1">
        <v>3.9459999999999999E-3</v>
      </c>
      <c r="M240" s="1">
        <v>-0.56637700000000002</v>
      </c>
      <c r="N240" s="1">
        <v>0.82413199999999998</v>
      </c>
      <c r="O240">
        <v>1</v>
      </c>
      <c r="P240">
        <v>0</v>
      </c>
      <c r="Q240">
        <v>1</v>
      </c>
      <c r="R240">
        <v>1</v>
      </c>
      <c r="S240">
        <v>1</v>
      </c>
      <c r="T240" s="1">
        <f>SQRT(POWER(Octane[[#This Row],[angvel_X]],2) + POWER(Octane[[#This Row],[angvel_Y]],2) + POWER(Octane[[#This Row],[angvel_Z]],2))</f>
        <v>1.982500002522068</v>
      </c>
      <c r="U240" s="1">
        <f>DEGREES(ASIN(MAX(-1,MIN(1,2 * (Octane[[#This Row],[quart_W]]*Octane[[#This Row],[quart_Y]] - Octane[[#This Row],[quart_Z]]*Octane[[#This Row],[quart_X]])))))</f>
        <v>0.54861236856081508</v>
      </c>
      <c r="V24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158.99682891920253</v>
      </c>
      <c r="W24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90.000080422896872</v>
      </c>
      <c r="X240" s="1">
        <f>IF(Octane[[#This Row],[Yaw]]&gt;V239,(360-ABS(Octane[[#This Row],[Yaw]])-ABS(V239)),ABS(Octane[[#This Row],[Yaw]]-V239))</f>
        <v>0.9463898361442773</v>
      </c>
      <c r="Y240" s="1">
        <f>Octane[[#This Row],[Degree change]]+Y239</f>
        <v>170.15417615986834</v>
      </c>
      <c r="Z240" s="1">
        <f>SQRT(Octane[[#This Row],[vel_X]]*Octane[[#This Row],[vel_X]]+Octane[[#This Row],[vel_Y]]*Octane[[#This Row],[vel_Y]]+Octane[[#This Row],[vel_Z]]*Octane[[#This Row],[vel_Z]])</f>
        <v>2299.9967104127381</v>
      </c>
    </row>
    <row r="241" spans="1:26">
      <c r="A241">
        <v>240</v>
      </c>
      <c r="B241" s="1">
        <v>-1874.429932</v>
      </c>
      <c r="C241" s="1">
        <v>1135.339966</v>
      </c>
      <c r="D241" s="1">
        <v>17.010000000000002</v>
      </c>
      <c r="E241" s="1">
        <v>727.47997999999995</v>
      </c>
      <c r="F241" s="1">
        <v>-2181.8999020000001</v>
      </c>
      <c r="G241" s="1">
        <v>8.11</v>
      </c>
      <c r="H241" s="1">
        <v>1E-4</v>
      </c>
      <c r="I241" s="1">
        <v>0</v>
      </c>
      <c r="J241" s="1">
        <v>1.9824999999999999</v>
      </c>
      <c r="K241" s="1">
        <v>2.679E-3</v>
      </c>
      <c r="L241" s="1">
        <v>3.9680000000000002E-3</v>
      </c>
      <c r="M241" s="1">
        <v>-0.55955299999999997</v>
      </c>
      <c r="N241" s="1">
        <v>0.82878099999999999</v>
      </c>
      <c r="O241">
        <v>1</v>
      </c>
      <c r="P241">
        <v>0</v>
      </c>
      <c r="Q241">
        <v>1</v>
      </c>
      <c r="R241">
        <v>1</v>
      </c>
      <c r="S241">
        <v>1</v>
      </c>
      <c r="T241" s="1">
        <f>SQRT(POWER(Octane[[#This Row],[angvel_X]],2) + POWER(Octane[[#This Row],[angvel_Y]],2) + POWER(Octane[[#This Row],[angvel_Z]],2))</f>
        <v>1.982500002522068</v>
      </c>
      <c r="U241" s="1">
        <f>DEGREES(ASIN(MAX(-1,MIN(1,2 * (Octane[[#This Row],[quart_W]]*Octane[[#This Row],[quart_Y]] - Octane[[#This Row],[quart_Z]]*Octane[[#This Row],[quart_X]])))))</f>
        <v>0.54863214522031711</v>
      </c>
      <c r="V24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158.05067359296677</v>
      </c>
      <c r="W24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90.000000229766599</v>
      </c>
      <c r="X241" s="1">
        <f>IF(Octane[[#This Row],[Yaw]]&gt;V240,(360-ABS(Octane[[#This Row],[Yaw]])-ABS(V240)),ABS(Octane[[#This Row],[Yaw]]-V240))</f>
        <v>0.94615532623575405</v>
      </c>
      <c r="Y241" s="1">
        <f>Octane[[#This Row],[Degree change]]+Y240</f>
        <v>171.1003314861041</v>
      </c>
      <c r="Z241" s="1">
        <f>SQRT(Octane[[#This Row],[vel_X]]*Octane[[#This Row],[vel_X]]+Octane[[#This Row],[vel_Y]]*Octane[[#This Row],[vel_Y]]+Octane[[#This Row],[vel_Z]]*Octane[[#This Row],[vel_Z]])</f>
        <v>2299.9956686368805</v>
      </c>
    </row>
    <row r="242" spans="1:26">
      <c r="A242">
        <v>241</v>
      </c>
      <c r="B242" s="1">
        <v>-1868.339966</v>
      </c>
      <c r="C242" s="1">
        <v>1117.089966</v>
      </c>
      <c r="D242" s="1">
        <v>17.010000000000002</v>
      </c>
      <c r="E242" s="1">
        <v>763.419983</v>
      </c>
      <c r="F242" s="1">
        <v>-2169.5798340000001</v>
      </c>
      <c r="G242" s="1">
        <v>8.11</v>
      </c>
      <c r="H242" s="1">
        <v>1E-4</v>
      </c>
      <c r="I242" s="1">
        <v>0</v>
      </c>
      <c r="J242" s="1">
        <v>1.9824999999999999</v>
      </c>
      <c r="K242" s="1">
        <v>2.6459999999999999E-3</v>
      </c>
      <c r="L242" s="1">
        <v>3.9890000000000004E-3</v>
      </c>
      <c r="M242" s="1">
        <v>-0.55268499999999998</v>
      </c>
      <c r="N242" s="1">
        <v>0.83337600000000001</v>
      </c>
      <c r="O242">
        <v>1</v>
      </c>
      <c r="P242">
        <v>0</v>
      </c>
      <c r="Q242">
        <v>1</v>
      </c>
      <c r="R242">
        <v>1</v>
      </c>
      <c r="S242">
        <v>1</v>
      </c>
      <c r="T242" s="1">
        <f>SQRT(POWER(Octane[[#This Row],[angvel_X]],2) + POWER(Octane[[#This Row],[angvel_Y]],2) + POWER(Octane[[#This Row],[angvel_Z]],2))</f>
        <v>1.982500002522068</v>
      </c>
      <c r="U242" s="1">
        <f>DEGREES(ASIN(MAX(-1,MIN(1,2 * (Octane[[#This Row],[quart_W]]*Octane[[#This Row],[quart_Y]] - Octane[[#This Row],[quart_Z]]*Octane[[#This Row],[quart_X]])))))</f>
        <v>0.54852853583639161</v>
      </c>
      <c r="V24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157.10368009353587</v>
      </c>
      <c r="W24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89.999948152850365</v>
      </c>
      <c r="X242" s="1">
        <f>IF(Octane[[#This Row],[Yaw]]&gt;V241,(360-ABS(Octane[[#This Row],[Yaw]])-ABS(V241)),ABS(Octane[[#This Row],[Yaw]]-V241))</f>
        <v>0.94699349943090283</v>
      </c>
      <c r="Y242" s="1">
        <f>Octane[[#This Row],[Degree change]]+Y241</f>
        <v>172.047324985535</v>
      </c>
      <c r="Z242" s="1">
        <f>SQRT(Octane[[#This Row],[vel_X]]*Octane[[#This Row],[vel_X]]+Octane[[#This Row],[vel_Y]]*Octane[[#This Row],[vel_Y]]+Octane[[#This Row],[vel_Z]]*Octane[[#This Row],[vel_Z]])</f>
        <v>2299.9896735949033</v>
      </c>
    </row>
    <row r="243" spans="1:26">
      <c r="A243">
        <v>242</v>
      </c>
      <c r="B243" s="1">
        <v>-1861.9499510000001</v>
      </c>
      <c r="C243" s="1">
        <v>1098.9499510000001</v>
      </c>
      <c r="D243" s="1">
        <v>17.010000000000002</v>
      </c>
      <c r="E243" s="1">
        <v>799.15997300000004</v>
      </c>
      <c r="F243" s="1">
        <v>-2156.679932</v>
      </c>
      <c r="G243" s="1">
        <v>8.11</v>
      </c>
      <c r="H243" s="1">
        <v>1E-4</v>
      </c>
      <c r="I243" s="1">
        <v>0</v>
      </c>
      <c r="J243" s="1">
        <v>1.9824999999999999</v>
      </c>
      <c r="K243" s="1">
        <v>2.614E-3</v>
      </c>
      <c r="L243" s="1">
        <v>4.0109999999999998E-3</v>
      </c>
      <c r="M243" s="1">
        <v>-0.54578000000000004</v>
      </c>
      <c r="N243" s="1">
        <v>0.83791499999999997</v>
      </c>
      <c r="O243">
        <v>1</v>
      </c>
      <c r="P243">
        <v>0</v>
      </c>
      <c r="Q243">
        <v>1</v>
      </c>
      <c r="R243">
        <v>1</v>
      </c>
      <c r="S243">
        <v>1</v>
      </c>
      <c r="T243" s="1">
        <f>SQRT(POWER(Octane[[#This Row],[angvel_X]],2) + POWER(Octane[[#This Row],[angvel_Y]],2) + POWER(Octane[[#This Row],[angvel_Z]],2))</f>
        <v>1.982500002522068</v>
      </c>
      <c r="U243" s="1">
        <f>DEGREES(ASIN(MAX(-1,MIN(1,2 * (Octane[[#This Row],[quart_W]]*Octane[[#This Row],[quart_Y]] - Octane[[#This Row],[quart_Z]]*Octane[[#This Row],[quart_X]])))))</f>
        <v>0.5486207416915041</v>
      </c>
      <c r="V24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156.15682340232118</v>
      </c>
      <c r="W24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89.999864061823232</v>
      </c>
      <c r="X243" s="1">
        <f>IF(Octane[[#This Row],[Yaw]]&gt;V242,(360-ABS(Octane[[#This Row],[Yaw]])-ABS(V242)),ABS(Octane[[#This Row],[Yaw]]-V242))</f>
        <v>0.94685669121469118</v>
      </c>
      <c r="Y243" s="1">
        <f>Octane[[#This Row],[Degree change]]+Y242</f>
        <v>172.99418167674969</v>
      </c>
      <c r="Z243" s="1">
        <f>SQRT(Octane[[#This Row],[vel_X]]*Octane[[#This Row],[vel_X]]+Octane[[#This Row],[vel_Y]]*Octane[[#This Row],[vel_Y]]+Octane[[#This Row],[vel_Z]]*Octane[[#This Row],[vel_Z]])</f>
        <v>2299.9979920940987</v>
      </c>
    </row>
    <row r="244" spans="1:26">
      <c r="A244">
        <v>243</v>
      </c>
      <c r="B244" s="1">
        <v>-1855.26001</v>
      </c>
      <c r="C244" s="1">
        <v>1080.910034</v>
      </c>
      <c r="D244" s="1">
        <v>17.010000000000002</v>
      </c>
      <c r="E244" s="1">
        <v>834.67999299999997</v>
      </c>
      <c r="F244" s="1">
        <v>-2143.179932</v>
      </c>
      <c r="G244" s="1">
        <v>8.11</v>
      </c>
      <c r="H244" s="1">
        <v>1E-4</v>
      </c>
      <c r="I244" s="1">
        <v>0</v>
      </c>
      <c r="J244" s="1">
        <v>1.9824999999999999</v>
      </c>
      <c r="K244" s="1">
        <v>2.581E-3</v>
      </c>
      <c r="L244" s="1">
        <v>4.0330000000000001E-3</v>
      </c>
      <c r="M244" s="1">
        <v>-0.53884200000000004</v>
      </c>
      <c r="N244" s="1">
        <v>0.84239299999999995</v>
      </c>
      <c r="O244">
        <v>1</v>
      </c>
      <c r="P244">
        <v>0</v>
      </c>
      <c r="Q244">
        <v>1</v>
      </c>
      <c r="R244">
        <v>1</v>
      </c>
      <c r="S244">
        <v>1</v>
      </c>
      <c r="T244" s="1">
        <f>SQRT(POWER(Octane[[#This Row],[angvel_X]],2) + POWER(Octane[[#This Row],[angvel_Y]],2) + POWER(Octane[[#This Row],[angvel_Z]],2))</f>
        <v>1.982500002522068</v>
      </c>
      <c r="U244" s="1">
        <f>DEGREES(ASIN(MAX(-1,MIN(1,2 * (Octane[[#This Row],[quart_W]]*Octane[[#This Row],[quart_Y]] - Octane[[#This Row],[quart_Z]]*Octane[[#This Row],[quart_X]])))))</f>
        <v>0.54868677077081862</v>
      </c>
      <c r="V24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155.21052045688717</v>
      </c>
      <c r="W24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89.999877777112175</v>
      </c>
      <c r="X244" s="1">
        <f>IF(Octane[[#This Row],[Yaw]]&gt;V243,(360-ABS(Octane[[#This Row],[Yaw]])-ABS(V243)),ABS(Octane[[#This Row],[Yaw]]-V243))</f>
        <v>0.94630294543401305</v>
      </c>
      <c r="Y244" s="1">
        <f>Octane[[#This Row],[Degree change]]+Y243</f>
        <v>173.9404846221837</v>
      </c>
      <c r="Z244" s="1">
        <f>SQRT(Octane[[#This Row],[vel_X]]*Octane[[#This Row],[vel_X]]+Octane[[#This Row],[vel_Y]]*Octane[[#This Row],[vel_Y]]+Octane[[#This Row],[vel_Z]]*Octane[[#This Row],[vel_Z]])</f>
        <v>2299.9949312426766</v>
      </c>
    </row>
    <row r="245" spans="1:26">
      <c r="A245">
        <v>244</v>
      </c>
      <c r="B245" s="1">
        <v>-1848.2799070000001</v>
      </c>
      <c r="C245" s="1">
        <v>1062.98999</v>
      </c>
      <c r="D245" s="1">
        <v>17.010000000000002</v>
      </c>
      <c r="E245" s="1">
        <v>869.96997099999999</v>
      </c>
      <c r="F245" s="1">
        <v>-2129.0998540000001</v>
      </c>
      <c r="G245" s="1">
        <v>8.11</v>
      </c>
      <c r="H245" s="1">
        <v>1E-4</v>
      </c>
      <c r="I245" s="1">
        <v>0</v>
      </c>
      <c r="J245" s="1">
        <v>1.9824999999999999</v>
      </c>
      <c r="K245" s="1">
        <v>2.5490000000000001E-3</v>
      </c>
      <c r="L245" s="1">
        <v>4.0540000000000003E-3</v>
      </c>
      <c r="M245" s="1">
        <v>-0.53186699999999998</v>
      </c>
      <c r="N245" s="1">
        <v>0.84681399999999996</v>
      </c>
      <c r="O245">
        <v>1</v>
      </c>
      <c r="P245">
        <v>0</v>
      </c>
      <c r="Q245">
        <v>1</v>
      </c>
      <c r="R245">
        <v>1</v>
      </c>
      <c r="S245">
        <v>1</v>
      </c>
      <c r="T245" s="1">
        <f>SQRT(POWER(Octane[[#This Row],[angvel_X]],2) + POWER(Octane[[#This Row],[angvel_Y]],2) + POWER(Octane[[#This Row],[angvel_Z]],2))</f>
        <v>1.982500002522068</v>
      </c>
      <c r="U245" s="1">
        <f>DEGREES(ASIN(MAX(-1,MIN(1,2 * (Octane[[#This Row],[quart_W]]*Octane[[#This Row],[quart_Y]] - Octane[[#This Row],[quart_Z]]*Octane[[#This Row],[quart_X]])))))</f>
        <v>0.54875447090161744</v>
      </c>
      <c r="V24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154.26418941010829</v>
      </c>
      <c r="W24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89.999731835660398</v>
      </c>
      <c r="X245" s="1">
        <f>IF(Octane[[#This Row],[Yaw]]&gt;V244,(360-ABS(Octane[[#This Row],[Yaw]])-ABS(V244)),ABS(Octane[[#This Row],[Yaw]]-V244))</f>
        <v>0.94633104677888014</v>
      </c>
      <c r="Y245" s="1">
        <f>Octane[[#This Row],[Degree change]]+Y244</f>
        <v>174.88681566896258</v>
      </c>
      <c r="Z245" s="1">
        <f>SQRT(Octane[[#This Row],[vel_X]]*Octane[[#This Row],[vel_X]]+Octane[[#This Row],[vel_Y]]*Octane[[#This Row],[vel_Y]]+Octane[[#This Row],[vel_Z]]*Octane[[#This Row],[vel_Z]])</f>
        <v>2299.9955893098063</v>
      </c>
    </row>
    <row r="246" spans="1:26">
      <c r="A246">
        <v>245</v>
      </c>
      <c r="B246" s="1">
        <v>-1841</v>
      </c>
      <c r="C246" s="1">
        <v>1045.1899410000001</v>
      </c>
      <c r="D246" s="1">
        <v>17.010000000000002</v>
      </c>
      <c r="E246" s="1">
        <v>905.01995799999997</v>
      </c>
      <c r="F246" s="1">
        <v>-2114.429932</v>
      </c>
      <c r="G246" s="1">
        <v>8.11</v>
      </c>
      <c r="H246" s="1">
        <v>1E-4</v>
      </c>
      <c r="I246" s="1">
        <v>0</v>
      </c>
      <c r="J246" s="1">
        <v>1.9824999999999999</v>
      </c>
      <c r="K246" s="1">
        <v>2.5170000000000001E-3</v>
      </c>
      <c r="L246" s="1">
        <v>4.0759999999999998E-3</v>
      </c>
      <c r="M246" s="1">
        <v>-0.52485400000000004</v>
      </c>
      <c r="N246" s="1">
        <v>0.85117900000000002</v>
      </c>
      <c r="O246">
        <v>1</v>
      </c>
      <c r="P246">
        <v>0</v>
      </c>
      <c r="Q246">
        <v>1</v>
      </c>
      <c r="R246">
        <v>1</v>
      </c>
      <c r="S246">
        <v>1</v>
      </c>
      <c r="T246" s="1">
        <f>SQRT(POWER(Octane[[#This Row],[angvel_X]],2) + POWER(Octane[[#This Row],[angvel_Y]],2) + POWER(Octane[[#This Row],[angvel_Z]],2))</f>
        <v>1.982500002522068</v>
      </c>
      <c r="U246" s="1">
        <f>DEGREES(ASIN(MAX(-1,MIN(1,2 * (Octane[[#This Row],[quart_W]]*Octane[[#This Row],[quart_Y]] - Octane[[#This Row],[quart_Z]]*Octane[[#This Row],[quart_X]])))))</f>
        <v>0.54895503630238196</v>
      </c>
      <c r="V24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153.31764504873945</v>
      </c>
      <c r="W24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89.999643301472517</v>
      </c>
      <c r="X246" s="1">
        <f>IF(Octane[[#This Row],[Yaw]]&gt;V245,(360-ABS(Octane[[#This Row],[Yaw]])-ABS(V245)),ABS(Octane[[#This Row],[Yaw]]-V245))</f>
        <v>0.94654436136883646</v>
      </c>
      <c r="Y246" s="1">
        <f>Octane[[#This Row],[Degree change]]+Y245</f>
        <v>175.83336003033142</v>
      </c>
      <c r="Z246" s="1">
        <f>SQRT(Octane[[#This Row],[vel_X]]*Octane[[#This Row],[vel_X]]+Octane[[#This Row],[vel_Y]]*Octane[[#This Row],[vel_Y]]+Octane[[#This Row],[vel_Z]]*Octane[[#This Row],[vel_Z]])</f>
        <v>2299.9871377500886</v>
      </c>
    </row>
    <row r="247" spans="1:26">
      <c r="A247">
        <v>246</v>
      </c>
      <c r="B247" s="1">
        <v>-1833.429932</v>
      </c>
      <c r="C247" s="1">
        <v>1027.51001</v>
      </c>
      <c r="D247" s="1">
        <v>17.010000000000002</v>
      </c>
      <c r="E247" s="1">
        <v>939.82995600000004</v>
      </c>
      <c r="F247" s="1">
        <v>-2099.1999510000001</v>
      </c>
      <c r="G247" s="1">
        <v>8.11</v>
      </c>
      <c r="H247" s="1">
        <v>1E-4</v>
      </c>
      <c r="I247" s="1">
        <v>0</v>
      </c>
      <c r="J247" s="1">
        <v>1.9824999999999999</v>
      </c>
      <c r="K247" s="1">
        <v>2.4840000000000001E-3</v>
      </c>
      <c r="L247" s="1">
        <v>4.0969999999999999E-3</v>
      </c>
      <c r="M247" s="1">
        <v>-0.51780300000000001</v>
      </c>
      <c r="N247" s="1">
        <v>0.855487</v>
      </c>
      <c r="O247">
        <v>1</v>
      </c>
      <c r="P247">
        <v>0</v>
      </c>
      <c r="Q247">
        <v>1</v>
      </c>
      <c r="R247">
        <v>1</v>
      </c>
      <c r="S247">
        <v>1</v>
      </c>
      <c r="T247" s="1">
        <f>SQRT(POWER(Octane[[#This Row],[angvel_X]],2) + POWER(Octane[[#This Row],[angvel_Y]],2) + POWER(Octane[[#This Row],[angvel_Z]],2))</f>
        <v>1.982500002522068</v>
      </c>
      <c r="U247" s="1">
        <f>DEGREES(ASIN(MAX(-1,MIN(1,2 * (Octane[[#This Row],[quart_W]]*Octane[[#This Row],[quart_Y]] - Octane[[#This Row],[quart_Z]]*Octane[[#This Row],[quart_X]])))))</f>
        <v>0.54903408163601486</v>
      </c>
      <c r="V24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152.37080101540954</v>
      </c>
      <c r="W24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89.999588503789468</v>
      </c>
      <c r="X247" s="1">
        <f>IF(Octane[[#This Row],[Yaw]]&gt;V246,(360-ABS(Octane[[#This Row],[Yaw]])-ABS(V246)),ABS(Octane[[#This Row],[Yaw]]-V246))</f>
        <v>0.94684403332990996</v>
      </c>
      <c r="Y247" s="1">
        <f>Octane[[#This Row],[Degree change]]+Y246</f>
        <v>176.78020406366133</v>
      </c>
      <c r="Z247" s="1">
        <f>SQRT(Octane[[#This Row],[vel_X]]*Octane[[#This Row],[vel_X]]+Octane[[#This Row],[vel_Y]]*Octane[[#This Row],[vel_Y]]+Octane[[#This Row],[vel_Z]]*Octane[[#This Row],[vel_Z]])</f>
        <v>2299.9970766445258</v>
      </c>
    </row>
    <row r="248" spans="1:26">
      <c r="A248">
        <v>247</v>
      </c>
      <c r="B248" s="1">
        <v>-1825.5699460000001</v>
      </c>
      <c r="C248" s="1">
        <v>1009.959961</v>
      </c>
      <c r="D248" s="1">
        <v>17.010000000000002</v>
      </c>
      <c r="E248" s="1">
        <v>974.38000499999998</v>
      </c>
      <c r="F248" s="1">
        <v>-2083.3798830000001</v>
      </c>
      <c r="G248" s="1">
        <v>8.11</v>
      </c>
      <c r="H248" s="1">
        <v>1E-4</v>
      </c>
      <c r="I248" s="1">
        <v>0</v>
      </c>
      <c r="J248" s="1">
        <v>1.9824999999999999</v>
      </c>
      <c r="K248" s="1">
        <v>2.4520000000000002E-3</v>
      </c>
      <c r="L248" s="1">
        <v>4.1190000000000003E-3</v>
      </c>
      <c r="M248" s="1">
        <v>-0.51071900000000003</v>
      </c>
      <c r="N248" s="1">
        <v>0.859734</v>
      </c>
      <c r="O248">
        <v>1</v>
      </c>
      <c r="P248">
        <v>0</v>
      </c>
      <c r="Q248">
        <v>1</v>
      </c>
      <c r="R248">
        <v>1</v>
      </c>
      <c r="S248">
        <v>1</v>
      </c>
      <c r="T248" s="1">
        <f>SQRT(POWER(Octane[[#This Row],[angvel_X]],2) + POWER(Octane[[#This Row],[angvel_Y]],2) + POWER(Octane[[#This Row],[angvel_Z]],2))</f>
        <v>1.982500002522068</v>
      </c>
      <c r="U248" s="1">
        <f>DEGREES(ASIN(MAX(-1,MIN(1,2 * (Octane[[#This Row],[quart_W]]*Octane[[#This Row],[quart_Y]] - Octane[[#This Row],[quart_Z]]*Octane[[#This Row],[quart_X]])))))</f>
        <v>0.54930618526003983</v>
      </c>
      <c r="V24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151.42423802426717</v>
      </c>
      <c r="W24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89.999493916696863</v>
      </c>
      <c r="X248" s="1">
        <f>IF(Octane[[#This Row],[Yaw]]&gt;V247,(360-ABS(Octane[[#This Row],[Yaw]])-ABS(V247)),ABS(Octane[[#This Row],[Yaw]]-V247))</f>
        <v>0.94656299114237186</v>
      </c>
      <c r="Y248" s="1">
        <f>Octane[[#This Row],[Degree change]]+Y247</f>
        <v>177.7267670548037</v>
      </c>
      <c r="Z248" s="1">
        <f>SQRT(Octane[[#This Row],[vel_X]]*Octane[[#This Row],[vel_X]]+Octane[[#This Row],[vel_Y]]*Octane[[#This Row],[vel_Y]]+Octane[[#This Row],[vel_Z]]*Octane[[#This Row],[vel_Z]])</f>
        <v>2299.9899789201027</v>
      </c>
    </row>
    <row r="249" spans="1:26">
      <c r="A249">
        <v>248</v>
      </c>
      <c r="B249" s="1">
        <v>-1817.419922</v>
      </c>
      <c r="C249" s="1">
        <v>992.53997800000002</v>
      </c>
      <c r="D249" s="1">
        <v>17.010000000000002</v>
      </c>
      <c r="E249" s="1">
        <v>1008.669983</v>
      </c>
      <c r="F249" s="1">
        <v>-2067</v>
      </c>
      <c r="G249" s="1">
        <v>8.11</v>
      </c>
      <c r="H249" s="1">
        <v>1E-4</v>
      </c>
      <c r="I249" s="1">
        <v>0</v>
      </c>
      <c r="J249" s="1">
        <v>1.9824999999999999</v>
      </c>
      <c r="K249" s="1">
        <v>2.4199999999999998E-3</v>
      </c>
      <c r="L249" s="1">
        <v>4.1409999999999997E-3</v>
      </c>
      <c r="M249" s="1">
        <v>-0.50359799999999999</v>
      </c>
      <c r="N249" s="1">
        <v>0.86392500000000005</v>
      </c>
      <c r="O249">
        <v>1</v>
      </c>
      <c r="P249">
        <v>0</v>
      </c>
      <c r="Q249">
        <v>1</v>
      </c>
      <c r="R249">
        <v>1</v>
      </c>
      <c r="S249">
        <v>1</v>
      </c>
      <c r="T249" s="1">
        <f>SQRT(POWER(Octane[[#This Row],[angvel_X]],2) + POWER(Octane[[#This Row],[angvel_Y]],2) + POWER(Octane[[#This Row],[angvel_Z]],2))</f>
        <v>1.982500002522068</v>
      </c>
      <c r="U249" s="1">
        <f>DEGREES(ASIN(MAX(-1,MIN(1,2 * (Octane[[#This Row],[quart_W]]*Octane[[#This Row],[quart_Y]] - Octane[[#This Row],[quart_Z]]*Octane[[#This Row],[quart_X]])))))</f>
        <v>0.54961482328298539</v>
      </c>
      <c r="V24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150.47742851815488</v>
      </c>
      <c r="W24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89.999392730533486</v>
      </c>
      <c r="X249" s="1">
        <f>IF(Octane[[#This Row],[Yaw]]&gt;V248,(360-ABS(Octane[[#This Row],[Yaw]])-ABS(V248)),ABS(Octane[[#This Row],[Yaw]]-V248))</f>
        <v>0.94680950611228809</v>
      </c>
      <c r="Y249" s="1">
        <f>Octane[[#This Row],[Degree change]]+Y248</f>
        <v>178.67357656091599</v>
      </c>
      <c r="Z249" s="1">
        <f>SQRT(Octane[[#This Row],[vel_X]]*Octane[[#This Row],[vel_X]]+Octane[[#This Row],[vel_Y]]*Octane[[#This Row],[vel_Y]]+Octane[[#This Row],[vel_Z]]*Octane[[#This Row],[vel_Z]])</f>
        <v>2299.9934579700916</v>
      </c>
    </row>
    <row r="250" spans="1:26">
      <c r="A250">
        <v>249</v>
      </c>
      <c r="B250" s="1">
        <v>-1808.9799800000001</v>
      </c>
      <c r="C250" s="1">
        <v>975.25994900000001</v>
      </c>
      <c r="D250" s="1">
        <v>17.010000000000002</v>
      </c>
      <c r="E250" s="1">
        <v>1042.679932</v>
      </c>
      <c r="F250" s="1">
        <v>-2050.0500489999999</v>
      </c>
      <c r="G250" s="1">
        <v>8.11</v>
      </c>
      <c r="H250" s="1">
        <v>0</v>
      </c>
      <c r="I250" s="1">
        <v>0</v>
      </c>
      <c r="J250" s="1">
        <v>1.9824999999999999</v>
      </c>
      <c r="K250" s="1">
        <v>2.3869999999999998E-3</v>
      </c>
      <c r="L250" s="1">
        <v>4.1619999999999999E-3</v>
      </c>
      <c r="M250" s="1">
        <v>-0.49644500000000003</v>
      </c>
      <c r="N250" s="1">
        <v>0.86805500000000002</v>
      </c>
      <c r="O250">
        <v>1</v>
      </c>
      <c r="P250">
        <v>0</v>
      </c>
      <c r="Q250">
        <v>1</v>
      </c>
      <c r="R250">
        <v>1</v>
      </c>
      <c r="S250">
        <v>1</v>
      </c>
      <c r="T250" s="1">
        <f>SQRT(POWER(Octane[[#This Row],[angvel_X]],2) + POWER(Octane[[#This Row],[angvel_Y]],2) + POWER(Octane[[#This Row],[angvel_Z]],2))</f>
        <v>1.9824999999999999</v>
      </c>
      <c r="U250" s="1">
        <f>DEGREES(ASIN(MAX(-1,MIN(1,2 * (Octane[[#This Row],[quart_W]]*Octane[[#This Row],[quart_Y]] - Octane[[#This Row],[quart_Z]]*Octane[[#This Row],[quart_X]])))))</f>
        <v>0.54980259477815308</v>
      </c>
      <c r="V25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149.53091441999916</v>
      </c>
      <c r="W25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89.999330388346351</v>
      </c>
      <c r="X250" s="1">
        <f>IF(Octane[[#This Row],[Yaw]]&gt;V249,(360-ABS(Octane[[#This Row],[Yaw]])-ABS(V249)),ABS(Octane[[#This Row],[Yaw]]-V249))</f>
        <v>0.94651409815571697</v>
      </c>
      <c r="Y250" s="1">
        <f>Octane[[#This Row],[Degree change]]+Y249</f>
        <v>179.62009065907171</v>
      </c>
      <c r="Z250" s="1">
        <f>SQRT(Octane[[#This Row],[vel_X]]*Octane[[#This Row],[vel_X]]+Octane[[#This Row],[vel_Y]]*Octane[[#This Row],[vel_Y]]+Octane[[#This Row],[vel_Z]]*Octane[[#This Row],[vel_Z]])</f>
        <v>2299.9896556507438</v>
      </c>
    </row>
    <row r="251" spans="1:26">
      <c r="A251">
        <v>250</v>
      </c>
      <c r="B251" s="1">
        <v>-1800.26001</v>
      </c>
      <c r="C251" s="1">
        <v>958.11999500000002</v>
      </c>
      <c r="D251" s="1">
        <v>17.010000000000002</v>
      </c>
      <c r="E251" s="1">
        <v>1076.410034</v>
      </c>
      <c r="F251" s="1">
        <v>-2032.549927</v>
      </c>
      <c r="G251" s="1">
        <v>8.11</v>
      </c>
      <c r="H251" s="1">
        <v>0</v>
      </c>
      <c r="I251" s="1">
        <v>0</v>
      </c>
      <c r="J251" s="1">
        <v>1.9824999999999999</v>
      </c>
      <c r="K251" s="1">
        <v>2.3549999999999999E-3</v>
      </c>
      <c r="L251" s="1">
        <v>4.1840000000000002E-3</v>
      </c>
      <c r="M251" s="1">
        <v>-0.489259</v>
      </c>
      <c r="N251" s="1">
        <v>0.87212500000000004</v>
      </c>
      <c r="O251">
        <v>1</v>
      </c>
      <c r="P251">
        <v>0</v>
      </c>
      <c r="Q251">
        <v>1</v>
      </c>
      <c r="R251">
        <v>1</v>
      </c>
      <c r="S251">
        <v>1</v>
      </c>
      <c r="T251" s="1">
        <f>SQRT(POWER(Octane[[#This Row],[angvel_X]],2) + POWER(Octane[[#This Row],[angvel_Y]],2) + POWER(Octane[[#This Row],[angvel_Z]],2))</f>
        <v>1.9824999999999999</v>
      </c>
      <c r="U251" s="1">
        <f>DEGREES(ASIN(MAX(-1,MIN(1,2 * (Octane[[#This Row],[quart_W]]*Octane[[#This Row],[quart_Y]] - Octane[[#This Row],[quart_Z]]*Octane[[#This Row],[quart_X]])))))</f>
        <v>0.55018269186471924</v>
      </c>
      <c r="V25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148.58450662402458</v>
      </c>
      <c r="W25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89.999221346657848</v>
      </c>
      <c r="X251" s="1">
        <f>IF(Octane[[#This Row],[Yaw]]&gt;V250,(360-ABS(Octane[[#This Row],[Yaw]])-ABS(V250)),ABS(Octane[[#This Row],[Yaw]]-V250))</f>
        <v>0.94640779597457936</v>
      </c>
      <c r="Y251" s="1">
        <f>Octane[[#This Row],[Degree change]]+Y250</f>
        <v>180.56649845504629</v>
      </c>
      <c r="Z251" s="1">
        <f>SQRT(Octane[[#This Row],[vel_X]]*Octane[[#This Row],[vel_X]]+Octane[[#This Row],[vel_Y]]*Octane[[#This Row],[vel_Y]]+Octane[[#This Row],[vel_Z]]*Octane[[#This Row],[vel_Z]])</f>
        <v>2299.99642155017</v>
      </c>
    </row>
    <row r="252" spans="1:26">
      <c r="A252">
        <v>251</v>
      </c>
      <c r="B252" s="1">
        <v>-1791.25</v>
      </c>
      <c r="C252" s="1">
        <v>941.11999500000002</v>
      </c>
      <c r="D252" s="1">
        <v>17.010000000000002</v>
      </c>
      <c r="E252" s="1">
        <v>1109.839966</v>
      </c>
      <c r="F252" s="1">
        <v>-2014.48999</v>
      </c>
      <c r="G252" s="1">
        <v>8.11</v>
      </c>
      <c r="H252" s="1">
        <v>0</v>
      </c>
      <c r="I252" s="1">
        <v>0</v>
      </c>
      <c r="J252" s="1">
        <v>1.9824999999999999</v>
      </c>
      <c r="K252" s="1">
        <v>2.3219999999999998E-3</v>
      </c>
      <c r="L252" s="1">
        <v>4.2050000000000004E-3</v>
      </c>
      <c r="M252" s="1">
        <v>-0.48204000000000002</v>
      </c>
      <c r="N252" s="1">
        <v>0.87613600000000003</v>
      </c>
      <c r="O252">
        <v>1</v>
      </c>
      <c r="P252">
        <v>0</v>
      </c>
      <c r="Q252">
        <v>1</v>
      </c>
      <c r="R252">
        <v>1</v>
      </c>
      <c r="S252">
        <v>1</v>
      </c>
      <c r="T252" s="1">
        <f>SQRT(POWER(Octane[[#This Row],[angvel_X]],2) + POWER(Octane[[#This Row],[angvel_Y]],2) + POWER(Octane[[#This Row],[angvel_Z]],2))</f>
        <v>1.9824999999999999</v>
      </c>
      <c r="U252" s="1">
        <f>DEGREES(ASIN(MAX(-1,MIN(1,2 * (Octane[[#This Row],[quart_W]]*Octane[[#This Row],[quart_Y]] - Octane[[#This Row],[quart_Z]]*Octane[[#This Row],[quart_X]])))))</f>
        <v>0.55044314929266924</v>
      </c>
      <c r="V25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147.63816723588377</v>
      </c>
      <c r="W25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89.999150884116531</v>
      </c>
      <c r="X252" s="1">
        <f>IF(Octane[[#This Row],[Yaw]]&gt;V251,(360-ABS(Octane[[#This Row],[Yaw]])-ABS(V251)),ABS(Octane[[#This Row],[Yaw]]-V251))</f>
        <v>0.94633938814081375</v>
      </c>
      <c r="Y252" s="1">
        <f>Octane[[#This Row],[Degree change]]+Y251</f>
        <v>181.5128378431871</v>
      </c>
      <c r="Z252" s="1">
        <f>SQRT(Octane[[#This Row],[vel_X]]*Octane[[#This Row],[vel_X]]+Octane[[#This Row],[vel_Y]]*Octane[[#This Row],[vel_Y]]+Octane[[#This Row],[vel_Z]]*Octane[[#This Row],[vel_Z]])</f>
        <v>2299.9957482658701</v>
      </c>
    </row>
    <row r="253" spans="1:26">
      <c r="A253">
        <v>252</v>
      </c>
      <c r="B253" s="1">
        <v>-1781.959961</v>
      </c>
      <c r="C253" s="1">
        <v>924.26995799999997</v>
      </c>
      <c r="D253" s="1">
        <v>17.010000000000002</v>
      </c>
      <c r="E253" s="1">
        <v>1142.969971</v>
      </c>
      <c r="F253" s="1">
        <v>-1995.880005</v>
      </c>
      <c r="G253" s="1">
        <v>8.11</v>
      </c>
      <c r="H253" s="1">
        <v>0</v>
      </c>
      <c r="I253" s="1">
        <v>0</v>
      </c>
      <c r="J253" s="1">
        <v>1.9824999999999999</v>
      </c>
      <c r="K253" s="1">
        <v>2.2899999999999999E-3</v>
      </c>
      <c r="L253" s="1">
        <v>4.2269999999999999E-3</v>
      </c>
      <c r="M253" s="1">
        <v>-0.47478399999999998</v>
      </c>
      <c r="N253" s="1">
        <v>0.88008900000000001</v>
      </c>
      <c r="O253">
        <v>1</v>
      </c>
      <c r="P253">
        <v>0</v>
      </c>
      <c r="Q253">
        <v>1</v>
      </c>
      <c r="R253">
        <v>1</v>
      </c>
      <c r="S253">
        <v>1</v>
      </c>
      <c r="T253" s="1">
        <f>SQRT(POWER(Octane[[#This Row],[angvel_X]],2) + POWER(Octane[[#This Row],[angvel_Y]],2) + POWER(Octane[[#This Row],[angvel_Z]],2))</f>
        <v>1.9824999999999999</v>
      </c>
      <c r="U253" s="1">
        <f>DEGREES(ASIN(MAX(-1,MIN(1,2 * (Octane[[#This Row],[quart_W]]*Octane[[#This Row],[quart_Y]] - Octane[[#This Row],[quart_Z]]*Octane[[#This Row],[quart_X]])))))</f>
        <v>0.55089498210335863</v>
      </c>
      <c r="V25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146.69127745475089</v>
      </c>
      <c r="W25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89.99902686160469</v>
      </c>
      <c r="X253" s="1">
        <f>IF(Octane[[#This Row],[Yaw]]&gt;V252,(360-ABS(Octane[[#This Row],[Yaw]])-ABS(V252)),ABS(Octane[[#This Row],[Yaw]]-V252))</f>
        <v>0.94688978113288158</v>
      </c>
      <c r="Y253" s="1">
        <f>Octane[[#This Row],[Degree change]]+Y252</f>
        <v>182.45972762431998</v>
      </c>
      <c r="Z253" s="1">
        <f>SQRT(Octane[[#This Row],[vel_X]]*Octane[[#This Row],[vel_X]]+Octane[[#This Row],[vel_Y]]*Octane[[#This Row],[vel_Y]]+Octane[[#This Row],[vel_Z]]*Octane[[#This Row],[vel_Z]])</f>
        <v>2299.9963306637123</v>
      </c>
    </row>
    <row r="254" spans="1:26">
      <c r="A254">
        <v>253</v>
      </c>
      <c r="B254" s="1">
        <v>-1772.3999020000001</v>
      </c>
      <c r="C254" s="1">
        <v>907.57995600000004</v>
      </c>
      <c r="D254" s="1">
        <v>17.010000000000002</v>
      </c>
      <c r="E254" s="1">
        <v>1175.7899170000001</v>
      </c>
      <c r="F254" s="1">
        <v>-1976.719971</v>
      </c>
      <c r="G254" s="1">
        <v>8.11</v>
      </c>
      <c r="H254" s="1">
        <v>-1E-4</v>
      </c>
      <c r="I254" s="1">
        <v>0</v>
      </c>
      <c r="J254" s="1">
        <v>1.9824999999999999</v>
      </c>
      <c r="K254" s="1">
        <v>2.258E-3</v>
      </c>
      <c r="L254" s="1">
        <v>4.2430000000000002E-3</v>
      </c>
      <c r="M254" s="1">
        <v>-0.46749600000000002</v>
      </c>
      <c r="N254" s="1">
        <v>0.88398200000000005</v>
      </c>
      <c r="O254">
        <v>1</v>
      </c>
      <c r="P254">
        <v>0</v>
      </c>
      <c r="Q254">
        <v>1</v>
      </c>
      <c r="R254">
        <v>1</v>
      </c>
      <c r="S254">
        <v>1</v>
      </c>
      <c r="T254" s="1">
        <f>SQRT(POWER(Octane[[#This Row],[angvel_X]],2) + POWER(Octane[[#This Row],[angvel_Y]],2) + POWER(Octane[[#This Row],[angvel_Z]],2))</f>
        <v>1.982500002522068</v>
      </c>
      <c r="U254" s="1">
        <f>DEGREES(ASIN(MAX(-1,MIN(1,2 * (Octane[[#This Row],[quart_W]]*Octane[[#This Row],[quart_Y]] - Octane[[#This Row],[quart_Z]]*Octane[[#This Row],[quart_X]])))))</f>
        <v>0.55077465895822597</v>
      </c>
      <c r="V25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145.74444725052558</v>
      </c>
      <c r="W25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89.998573747268921</v>
      </c>
      <c r="X254" s="1">
        <f>IF(Octane[[#This Row],[Yaw]]&gt;V253,(360-ABS(Octane[[#This Row],[Yaw]])-ABS(V253)),ABS(Octane[[#This Row],[Yaw]]-V253))</f>
        <v>0.94683020422530717</v>
      </c>
      <c r="Y254" s="1">
        <f>Octane[[#This Row],[Degree change]]+Y253</f>
        <v>183.40655782854529</v>
      </c>
      <c r="Z254" s="1">
        <f>SQRT(Octane[[#This Row],[vel_X]]*Octane[[#This Row],[vel_X]]+Octane[[#This Row],[vel_Y]]*Octane[[#This Row],[vel_Y]]+Octane[[#This Row],[vel_Z]]*Octane[[#This Row],[vel_Z]])</f>
        <v>2299.9933792881029</v>
      </c>
    </row>
    <row r="255" spans="1:26">
      <c r="A255">
        <v>254</v>
      </c>
      <c r="B255" s="1">
        <v>-1762.559937</v>
      </c>
      <c r="C255" s="1">
        <v>891.04998799999998</v>
      </c>
      <c r="D255" s="1">
        <v>17.010000000000002</v>
      </c>
      <c r="E255" s="1">
        <v>1208.2899170000001</v>
      </c>
      <c r="F255" s="1">
        <v>-1957.0198969999999</v>
      </c>
      <c r="G255" s="1">
        <v>8.11</v>
      </c>
      <c r="H255" s="1">
        <v>-1E-4</v>
      </c>
      <c r="I255" s="1">
        <v>0</v>
      </c>
      <c r="J255" s="1">
        <v>1.9824999999999999</v>
      </c>
      <c r="K255" s="1">
        <v>2.2200000000000002E-3</v>
      </c>
      <c r="L255" s="1">
        <v>4.2589999999999998E-3</v>
      </c>
      <c r="M255" s="1">
        <v>-0.46018100000000001</v>
      </c>
      <c r="N255" s="1">
        <v>0.88781200000000005</v>
      </c>
      <c r="O255">
        <v>1</v>
      </c>
      <c r="P255">
        <v>0</v>
      </c>
      <c r="Q255">
        <v>1</v>
      </c>
      <c r="R255">
        <v>1</v>
      </c>
      <c r="S255">
        <v>1</v>
      </c>
      <c r="T255" s="1">
        <f>SQRT(POWER(Octane[[#This Row],[angvel_X]],2) + POWER(Octane[[#This Row],[angvel_Y]],2) + POWER(Octane[[#This Row],[angvel_Z]],2))</f>
        <v>1.982500002522068</v>
      </c>
      <c r="U255" s="1">
        <f>DEGREES(ASIN(MAX(-1,MIN(1,2 * (Octane[[#This Row],[quart_W]]*Octane[[#This Row],[quart_Y]] - Octane[[#This Row],[quart_Z]]*Octane[[#This Row],[quart_X]])))))</f>
        <v>0.55036801593291296</v>
      </c>
      <c r="V25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144.79825044994035</v>
      </c>
      <c r="W25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89.998735794984356</v>
      </c>
      <c r="X255" s="1">
        <f>IF(Octane[[#This Row],[Yaw]]&gt;V254,(360-ABS(Octane[[#This Row],[Yaw]])-ABS(V254)),ABS(Octane[[#This Row],[Yaw]]-V254))</f>
        <v>0.94619680058522704</v>
      </c>
      <c r="Y255" s="1">
        <f>Octane[[#This Row],[Degree change]]+Y254</f>
        <v>184.35275462913052</v>
      </c>
      <c r="Z255" s="1">
        <f>SQRT(Octane[[#This Row],[vel_X]]*Octane[[#This Row],[vel_X]]+Octane[[#This Row],[vel_Y]]*Octane[[#This Row],[vel_Y]]+Octane[[#This Row],[vel_Z]]*Octane[[#This Row],[vel_Z]])</f>
        <v>2299.9906897371902</v>
      </c>
    </row>
    <row r="256" spans="1:26">
      <c r="A256">
        <v>255</v>
      </c>
      <c r="B256" s="1">
        <v>-1752.4499510000001</v>
      </c>
      <c r="C256" s="1">
        <v>874.69000200000005</v>
      </c>
      <c r="D256" s="1">
        <v>17.010000000000002</v>
      </c>
      <c r="E256" s="1">
        <v>1240.459961</v>
      </c>
      <c r="F256" s="1">
        <v>-1936.7899170000001</v>
      </c>
      <c r="G256" s="1">
        <v>8.11</v>
      </c>
      <c r="H256" s="1">
        <v>-1E-4</v>
      </c>
      <c r="I256" s="1">
        <v>0</v>
      </c>
      <c r="J256" s="1">
        <v>1.9824999999999999</v>
      </c>
      <c r="K256" s="1">
        <v>2.1819999999999999E-3</v>
      </c>
      <c r="L256" s="1">
        <v>4.2750000000000002E-3</v>
      </c>
      <c r="M256" s="1">
        <v>-0.45283299999999999</v>
      </c>
      <c r="N256" s="1">
        <v>0.89158199999999999</v>
      </c>
      <c r="O256">
        <v>1</v>
      </c>
      <c r="P256">
        <v>0</v>
      </c>
      <c r="Q256">
        <v>1</v>
      </c>
      <c r="R256">
        <v>1</v>
      </c>
      <c r="S256">
        <v>1</v>
      </c>
      <c r="T256" s="1">
        <f>SQRT(POWER(Octane[[#This Row],[angvel_X]],2) + POWER(Octane[[#This Row],[angvel_Y]],2) + POWER(Octane[[#This Row],[angvel_Z]],2))</f>
        <v>1.982500002522068</v>
      </c>
      <c r="U256" s="1">
        <f>DEGREES(ASIN(MAX(-1,MIN(1,2 * (Octane[[#This Row],[quart_W]]*Octane[[#This Row],[quart_Y]] - Octane[[#This Row],[quart_Z]]*Octane[[#This Row],[quart_X]])))))</f>
        <v>0.55000148114121494</v>
      </c>
      <c r="V25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143.85183599816025</v>
      </c>
      <c r="W25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89.998903210959114</v>
      </c>
      <c r="X256" s="1">
        <f>IF(Octane[[#This Row],[Yaw]]&gt;V255,(360-ABS(Octane[[#This Row],[Yaw]])-ABS(V255)),ABS(Octane[[#This Row],[Yaw]]-V255))</f>
        <v>0.94641445178010031</v>
      </c>
      <c r="Y256" s="1">
        <f>Octane[[#This Row],[Degree change]]+Y255</f>
        <v>185.29916908091062</v>
      </c>
      <c r="Z256" s="1">
        <f>SQRT(Octane[[#This Row],[vel_X]]*Octane[[#This Row],[vel_X]]+Octane[[#This Row],[vel_Y]]*Octane[[#This Row],[vel_Y]]+Octane[[#This Row],[vel_Z]]*Octane[[#This Row],[vel_Z]])</f>
        <v>2299.9917107539732</v>
      </c>
    </row>
    <row r="257" spans="1:26">
      <c r="A257">
        <v>256</v>
      </c>
      <c r="B257" s="1">
        <v>-1742.0699460000001</v>
      </c>
      <c r="C257" s="1">
        <v>858.48999000000003</v>
      </c>
      <c r="D257" s="1">
        <v>17.010000000000002</v>
      </c>
      <c r="E257" s="1">
        <v>1272.2899170000001</v>
      </c>
      <c r="F257" s="1">
        <v>-1916.0299070000001</v>
      </c>
      <c r="G257" s="1">
        <v>8.11</v>
      </c>
      <c r="H257" s="1">
        <v>-1E-4</v>
      </c>
      <c r="I257" s="1">
        <v>0</v>
      </c>
      <c r="J257" s="1">
        <v>1.9824999999999999</v>
      </c>
      <c r="K257" s="1">
        <v>2.1440000000000001E-3</v>
      </c>
      <c r="L257" s="1">
        <v>4.2919999999999998E-3</v>
      </c>
      <c r="M257" s="1">
        <v>-0.44545299999999999</v>
      </c>
      <c r="N257" s="1">
        <v>0.89529300000000001</v>
      </c>
      <c r="O257">
        <v>1</v>
      </c>
      <c r="P257">
        <v>0</v>
      </c>
      <c r="Q257">
        <v>1</v>
      </c>
      <c r="R257">
        <v>1</v>
      </c>
      <c r="S257">
        <v>1</v>
      </c>
      <c r="T257" s="1">
        <f>SQRT(POWER(Octane[[#This Row],[angvel_X]],2) + POWER(Octane[[#This Row],[angvel_Y]],2) + POWER(Octane[[#This Row],[angvel_Z]],2))</f>
        <v>1.982500002522068</v>
      </c>
      <c r="U257" s="1">
        <f>DEGREES(ASIN(MAX(-1,MIN(1,2 * (Octane[[#This Row],[quart_W]]*Octane[[#This Row],[quart_Y]] - Octane[[#This Row],[quart_Z]]*Octane[[#This Row],[quart_X]])))))</f>
        <v>0.54977849082370556</v>
      </c>
      <c r="V25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142.90531874865022</v>
      </c>
      <c r="W25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89.999126323359178</v>
      </c>
      <c r="X257" s="1">
        <f>IF(Octane[[#This Row],[Yaw]]&gt;V256,(360-ABS(Octane[[#This Row],[Yaw]])-ABS(V256)),ABS(Octane[[#This Row],[Yaw]]-V256))</f>
        <v>0.94651724951003757</v>
      </c>
      <c r="Y257" s="1">
        <f>Octane[[#This Row],[Degree change]]+Y256</f>
        <v>186.24568633042065</v>
      </c>
      <c r="Z257" s="1">
        <f>SQRT(Octane[[#This Row],[vel_X]]*Octane[[#This Row],[vel_X]]+Octane[[#This Row],[vel_Y]]*Octane[[#This Row],[vel_Y]]+Octane[[#This Row],[vel_Z]]*Octane[[#This Row],[vel_Z]])</f>
        <v>2299.9908716162972</v>
      </c>
    </row>
    <row r="258" spans="1:26">
      <c r="A258">
        <v>257</v>
      </c>
      <c r="B258" s="1">
        <v>-1731.429932</v>
      </c>
      <c r="C258" s="1">
        <v>842.46997099999999</v>
      </c>
      <c r="D258" s="1">
        <v>17.010000000000002</v>
      </c>
      <c r="E258" s="1">
        <v>1303.7700199999999</v>
      </c>
      <c r="F258" s="1">
        <v>-1894.75</v>
      </c>
      <c r="G258" s="1">
        <v>8.11</v>
      </c>
      <c r="H258" s="1">
        <v>-1E-4</v>
      </c>
      <c r="I258" s="1">
        <v>0</v>
      </c>
      <c r="J258" s="1">
        <v>1.9824999999999999</v>
      </c>
      <c r="K258" s="1">
        <v>2.1069999999999999E-3</v>
      </c>
      <c r="L258" s="1">
        <v>4.3080000000000002E-3</v>
      </c>
      <c r="M258" s="1">
        <v>-0.43803999999999998</v>
      </c>
      <c r="N258" s="1">
        <v>0.89894300000000005</v>
      </c>
      <c r="O258">
        <v>1</v>
      </c>
      <c r="P258">
        <v>0</v>
      </c>
      <c r="Q258">
        <v>1</v>
      </c>
      <c r="R258">
        <v>1</v>
      </c>
      <c r="S258">
        <v>1</v>
      </c>
      <c r="T258" s="1">
        <f>SQRT(POWER(Octane[[#This Row],[angvel_X]],2) + POWER(Octane[[#This Row],[angvel_Y]],2) + POWER(Octane[[#This Row],[angvel_Z]],2))</f>
        <v>1.982500002522068</v>
      </c>
      <c r="U258" s="1">
        <f>DEGREES(ASIN(MAX(-1,MIN(1,2 * (Octane[[#This Row],[quart_W]]*Octane[[#This Row],[quart_Y]] - Octane[[#This Row],[quart_Z]]*Octane[[#This Row],[quart_X]])))))</f>
        <v>0.54954333078954376</v>
      </c>
      <c r="V25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141.95843214204049</v>
      </c>
      <c r="W25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89.999198213995953</v>
      </c>
      <c r="X258" s="1">
        <f>IF(Octane[[#This Row],[Yaw]]&gt;V257,(360-ABS(Octane[[#This Row],[Yaw]])-ABS(V257)),ABS(Octane[[#This Row],[Yaw]]-V257))</f>
        <v>0.94688660660972346</v>
      </c>
      <c r="Y258" s="1">
        <f>Octane[[#This Row],[Degree change]]+Y257</f>
        <v>187.19257293703038</v>
      </c>
      <c r="Z258" s="1">
        <f>SQRT(Octane[[#This Row],[vel_X]]*Octane[[#This Row],[vel_X]]+Octane[[#This Row],[vel_Y]]*Octane[[#This Row],[vel_Y]]+Octane[[#This Row],[vel_Z]]*Octane[[#This Row],[vel_Z]])</f>
        <v>2299.9912172986228</v>
      </c>
    </row>
    <row r="259" spans="1:26">
      <c r="A259">
        <v>258</v>
      </c>
      <c r="B259" s="1">
        <v>-1720.5200199999999</v>
      </c>
      <c r="C259" s="1">
        <v>826.63000499999998</v>
      </c>
      <c r="D259" s="1">
        <v>17.010000000000002</v>
      </c>
      <c r="E259" s="1">
        <v>1334.8900149999999</v>
      </c>
      <c r="F259" s="1">
        <v>-1872.9499510000001</v>
      </c>
      <c r="G259" s="1">
        <v>8.11</v>
      </c>
      <c r="H259" s="1">
        <v>0</v>
      </c>
      <c r="I259" s="1">
        <v>0</v>
      </c>
      <c r="J259" s="1">
        <v>1.9824999999999999</v>
      </c>
      <c r="K259" s="1">
        <v>2.0690000000000001E-3</v>
      </c>
      <c r="L259" s="1">
        <v>4.3239999999999997E-3</v>
      </c>
      <c r="M259" s="1">
        <v>-0.43060100000000001</v>
      </c>
      <c r="N259" s="1">
        <v>0.90253000000000005</v>
      </c>
      <c r="O259">
        <v>1</v>
      </c>
      <c r="P259">
        <v>0</v>
      </c>
      <c r="Q259">
        <v>1</v>
      </c>
      <c r="R259">
        <v>1</v>
      </c>
      <c r="S259">
        <v>1</v>
      </c>
      <c r="T259" s="1">
        <f>SQRT(POWER(Octane[[#This Row],[angvel_X]],2) + POWER(Octane[[#This Row],[angvel_Y]],2) + POWER(Octane[[#This Row],[angvel_Z]],2))</f>
        <v>1.9824999999999999</v>
      </c>
      <c r="U259" s="1">
        <f>DEGREES(ASIN(MAX(-1,MIN(1,2 * (Octane[[#This Row],[quart_W]]*Octane[[#This Row],[quart_Y]] - Octane[[#This Row],[quart_Z]]*Octane[[#This Row],[quart_X]])))))</f>
        <v>0.54929768847841642</v>
      </c>
      <c r="V25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141.01204977994948</v>
      </c>
      <c r="W25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89.999379361241694</v>
      </c>
      <c r="X259" s="1">
        <f>IF(Octane[[#This Row],[Yaw]]&gt;V258,(360-ABS(Octane[[#This Row],[Yaw]])-ABS(V258)),ABS(Octane[[#This Row],[Yaw]]-V258))</f>
        <v>0.94638236209101478</v>
      </c>
      <c r="Y259" s="1">
        <f>Octane[[#This Row],[Degree change]]+Y258</f>
        <v>188.13895529912139</v>
      </c>
      <c r="Z259" s="1">
        <f>SQRT(Octane[[#This Row],[vel_X]]*Octane[[#This Row],[vel_X]]+Octane[[#This Row],[vel_Y]]*Octane[[#This Row],[vel_Y]]+Octane[[#This Row],[vel_Z]]*Octane[[#This Row],[vel_Z]])</f>
        <v>2299.9866615260189</v>
      </c>
    </row>
    <row r="260" spans="1:26">
      <c r="A260">
        <v>259</v>
      </c>
      <c r="B260" s="1">
        <v>-1709.349976</v>
      </c>
      <c r="C260" s="1">
        <v>810.96997099999999</v>
      </c>
      <c r="D260" s="1">
        <v>17.010000000000002</v>
      </c>
      <c r="E260" s="1">
        <v>1365.650024</v>
      </c>
      <c r="F260" s="1">
        <v>-1850.6499020000001</v>
      </c>
      <c r="G260" s="1">
        <v>8.11</v>
      </c>
      <c r="H260" s="1">
        <v>0</v>
      </c>
      <c r="I260" s="1">
        <v>0</v>
      </c>
      <c r="J260" s="1">
        <v>1.9824999999999999</v>
      </c>
      <c r="K260" s="1">
        <v>2.0309999999999998E-3</v>
      </c>
      <c r="L260" s="1">
        <v>4.3400000000000001E-3</v>
      </c>
      <c r="M260" s="1">
        <v>-0.42312899999999998</v>
      </c>
      <c r="N260" s="1">
        <v>0.906057</v>
      </c>
      <c r="O260">
        <v>1</v>
      </c>
      <c r="P260">
        <v>0</v>
      </c>
      <c r="Q260">
        <v>1</v>
      </c>
      <c r="R260">
        <v>1</v>
      </c>
      <c r="S260">
        <v>1</v>
      </c>
      <c r="T260" s="1">
        <f>SQRT(POWER(Octane[[#This Row],[angvel_X]],2) + POWER(Octane[[#This Row],[angvel_Y]],2) + POWER(Octane[[#This Row],[angvel_Z]],2))</f>
        <v>1.9824999999999999</v>
      </c>
      <c r="U260" s="1">
        <f>DEGREES(ASIN(MAX(-1,MIN(1,2 * (Octane[[#This Row],[quart_W]]*Octane[[#This Row],[quart_Y]] - Octane[[#This Row],[quart_Z]]*Octane[[#This Row],[quart_X]])))))</f>
        <v>0.54909246734109163</v>
      </c>
      <c r="V26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140.06520421797936</v>
      </c>
      <c r="W26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89.999562021605968</v>
      </c>
      <c r="X260" s="1">
        <f>IF(Octane[[#This Row],[Yaw]]&gt;V259,(360-ABS(Octane[[#This Row],[Yaw]])-ABS(V259)),ABS(Octane[[#This Row],[Yaw]]-V259))</f>
        <v>0.94684556197012171</v>
      </c>
      <c r="Y260" s="1">
        <f>Octane[[#This Row],[Degree change]]+Y259</f>
        <v>189.08580086109151</v>
      </c>
      <c r="Z260" s="1">
        <f>SQRT(Octane[[#This Row],[vel_X]]*Octane[[#This Row],[vel_X]]+Octane[[#This Row],[vel_Y]]*Octane[[#This Row],[vel_Y]]+Octane[[#This Row],[vel_Z]]*Octane[[#This Row],[vel_Z]])</f>
        <v>2299.9936564964282</v>
      </c>
    </row>
    <row r="261" spans="1:26">
      <c r="A261">
        <v>260</v>
      </c>
      <c r="B261" s="1">
        <v>-1697.929932</v>
      </c>
      <c r="C261" s="1">
        <v>795.5</v>
      </c>
      <c r="D261" s="1">
        <v>17.010000000000002</v>
      </c>
      <c r="E261" s="1">
        <v>1396.0399170000001</v>
      </c>
      <c r="F261" s="1">
        <v>-1827.839966</v>
      </c>
      <c r="G261" s="1">
        <v>8.11</v>
      </c>
      <c r="H261" s="1">
        <v>0</v>
      </c>
      <c r="I261" s="1">
        <v>0</v>
      </c>
      <c r="J261" s="1">
        <v>1.9824999999999999</v>
      </c>
      <c r="K261" s="1">
        <v>1.993E-3</v>
      </c>
      <c r="L261" s="1">
        <v>4.3559999999999996E-3</v>
      </c>
      <c r="M261" s="1">
        <v>-0.41563</v>
      </c>
      <c r="N261" s="1">
        <v>0.90952100000000002</v>
      </c>
      <c r="O261">
        <v>1</v>
      </c>
      <c r="P261">
        <v>0</v>
      </c>
      <c r="Q261">
        <v>1</v>
      </c>
      <c r="R261">
        <v>1</v>
      </c>
      <c r="S261">
        <v>1</v>
      </c>
      <c r="T261" s="1">
        <f>SQRT(POWER(Octane[[#This Row],[angvel_X]],2) + POWER(Octane[[#This Row],[angvel_Y]],2) + POWER(Octane[[#This Row],[angvel_Z]],2))</f>
        <v>1.9824999999999999</v>
      </c>
      <c r="U261" s="1">
        <f>DEGREES(ASIN(MAX(-1,MIN(1,2 * (Octane[[#This Row],[quart_W]]*Octane[[#This Row],[quart_Y]] - Octane[[#This Row],[quart_Z]]*Octane[[#This Row],[quart_X]])))))</f>
        <v>0.54892764124532822</v>
      </c>
      <c r="V26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139.11858805066706</v>
      </c>
      <c r="W26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89.999748910005579</v>
      </c>
      <c r="X261" s="1">
        <f>IF(Octane[[#This Row],[Yaw]]&gt;V260,(360-ABS(Octane[[#This Row],[Yaw]])-ABS(V260)),ABS(Octane[[#This Row],[Yaw]]-V260))</f>
        <v>0.94661616731229969</v>
      </c>
      <c r="Y261" s="1">
        <f>Octane[[#This Row],[Degree change]]+Y260</f>
        <v>190.03241702840381</v>
      </c>
      <c r="Z261" s="1">
        <f>SQRT(Octane[[#This Row],[vel_X]]*Octane[[#This Row],[vel_X]]+Octane[[#This Row],[vel_Y]]*Octane[[#This Row],[vel_Y]]+Octane[[#This Row],[vel_Z]]*Octane[[#This Row],[vel_Z]])</f>
        <v>2299.9982963611619</v>
      </c>
    </row>
    <row r="262" spans="1:26">
      <c r="A262">
        <v>261</v>
      </c>
      <c r="B262" s="1">
        <v>-1686.25</v>
      </c>
      <c r="C262" s="1">
        <v>780.21997099999999</v>
      </c>
      <c r="D262" s="1">
        <v>17.010000000000002</v>
      </c>
      <c r="E262" s="1">
        <v>1426.0399170000001</v>
      </c>
      <c r="F262" s="1">
        <v>-1804.5200199999999</v>
      </c>
      <c r="G262" s="1">
        <v>8.11</v>
      </c>
      <c r="H262" s="1">
        <v>0</v>
      </c>
      <c r="I262" s="1">
        <v>0</v>
      </c>
      <c r="J262" s="1">
        <v>1.9824999999999999</v>
      </c>
      <c r="K262" s="1">
        <v>1.9559999999999998E-3</v>
      </c>
      <c r="L262" s="1">
        <v>4.372E-3</v>
      </c>
      <c r="M262" s="1">
        <v>-0.40810400000000002</v>
      </c>
      <c r="N262" s="1">
        <v>0.91292300000000004</v>
      </c>
      <c r="O262">
        <v>1</v>
      </c>
      <c r="P262">
        <v>0</v>
      </c>
      <c r="Q262">
        <v>1</v>
      </c>
      <c r="R262">
        <v>1</v>
      </c>
      <c r="S262">
        <v>1</v>
      </c>
      <c r="T262" s="1">
        <f>SQRT(POWER(Octane[[#This Row],[angvel_X]],2) + POWER(Octane[[#This Row],[angvel_Y]],2) + POWER(Octane[[#This Row],[angvel_Z]],2))</f>
        <v>1.9824999999999999</v>
      </c>
      <c r="U262" s="1">
        <f>DEGREES(ASIN(MAX(-1,MIN(1,2 * (Octane[[#This Row],[quart_W]]*Octane[[#This Row],[quart_Y]] - Octane[[#This Row],[quart_Z]]*Octane[[#This Row],[quart_X]])))))</f>
        <v>0.54885048481243326</v>
      </c>
      <c r="V26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138.17216366054279</v>
      </c>
      <c r="W26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89.999834212785132</v>
      </c>
      <c r="X262" s="1">
        <f>IF(Octane[[#This Row],[Yaw]]&gt;V261,(360-ABS(Octane[[#This Row],[Yaw]])-ABS(V261)),ABS(Octane[[#This Row],[Yaw]]-V261))</f>
        <v>0.94642439012426394</v>
      </c>
      <c r="Y262" s="1">
        <f>Octane[[#This Row],[Degree change]]+Y261</f>
        <v>190.97884141852808</v>
      </c>
      <c r="Z262" s="1">
        <f>SQRT(Octane[[#This Row],[vel_X]]*Octane[[#This Row],[vel_X]]+Octane[[#This Row],[vel_Y]]*Octane[[#This Row],[vel_Y]]+Octane[[#This Row],[vel_Z]]*Octane[[#This Row],[vel_Z]])</f>
        <v>2299.988721615427</v>
      </c>
    </row>
    <row r="263" spans="1:26">
      <c r="A263">
        <v>262</v>
      </c>
      <c r="B263" s="1">
        <v>-1674.3199460000001</v>
      </c>
      <c r="C263" s="1">
        <v>765.13000499999998</v>
      </c>
      <c r="D263" s="1">
        <v>17.010000000000002</v>
      </c>
      <c r="E263" s="1">
        <v>1455.6599120000001</v>
      </c>
      <c r="F263" s="1">
        <v>-1780.719971</v>
      </c>
      <c r="G263" s="1">
        <v>8.11</v>
      </c>
      <c r="H263" s="1">
        <v>0</v>
      </c>
      <c r="I263" s="1">
        <v>0</v>
      </c>
      <c r="J263" s="1">
        <v>1.9824999999999999</v>
      </c>
      <c r="K263" s="1">
        <v>1.918E-3</v>
      </c>
      <c r="L263" s="1">
        <v>4.3889999999999997E-3</v>
      </c>
      <c r="M263" s="1">
        <v>-0.40055200000000002</v>
      </c>
      <c r="N263" s="1">
        <v>0.91626200000000002</v>
      </c>
      <c r="O263">
        <v>1</v>
      </c>
      <c r="P263">
        <v>0</v>
      </c>
      <c r="Q263">
        <v>1</v>
      </c>
      <c r="R263">
        <v>1</v>
      </c>
      <c r="S263">
        <v>1</v>
      </c>
      <c r="T263" s="1">
        <f>SQRT(POWER(Octane[[#This Row],[angvel_X]],2) + POWER(Octane[[#This Row],[angvel_Y]],2) + POWER(Octane[[#This Row],[angvel_Z]],2))</f>
        <v>1.9824999999999999</v>
      </c>
      <c r="U263" s="1">
        <f>DEGREES(ASIN(MAX(-1,MIN(1,2 * (Octane[[#This Row],[quart_W]]*Octane[[#This Row],[quart_Y]] - Octane[[#This Row],[quart_Z]]*Octane[[#This Row],[quart_X]])))))</f>
        <v>0.54887132699392849</v>
      </c>
      <c r="V26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137.22597268296724</v>
      </c>
      <c r="W26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90.000072449482985</v>
      </c>
      <c r="X263" s="1">
        <f>IF(Octane[[#This Row],[Yaw]]&gt;V262,(360-ABS(Octane[[#This Row],[Yaw]])-ABS(V262)),ABS(Octane[[#This Row],[Yaw]]-V262))</f>
        <v>0.94619097757555437</v>
      </c>
      <c r="Y263" s="1">
        <f>Octane[[#This Row],[Degree change]]+Y262</f>
        <v>191.92503239610363</v>
      </c>
      <c r="Z263" s="1">
        <f>SQRT(Octane[[#This Row],[vel_X]]*Octane[[#This Row],[vel_X]]+Octane[[#This Row],[vel_Y]]*Octane[[#This Row],[vel_Y]]+Octane[[#This Row],[vel_Z]]*Octane[[#This Row],[vel_Z]])</f>
        <v>2299.994601433249</v>
      </c>
    </row>
    <row r="264" spans="1:26">
      <c r="A264">
        <v>263</v>
      </c>
      <c r="B264" s="1">
        <v>-1662.1400149999999</v>
      </c>
      <c r="C264" s="1">
        <v>750.23999000000003</v>
      </c>
      <c r="D264" s="1">
        <v>17.010000000000002</v>
      </c>
      <c r="E264" s="1">
        <v>1484.880005</v>
      </c>
      <c r="F264" s="1">
        <v>-1756.429932</v>
      </c>
      <c r="G264" s="1">
        <v>8.11</v>
      </c>
      <c r="H264" s="1">
        <v>0</v>
      </c>
      <c r="I264" s="1">
        <v>0</v>
      </c>
      <c r="J264" s="1">
        <v>1.9824999999999999</v>
      </c>
      <c r="K264" s="1">
        <v>1.8799999999999999E-3</v>
      </c>
      <c r="L264" s="1">
        <v>4.4050000000000001E-3</v>
      </c>
      <c r="M264" s="1">
        <v>-0.39297199999999999</v>
      </c>
      <c r="N264" s="1">
        <v>0.91953799999999997</v>
      </c>
      <c r="O264">
        <v>1</v>
      </c>
      <c r="P264">
        <v>0</v>
      </c>
      <c r="Q264">
        <v>1</v>
      </c>
      <c r="R264">
        <v>1</v>
      </c>
      <c r="S264">
        <v>1</v>
      </c>
      <c r="T264" s="1">
        <f>SQRT(POWER(Octane[[#This Row],[angvel_X]],2) + POWER(Octane[[#This Row],[angvel_Y]],2) + POWER(Octane[[#This Row],[angvel_Z]],2))</f>
        <v>1.9824999999999999</v>
      </c>
      <c r="U264" s="1">
        <f>DEGREES(ASIN(MAX(-1,MIN(1,2 * (Octane[[#This Row],[quart_W]]*Octane[[#This Row],[quart_Y]] - Octane[[#This Row],[quart_Z]]*Octane[[#This Row],[quart_X]])))))</f>
        <v>0.54882773390643669</v>
      </c>
      <c r="V26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136.27966959286402</v>
      </c>
      <c r="W26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90.000264743857102</v>
      </c>
      <c r="X264" s="1">
        <f>IF(Octane[[#This Row],[Yaw]]&gt;V263,(360-ABS(Octane[[#This Row],[Yaw]])-ABS(V263)),ABS(Octane[[#This Row],[Yaw]]-V263))</f>
        <v>0.94630309010321412</v>
      </c>
      <c r="Y264" s="1">
        <f>Octane[[#This Row],[Degree change]]+Y263</f>
        <v>192.87133548620685</v>
      </c>
      <c r="Z264" s="1">
        <f>SQRT(Octane[[#This Row],[vel_X]]*Octane[[#This Row],[vel_X]]+Octane[[#This Row],[vel_Y]]*Octane[[#This Row],[vel_Y]]+Octane[[#This Row],[vel_Z]]*Octane[[#This Row],[vel_Z]])</f>
        <v>2299.9957624687754</v>
      </c>
    </row>
    <row r="265" spans="1:26">
      <c r="A265">
        <v>264</v>
      </c>
      <c r="B265" s="1">
        <v>-1649.719971</v>
      </c>
      <c r="C265" s="1">
        <v>735.54998799999998</v>
      </c>
      <c r="D265" s="1">
        <v>17.010000000000002</v>
      </c>
      <c r="E265" s="1">
        <v>1513.6899410000001</v>
      </c>
      <c r="F265" s="1">
        <v>-1731.6599120000001</v>
      </c>
      <c r="G265" s="1">
        <v>8.11</v>
      </c>
      <c r="H265" s="1">
        <v>0</v>
      </c>
      <c r="I265" s="1">
        <v>0</v>
      </c>
      <c r="J265" s="1">
        <v>1.9824999999999999</v>
      </c>
      <c r="K265" s="1">
        <v>1.8420000000000001E-3</v>
      </c>
      <c r="L265" s="1">
        <v>4.4209999999999996E-3</v>
      </c>
      <c r="M265" s="1">
        <v>-0.38536500000000001</v>
      </c>
      <c r="N265" s="1">
        <v>0.92275200000000002</v>
      </c>
      <c r="O265">
        <v>1</v>
      </c>
      <c r="P265">
        <v>0</v>
      </c>
      <c r="Q265">
        <v>1</v>
      </c>
      <c r="R265">
        <v>1</v>
      </c>
      <c r="S265">
        <v>1</v>
      </c>
      <c r="T265" s="1">
        <f>SQRT(POWER(Octane[[#This Row],[angvel_X]],2) + POWER(Octane[[#This Row],[angvel_Y]],2) + POWER(Octane[[#This Row],[angvel_Z]],2))</f>
        <v>1.9824999999999999</v>
      </c>
      <c r="U265" s="1">
        <f>DEGREES(ASIN(MAX(-1,MIN(1,2 * (Octane[[#This Row],[quart_W]]*Octane[[#This Row],[quart_Y]] - Octane[[#This Row],[quart_Z]]*Octane[[#This Row],[quart_X]])))))</f>
        <v>0.54882506059190506</v>
      </c>
      <c r="V26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135.33336092022668</v>
      </c>
      <c r="W26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90.000457181821346</v>
      </c>
      <c r="X265" s="1">
        <f>IF(Octane[[#This Row],[Yaw]]&gt;V264,(360-ABS(Octane[[#This Row],[Yaw]])-ABS(V264)),ABS(Octane[[#This Row],[Yaw]]-V264))</f>
        <v>0.94630867263734331</v>
      </c>
      <c r="Y265" s="1">
        <f>Octane[[#This Row],[Degree change]]+Y264</f>
        <v>193.81764415884419</v>
      </c>
      <c r="Z265" s="1">
        <f>SQRT(Octane[[#This Row],[vel_X]]*Octane[[#This Row],[vel_X]]+Octane[[#This Row],[vel_Y]]*Octane[[#This Row],[vel_Y]]+Octane[[#This Row],[vel_Z]]*Octane[[#This Row],[vel_Z]])</f>
        <v>2299.9932739928677</v>
      </c>
    </row>
    <row r="266" spans="1:26">
      <c r="A266">
        <v>265</v>
      </c>
      <c r="B266" s="1">
        <v>-1637.059937</v>
      </c>
      <c r="C266" s="1">
        <v>721.07000700000003</v>
      </c>
      <c r="D266" s="1">
        <v>17.010000000000002</v>
      </c>
      <c r="E266" s="1">
        <v>1542.089966</v>
      </c>
      <c r="F266" s="1">
        <v>-1706.419922</v>
      </c>
      <c r="G266" s="1">
        <v>8.11</v>
      </c>
      <c r="H266" s="1">
        <v>0</v>
      </c>
      <c r="I266" s="1">
        <v>0</v>
      </c>
      <c r="J266" s="1">
        <v>1.9824999999999999</v>
      </c>
      <c r="K266" s="1">
        <v>1.805E-3</v>
      </c>
      <c r="L266" s="1">
        <v>4.437E-3</v>
      </c>
      <c r="M266" s="1">
        <v>-0.37773200000000001</v>
      </c>
      <c r="N266" s="1">
        <v>0.92590300000000003</v>
      </c>
      <c r="O266">
        <v>1</v>
      </c>
      <c r="P266">
        <v>0</v>
      </c>
      <c r="Q266">
        <v>1</v>
      </c>
      <c r="R266">
        <v>1</v>
      </c>
      <c r="S266">
        <v>1</v>
      </c>
      <c r="T266" s="1">
        <f>SQRT(POWER(Octane[[#This Row],[angvel_X]],2) + POWER(Octane[[#This Row],[angvel_Y]],2) + POWER(Octane[[#This Row],[angvel_Z]],2))</f>
        <v>1.9824999999999999</v>
      </c>
      <c r="U266" s="1">
        <f>DEGREES(ASIN(MAX(-1,MIN(1,2 * (Octane[[#This Row],[quart_W]]*Octane[[#This Row],[quart_Y]] - Octane[[#This Row],[quart_Z]]*Octane[[#This Row],[quart_X]])))))</f>
        <v>0.54890630389078665</v>
      </c>
      <c r="V26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134.38708804841991</v>
      </c>
      <c r="W26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90.000543414557839</v>
      </c>
      <c r="X266" s="1">
        <f>IF(Octane[[#This Row],[Yaw]]&gt;V265,(360-ABS(Octane[[#This Row],[Yaw]])-ABS(V265)),ABS(Octane[[#This Row],[Yaw]]-V265))</f>
        <v>0.94627287180676944</v>
      </c>
      <c r="Y266" s="1">
        <f>Octane[[#This Row],[Degree change]]+Y265</f>
        <v>194.76391703065096</v>
      </c>
      <c r="Z266" s="1">
        <f>SQRT(Octane[[#This Row],[vel_X]]*Octane[[#This Row],[vel_X]]+Octane[[#This Row],[vel_Y]]*Octane[[#This Row],[vel_Y]]+Octane[[#This Row],[vel_Z]]*Octane[[#This Row],[vel_Z]])</f>
        <v>2299.994822936862</v>
      </c>
    </row>
    <row r="267" spans="1:26">
      <c r="A267">
        <v>266</v>
      </c>
      <c r="B267" s="1">
        <v>-1624.1599120000001</v>
      </c>
      <c r="C267" s="1">
        <v>706.79998799999998</v>
      </c>
      <c r="D267" s="1">
        <v>17.010000000000002</v>
      </c>
      <c r="E267" s="1">
        <v>1570.059937</v>
      </c>
      <c r="F267" s="1">
        <v>-1680.709961</v>
      </c>
      <c r="G267" s="1">
        <v>8.11</v>
      </c>
      <c r="H267" s="1">
        <v>0</v>
      </c>
      <c r="I267" s="1">
        <v>0</v>
      </c>
      <c r="J267" s="1">
        <v>1.9824999999999999</v>
      </c>
      <c r="K267" s="1">
        <v>1.7669999999999999E-3</v>
      </c>
      <c r="L267" s="1">
        <v>4.4530000000000004E-3</v>
      </c>
      <c r="M267" s="1">
        <v>-0.37007099999999998</v>
      </c>
      <c r="N267" s="1">
        <v>0.92899100000000001</v>
      </c>
      <c r="O267">
        <v>1</v>
      </c>
      <c r="P267">
        <v>0</v>
      </c>
      <c r="Q267">
        <v>1</v>
      </c>
      <c r="R267">
        <v>1</v>
      </c>
      <c r="S267">
        <v>1</v>
      </c>
      <c r="T267" s="1">
        <f>SQRT(POWER(Octane[[#This Row],[angvel_X]],2) + POWER(Octane[[#This Row],[angvel_Y]],2) + POWER(Octane[[#This Row],[angvel_Z]],2))</f>
        <v>1.9824999999999999</v>
      </c>
      <c r="U267" s="1">
        <f>DEGREES(ASIN(MAX(-1,MIN(1,2 * (Octane[[#This Row],[quart_W]]*Octane[[#This Row],[quart_Y]] - Octane[[#This Row],[quart_Z]]*Octane[[#This Row],[quart_X]])))))</f>
        <v>0.54898360047631201</v>
      </c>
      <c r="V26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133.44051583588572</v>
      </c>
      <c r="W26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90.000733312610464</v>
      </c>
      <c r="X267" s="1">
        <f>IF(Octane[[#This Row],[Yaw]]&gt;V266,(360-ABS(Octane[[#This Row],[Yaw]])-ABS(V266)),ABS(Octane[[#This Row],[Yaw]]-V266))</f>
        <v>0.94657221253419266</v>
      </c>
      <c r="Y267" s="1">
        <f>Octane[[#This Row],[Degree change]]+Y266</f>
        <v>195.71048924318515</v>
      </c>
      <c r="Z267" s="1">
        <f>SQRT(Octane[[#This Row],[vel_X]]*Octane[[#This Row],[vel_X]]+Octane[[#This Row],[vel_Y]]*Octane[[#This Row],[vel_Y]]+Octane[[#This Row],[vel_Z]]*Octane[[#This Row],[vel_Z]])</f>
        <v>2299.9869458057942</v>
      </c>
    </row>
    <row r="268" spans="1:26">
      <c r="A268">
        <v>267</v>
      </c>
      <c r="B268" s="1">
        <v>-1611.0299070000001</v>
      </c>
      <c r="C268" s="1">
        <v>692.75</v>
      </c>
      <c r="D268" s="1">
        <v>17.010000000000002</v>
      </c>
      <c r="E268" s="1">
        <v>1597.6099850000001</v>
      </c>
      <c r="F268" s="1">
        <v>-1654.549927</v>
      </c>
      <c r="G268" s="1">
        <v>8.11</v>
      </c>
      <c r="H268" s="1">
        <v>0</v>
      </c>
      <c r="I268" s="1">
        <v>0</v>
      </c>
      <c r="J268" s="1">
        <v>1.9824999999999999</v>
      </c>
      <c r="K268" s="1">
        <v>1.7290000000000001E-3</v>
      </c>
      <c r="L268" s="1">
        <v>4.47E-3</v>
      </c>
      <c r="M268" s="1">
        <v>-0.36238300000000001</v>
      </c>
      <c r="N268" s="1">
        <v>0.93201699999999998</v>
      </c>
      <c r="O268">
        <v>1</v>
      </c>
      <c r="P268">
        <v>0</v>
      </c>
      <c r="Q268">
        <v>1</v>
      </c>
      <c r="R268">
        <v>1</v>
      </c>
      <c r="S268">
        <v>1</v>
      </c>
      <c r="T268" s="1">
        <f>SQRT(POWER(Octane[[#This Row],[angvel_X]],2) + POWER(Octane[[#This Row],[angvel_Y]],2) + POWER(Octane[[#This Row],[angvel_Z]],2))</f>
        <v>1.9824999999999999</v>
      </c>
      <c r="U268" s="1">
        <f>DEGREES(ASIN(MAX(-1,MIN(1,2 * (Octane[[#This Row],[quart_W]]*Octane[[#This Row],[quart_Y]] - Octane[[#This Row],[quart_Z]]*Octane[[#This Row],[quart_X]])))))</f>
        <v>0.54920864766253874</v>
      </c>
      <c r="V26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132.49375098419947</v>
      </c>
      <c r="W26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90.000961996444133</v>
      </c>
      <c r="X268" s="1">
        <f>IF(Octane[[#This Row],[Yaw]]&gt;V267,(360-ABS(Octane[[#This Row],[Yaw]])-ABS(V267)),ABS(Octane[[#This Row],[Yaw]]-V267))</f>
        <v>0.94676485168625391</v>
      </c>
      <c r="Y268" s="1">
        <f>Octane[[#This Row],[Degree change]]+Y267</f>
        <v>196.6572540948714</v>
      </c>
      <c r="Z268" s="1">
        <f>SQRT(Octane[[#This Row],[vel_X]]*Octane[[#This Row],[vel_X]]+Octane[[#This Row],[vel_Y]]*Octane[[#This Row],[vel_Y]]+Octane[[#This Row],[vel_Z]]*Octane[[#This Row],[vel_Z]])</f>
        <v>2299.9910645929485</v>
      </c>
    </row>
    <row r="269" spans="1:26">
      <c r="A269">
        <v>268</v>
      </c>
      <c r="B269" s="1">
        <v>-1597.669922</v>
      </c>
      <c r="C269" s="1">
        <v>678.919983</v>
      </c>
      <c r="D269" s="1">
        <v>17.010000000000002</v>
      </c>
      <c r="E269" s="1">
        <v>1624.7299800000001</v>
      </c>
      <c r="F269" s="1">
        <v>-1627.929932</v>
      </c>
      <c r="G269" s="1">
        <v>8.11</v>
      </c>
      <c r="H269" s="1">
        <v>0</v>
      </c>
      <c r="I269" s="1">
        <v>0</v>
      </c>
      <c r="J269" s="1">
        <v>1.9824999999999999</v>
      </c>
      <c r="K269" s="1">
        <v>1.691E-3</v>
      </c>
      <c r="L269" s="1">
        <v>4.4860000000000004E-3</v>
      </c>
      <c r="M269" s="1">
        <v>-0.35467399999999999</v>
      </c>
      <c r="N269" s="1">
        <v>0.93497799999999998</v>
      </c>
      <c r="O269">
        <v>1</v>
      </c>
      <c r="P269">
        <v>0</v>
      </c>
      <c r="Q269">
        <v>1</v>
      </c>
      <c r="R269">
        <v>1</v>
      </c>
      <c r="S269">
        <v>1</v>
      </c>
      <c r="T269" s="1">
        <f>SQRT(POWER(Octane[[#This Row],[angvel_X]],2) + POWER(Octane[[#This Row],[angvel_Y]],2) + POWER(Octane[[#This Row],[angvel_Z]],2))</f>
        <v>1.9824999999999999</v>
      </c>
      <c r="U269" s="1">
        <f>DEGREES(ASIN(MAX(-1,MIN(1,2 * (Octane[[#This Row],[quart_W]]*Octane[[#This Row],[quart_Y]] - Octane[[#This Row],[quart_Z]]*Octane[[#This Row],[quart_X]])))))</f>
        <v>0.54936780489022352</v>
      </c>
      <c r="V26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131.5474448686887</v>
      </c>
      <c r="W26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90.001148233388108</v>
      </c>
      <c r="X269" s="1">
        <f>IF(Octane[[#This Row],[Yaw]]&gt;V268,(360-ABS(Octane[[#This Row],[Yaw]])-ABS(V268)),ABS(Octane[[#This Row],[Yaw]]-V268))</f>
        <v>0.94630611551076527</v>
      </c>
      <c r="Y269" s="1">
        <f>Octane[[#This Row],[Degree change]]+Y268</f>
        <v>197.60356021038217</v>
      </c>
      <c r="Z269" s="1">
        <f>SQRT(Octane[[#This Row],[vel_X]]*Octane[[#This Row],[vel_X]]+Octane[[#This Row],[vel_Y]]*Octane[[#This Row],[vel_Y]]+Octane[[#This Row],[vel_Z]]*Octane[[#This Row],[vel_Z]])</f>
        <v>2299.993292058115</v>
      </c>
    </row>
    <row r="270" spans="1:26">
      <c r="A270">
        <v>269</v>
      </c>
      <c r="B270" s="1">
        <v>-1584.079956</v>
      </c>
      <c r="C270" s="1">
        <v>665.30999799999995</v>
      </c>
      <c r="D270" s="1">
        <v>17.010000000000002</v>
      </c>
      <c r="E270" s="1">
        <v>1651.3999020000001</v>
      </c>
      <c r="F270" s="1">
        <v>-1600.869995</v>
      </c>
      <c r="G270" s="1">
        <v>8.11</v>
      </c>
      <c r="H270" s="1">
        <v>0</v>
      </c>
      <c r="I270" s="1">
        <v>0</v>
      </c>
      <c r="J270" s="1">
        <v>1.9824999999999999</v>
      </c>
      <c r="K270" s="1">
        <v>1.6540000000000001E-3</v>
      </c>
      <c r="L270" s="1">
        <v>4.5019999999999999E-3</v>
      </c>
      <c r="M270" s="1">
        <v>-0.34693800000000002</v>
      </c>
      <c r="N270" s="1">
        <v>0.93787600000000004</v>
      </c>
      <c r="O270">
        <v>1</v>
      </c>
      <c r="P270">
        <v>0</v>
      </c>
      <c r="Q270">
        <v>1</v>
      </c>
      <c r="R270">
        <v>1</v>
      </c>
      <c r="S270">
        <v>1</v>
      </c>
      <c r="T270" s="1">
        <f>SQRT(POWER(Octane[[#This Row],[angvel_X]],2) + POWER(Octane[[#This Row],[angvel_Y]],2) + POWER(Octane[[#This Row],[angvel_Z]],2))</f>
        <v>1.9824999999999999</v>
      </c>
      <c r="U270" s="1">
        <f>DEGREES(ASIN(MAX(-1,MIN(1,2 * (Octane[[#This Row],[quart_W]]*Octane[[#This Row],[quart_Y]] - Octane[[#This Row],[quart_Z]]*Octane[[#This Row],[quart_X]])))))</f>
        <v>0.54960710163389004</v>
      </c>
      <c r="V27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130.60078632641043</v>
      </c>
      <c r="W27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90.001222515787759</v>
      </c>
      <c r="X270" s="1">
        <f>IF(Octane[[#This Row],[Yaw]]&gt;V269,(360-ABS(Octane[[#This Row],[Yaw]])-ABS(V269)),ABS(Octane[[#This Row],[Yaw]]-V269))</f>
        <v>0.9466585422782714</v>
      </c>
      <c r="Y270" s="1">
        <f>Octane[[#This Row],[Degree change]]+Y269</f>
        <v>198.55021875266044</v>
      </c>
      <c r="Z270" s="1">
        <f>SQRT(Octane[[#This Row],[vel_X]]*Octane[[#This Row],[vel_X]]+Octane[[#This Row],[vel_Y]]*Octane[[#This Row],[vel_Y]]+Octane[[#This Row],[vel_Z]]*Octane[[#This Row],[vel_Z]])</f>
        <v>2299.9939454957071</v>
      </c>
    </row>
    <row r="271" spans="1:26">
      <c r="A271">
        <v>270</v>
      </c>
      <c r="B271" s="1">
        <v>-1570.2700199999999</v>
      </c>
      <c r="C271" s="1">
        <v>651.919983</v>
      </c>
      <c r="D271" s="1">
        <v>17.010000000000002</v>
      </c>
      <c r="E271" s="1">
        <v>1677.619995</v>
      </c>
      <c r="F271" s="1">
        <v>-1573.369995</v>
      </c>
      <c r="G271" s="1">
        <v>8.11</v>
      </c>
      <c r="H271" s="1">
        <v>0</v>
      </c>
      <c r="I271" s="1">
        <v>0</v>
      </c>
      <c r="J271" s="1">
        <v>1.9824999999999999</v>
      </c>
      <c r="K271" s="1">
        <v>1.616E-3</v>
      </c>
      <c r="L271" s="1">
        <v>4.5180000000000003E-3</v>
      </c>
      <c r="M271" s="1">
        <v>-0.33917999999999998</v>
      </c>
      <c r="N271" s="1">
        <v>0.94070900000000002</v>
      </c>
      <c r="O271">
        <v>1</v>
      </c>
      <c r="P271">
        <v>0</v>
      </c>
      <c r="Q271">
        <v>1</v>
      </c>
      <c r="R271">
        <v>1</v>
      </c>
      <c r="S271">
        <v>1</v>
      </c>
      <c r="T271" s="1">
        <f>SQRT(POWER(Octane[[#This Row],[angvel_X]],2) + POWER(Octane[[#This Row],[angvel_Y]],2) + POWER(Octane[[#This Row],[angvel_Z]],2))</f>
        <v>1.9824999999999999</v>
      </c>
      <c r="U271" s="1">
        <f>DEGREES(ASIN(MAX(-1,MIN(1,2 * (Octane[[#This Row],[quart_W]]*Octane[[#This Row],[quart_Y]] - Octane[[#This Row],[quart_Z]]*Octane[[#This Row],[quart_X]])))))</f>
        <v>0.54984602892694512</v>
      </c>
      <c r="V27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129.65432095335942</v>
      </c>
      <c r="W27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90.001401461546351</v>
      </c>
      <c r="X271" s="1">
        <f>IF(Octane[[#This Row],[Yaw]]&gt;V270,(360-ABS(Octane[[#This Row],[Yaw]])-ABS(V270)),ABS(Octane[[#This Row],[Yaw]]-V270))</f>
        <v>0.94646537305101219</v>
      </c>
      <c r="Y271" s="1">
        <f>Octane[[#This Row],[Degree change]]+Y270</f>
        <v>199.49668412571145</v>
      </c>
      <c r="Z271" s="1">
        <f>SQRT(Octane[[#This Row],[vel_X]]*Octane[[#This Row],[vel_X]]+Octane[[#This Row],[vel_Y]]*Octane[[#This Row],[vel_Y]]+Octane[[#This Row],[vel_Z]]*Octane[[#This Row],[vel_Z]])</f>
        <v>2299.9929914871695</v>
      </c>
    </row>
    <row r="272" spans="1:26">
      <c r="A272">
        <v>271</v>
      </c>
      <c r="B272" s="1">
        <v>-1556.23999</v>
      </c>
      <c r="C272" s="1">
        <v>638.76000999999997</v>
      </c>
      <c r="D272" s="1">
        <v>17.010000000000002</v>
      </c>
      <c r="E272" s="1">
        <v>1703.380005</v>
      </c>
      <c r="F272" s="1">
        <v>-1545.4399410000001</v>
      </c>
      <c r="G272" s="1">
        <v>8.11</v>
      </c>
      <c r="H272" s="1">
        <v>0</v>
      </c>
      <c r="I272" s="1">
        <v>0</v>
      </c>
      <c r="J272" s="1">
        <v>1.9824999999999999</v>
      </c>
      <c r="K272" s="1">
        <v>1.578E-3</v>
      </c>
      <c r="L272" s="1">
        <v>4.529E-3</v>
      </c>
      <c r="M272" s="1">
        <v>-0.33139600000000002</v>
      </c>
      <c r="N272" s="1">
        <v>0.94347999999999999</v>
      </c>
      <c r="O272">
        <v>1</v>
      </c>
      <c r="P272">
        <v>0</v>
      </c>
      <c r="Q272">
        <v>1</v>
      </c>
      <c r="R272">
        <v>1</v>
      </c>
      <c r="S272">
        <v>1</v>
      </c>
      <c r="T272" s="1">
        <f>SQRT(POWER(Octane[[#This Row],[angvel_X]],2) + POWER(Octane[[#This Row],[angvel_Y]],2) + POWER(Octane[[#This Row],[angvel_Z]],2))</f>
        <v>1.9824999999999999</v>
      </c>
      <c r="U272" s="1">
        <f>DEGREES(ASIN(MAX(-1,MIN(1,2 * (Octane[[#This Row],[quart_W]]*Octane[[#This Row],[quart_Y]] - Octane[[#This Row],[quart_Z]]*Octane[[#This Row],[quart_X]])))))</f>
        <v>0.54958539745246682</v>
      </c>
      <c r="V27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128.70754030037386</v>
      </c>
      <c r="W27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90.001384449356351</v>
      </c>
      <c r="X272" s="1">
        <f>IF(Octane[[#This Row],[Yaw]]&gt;V271,(360-ABS(Octane[[#This Row],[Yaw]])-ABS(V271)),ABS(Octane[[#This Row],[Yaw]]-V271))</f>
        <v>0.94678065298555225</v>
      </c>
      <c r="Y272" s="1">
        <f>Octane[[#This Row],[Degree change]]+Y271</f>
        <v>200.44346477869701</v>
      </c>
      <c r="Z272" s="1">
        <f>SQRT(Octane[[#This Row],[vel_X]]*Octane[[#This Row],[vel_X]]+Octane[[#This Row],[vel_Y]]*Octane[[#This Row],[vel_Y]]+Octane[[#This Row],[vel_Z]]*Octane[[#This Row],[vel_Z]])</f>
        <v>2299.9899618850259</v>
      </c>
    </row>
    <row r="273" spans="1:26">
      <c r="A273">
        <v>272</v>
      </c>
      <c r="B273" s="1">
        <v>-1541.98999</v>
      </c>
      <c r="C273" s="1">
        <v>625.839966</v>
      </c>
      <c r="D273" s="1">
        <v>17.010000000000002</v>
      </c>
      <c r="E273" s="1">
        <v>1728.679932</v>
      </c>
      <c r="F273" s="1">
        <v>-1517.089966</v>
      </c>
      <c r="G273" s="1">
        <v>8.11</v>
      </c>
      <c r="H273" s="1">
        <v>0</v>
      </c>
      <c r="I273" s="1">
        <v>0</v>
      </c>
      <c r="J273" s="1">
        <v>1.9824999999999999</v>
      </c>
      <c r="K273" s="1">
        <v>1.5399999999999999E-3</v>
      </c>
      <c r="L273" s="1">
        <v>4.5399999999999998E-3</v>
      </c>
      <c r="M273" s="1">
        <v>-0.32358900000000002</v>
      </c>
      <c r="N273" s="1">
        <v>0.94618500000000005</v>
      </c>
      <c r="O273">
        <v>1</v>
      </c>
      <c r="P273">
        <v>0</v>
      </c>
      <c r="Q273">
        <v>1</v>
      </c>
      <c r="R273">
        <v>1</v>
      </c>
      <c r="S273">
        <v>1</v>
      </c>
      <c r="T273" s="1">
        <f>SQRT(POWER(Octane[[#This Row],[angvel_X]],2) + POWER(Octane[[#This Row],[angvel_Y]],2) + POWER(Octane[[#This Row],[angvel_Z]],2))</f>
        <v>1.9824999999999999</v>
      </c>
      <c r="U273" s="1">
        <f>DEGREES(ASIN(MAX(-1,MIN(1,2 * (Octane[[#This Row],[quart_W]]*Octane[[#This Row],[quart_Y]] - Octane[[#This Row],[quart_Z]]*Octane[[#This Row],[quart_X]])))))</f>
        <v>0.54936114887733745</v>
      </c>
      <c r="V27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127.76066331177816</v>
      </c>
      <c r="W27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90.001371627753159</v>
      </c>
      <c r="X273" s="1">
        <f>IF(Octane[[#This Row],[Yaw]]&gt;V272,(360-ABS(Octane[[#This Row],[Yaw]])-ABS(V272)),ABS(Octane[[#This Row],[Yaw]]-V272))</f>
        <v>0.94687698859570446</v>
      </c>
      <c r="Y273" s="1">
        <f>Octane[[#This Row],[Degree change]]+Y272</f>
        <v>201.39034176729271</v>
      </c>
      <c r="Z273" s="1">
        <f>SQRT(Octane[[#This Row],[vel_X]]*Octane[[#This Row],[vel_X]]+Octane[[#This Row],[vel_Y]]*Octane[[#This Row],[vel_Y]]+Octane[[#This Row],[vel_Z]]*Octane[[#This Row],[vel_Z]])</f>
        <v>2299.9917487542002</v>
      </c>
    </row>
    <row r="274" spans="1:26">
      <c r="A274">
        <v>273</v>
      </c>
      <c r="B274" s="1">
        <v>-1527.5299070000001</v>
      </c>
      <c r="C274" s="1">
        <v>613.15997300000004</v>
      </c>
      <c r="D274" s="1">
        <v>17.010000000000002</v>
      </c>
      <c r="E274" s="1">
        <v>1753.51001</v>
      </c>
      <c r="F274" s="1">
        <v>-1488.329956</v>
      </c>
      <c r="G274" s="1">
        <v>8.11</v>
      </c>
      <c r="H274" s="1">
        <v>1E-4</v>
      </c>
      <c r="I274" s="1">
        <v>0</v>
      </c>
      <c r="J274" s="1">
        <v>1.9824999999999999</v>
      </c>
      <c r="K274" s="1">
        <v>1.5020000000000001E-3</v>
      </c>
      <c r="L274" s="1">
        <v>4.5510000000000004E-3</v>
      </c>
      <c r="M274" s="1">
        <v>-0.31576100000000001</v>
      </c>
      <c r="N274" s="1">
        <v>0.94882599999999995</v>
      </c>
      <c r="O274">
        <v>1</v>
      </c>
      <c r="P274">
        <v>0</v>
      </c>
      <c r="Q274">
        <v>1</v>
      </c>
      <c r="R274">
        <v>1</v>
      </c>
      <c r="S274">
        <v>1</v>
      </c>
      <c r="T274" s="1">
        <f>SQRT(POWER(Octane[[#This Row],[angvel_X]],2) + POWER(Octane[[#This Row],[angvel_Y]],2) + POWER(Octane[[#This Row],[angvel_Z]],2))</f>
        <v>1.982500002522068</v>
      </c>
      <c r="U274" s="1">
        <f>DEGREES(ASIN(MAX(-1,MIN(1,2 * (Octane[[#This Row],[quart_W]]*Octane[[#This Row],[quart_Y]] - Octane[[#This Row],[quart_Z]]*Octane[[#This Row],[quart_X]])))))</f>
        <v>0.54917472138758527</v>
      </c>
      <c r="V27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126.81394701004135</v>
      </c>
      <c r="W27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90.001362746341997</v>
      </c>
      <c r="X274" s="1">
        <f>IF(Octane[[#This Row],[Yaw]]&gt;V273,(360-ABS(Octane[[#This Row],[Yaw]])-ABS(V273)),ABS(Octane[[#This Row],[Yaw]]-V273))</f>
        <v>0.94671630173681365</v>
      </c>
      <c r="Y274" s="1">
        <f>Octane[[#This Row],[Degree change]]+Y273</f>
        <v>202.33705806902952</v>
      </c>
      <c r="Z274" s="1">
        <f>SQRT(Octane[[#This Row],[vel_X]]*Octane[[#This Row],[vel_X]]+Octane[[#This Row],[vel_Y]]*Octane[[#This Row],[vel_Y]]+Octane[[#This Row],[vel_Z]]*Octane[[#This Row],[vel_Z]])</f>
        <v>2299.997648954703</v>
      </c>
    </row>
    <row r="275" spans="1:26">
      <c r="A275">
        <v>274</v>
      </c>
      <c r="B275" s="1">
        <v>-1512.8599850000001</v>
      </c>
      <c r="C275" s="1">
        <v>600.71997099999999</v>
      </c>
      <c r="D275" s="1">
        <v>17.010000000000002</v>
      </c>
      <c r="E275" s="1">
        <v>1777.849976</v>
      </c>
      <c r="F275" s="1">
        <v>-1459.1599120000001</v>
      </c>
      <c r="G275" s="1">
        <v>8.11</v>
      </c>
      <c r="H275" s="1">
        <v>1E-4</v>
      </c>
      <c r="I275" s="1">
        <v>0</v>
      </c>
      <c r="J275" s="1">
        <v>1.9824999999999999</v>
      </c>
      <c r="K275" s="1">
        <v>1.4649999999999999E-3</v>
      </c>
      <c r="L275" s="1">
        <v>4.561E-3</v>
      </c>
      <c r="M275" s="1">
        <v>-0.30791200000000002</v>
      </c>
      <c r="N275" s="1">
        <v>0.951403</v>
      </c>
      <c r="O275">
        <v>1</v>
      </c>
      <c r="P275">
        <v>0</v>
      </c>
      <c r="Q275">
        <v>1</v>
      </c>
      <c r="R275">
        <v>1</v>
      </c>
      <c r="S275">
        <v>1</v>
      </c>
      <c r="T275" s="1">
        <f>SQRT(POWER(Octane[[#This Row],[angvel_X]],2) + POWER(Octane[[#This Row],[angvel_Y]],2) + POWER(Octane[[#This Row],[angvel_Z]],2))</f>
        <v>1.982500002522068</v>
      </c>
      <c r="U275" s="1">
        <f>DEGREES(ASIN(MAX(-1,MIN(1,2 * (Octane[[#This Row],[quart_W]]*Octane[[#This Row],[quart_Y]] - Octane[[#This Row],[quart_Z]]*Octane[[#This Row],[quart_X]])))))</f>
        <v>0.54895240527401967</v>
      </c>
      <c r="V27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125.86732338689896</v>
      </c>
      <c r="W27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90.001212576098766</v>
      </c>
      <c r="X275" s="1">
        <f>IF(Octane[[#This Row],[Yaw]]&gt;V274,(360-ABS(Octane[[#This Row],[Yaw]])-ABS(V274)),ABS(Octane[[#This Row],[Yaw]]-V274))</f>
        <v>0.94662362314238635</v>
      </c>
      <c r="Y275" s="1">
        <f>Octane[[#This Row],[Degree change]]+Y274</f>
        <v>203.28368169217191</v>
      </c>
      <c r="Z275" s="1">
        <f>SQRT(Octane[[#This Row],[vel_X]]*Octane[[#This Row],[vel_X]]+Octane[[#This Row],[vel_Y]]*Octane[[#This Row],[vel_Y]]+Octane[[#This Row],[vel_Z]]*Octane[[#This Row],[vel_Z]])</f>
        <v>2299.9921647803603</v>
      </c>
    </row>
    <row r="276" spans="1:26">
      <c r="A276">
        <v>275</v>
      </c>
      <c r="B276" s="1">
        <v>-1497.98999</v>
      </c>
      <c r="C276" s="1">
        <v>588.51995799999997</v>
      </c>
      <c r="D276" s="1">
        <v>17.010000000000002</v>
      </c>
      <c r="E276" s="1">
        <v>1801.709961</v>
      </c>
      <c r="F276" s="1">
        <v>-1429.589966</v>
      </c>
      <c r="G276" s="1">
        <v>8.11</v>
      </c>
      <c r="H276" s="1">
        <v>1E-4</v>
      </c>
      <c r="I276" s="1">
        <v>0</v>
      </c>
      <c r="J276" s="1">
        <v>1.9824999999999999</v>
      </c>
      <c r="K276" s="1">
        <v>1.4270000000000001E-3</v>
      </c>
      <c r="L276" s="1">
        <v>4.5719999999999997E-3</v>
      </c>
      <c r="M276" s="1">
        <v>-0.300041</v>
      </c>
      <c r="N276" s="1">
        <v>0.95391400000000004</v>
      </c>
      <c r="O276">
        <v>1</v>
      </c>
      <c r="P276">
        <v>0</v>
      </c>
      <c r="Q276">
        <v>1</v>
      </c>
      <c r="R276">
        <v>1</v>
      </c>
      <c r="S276">
        <v>1</v>
      </c>
      <c r="T276" s="1">
        <f>SQRT(POWER(Octane[[#This Row],[angvel_X]],2) + POWER(Octane[[#This Row],[angvel_Y]],2) + POWER(Octane[[#This Row],[angvel_Z]],2))</f>
        <v>1.982500002522068</v>
      </c>
      <c r="U276" s="1">
        <f>DEGREES(ASIN(MAX(-1,MIN(1,2 * (Octane[[#This Row],[quart_W]]*Octane[[#This Row],[quart_Y]] - Octane[[#This Row],[quart_Z]]*Octane[[#This Row],[quart_X]])))))</f>
        <v>0.54883931563369404</v>
      </c>
      <c r="V27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124.92054261888566</v>
      </c>
      <c r="W27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90.001209245548608</v>
      </c>
      <c r="X276" s="1">
        <f>IF(Octane[[#This Row],[Yaw]]&gt;V275,(360-ABS(Octane[[#This Row],[Yaw]])-ABS(V275)),ABS(Octane[[#This Row],[Yaw]]-V275))</f>
        <v>0.9467807680132978</v>
      </c>
      <c r="Y276" s="1">
        <f>Octane[[#This Row],[Degree change]]+Y275</f>
        <v>204.23046246018521</v>
      </c>
      <c r="Z276" s="1">
        <f>SQRT(Octane[[#This Row],[vel_X]]*Octane[[#This Row],[vel_X]]+Octane[[#This Row],[vel_Y]]*Octane[[#This Row],[vel_Y]]+Octane[[#This Row],[vel_Z]]*Octane[[#This Row],[vel_Z]])</f>
        <v>2299.9895709664647</v>
      </c>
    </row>
    <row r="277" spans="1:26">
      <c r="A277">
        <v>276</v>
      </c>
      <c r="B277" s="1">
        <v>-1482.919922</v>
      </c>
      <c r="C277" s="1">
        <v>576.57000700000003</v>
      </c>
      <c r="D277" s="1">
        <v>17.010000000000002</v>
      </c>
      <c r="E277" s="1">
        <v>1825.089966</v>
      </c>
      <c r="F277" s="1">
        <v>-1399.630005</v>
      </c>
      <c r="G277" s="1">
        <v>8.11</v>
      </c>
      <c r="H277" s="1">
        <v>2.0000000000000001E-4</v>
      </c>
      <c r="I277" s="1">
        <v>0</v>
      </c>
      <c r="J277" s="1">
        <v>1.9824999999999999</v>
      </c>
      <c r="K277" s="1">
        <v>1.389E-3</v>
      </c>
      <c r="L277" s="1">
        <v>4.5830000000000003E-3</v>
      </c>
      <c r="M277" s="1">
        <v>-0.29215400000000002</v>
      </c>
      <c r="N277" s="1">
        <v>0.95635899999999996</v>
      </c>
      <c r="O277">
        <v>1</v>
      </c>
      <c r="P277">
        <v>0</v>
      </c>
      <c r="Q277">
        <v>1</v>
      </c>
      <c r="R277">
        <v>1</v>
      </c>
      <c r="S277">
        <v>1</v>
      </c>
      <c r="T277" s="1">
        <f>SQRT(POWER(Octane[[#This Row],[angvel_X]],2) + POWER(Octane[[#This Row],[angvel_Y]],2) + POWER(Octane[[#This Row],[angvel_Z]],2))</f>
        <v>1.9825000100882724</v>
      </c>
      <c r="U277" s="1">
        <f>DEGREES(ASIN(MAX(-1,MIN(1,2 * (Octane[[#This Row],[quart_W]]*Octane[[#This Row],[quart_Y]] - Octane[[#This Row],[quart_Z]]*Octane[[#This Row],[quart_X]])))))</f>
        <v>0.54876389809401083</v>
      </c>
      <c r="V27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123.97431282673305</v>
      </c>
      <c r="W27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90.001210042783399</v>
      </c>
      <c r="X277" s="1">
        <f>IF(Octane[[#This Row],[Yaw]]&gt;V276,(360-ABS(Octane[[#This Row],[Yaw]])-ABS(V276)),ABS(Octane[[#This Row],[Yaw]]-V276))</f>
        <v>0.94622979215260727</v>
      </c>
      <c r="Y277" s="1">
        <f>Octane[[#This Row],[Degree change]]+Y276</f>
        <v>205.17669225233783</v>
      </c>
      <c r="Z277" s="1">
        <f>SQRT(Octane[[#This Row],[vel_X]]*Octane[[#This Row],[vel_X]]+Octane[[#This Row],[vel_Y]]*Octane[[#This Row],[vel_Y]]+Octane[[#This Row],[vel_Z]]*Octane[[#This Row],[vel_Z]])</f>
        <v>2299.9963710819593</v>
      </c>
    </row>
    <row r="278" spans="1:26">
      <c r="A278">
        <v>277</v>
      </c>
      <c r="B278" s="1">
        <v>-1467.650024</v>
      </c>
      <c r="C278" s="1">
        <v>564.86999500000002</v>
      </c>
      <c r="D278" s="1">
        <v>17.010000000000002</v>
      </c>
      <c r="E278" s="1">
        <v>1847.959961</v>
      </c>
      <c r="F278" s="1">
        <v>-1369.2899170000001</v>
      </c>
      <c r="G278" s="1">
        <v>8.11</v>
      </c>
      <c r="H278" s="1">
        <v>2.0000000000000001E-4</v>
      </c>
      <c r="I278" s="1">
        <v>0</v>
      </c>
      <c r="J278" s="1">
        <v>1.9824999999999999</v>
      </c>
      <c r="K278" s="1">
        <v>1.351E-3</v>
      </c>
      <c r="L278" s="1">
        <v>4.594E-3</v>
      </c>
      <c r="M278" s="1">
        <v>-0.28424500000000003</v>
      </c>
      <c r="N278" s="1">
        <v>0.95874000000000004</v>
      </c>
      <c r="O278">
        <v>1</v>
      </c>
      <c r="P278">
        <v>0</v>
      </c>
      <c r="Q278">
        <v>1</v>
      </c>
      <c r="R278">
        <v>1</v>
      </c>
      <c r="S278">
        <v>1</v>
      </c>
      <c r="T278" s="1">
        <f>SQRT(POWER(Octane[[#This Row],[angvel_X]],2) + POWER(Octane[[#This Row],[angvel_Y]],2) + POWER(Octane[[#This Row],[angvel_Z]],2))</f>
        <v>1.9825000100882724</v>
      </c>
      <c r="U278" s="1">
        <f>DEGREES(ASIN(MAX(-1,MIN(1,2 * (Octane[[#This Row],[quart_W]]*Octane[[#This Row],[quart_Y]] - Octane[[#This Row],[quart_Z]]*Octane[[#This Row],[quart_X]])))))</f>
        <v>0.54872623608002635</v>
      </c>
      <c r="V27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123.02785076765392</v>
      </c>
      <c r="W27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90.001210576682269</v>
      </c>
      <c r="X278" s="1">
        <f>IF(Octane[[#This Row],[Yaw]]&gt;V277,(360-ABS(Octane[[#This Row],[Yaw]])-ABS(V277)),ABS(Octane[[#This Row],[Yaw]]-V277))</f>
        <v>0.94646205907913838</v>
      </c>
      <c r="Y278" s="1">
        <f>Octane[[#This Row],[Degree change]]+Y277</f>
        <v>206.12315431141695</v>
      </c>
      <c r="Z278" s="1">
        <f>SQRT(Octane[[#This Row],[vel_X]]*Octane[[#This Row],[vel_X]]+Octane[[#This Row],[vel_Y]]*Octane[[#This Row],[vel_Y]]+Octane[[#This Row],[vel_Z]]*Octane[[#This Row],[vel_Z]])</f>
        <v>2299.9949274633168</v>
      </c>
    </row>
    <row r="279" spans="1:26">
      <c r="A279">
        <v>278</v>
      </c>
      <c r="B279" s="1">
        <v>-1452.1899410000001</v>
      </c>
      <c r="C279" s="1">
        <v>553.419983</v>
      </c>
      <c r="D279" s="1">
        <v>17.010000000000002</v>
      </c>
      <c r="E279" s="1">
        <v>1870.329956</v>
      </c>
      <c r="F279" s="1">
        <v>-1338.5699460000001</v>
      </c>
      <c r="G279" s="1">
        <v>8.11</v>
      </c>
      <c r="H279" s="1">
        <v>2.0000000000000001E-4</v>
      </c>
      <c r="I279" s="1">
        <v>0</v>
      </c>
      <c r="J279" s="1">
        <v>1.9824999999999999</v>
      </c>
      <c r="K279" s="1">
        <v>1.3140000000000001E-3</v>
      </c>
      <c r="L279" s="1">
        <v>4.6039999999999996E-3</v>
      </c>
      <c r="M279" s="1">
        <v>-0.276314</v>
      </c>
      <c r="N279" s="1">
        <v>0.96105499999999999</v>
      </c>
      <c r="O279">
        <v>1</v>
      </c>
      <c r="P279">
        <v>0</v>
      </c>
      <c r="Q279">
        <v>1</v>
      </c>
      <c r="R279">
        <v>1</v>
      </c>
      <c r="S279">
        <v>1</v>
      </c>
      <c r="T279" s="1">
        <f>SQRT(POWER(Octane[[#This Row],[angvel_X]],2) + POWER(Octane[[#This Row],[angvel_Y]],2) + POWER(Octane[[#This Row],[angvel_Z]],2))</f>
        <v>1.9825000100882724</v>
      </c>
      <c r="U279" s="1">
        <f>DEGREES(ASIN(MAX(-1,MIN(1,2 * (Octane[[#This Row],[quart_W]]*Octane[[#This Row],[quart_Y]] - Octane[[#This Row],[quart_Z]]*Octane[[#This Row],[quart_X]])))))</f>
        <v>0.54864685039792715</v>
      </c>
      <c r="V27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122.08104024662019</v>
      </c>
      <c r="W27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90.001068430321141</v>
      </c>
      <c r="X279" s="1">
        <f>IF(Octane[[#This Row],[Yaw]]&gt;V278,(360-ABS(Octane[[#This Row],[Yaw]])-ABS(V278)),ABS(Octane[[#This Row],[Yaw]]-V278))</f>
        <v>0.94681052103372565</v>
      </c>
      <c r="Y279" s="1">
        <f>Octane[[#This Row],[Degree change]]+Y278</f>
        <v>207.06996483245069</v>
      </c>
      <c r="Z279" s="1">
        <f>SQRT(Octane[[#This Row],[vel_X]]*Octane[[#This Row],[vel_X]]+Octane[[#This Row],[vel_Y]]*Octane[[#This Row],[vel_Y]]+Octane[[#This Row],[vel_Z]]*Octane[[#This Row],[vel_Z]])</f>
        <v>2299.9933514567829</v>
      </c>
    </row>
    <row r="280" spans="1:26">
      <c r="A280">
        <v>279</v>
      </c>
      <c r="B280" s="1">
        <v>-1436.549927</v>
      </c>
      <c r="C280" s="1">
        <v>542.22997999999995</v>
      </c>
      <c r="D280" s="1">
        <v>17.010000000000002</v>
      </c>
      <c r="E280" s="1">
        <v>1892.1899410000001</v>
      </c>
      <c r="F280" s="1">
        <v>-1307.48999</v>
      </c>
      <c r="G280" s="1">
        <v>8.11</v>
      </c>
      <c r="H280" s="1">
        <v>2.0000000000000001E-4</v>
      </c>
      <c r="I280" s="1">
        <v>0</v>
      </c>
      <c r="J280" s="1">
        <v>1.9824999999999999</v>
      </c>
      <c r="K280" s="1">
        <v>1.276E-3</v>
      </c>
      <c r="L280" s="1">
        <v>4.6150000000000002E-3</v>
      </c>
      <c r="M280" s="1">
        <v>-0.268368</v>
      </c>
      <c r="N280" s="1">
        <v>0.96330499999999997</v>
      </c>
      <c r="O280">
        <v>1</v>
      </c>
      <c r="P280">
        <v>0</v>
      </c>
      <c r="Q280">
        <v>1</v>
      </c>
      <c r="R280">
        <v>1</v>
      </c>
      <c r="S280">
        <v>1</v>
      </c>
      <c r="T280" s="1">
        <f>SQRT(POWER(Octane[[#This Row],[angvel_X]],2) + POWER(Octane[[#This Row],[angvel_Y]],2) + POWER(Octane[[#This Row],[angvel_Z]],2))</f>
        <v>1.9825000100882724</v>
      </c>
      <c r="U280" s="1">
        <f>DEGREES(ASIN(MAX(-1,MIN(1,2 * (Octane[[#This Row],[quart_W]]*Octane[[#This Row],[quart_Y]] - Octane[[#This Row],[quart_Z]]*Octane[[#This Row],[quart_X]])))))</f>
        <v>0.54868310046407176</v>
      </c>
      <c r="V28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121.13473525483016</v>
      </c>
      <c r="W28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90.001070464879376</v>
      </c>
      <c r="X280" s="1">
        <f>IF(Octane[[#This Row],[Yaw]]&gt;V279,(360-ABS(Octane[[#This Row],[Yaw]])-ABS(V279)),ABS(Octane[[#This Row],[Yaw]]-V279))</f>
        <v>0.94630499179002925</v>
      </c>
      <c r="Y280" s="1">
        <f>Octane[[#This Row],[Degree change]]+Y279</f>
        <v>208.01626982424074</v>
      </c>
      <c r="Z280" s="1">
        <f>SQRT(Octane[[#This Row],[vel_X]]*Octane[[#This Row],[vel_X]]+Octane[[#This Row],[vel_Y]]*Octane[[#This Row],[vel_Y]]+Octane[[#This Row],[vel_Z]]*Octane[[#This Row],[vel_Z]])</f>
        <v>2299.9953519239521</v>
      </c>
    </row>
    <row r="281" spans="1:26">
      <c r="A281">
        <v>280</v>
      </c>
      <c r="B281" s="1">
        <v>-1420.719971</v>
      </c>
      <c r="C281" s="1">
        <v>531.29998799999998</v>
      </c>
      <c r="D281" s="1">
        <v>17.010000000000002</v>
      </c>
      <c r="E281" s="1">
        <v>1913.5299070000001</v>
      </c>
      <c r="F281" s="1">
        <v>-1276.049927</v>
      </c>
      <c r="G281" s="1">
        <v>8.11</v>
      </c>
      <c r="H281" s="1">
        <v>2.0000000000000001E-4</v>
      </c>
      <c r="I281" s="1">
        <v>0</v>
      </c>
      <c r="J281" s="1">
        <v>1.9824999999999999</v>
      </c>
      <c r="K281" s="1">
        <v>1.238E-3</v>
      </c>
      <c r="L281" s="1">
        <v>4.6259999999999999E-3</v>
      </c>
      <c r="M281" s="1">
        <v>-0.26040000000000002</v>
      </c>
      <c r="N281" s="1">
        <v>0.96548900000000004</v>
      </c>
      <c r="O281">
        <v>1</v>
      </c>
      <c r="P281">
        <v>0</v>
      </c>
      <c r="Q281">
        <v>1</v>
      </c>
      <c r="R281">
        <v>1</v>
      </c>
      <c r="S281">
        <v>1</v>
      </c>
      <c r="T281" s="1">
        <f>SQRT(POWER(Octane[[#This Row],[angvel_X]],2) + POWER(Octane[[#This Row],[angvel_Y]],2) + POWER(Octane[[#This Row],[angvel_Z]],2))</f>
        <v>1.9825000100882724</v>
      </c>
      <c r="U281" s="1">
        <f>DEGREES(ASIN(MAX(-1,MIN(1,2 * (Octane[[#This Row],[quart_W]]*Octane[[#This Row],[quart_Y]] - Octane[[#This Row],[quart_Z]]*Octane[[#This Row],[quart_X]])))))</f>
        <v>0.5487561182308327</v>
      </c>
      <c r="V28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120.18795695391681</v>
      </c>
      <c r="W28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90.001069763330776</v>
      </c>
      <c r="X281" s="1">
        <f>IF(Octane[[#This Row],[Yaw]]&gt;V280,(360-ABS(Octane[[#This Row],[Yaw]])-ABS(V280)),ABS(Octane[[#This Row],[Yaw]]-V280))</f>
        <v>0.94677830091335125</v>
      </c>
      <c r="Y281" s="1">
        <f>Octane[[#This Row],[Degree change]]+Y280</f>
        <v>208.9630481251541</v>
      </c>
      <c r="Z281" s="1">
        <f>SQRT(Octane[[#This Row],[vel_X]]*Octane[[#This Row],[vel_X]]+Octane[[#This Row],[vel_Y]]*Octane[[#This Row],[vel_Y]]+Octane[[#This Row],[vel_Z]]*Octane[[#This Row],[vel_Z]])</f>
        <v>2299.9925854837302</v>
      </c>
    </row>
    <row r="282" spans="1:26">
      <c r="A282">
        <v>281</v>
      </c>
      <c r="B282" s="1">
        <v>-1404.709961</v>
      </c>
      <c r="C282" s="1">
        <v>520.63000499999998</v>
      </c>
      <c r="D282" s="1">
        <v>17.010000000000002</v>
      </c>
      <c r="E282" s="1">
        <v>1934.349976</v>
      </c>
      <c r="F282" s="1">
        <v>-1244.26001</v>
      </c>
      <c r="G282" s="1">
        <v>8.11</v>
      </c>
      <c r="H282" s="1">
        <v>2.0000000000000001E-4</v>
      </c>
      <c r="I282" s="1">
        <v>0</v>
      </c>
      <c r="J282" s="1">
        <v>1.9824999999999999</v>
      </c>
      <c r="K282" s="1">
        <v>1.1999999999999999E-3</v>
      </c>
      <c r="L282" s="1">
        <v>4.6369999999999996E-3</v>
      </c>
      <c r="M282" s="1">
        <v>-0.252415</v>
      </c>
      <c r="N282" s="1">
        <v>0.96760699999999999</v>
      </c>
      <c r="O282">
        <v>1</v>
      </c>
      <c r="P282">
        <v>0</v>
      </c>
      <c r="Q282">
        <v>1</v>
      </c>
      <c r="R282">
        <v>1</v>
      </c>
      <c r="S282">
        <v>1</v>
      </c>
      <c r="T282" s="1">
        <f>SQRT(POWER(Octane[[#This Row],[angvel_X]],2) + POWER(Octane[[#This Row],[angvel_Y]],2) + POWER(Octane[[#This Row],[angvel_Z]],2))</f>
        <v>1.9825000100882724</v>
      </c>
      <c r="U282" s="1">
        <f>DEGREES(ASIN(MAX(-1,MIN(1,2 * (Octane[[#This Row],[quart_W]]*Octane[[#This Row],[quart_Y]] - Octane[[#This Row],[quart_Z]]*Octane[[#This Row],[quart_X]])))))</f>
        <v>0.54886662909740924</v>
      </c>
      <c r="V28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119.24127371664898</v>
      </c>
      <c r="W28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90.001068037178698</v>
      </c>
      <c r="X282" s="1">
        <f>IF(Octane[[#This Row],[Yaw]]&gt;V281,(360-ABS(Octane[[#This Row],[Yaw]])-ABS(V281)),ABS(Octane[[#This Row],[Yaw]]-V281))</f>
        <v>0.94668323726783399</v>
      </c>
      <c r="Y282" s="1">
        <f>Octane[[#This Row],[Degree change]]+Y281</f>
        <v>209.90973136242195</v>
      </c>
      <c r="Z282" s="1">
        <f>SQRT(Octane[[#This Row],[vel_X]]*Octane[[#This Row],[vel_X]]+Octane[[#This Row],[vel_Y]]*Octane[[#This Row],[vel_Y]]+Octane[[#This Row],[vel_Z]]*Octane[[#This Row],[vel_Z]])</f>
        <v>2299.9909943815869</v>
      </c>
    </row>
    <row r="283" spans="1:26">
      <c r="A283">
        <v>282</v>
      </c>
      <c r="B283" s="1">
        <v>-1388.530029</v>
      </c>
      <c r="C283" s="1">
        <v>510.22998000000001</v>
      </c>
      <c r="D283" s="1">
        <v>17.010000000000002</v>
      </c>
      <c r="E283" s="1">
        <v>1954.6400149999999</v>
      </c>
      <c r="F283" s="1">
        <v>-1212.1400149999999</v>
      </c>
      <c r="G283" s="1">
        <v>8.11</v>
      </c>
      <c r="H283" s="1">
        <v>2.0000000000000001E-4</v>
      </c>
      <c r="I283" s="1">
        <v>0</v>
      </c>
      <c r="J283" s="1">
        <v>1.9824999999999999</v>
      </c>
      <c r="K283" s="1">
        <v>1.163E-3</v>
      </c>
      <c r="L283" s="1">
        <v>4.6480000000000002E-3</v>
      </c>
      <c r="M283" s="1">
        <v>-0.24441499999999999</v>
      </c>
      <c r="N283" s="1">
        <v>0.96965900000000005</v>
      </c>
      <c r="O283">
        <v>1</v>
      </c>
      <c r="P283">
        <v>0</v>
      </c>
      <c r="Q283">
        <v>1</v>
      </c>
      <c r="R283">
        <v>1</v>
      </c>
      <c r="S283">
        <v>1</v>
      </c>
      <c r="T283" s="1">
        <f>SQRT(POWER(Octane[[#This Row],[angvel_X]],2) + POWER(Octane[[#This Row],[angvel_Y]],2) + POWER(Octane[[#This Row],[angvel_Z]],2))</f>
        <v>1.9825000100882724</v>
      </c>
      <c r="U283" s="1">
        <f>DEGREES(ASIN(MAX(-1,MIN(1,2 * (Octane[[#This Row],[quart_W]]*Octane[[#This Row],[quart_Y]] - Octane[[#This Row],[quart_Z]]*Octane[[#This Row],[quart_X]])))))</f>
        <v>0.54904288106746657</v>
      </c>
      <c r="V28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118.29486836133741</v>
      </c>
      <c r="W28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90.000954305366449</v>
      </c>
      <c r="X283" s="1">
        <f>IF(Octane[[#This Row],[Yaw]]&gt;V282,(360-ABS(Octane[[#This Row],[Yaw]])-ABS(V282)),ABS(Octane[[#This Row],[Yaw]]-V282))</f>
        <v>0.946405355311569</v>
      </c>
      <c r="Y283" s="1">
        <f>Octane[[#This Row],[Degree change]]+Y282</f>
        <v>210.85613671773353</v>
      </c>
      <c r="Z283" s="1">
        <f>SQRT(Octane[[#This Row],[vel_X]]*Octane[[#This Row],[vel_X]]+Octane[[#This Row],[vel_Y]]*Octane[[#This Row],[vel_Y]]+Octane[[#This Row],[vel_Z]]*Octane[[#This Row],[vel_Z]])</f>
        <v>2299.9927774459206</v>
      </c>
    </row>
    <row r="284" spans="1:26">
      <c r="A284">
        <v>283</v>
      </c>
      <c r="B284" s="1">
        <v>-1372.179932</v>
      </c>
      <c r="C284" s="1">
        <v>500.09997600000003</v>
      </c>
      <c r="D284" s="1">
        <v>17.010000000000002</v>
      </c>
      <c r="E284" s="1">
        <v>1974.3999020000001</v>
      </c>
      <c r="F284" s="1">
        <v>-1179.679932</v>
      </c>
      <c r="G284" s="1">
        <v>8.11</v>
      </c>
      <c r="H284" s="1">
        <v>2.0000000000000001E-4</v>
      </c>
      <c r="I284" s="1">
        <v>0</v>
      </c>
      <c r="J284" s="1">
        <v>1.9824999999999999</v>
      </c>
      <c r="K284" s="1">
        <v>1.1249999999999999E-3</v>
      </c>
      <c r="L284" s="1">
        <v>4.6579999999999998E-3</v>
      </c>
      <c r="M284" s="1">
        <v>-0.236398</v>
      </c>
      <c r="N284" s="1">
        <v>0.97164399999999995</v>
      </c>
      <c r="O284">
        <v>1</v>
      </c>
      <c r="P284">
        <v>0</v>
      </c>
      <c r="Q284">
        <v>1</v>
      </c>
      <c r="R284">
        <v>1</v>
      </c>
      <c r="S284">
        <v>1</v>
      </c>
      <c r="T284" s="1">
        <f>SQRT(POWER(Octane[[#This Row],[angvel_X]],2) + POWER(Octane[[#This Row],[angvel_Y]],2) + POWER(Octane[[#This Row],[angvel_Z]],2))</f>
        <v>1.9825000100882724</v>
      </c>
      <c r="U284" s="1">
        <f>DEGREES(ASIN(MAX(-1,MIN(1,2 * (Octane[[#This Row],[quart_W]]*Octane[[#This Row],[quart_Y]] - Octane[[#This Row],[quart_Z]]*Octane[[#This Row],[quart_X]])))))</f>
        <v>0.54911574459129808</v>
      </c>
      <c r="V28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117.34840146419309</v>
      </c>
      <c r="W28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90.000921631646861</v>
      </c>
      <c r="X284" s="1">
        <f>IF(Octane[[#This Row],[Yaw]]&gt;V283,(360-ABS(Octane[[#This Row],[Yaw]])-ABS(V283)),ABS(Octane[[#This Row],[Yaw]]-V283))</f>
        <v>0.94646689714431886</v>
      </c>
      <c r="Y284" s="1">
        <f>Octane[[#This Row],[Degree change]]+Y283</f>
        <v>211.80260361487785</v>
      </c>
      <c r="Z284" s="1">
        <f>SQRT(Octane[[#This Row],[vel_X]]*Octane[[#This Row],[vel_X]]+Octane[[#This Row],[vel_Y]]*Octane[[#This Row],[vel_Y]]+Octane[[#This Row],[vel_Z]]*Octane[[#This Row],[vel_Z]])</f>
        <v>2299.9924971793134</v>
      </c>
    </row>
    <row r="285" spans="1:26">
      <c r="A285">
        <v>284</v>
      </c>
      <c r="B285" s="1">
        <v>-1355.669922</v>
      </c>
      <c r="C285" s="1">
        <v>490.23998999999998</v>
      </c>
      <c r="D285" s="1">
        <v>17.010000000000002</v>
      </c>
      <c r="E285" s="1">
        <v>1993.619995</v>
      </c>
      <c r="F285" s="1">
        <v>-1146.900024</v>
      </c>
      <c r="G285" s="1">
        <v>8.11</v>
      </c>
      <c r="H285" s="1">
        <v>2.0000000000000001E-4</v>
      </c>
      <c r="I285" s="1">
        <v>0</v>
      </c>
      <c r="J285" s="1">
        <v>1.9824999999999999</v>
      </c>
      <c r="K285" s="1">
        <v>1.0870000000000001E-3</v>
      </c>
      <c r="L285" s="1">
        <v>4.6690000000000004E-3</v>
      </c>
      <c r="M285" s="1">
        <v>-0.22836500000000001</v>
      </c>
      <c r="N285" s="1">
        <v>0.97356399999999998</v>
      </c>
      <c r="O285">
        <v>1</v>
      </c>
      <c r="P285">
        <v>0</v>
      </c>
      <c r="Q285">
        <v>1</v>
      </c>
      <c r="R285">
        <v>1</v>
      </c>
      <c r="S285">
        <v>1</v>
      </c>
      <c r="T285" s="1">
        <f>SQRT(POWER(Octane[[#This Row],[angvel_X]],2) + POWER(Octane[[#This Row],[angvel_Y]],2) + POWER(Octane[[#This Row],[angvel_Z]],2))</f>
        <v>1.9825000100882724</v>
      </c>
      <c r="U285" s="1">
        <f>DEGREES(ASIN(MAX(-1,MIN(1,2 * (Octane[[#This Row],[quart_W]]*Octane[[#This Row],[quart_Y]] - Octane[[#This Row],[quart_Z]]*Octane[[#This Row],[quart_X]])))))</f>
        <v>0.54933778384500642</v>
      </c>
      <c r="V28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116.40198136302541</v>
      </c>
      <c r="W28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90.000913579305859</v>
      </c>
      <c r="X285" s="1">
        <f>IF(Octane[[#This Row],[Yaw]]&gt;V284,(360-ABS(Octane[[#This Row],[Yaw]])-ABS(V284)),ABS(Octane[[#This Row],[Yaw]]-V284))</f>
        <v>0.94642010116767494</v>
      </c>
      <c r="Y285" s="1">
        <f>Octane[[#This Row],[Degree change]]+Y284</f>
        <v>212.74902371604554</v>
      </c>
      <c r="Z285" s="1">
        <f>SQRT(Octane[[#This Row],[vel_X]]*Octane[[#This Row],[vel_X]]+Octane[[#This Row],[vel_Y]]*Octane[[#This Row],[vel_Y]]+Octane[[#This Row],[vel_Z]]*Octane[[#This Row],[vel_Z]])</f>
        <v>2299.9926351219042</v>
      </c>
    </row>
    <row r="286" spans="1:26">
      <c r="A286">
        <v>285</v>
      </c>
      <c r="B286" s="1">
        <v>-1338.98999</v>
      </c>
      <c r="C286" s="1">
        <v>480.64999399999999</v>
      </c>
      <c r="D286" s="1">
        <v>17.010000000000002</v>
      </c>
      <c r="E286" s="1">
        <v>2012.2899170000001</v>
      </c>
      <c r="F286" s="1">
        <v>-1113.809937</v>
      </c>
      <c r="G286" s="1">
        <v>8.11</v>
      </c>
      <c r="H286" s="1">
        <v>2.0000000000000001E-4</v>
      </c>
      <c r="I286" s="1">
        <v>0</v>
      </c>
      <c r="J286" s="1">
        <v>1.9824999999999999</v>
      </c>
      <c r="K286" s="1">
        <v>1.049E-3</v>
      </c>
      <c r="L286" s="1">
        <v>4.6800000000000001E-3</v>
      </c>
      <c r="M286" s="1">
        <v>-0.22031600000000001</v>
      </c>
      <c r="N286" s="1">
        <v>0.97541699999999998</v>
      </c>
      <c r="O286">
        <v>1</v>
      </c>
      <c r="P286">
        <v>0</v>
      </c>
      <c r="Q286">
        <v>1</v>
      </c>
      <c r="R286">
        <v>1</v>
      </c>
      <c r="S286">
        <v>1</v>
      </c>
      <c r="T286" s="1">
        <f>SQRT(POWER(Octane[[#This Row],[angvel_X]],2) + POWER(Octane[[#This Row],[angvel_Y]],2) + POWER(Octane[[#This Row],[angvel_Z]],2))</f>
        <v>1.9825000100882724</v>
      </c>
      <c r="U286" s="1">
        <f>DEGREES(ASIN(MAX(-1,MIN(1,2 * (Octane[[#This Row],[quart_W]]*Octane[[#This Row],[quart_Y]] - Octane[[#This Row],[quart_Z]]*Octane[[#This Row],[quart_X]])))))</f>
        <v>0.54959676958358805</v>
      </c>
      <c r="V28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115.45549519607687</v>
      </c>
      <c r="W28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90.000901469898309</v>
      </c>
      <c r="X286" s="1">
        <f>IF(Octane[[#This Row],[Yaw]]&gt;V285,(360-ABS(Octane[[#This Row],[Yaw]])-ABS(V285)),ABS(Octane[[#This Row],[Yaw]]-V285))</f>
        <v>0.94648616694854582</v>
      </c>
      <c r="Y286" s="1">
        <f>Octane[[#This Row],[Degree change]]+Y285</f>
        <v>213.69550988299409</v>
      </c>
      <c r="Z286" s="1">
        <f>SQRT(Octane[[#This Row],[vel_X]]*Octane[[#This Row],[vel_X]]+Octane[[#This Row],[vel_Y]]*Octane[[#This Row],[vel_Y]]+Octane[[#This Row],[vel_Z]]*Octane[[#This Row],[vel_Z]])</f>
        <v>2299.9889256080801</v>
      </c>
    </row>
    <row r="287" spans="1:26">
      <c r="A287">
        <v>286</v>
      </c>
      <c r="B287" s="1">
        <v>-1322.1599120000001</v>
      </c>
      <c r="C287" s="1">
        <v>471.33999599999999</v>
      </c>
      <c r="D287" s="1">
        <v>17.010000000000002</v>
      </c>
      <c r="E287" s="1">
        <v>2030.419922</v>
      </c>
      <c r="F287" s="1">
        <v>-1080.419922</v>
      </c>
      <c r="G287" s="1">
        <v>8.11</v>
      </c>
      <c r="H287" s="1">
        <v>2.0000000000000001E-4</v>
      </c>
      <c r="I287" s="1">
        <v>0</v>
      </c>
      <c r="J287" s="1">
        <v>1.9824999999999999</v>
      </c>
      <c r="K287" s="1">
        <v>1.0120000000000001E-3</v>
      </c>
      <c r="L287" s="1">
        <v>4.6909999999999999E-3</v>
      </c>
      <c r="M287" s="1">
        <v>-0.212251</v>
      </c>
      <c r="N287" s="1">
        <v>0.97720300000000004</v>
      </c>
      <c r="O287">
        <v>1</v>
      </c>
      <c r="P287">
        <v>0</v>
      </c>
      <c r="Q287">
        <v>1</v>
      </c>
      <c r="R287">
        <v>1</v>
      </c>
      <c r="S287">
        <v>1</v>
      </c>
      <c r="T287" s="1">
        <f>SQRT(POWER(Octane[[#This Row],[angvel_X]],2) + POWER(Octane[[#This Row],[angvel_Y]],2) + POWER(Octane[[#This Row],[angvel_Z]],2))</f>
        <v>1.9825000100882724</v>
      </c>
      <c r="U287" s="1">
        <f>DEGREES(ASIN(MAX(-1,MIN(1,2 * (Octane[[#This Row],[quart_W]]*Octane[[#This Row],[quart_Y]] - Octane[[#This Row],[quart_Z]]*Octane[[#This Row],[quart_X]])))))</f>
        <v>0.5499169807561326</v>
      </c>
      <c r="V28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114.50888007314818</v>
      </c>
      <c r="W28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90.000772383256134</v>
      </c>
      <c r="X287" s="1">
        <f>IF(Octane[[#This Row],[Yaw]]&gt;V286,(360-ABS(Octane[[#This Row],[Yaw]])-ABS(V286)),ABS(Octane[[#This Row],[Yaw]]-V286))</f>
        <v>0.94661512292869077</v>
      </c>
      <c r="Y287" s="1">
        <f>Octane[[#This Row],[Degree change]]+Y286</f>
        <v>214.64212500592276</v>
      </c>
      <c r="Z287" s="1">
        <f>SQRT(Octane[[#This Row],[vel_X]]*Octane[[#This Row],[vel_X]]+Octane[[#This Row],[vel_Y]]*Octane[[#This Row],[vel_Y]]+Octane[[#This Row],[vel_Z]]*Octane[[#This Row],[vel_Z]])</f>
        <v>2299.9952259969959</v>
      </c>
    </row>
    <row r="288" spans="1:26">
      <c r="A288">
        <v>287</v>
      </c>
      <c r="B288" s="1">
        <v>-1305.179932</v>
      </c>
      <c r="C288" s="1">
        <v>462.30999800000001</v>
      </c>
      <c r="D288" s="1">
        <v>17.010000000000002</v>
      </c>
      <c r="E288" s="1">
        <v>2047.98999</v>
      </c>
      <c r="F288" s="1">
        <v>-1046.7299800000001</v>
      </c>
      <c r="G288" s="1">
        <v>8.11</v>
      </c>
      <c r="H288" s="1">
        <v>2.0000000000000001E-4</v>
      </c>
      <c r="I288" s="1">
        <v>0</v>
      </c>
      <c r="J288" s="1">
        <v>1.9824999999999999</v>
      </c>
      <c r="K288" s="1">
        <v>9.7400000000000004E-4</v>
      </c>
      <c r="L288" s="1">
        <v>4.7019999999999996E-3</v>
      </c>
      <c r="M288" s="1">
        <v>-0.20416999999999999</v>
      </c>
      <c r="N288" s="1">
        <v>0.97892400000000002</v>
      </c>
      <c r="O288">
        <v>1</v>
      </c>
      <c r="P288">
        <v>0</v>
      </c>
      <c r="Q288">
        <v>1</v>
      </c>
      <c r="R288">
        <v>1</v>
      </c>
      <c r="S288">
        <v>1</v>
      </c>
      <c r="T288" s="1">
        <f>SQRT(POWER(Octane[[#This Row],[angvel_X]],2) + POWER(Octane[[#This Row],[angvel_Y]],2) + POWER(Octane[[#This Row],[angvel_Z]],2))</f>
        <v>1.9825000100882724</v>
      </c>
      <c r="U288" s="1">
        <f>DEGREES(ASIN(MAX(-1,MIN(1,2 * (Octane[[#This Row],[quart_W]]*Octane[[#This Row],[quart_Y]] - Octane[[#This Row],[quart_Z]]*Octane[[#This Row],[quart_X]])))))</f>
        <v>0.55024987804562575</v>
      </c>
      <c r="V28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113.56211810875388</v>
      </c>
      <c r="W28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90.000748932086495</v>
      </c>
      <c r="X288" s="1">
        <f>IF(Octane[[#This Row],[Yaw]]&gt;V287,(360-ABS(Octane[[#This Row],[Yaw]])-ABS(V287)),ABS(Octane[[#This Row],[Yaw]]-V287))</f>
        <v>0.94676196439429816</v>
      </c>
      <c r="Y288" s="1">
        <f>Octane[[#This Row],[Degree change]]+Y287</f>
        <v>215.58888697031705</v>
      </c>
      <c r="Z288" s="1">
        <f>SQRT(Octane[[#This Row],[vel_X]]*Octane[[#This Row],[vel_X]]+Octane[[#This Row],[vel_Y]]*Octane[[#This Row],[vel_Y]]+Octane[[#This Row],[vel_Z]]*Octane[[#This Row],[vel_Z]])</f>
        <v>2299.9940048337085</v>
      </c>
    </row>
    <row r="289" spans="1:26">
      <c r="A289">
        <v>288</v>
      </c>
      <c r="B289" s="1">
        <v>-1288.049927</v>
      </c>
      <c r="C289" s="1">
        <v>453.55999800000001</v>
      </c>
      <c r="D289" s="1">
        <v>17.010000000000002</v>
      </c>
      <c r="E289" s="1">
        <v>2065</v>
      </c>
      <c r="F289" s="1">
        <v>-1012.75</v>
      </c>
      <c r="G289" s="1">
        <v>8.11</v>
      </c>
      <c r="H289" s="1">
        <v>1E-4</v>
      </c>
      <c r="I289" s="1">
        <v>0</v>
      </c>
      <c r="J289" s="1">
        <v>1.9824999999999999</v>
      </c>
      <c r="K289" s="1">
        <v>9.3599999999999998E-4</v>
      </c>
      <c r="L289" s="1">
        <v>4.712E-3</v>
      </c>
      <c r="M289" s="1">
        <v>-0.196077</v>
      </c>
      <c r="N289" s="1">
        <v>0.98057700000000003</v>
      </c>
      <c r="O289">
        <v>1</v>
      </c>
      <c r="P289">
        <v>0</v>
      </c>
      <c r="Q289">
        <v>1</v>
      </c>
      <c r="R289">
        <v>1</v>
      </c>
      <c r="S289">
        <v>1</v>
      </c>
      <c r="T289" s="1">
        <f>SQRT(POWER(Octane[[#This Row],[angvel_X]],2) + POWER(Octane[[#This Row],[angvel_Y]],2) + POWER(Octane[[#This Row],[angvel_Z]],2))</f>
        <v>1.982500002522068</v>
      </c>
      <c r="U289" s="1">
        <f>DEGREES(ASIN(MAX(-1,MIN(1,2 * (Octane[[#This Row],[quart_W]]*Octane[[#This Row],[quart_Y]] - Octane[[#This Row],[quart_Z]]*Octane[[#This Row],[quart_X]])))))</f>
        <v>0.55050710991901131</v>
      </c>
      <c r="V28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112.61556488948385</v>
      </c>
      <c r="W28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90.000698439372144</v>
      </c>
      <c r="X289" s="1">
        <f>IF(Octane[[#This Row],[Yaw]]&gt;V288,(360-ABS(Octane[[#This Row],[Yaw]])-ABS(V288)),ABS(Octane[[#This Row],[Yaw]]-V288))</f>
        <v>0.94655321927002944</v>
      </c>
      <c r="Y289" s="1">
        <f>Octane[[#This Row],[Degree change]]+Y288</f>
        <v>216.53544018958706</v>
      </c>
      <c r="Z289" s="1">
        <f>SQRT(Octane[[#This Row],[vel_X]]*Octane[[#This Row],[vel_X]]+Octane[[#This Row],[vel_Y]]*Octane[[#This Row],[vel_Y]]+Octane[[#This Row],[vel_Z]]*Octane[[#This Row],[vel_Z]])</f>
        <v>2299.9898553254534</v>
      </c>
    </row>
    <row r="290" spans="1:26">
      <c r="A290">
        <v>289</v>
      </c>
      <c r="B290" s="1">
        <v>-1270.780029</v>
      </c>
      <c r="C290" s="1">
        <v>445.08999599999999</v>
      </c>
      <c r="D290" s="1">
        <v>17.010000000000002</v>
      </c>
      <c r="E290" s="1">
        <v>2081.4499510000001</v>
      </c>
      <c r="F290" s="1">
        <v>-978.5</v>
      </c>
      <c r="G290" s="1">
        <v>8.11</v>
      </c>
      <c r="H290" s="1">
        <v>1E-4</v>
      </c>
      <c r="I290" s="1">
        <v>0</v>
      </c>
      <c r="J290" s="1">
        <v>1.9824999999999999</v>
      </c>
      <c r="K290" s="1">
        <v>8.9800000000000004E-4</v>
      </c>
      <c r="L290" s="1">
        <v>4.718E-3</v>
      </c>
      <c r="M290" s="1">
        <v>-0.187969</v>
      </c>
      <c r="N290" s="1">
        <v>0.98216300000000001</v>
      </c>
      <c r="O290">
        <v>1</v>
      </c>
      <c r="P290">
        <v>0</v>
      </c>
      <c r="Q290">
        <v>1</v>
      </c>
      <c r="R290">
        <v>1</v>
      </c>
      <c r="S290">
        <v>1</v>
      </c>
      <c r="T290" s="1">
        <f>SQRT(POWER(Octane[[#This Row],[angvel_X]],2) + POWER(Octane[[#This Row],[angvel_Y]],2) + POWER(Octane[[#This Row],[angvel_Z]],2))</f>
        <v>1.982500002522068</v>
      </c>
      <c r="U290" s="1">
        <f>DEGREES(ASIN(MAX(-1,MIN(1,2 * (Octane[[#This Row],[quart_W]]*Octane[[#This Row],[quart_Y]] - Octane[[#This Row],[quart_Z]]*Octane[[#This Row],[quart_X]])))))</f>
        <v>0.55035060500494415</v>
      </c>
      <c r="V29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111.66881327124393</v>
      </c>
      <c r="W29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90.000556409856955</v>
      </c>
      <c r="X290" s="1">
        <f>IF(Octane[[#This Row],[Yaw]]&gt;V289,(360-ABS(Octane[[#This Row],[Yaw]])-ABS(V289)),ABS(Octane[[#This Row],[Yaw]]-V289))</f>
        <v>0.94675161823991516</v>
      </c>
      <c r="Y290" s="1">
        <f>Octane[[#This Row],[Degree change]]+Y289</f>
        <v>217.48219180782698</v>
      </c>
      <c r="Z290" s="1">
        <f>SQRT(Octane[[#This Row],[vel_X]]*Octane[[#This Row],[vel_X]]+Octane[[#This Row],[vel_Y]]*Octane[[#This Row],[vel_Y]]+Octane[[#This Row],[vel_Z]]*Octane[[#This Row],[vel_Z]])</f>
        <v>2299.9917218585597</v>
      </c>
    </row>
    <row r="291" spans="1:26">
      <c r="A291">
        <v>290</v>
      </c>
      <c r="B291" s="1">
        <v>-1253.369995</v>
      </c>
      <c r="C291" s="1">
        <v>436.91000400000001</v>
      </c>
      <c r="D291" s="1">
        <v>17.010000000000002</v>
      </c>
      <c r="E291" s="1">
        <v>2097.3298340000001</v>
      </c>
      <c r="F291" s="1">
        <v>-943.97997999999995</v>
      </c>
      <c r="G291" s="1">
        <v>8.11</v>
      </c>
      <c r="H291" s="1">
        <v>0</v>
      </c>
      <c r="I291" s="1">
        <v>0</v>
      </c>
      <c r="J291" s="1">
        <v>1.9824999999999999</v>
      </c>
      <c r="K291" s="1">
        <v>8.5999999999999998E-4</v>
      </c>
      <c r="L291" s="1">
        <v>4.7229999999999998E-3</v>
      </c>
      <c r="M291" s="1">
        <v>-0.17985000000000001</v>
      </c>
      <c r="N291" s="1">
        <v>0.98368199999999995</v>
      </c>
      <c r="O291">
        <v>1</v>
      </c>
      <c r="P291">
        <v>0</v>
      </c>
      <c r="Q291">
        <v>1</v>
      </c>
      <c r="R291">
        <v>1</v>
      </c>
      <c r="S291">
        <v>1</v>
      </c>
      <c r="T291" s="1">
        <f>SQRT(POWER(Octane[[#This Row],[angvel_X]],2) + POWER(Octane[[#This Row],[angvel_Y]],2) + POWER(Octane[[#This Row],[angvel_Z]],2))</f>
        <v>1.9824999999999999</v>
      </c>
      <c r="U291" s="1">
        <f>DEGREES(ASIN(MAX(-1,MIN(1,2 * (Octane[[#This Row],[quart_W]]*Octane[[#This Row],[quart_Y]] - Octane[[#This Row],[quart_Z]]*Octane[[#This Row],[quart_X]])))))</f>
        <v>0.55011681483888164</v>
      </c>
      <c r="V29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110.72228263141352</v>
      </c>
      <c r="W29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90.000397081492309</v>
      </c>
      <c r="X291" s="1">
        <f>IF(Octane[[#This Row],[Yaw]]&gt;V290,(360-ABS(Octane[[#This Row],[Yaw]])-ABS(V290)),ABS(Octane[[#This Row],[Yaw]]-V290))</f>
        <v>0.94653063983041363</v>
      </c>
      <c r="Y291" s="1">
        <f>Octane[[#This Row],[Degree change]]+Y290</f>
        <v>218.42872244765738</v>
      </c>
      <c r="Z291" s="1">
        <f>SQRT(Octane[[#This Row],[vel_X]]*Octane[[#This Row],[vel_X]]+Octane[[#This Row],[vel_Y]]*Octane[[#This Row],[vel_Y]]+Octane[[#This Row],[vel_Z]]*Octane[[#This Row],[vel_Z]])</f>
        <v>2299.9905233124914</v>
      </c>
    </row>
    <row r="292" spans="1:26">
      <c r="A292">
        <v>291</v>
      </c>
      <c r="B292" s="1">
        <v>-1235.829956</v>
      </c>
      <c r="C292" s="1">
        <v>429.01998900000001</v>
      </c>
      <c r="D292" s="1">
        <v>17.010000000000002</v>
      </c>
      <c r="E292" s="1">
        <v>2112.639893</v>
      </c>
      <c r="F292" s="1">
        <v>-909.19995100000006</v>
      </c>
      <c r="G292" s="1">
        <v>8.11</v>
      </c>
      <c r="H292" s="1">
        <v>0</v>
      </c>
      <c r="I292" s="1">
        <v>0</v>
      </c>
      <c r="J292" s="1">
        <v>1.9824999999999999</v>
      </c>
      <c r="K292" s="1">
        <v>8.2299999999999995E-4</v>
      </c>
      <c r="L292" s="1">
        <v>4.7289999999999997E-3</v>
      </c>
      <c r="M292" s="1">
        <v>-0.17172000000000001</v>
      </c>
      <c r="N292" s="1">
        <v>0.98513399999999995</v>
      </c>
      <c r="O292">
        <v>1</v>
      </c>
      <c r="P292">
        <v>0</v>
      </c>
      <c r="Q292">
        <v>1</v>
      </c>
      <c r="R292">
        <v>1</v>
      </c>
      <c r="S292">
        <v>1</v>
      </c>
      <c r="T292" s="1">
        <f>SQRT(POWER(Octane[[#This Row],[angvel_X]],2) + POWER(Octane[[#This Row],[angvel_Y]],2) + POWER(Octane[[#This Row],[angvel_Z]],2))</f>
        <v>1.9824999999999999</v>
      </c>
      <c r="U292" s="1">
        <f>DEGREES(ASIN(MAX(-1,MIN(1,2 * (Octane[[#This Row],[quart_W]]*Octane[[#This Row],[quart_Y]] - Octane[[#This Row],[quart_Z]]*Octane[[#This Row],[quart_X]])))))</f>
        <v>0.55005071079743162</v>
      </c>
      <c r="V29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109.77590605666812</v>
      </c>
      <c r="W29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90.000148815227007</v>
      </c>
      <c r="X292" s="1">
        <f>IF(Octane[[#This Row],[Yaw]]&gt;V291,(360-ABS(Octane[[#This Row],[Yaw]])-ABS(V291)),ABS(Octane[[#This Row],[Yaw]]-V291))</f>
        <v>0.94637657474540049</v>
      </c>
      <c r="Y292" s="1">
        <f>Octane[[#This Row],[Degree change]]+Y291</f>
        <v>219.37509902240276</v>
      </c>
      <c r="Z292" s="1">
        <f>SQRT(Octane[[#This Row],[vel_X]]*Octane[[#This Row],[vel_X]]+Octane[[#This Row],[vel_Y]]*Octane[[#This Row],[vel_Y]]+Octane[[#This Row],[vel_Z]]*Octane[[#This Row],[vel_Z]])</f>
        <v>2299.9907913931861</v>
      </c>
    </row>
    <row r="293" spans="1:26">
      <c r="A293">
        <v>292</v>
      </c>
      <c r="B293" s="1">
        <v>-1218.1599120000001</v>
      </c>
      <c r="C293" s="1">
        <v>421.419983</v>
      </c>
      <c r="D293" s="1">
        <v>17.010000000000002</v>
      </c>
      <c r="E293" s="1">
        <v>2127.3698730000001</v>
      </c>
      <c r="F293" s="1">
        <v>-874.17999299999997</v>
      </c>
      <c r="G293" s="1">
        <v>8.11</v>
      </c>
      <c r="H293" s="1">
        <v>0</v>
      </c>
      <c r="I293" s="1">
        <v>0</v>
      </c>
      <c r="J293" s="1">
        <v>1.9824999999999999</v>
      </c>
      <c r="K293" s="1">
        <v>7.85E-4</v>
      </c>
      <c r="L293" s="1">
        <v>4.7340000000000004E-3</v>
      </c>
      <c r="M293" s="1">
        <v>-0.163579</v>
      </c>
      <c r="N293" s="1">
        <v>0.98651900000000003</v>
      </c>
      <c r="O293">
        <v>1</v>
      </c>
      <c r="P293">
        <v>0</v>
      </c>
      <c r="Q293">
        <v>1</v>
      </c>
      <c r="R293">
        <v>1</v>
      </c>
      <c r="S293">
        <v>1</v>
      </c>
      <c r="T293" s="1">
        <f>SQRT(POWER(Octane[[#This Row],[angvel_X]],2) + POWER(Octane[[#This Row],[angvel_Y]],2) + POWER(Octane[[#This Row],[angvel_Z]],2))</f>
        <v>1.9824999999999999</v>
      </c>
      <c r="U293" s="1">
        <f>DEGREES(ASIN(MAX(-1,MIN(1,2 * (Octane[[#This Row],[quart_W]]*Octane[[#This Row],[quart_Y]] - Octane[[#This Row],[quart_Z]]*Octane[[#This Row],[quart_X]])))))</f>
        <v>0.54988640356970697</v>
      </c>
      <c r="V29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108.82961769368502</v>
      </c>
      <c r="W29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89.99999605454552</v>
      </c>
      <c r="X293" s="1">
        <f>IF(Octane[[#This Row],[Yaw]]&gt;V292,(360-ABS(Octane[[#This Row],[Yaw]])-ABS(V292)),ABS(Octane[[#This Row],[Yaw]]-V292))</f>
        <v>0.94628836298309693</v>
      </c>
      <c r="Y293" s="1">
        <f>Octane[[#This Row],[Degree change]]+Y292</f>
        <v>220.32138738538586</v>
      </c>
      <c r="Z293" s="1">
        <f>SQRT(Octane[[#This Row],[vel_X]]*Octane[[#This Row],[vel_X]]+Octane[[#This Row],[vel_Y]]*Octane[[#This Row],[vel_Y]]+Octane[[#This Row],[vel_Z]]*Octane[[#This Row],[vel_Z]])</f>
        <v>2299.9910888543714</v>
      </c>
    </row>
    <row r="294" spans="1:26">
      <c r="A294">
        <v>293</v>
      </c>
      <c r="B294" s="1">
        <v>-1200.369995</v>
      </c>
      <c r="C294" s="1">
        <v>414.10998499999999</v>
      </c>
      <c r="D294" s="1">
        <v>17.010000000000002</v>
      </c>
      <c r="E294" s="1">
        <v>2141.5200199999999</v>
      </c>
      <c r="F294" s="1">
        <v>-838.919983</v>
      </c>
      <c r="G294" s="1">
        <v>8.11</v>
      </c>
      <c r="H294" s="1">
        <v>0</v>
      </c>
      <c r="I294" s="1">
        <v>0</v>
      </c>
      <c r="J294" s="1">
        <v>1.9824999999999999</v>
      </c>
      <c r="K294" s="1">
        <v>7.4700000000000005E-4</v>
      </c>
      <c r="L294" s="1">
        <v>4.7390000000000002E-3</v>
      </c>
      <c r="M294" s="1">
        <v>-0.155422</v>
      </c>
      <c r="N294" s="1">
        <v>0.98783600000000005</v>
      </c>
      <c r="O294">
        <v>1</v>
      </c>
      <c r="P294">
        <v>0</v>
      </c>
      <c r="Q294">
        <v>1</v>
      </c>
      <c r="R294">
        <v>1</v>
      </c>
      <c r="S294">
        <v>1</v>
      </c>
      <c r="T294" s="1">
        <f>SQRT(POWER(Octane[[#This Row],[angvel_X]],2) + POWER(Octane[[#This Row],[angvel_Y]],2) + POWER(Octane[[#This Row],[angvel_Z]],2))</f>
        <v>1.9824999999999999</v>
      </c>
      <c r="U294" s="1">
        <f>DEGREES(ASIN(MAX(-1,MIN(1,2 * (Octane[[#This Row],[quart_W]]*Octane[[#This Row],[quart_Y]] - Octane[[#This Row],[quart_Z]]*Octane[[#This Row],[quart_X]])))))</f>
        <v>0.54975628768704354</v>
      </c>
      <c r="V29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107.88274131847493</v>
      </c>
      <c r="W29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89.999843158876459</v>
      </c>
      <c r="X294" s="1">
        <f>IF(Octane[[#This Row],[Yaw]]&gt;V293,(360-ABS(Octane[[#This Row],[Yaw]])-ABS(V293)),ABS(Octane[[#This Row],[Yaw]]-V293))</f>
        <v>0.94687637521009549</v>
      </c>
      <c r="Y294" s="1">
        <f>Octane[[#This Row],[Degree change]]+Y293</f>
        <v>221.26826376059597</v>
      </c>
      <c r="Z294" s="1">
        <f>SQRT(Octane[[#This Row],[vel_X]]*Octane[[#This Row],[vel_X]]+Octane[[#This Row],[vel_Y]]*Octane[[#This Row],[vel_Y]]+Octane[[#This Row],[vel_Z]]*Octane[[#This Row],[vel_Z]])</f>
        <v>2299.9914143399578</v>
      </c>
    </row>
    <row r="295" spans="1:26">
      <c r="A295">
        <v>294</v>
      </c>
      <c r="B295" s="1">
        <v>-1182.459961</v>
      </c>
      <c r="C295" s="1">
        <v>407.10000600000001</v>
      </c>
      <c r="D295" s="1">
        <v>17.010000000000002</v>
      </c>
      <c r="E295" s="1">
        <v>2155.0898440000001</v>
      </c>
      <c r="F295" s="1">
        <v>-803.42999299999997</v>
      </c>
      <c r="G295" s="1">
        <v>8.11</v>
      </c>
      <c r="H295" s="1">
        <v>0</v>
      </c>
      <c r="I295" s="1">
        <v>0</v>
      </c>
      <c r="J295" s="1">
        <v>1.9824999999999999</v>
      </c>
      <c r="K295" s="1">
        <v>7.0899999999999999E-4</v>
      </c>
      <c r="L295" s="1">
        <v>4.7450000000000001E-3</v>
      </c>
      <c r="M295" s="1">
        <v>-0.147254</v>
      </c>
      <c r="N295" s="1">
        <v>0.98908700000000005</v>
      </c>
      <c r="O295">
        <v>1</v>
      </c>
      <c r="P295">
        <v>0</v>
      </c>
      <c r="Q295">
        <v>1</v>
      </c>
      <c r="R295">
        <v>1</v>
      </c>
      <c r="S295">
        <v>1</v>
      </c>
      <c r="T295" s="1">
        <f>SQRT(POWER(Octane[[#This Row],[angvel_X]],2) + POWER(Octane[[#This Row],[angvel_Y]],2) + POWER(Octane[[#This Row],[angvel_Z]],2))</f>
        <v>1.9824999999999999</v>
      </c>
      <c r="U295" s="1">
        <f>DEGREES(ASIN(MAX(-1,MIN(1,2 * (Octane[[#This Row],[quart_W]]*Octane[[#This Row],[quart_Y]] - Octane[[#This Row],[quart_Z]]*Octane[[#This Row],[quart_X]])))))</f>
        <v>0.54977529506177991</v>
      </c>
      <c r="V29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106.93584415297387</v>
      </c>
      <c r="W29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89.999708642934252</v>
      </c>
      <c r="X295" s="1">
        <f>IF(Octane[[#This Row],[Yaw]]&gt;V294,(360-ABS(Octane[[#This Row],[Yaw]])-ABS(V294)),ABS(Octane[[#This Row],[Yaw]]-V294))</f>
        <v>0.94689716550105629</v>
      </c>
      <c r="Y295" s="1">
        <f>Octane[[#This Row],[Degree change]]+Y294</f>
        <v>222.21516092609704</v>
      </c>
      <c r="Z295" s="1">
        <f>SQRT(Octane[[#This Row],[vel_X]]*Octane[[#This Row],[vel_X]]+Octane[[#This Row],[vel_Y]]*Octane[[#This Row],[vel_Y]]+Octane[[#This Row],[vel_Z]]*Octane[[#This Row],[vel_Z]])</f>
        <v>2299.9951655305549</v>
      </c>
    </row>
    <row r="296" spans="1:26">
      <c r="A296">
        <v>295</v>
      </c>
      <c r="B296" s="1">
        <v>-1164.4399410000001</v>
      </c>
      <c r="C296" s="1">
        <v>400.38000499999998</v>
      </c>
      <c r="D296" s="1">
        <v>17.010000000000002</v>
      </c>
      <c r="E296" s="1">
        <v>2168.070068</v>
      </c>
      <c r="F296" s="1">
        <v>-767.70996100000002</v>
      </c>
      <c r="G296" s="1">
        <v>8.11</v>
      </c>
      <c r="H296" s="1">
        <v>0</v>
      </c>
      <c r="I296" s="1">
        <v>0</v>
      </c>
      <c r="J296" s="1">
        <v>1.9824999999999999</v>
      </c>
      <c r="K296" s="1">
        <v>6.7199999999999996E-4</v>
      </c>
      <c r="L296" s="1">
        <v>4.7499999999999999E-3</v>
      </c>
      <c r="M296" s="1">
        <v>-0.13908100000000001</v>
      </c>
      <c r="N296" s="1">
        <v>0.99026899999999995</v>
      </c>
      <c r="O296">
        <v>1</v>
      </c>
      <c r="P296">
        <v>0</v>
      </c>
      <c r="Q296">
        <v>1</v>
      </c>
      <c r="R296">
        <v>1</v>
      </c>
      <c r="S296">
        <v>1</v>
      </c>
      <c r="T296" s="1">
        <f>SQRT(POWER(Octane[[#This Row],[angvel_X]],2) + POWER(Octane[[#This Row],[angvel_Y]],2) + POWER(Octane[[#This Row],[angvel_Z]],2))</f>
        <v>1.9824999999999999</v>
      </c>
      <c r="U296" s="1">
        <f>DEGREES(ASIN(MAX(-1,MIN(1,2 * (Octane[[#This Row],[quart_W]]*Octane[[#This Row],[quart_Y]] - Octane[[#This Row],[quart_Z]]*Octane[[#This Row],[quart_X]])))))</f>
        <v>0.54973166586969135</v>
      </c>
      <c r="V29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105.9895189512918</v>
      </c>
      <c r="W29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89.999446953617792</v>
      </c>
      <c r="X296" s="1">
        <f>IF(Octane[[#This Row],[Yaw]]&gt;V295,(360-ABS(Octane[[#This Row],[Yaw]])-ABS(V295)),ABS(Octane[[#This Row],[Yaw]]-V295))</f>
        <v>0.94632520168207179</v>
      </c>
      <c r="Y296" s="1">
        <f>Octane[[#This Row],[Degree change]]+Y295</f>
        <v>223.16148612777911</v>
      </c>
      <c r="Z296" s="1">
        <f>SQRT(Octane[[#This Row],[vel_X]]*Octane[[#This Row],[vel_X]]+Octane[[#This Row],[vel_Y]]*Octane[[#This Row],[vel_Y]]+Octane[[#This Row],[vel_Z]]*Octane[[#This Row],[vel_Z]])</f>
        <v>2299.9939513129475</v>
      </c>
    </row>
    <row r="297" spans="1:26">
      <c r="A297">
        <v>296</v>
      </c>
      <c r="B297" s="1">
        <v>-1146.309937</v>
      </c>
      <c r="C297" s="1">
        <v>393.959991</v>
      </c>
      <c r="D297" s="1">
        <v>17.010000000000002</v>
      </c>
      <c r="E297" s="1">
        <v>2180.459961</v>
      </c>
      <c r="F297" s="1">
        <v>-731.78997800000002</v>
      </c>
      <c r="G297" s="1">
        <v>8.11</v>
      </c>
      <c r="H297" s="1">
        <v>0</v>
      </c>
      <c r="I297" s="1">
        <v>0</v>
      </c>
      <c r="J297" s="1">
        <v>1.9824999999999999</v>
      </c>
      <c r="K297" s="1">
        <v>6.3400000000000001E-4</v>
      </c>
      <c r="L297" s="1">
        <v>4.7559999999999998E-3</v>
      </c>
      <c r="M297" s="1">
        <v>-0.13089700000000001</v>
      </c>
      <c r="N297" s="1">
        <v>0.99138400000000004</v>
      </c>
      <c r="O297">
        <v>1</v>
      </c>
      <c r="P297">
        <v>0</v>
      </c>
      <c r="Q297">
        <v>1</v>
      </c>
      <c r="R297">
        <v>1</v>
      </c>
      <c r="S297">
        <v>1</v>
      </c>
      <c r="T297" s="1">
        <f>SQRT(POWER(Octane[[#This Row],[angvel_X]],2) + POWER(Octane[[#This Row],[angvel_Y]],2) + POWER(Octane[[#This Row],[angvel_Z]],2))</f>
        <v>1.9824999999999999</v>
      </c>
      <c r="U297" s="1">
        <f>DEGREES(ASIN(MAX(-1,MIN(1,2 * (Octane[[#This Row],[quart_W]]*Octane[[#This Row],[quart_Y]] - Octane[[#This Row],[quart_Z]]*Octane[[#This Row],[quart_X]])))))</f>
        <v>0.54981999940169668</v>
      </c>
      <c r="V29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105.04302477039671</v>
      </c>
      <c r="W29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89.999313413229743</v>
      </c>
      <c r="X297" s="1">
        <f>IF(Octane[[#This Row],[Yaw]]&gt;V296,(360-ABS(Octane[[#This Row],[Yaw]])-ABS(V296)),ABS(Octane[[#This Row],[Yaw]]-V296))</f>
        <v>0.94649418089508686</v>
      </c>
      <c r="Y297" s="1">
        <f>Octane[[#This Row],[Degree change]]+Y296</f>
        <v>224.1079803086742</v>
      </c>
      <c r="Z297" s="1">
        <f>SQRT(Octane[[#This Row],[vel_X]]*Octane[[#This Row],[vel_X]]+Octane[[#This Row],[vel_Y]]*Octane[[#This Row],[vel_Y]]+Octane[[#This Row],[vel_Z]]*Octane[[#This Row],[vel_Z]])</f>
        <v>2299.9973881562041</v>
      </c>
    </row>
    <row r="298" spans="1:26">
      <c r="A298">
        <v>297</v>
      </c>
      <c r="B298" s="1">
        <v>-1128.0699460000001</v>
      </c>
      <c r="C298" s="1">
        <v>387.83999599999999</v>
      </c>
      <c r="D298" s="1">
        <v>17.010000000000002</v>
      </c>
      <c r="E298" s="1">
        <v>2192.25</v>
      </c>
      <c r="F298" s="1">
        <v>-695.669983</v>
      </c>
      <c r="G298" s="1">
        <v>8.11</v>
      </c>
      <c r="H298" s="1">
        <v>0</v>
      </c>
      <c r="I298" s="1">
        <v>0</v>
      </c>
      <c r="J298" s="1">
        <v>1.9824999999999999</v>
      </c>
      <c r="K298" s="1">
        <v>5.9599999999999996E-4</v>
      </c>
      <c r="L298" s="1">
        <v>4.7609999999999996E-3</v>
      </c>
      <c r="M298" s="1">
        <v>-0.12270200000000001</v>
      </c>
      <c r="N298" s="1">
        <v>0.99243199999999998</v>
      </c>
      <c r="O298">
        <v>1</v>
      </c>
      <c r="P298">
        <v>0</v>
      </c>
      <c r="Q298">
        <v>1</v>
      </c>
      <c r="R298">
        <v>1</v>
      </c>
      <c r="S298">
        <v>1</v>
      </c>
      <c r="T298" s="1">
        <f>SQRT(POWER(Octane[[#This Row],[angvel_X]],2) + POWER(Octane[[#This Row],[angvel_Y]],2) + POWER(Octane[[#This Row],[angvel_Z]],2))</f>
        <v>1.9824999999999999</v>
      </c>
      <c r="U298" s="1">
        <f>DEGREES(ASIN(MAX(-1,MIN(1,2 * (Octane[[#This Row],[quart_W]]*Octane[[#This Row],[quart_Y]] - Octane[[#This Row],[quart_Z]]*Octane[[#This Row],[quart_X]])))))</f>
        <v>0.54983010019597056</v>
      </c>
      <c r="V29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104.09629654004316</v>
      </c>
      <c r="W29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89.999162841466784</v>
      </c>
      <c r="X298" s="1">
        <f>IF(Octane[[#This Row],[Yaw]]&gt;V297,(360-ABS(Octane[[#This Row],[Yaw]])-ABS(V297)),ABS(Octane[[#This Row],[Yaw]]-V297))</f>
        <v>0.94672823035355691</v>
      </c>
      <c r="Y298" s="1">
        <f>Octane[[#This Row],[Degree change]]+Y297</f>
        <v>225.05470853902776</v>
      </c>
      <c r="Z298" s="1">
        <f>SQRT(Octane[[#This Row],[vel_X]]*Octane[[#This Row],[vel_X]]+Octane[[#This Row],[vel_Y]]*Octane[[#This Row],[vel_Y]]+Octane[[#This Row],[vel_Z]]*Octane[[#This Row],[vel_Z]])</f>
        <v>2299.9962086593141</v>
      </c>
    </row>
    <row r="299" spans="1:26">
      <c r="A299">
        <v>298</v>
      </c>
      <c r="B299" s="1">
        <v>-1109.7299800000001</v>
      </c>
      <c r="C299" s="1">
        <v>382.02999899999998</v>
      </c>
      <c r="D299" s="1">
        <v>17.010000000000002</v>
      </c>
      <c r="E299" s="1">
        <v>2203.4399410000001</v>
      </c>
      <c r="F299" s="1">
        <v>-659.35998500000005</v>
      </c>
      <c r="G299" s="1">
        <v>8.11</v>
      </c>
      <c r="H299" s="1">
        <v>0</v>
      </c>
      <c r="I299" s="1">
        <v>0</v>
      </c>
      <c r="J299" s="1">
        <v>1.9824999999999999</v>
      </c>
      <c r="K299" s="1">
        <v>5.5800000000000001E-4</v>
      </c>
      <c r="L299" s="1">
        <v>4.7660000000000003E-3</v>
      </c>
      <c r="M299" s="1">
        <v>-0.11450200000000001</v>
      </c>
      <c r="N299" s="1">
        <v>0.99341100000000004</v>
      </c>
      <c r="O299">
        <v>1</v>
      </c>
      <c r="P299">
        <v>0</v>
      </c>
      <c r="Q299">
        <v>1</v>
      </c>
      <c r="R299">
        <v>1</v>
      </c>
      <c r="S299">
        <v>1</v>
      </c>
      <c r="T299" s="1">
        <f>SQRT(POWER(Octane[[#This Row],[angvel_X]],2) + POWER(Octane[[#This Row],[angvel_Y]],2) + POWER(Octane[[#This Row],[angvel_Z]],2))</f>
        <v>1.9824999999999999</v>
      </c>
      <c r="U299" s="1">
        <f>DEGREES(ASIN(MAX(-1,MIN(1,2 * (Octane[[#This Row],[quart_W]]*Octane[[#This Row],[quart_Y]] - Octane[[#This Row],[quart_Z]]*Octane[[#This Row],[quart_X]])))))</f>
        <v>0.5498747698134564</v>
      </c>
      <c r="V29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103.14994588769689</v>
      </c>
      <c r="W29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89.999013687260415</v>
      </c>
      <c r="X299" s="1">
        <f>IF(Octane[[#This Row],[Yaw]]&gt;V298,(360-ABS(Octane[[#This Row],[Yaw]])-ABS(V298)),ABS(Octane[[#This Row],[Yaw]]-V298))</f>
        <v>0.94635065234626836</v>
      </c>
      <c r="Y299" s="1">
        <f>Octane[[#This Row],[Degree change]]+Y298</f>
        <v>226.00105919137403</v>
      </c>
      <c r="Z299" s="1">
        <f>SQRT(Octane[[#This Row],[vel_X]]*Octane[[#This Row],[vel_X]]+Octane[[#This Row],[vel_Y]]*Octane[[#This Row],[vel_Y]]+Octane[[#This Row],[vel_Z]]*Octane[[#This Row],[vel_Z]])</f>
        <v>2299.9932468407997</v>
      </c>
    </row>
    <row r="300" spans="1:26">
      <c r="A300">
        <v>299</v>
      </c>
      <c r="B300" s="1">
        <v>-1091.299927</v>
      </c>
      <c r="C300" s="1">
        <v>376.51998900000001</v>
      </c>
      <c r="D300" s="1">
        <v>17.010000000000002</v>
      </c>
      <c r="E300" s="1">
        <v>2214.030029</v>
      </c>
      <c r="F300" s="1">
        <v>-622.86999500000002</v>
      </c>
      <c r="G300" s="1">
        <v>8.11</v>
      </c>
      <c r="H300" s="1">
        <v>0</v>
      </c>
      <c r="I300" s="1">
        <v>0</v>
      </c>
      <c r="J300" s="1">
        <v>1.9824999999999999</v>
      </c>
      <c r="K300" s="1">
        <v>5.2099999999999998E-4</v>
      </c>
      <c r="L300" s="1">
        <v>4.7720000000000002E-3</v>
      </c>
      <c r="M300" s="1">
        <v>-0.106291</v>
      </c>
      <c r="N300" s="1">
        <v>0.99432299999999996</v>
      </c>
      <c r="O300">
        <v>1</v>
      </c>
      <c r="P300">
        <v>0</v>
      </c>
      <c r="Q300">
        <v>1</v>
      </c>
      <c r="R300">
        <v>1</v>
      </c>
      <c r="S300">
        <v>1</v>
      </c>
      <c r="T300" s="1">
        <f>SQRT(POWER(Octane[[#This Row],[angvel_X]],2) + POWER(Octane[[#This Row],[angvel_Y]],2) + POWER(Octane[[#This Row],[angvel_Z]],2))</f>
        <v>1.9824999999999999</v>
      </c>
      <c r="U300" s="1">
        <f>DEGREES(ASIN(MAX(-1,MIN(1,2 * (Octane[[#This Row],[quart_W]]*Octane[[#This Row],[quart_Y]] - Octane[[#This Row],[quart_Z]]*Octane[[#This Row],[quart_X]])))))</f>
        <v>0.55008081779386298</v>
      </c>
      <c r="V30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102.20323286057892</v>
      </c>
      <c r="W30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89.998759875279262</v>
      </c>
      <c r="X300" s="1">
        <f>IF(Octane[[#This Row],[Yaw]]&gt;V299,(360-ABS(Octane[[#This Row],[Yaw]])-ABS(V299)),ABS(Octane[[#This Row],[Yaw]]-V299))</f>
        <v>0.94671302711796557</v>
      </c>
      <c r="Y300" s="1">
        <f>Octane[[#This Row],[Degree change]]+Y299</f>
        <v>226.94777221849199</v>
      </c>
      <c r="Z300" s="1">
        <f>SQRT(Octane[[#This Row],[vel_X]]*Octane[[#This Row],[vel_X]]+Octane[[#This Row],[vel_Y]]*Octane[[#This Row],[vel_Y]]+Octane[[#This Row],[vel_Z]]*Octane[[#This Row],[vel_Z]])</f>
        <v>2299.9916895686906</v>
      </c>
    </row>
    <row r="301" spans="1:26">
      <c r="A301">
        <v>300</v>
      </c>
      <c r="B301" s="1">
        <v>-1072.780029</v>
      </c>
      <c r="C301" s="1">
        <v>371.30999800000001</v>
      </c>
      <c r="D301" s="1">
        <v>17.010000000000002</v>
      </c>
      <c r="E301" s="1">
        <v>2224.0200199999999</v>
      </c>
      <c r="F301" s="1">
        <v>-586.20996100000002</v>
      </c>
      <c r="G301" s="1">
        <v>8.11</v>
      </c>
      <c r="H301" s="1">
        <v>0</v>
      </c>
      <c r="I301" s="1">
        <v>0</v>
      </c>
      <c r="J301" s="1">
        <v>1.9824999999999999</v>
      </c>
      <c r="K301" s="1">
        <v>4.8299999999999998E-4</v>
      </c>
      <c r="L301" s="1">
        <v>4.777E-3</v>
      </c>
      <c r="M301" s="1">
        <v>-9.8074999999999996E-2</v>
      </c>
      <c r="N301" s="1">
        <v>0.99516700000000002</v>
      </c>
      <c r="O301">
        <v>1</v>
      </c>
      <c r="P301">
        <v>0</v>
      </c>
      <c r="Q301">
        <v>1</v>
      </c>
      <c r="R301">
        <v>1</v>
      </c>
      <c r="S301">
        <v>1</v>
      </c>
      <c r="T301" s="1">
        <f>SQRT(POWER(Octane[[#This Row],[angvel_X]],2) + POWER(Octane[[#This Row],[angvel_Y]],2) + POWER(Octane[[#This Row],[angvel_Z]],2))</f>
        <v>1.9824999999999999</v>
      </c>
      <c r="U301" s="1">
        <f>DEGREES(ASIN(MAX(-1,MIN(1,2 * (Octane[[#This Row],[quart_W]]*Octane[[#This Row],[quart_Y]] - Octane[[#This Row],[quart_Z]]*Octane[[#This Row],[quart_X]])))))</f>
        <v>0.55019495819614106</v>
      </c>
      <c r="V30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101.2567809165744</v>
      </c>
      <c r="W30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89.998606343562642</v>
      </c>
      <c r="X301" s="1">
        <f>IF(Octane[[#This Row],[Yaw]]&gt;V300,(360-ABS(Octane[[#This Row],[Yaw]])-ABS(V300)),ABS(Octane[[#This Row],[Yaw]]-V300))</f>
        <v>0.94645194400452226</v>
      </c>
      <c r="Y301" s="1">
        <f>Octane[[#This Row],[Degree change]]+Y300</f>
        <v>227.89422416249653</v>
      </c>
      <c r="Z301" s="1">
        <f>SQRT(Octane[[#This Row],[vel_X]]*Octane[[#This Row],[vel_X]]+Octane[[#This Row],[vel_Y]]*Octane[[#This Row],[vel_Y]]+Octane[[#This Row],[vel_Z]]*Octane[[#This Row],[vel_Z]])</f>
        <v>2299.9941173482212</v>
      </c>
    </row>
    <row r="302" spans="1:26">
      <c r="A302">
        <v>301</v>
      </c>
      <c r="B302" s="1">
        <v>-1054.179932</v>
      </c>
      <c r="C302" s="1">
        <v>366.41000400000001</v>
      </c>
      <c r="D302" s="1">
        <v>17.010000000000002</v>
      </c>
      <c r="E302" s="1">
        <v>2233.3999020000001</v>
      </c>
      <c r="F302" s="1">
        <v>-549.39001499999995</v>
      </c>
      <c r="G302" s="1">
        <v>8.11</v>
      </c>
      <c r="H302" s="1">
        <v>-1E-4</v>
      </c>
      <c r="I302" s="1">
        <v>0</v>
      </c>
      <c r="J302" s="1">
        <v>1.9824999999999999</v>
      </c>
      <c r="K302" s="1">
        <v>4.4499999999999997E-4</v>
      </c>
      <c r="L302" s="1">
        <v>4.7829999999999999E-3</v>
      </c>
      <c r="M302" s="1">
        <v>-8.9853000000000002E-2</v>
      </c>
      <c r="N302" s="1">
        <v>0.99594300000000002</v>
      </c>
      <c r="O302">
        <v>1</v>
      </c>
      <c r="P302">
        <v>0</v>
      </c>
      <c r="Q302">
        <v>1</v>
      </c>
      <c r="R302">
        <v>1</v>
      </c>
      <c r="S302">
        <v>1</v>
      </c>
      <c r="T302" s="1">
        <f>SQRT(POWER(Octane[[#This Row],[angvel_X]],2) + POWER(Octane[[#This Row],[angvel_Y]],2) + POWER(Octane[[#This Row],[angvel_Z]],2))</f>
        <v>1.982500002522068</v>
      </c>
      <c r="U302" s="1">
        <f>DEGREES(ASIN(MAX(-1,MIN(1,2 * (Octane[[#This Row],[quart_W]]*Octane[[#This Row],[quart_Y]] - Octane[[#This Row],[quart_Z]]*Octane[[#This Row],[quart_X]])))))</f>
        <v>0.5504581837114807</v>
      </c>
      <c r="V30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100.31040798594471</v>
      </c>
      <c r="W30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89.998461223783067</v>
      </c>
      <c r="X302" s="1">
        <f>IF(Octane[[#This Row],[Yaw]]&gt;V301,(360-ABS(Octane[[#This Row],[Yaw]])-ABS(V301)),ABS(Octane[[#This Row],[Yaw]]-V301))</f>
        <v>0.94637293062969263</v>
      </c>
      <c r="Y302" s="1">
        <f>Octane[[#This Row],[Degree change]]+Y301</f>
        <v>228.84059709312623</v>
      </c>
      <c r="Z302" s="1">
        <f>SQRT(Octane[[#This Row],[vel_X]]*Octane[[#This Row],[vel_X]]+Octane[[#This Row],[vel_Y]]*Octane[[#This Row],[vel_Y]]+Octane[[#This Row],[vel_Z]]*Octane[[#This Row],[vel_Z]])</f>
        <v>2299.9935397594727</v>
      </c>
    </row>
    <row r="303" spans="1:26">
      <c r="A303">
        <v>302</v>
      </c>
      <c r="B303" s="1">
        <v>-1035.5</v>
      </c>
      <c r="C303" s="1">
        <v>361.81997699999999</v>
      </c>
      <c r="D303" s="1">
        <v>17.010000000000002</v>
      </c>
      <c r="E303" s="1">
        <v>2242.169922</v>
      </c>
      <c r="F303" s="1">
        <v>-512.419983</v>
      </c>
      <c r="G303" s="1">
        <v>8.11</v>
      </c>
      <c r="H303" s="1">
        <v>-1E-4</v>
      </c>
      <c r="I303" s="1">
        <v>0</v>
      </c>
      <c r="J303" s="1">
        <v>1.9824999999999999</v>
      </c>
      <c r="K303" s="1">
        <v>4.0700000000000003E-4</v>
      </c>
      <c r="L303" s="1">
        <v>4.7879999999999997E-3</v>
      </c>
      <c r="M303" s="1">
        <v>-8.1620999999999999E-2</v>
      </c>
      <c r="N303" s="1">
        <v>0.99665199999999998</v>
      </c>
      <c r="O303">
        <v>1</v>
      </c>
      <c r="P303">
        <v>0</v>
      </c>
      <c r="Q303">
        <v>1</v>
      </c>
      <c r="R303">
        <v>1</v>
      </c>
      <c r="S303">
        <v>1</v>
      </c>
      <c r="T303" s="1">
        <f>SQRT(POWER(Octane[[#This Row],[angvel_X]],2) + POWER(Octane[[#This Row],[angvel_Y]],2) + POWER(Octane[[#This Row],[angvel_Z]],2))</f>
        <v>1.982500002522068</v>
      </c>
      <c r="U303" s="1">
        <f>DEGREES(ASIN(MAX(-1,MIN(1,2 * (Octane[[#This Row],[quart_W]]*Octane[[#This Row],[quart_Y]] - Octane[[#This Row],[quart_Z]]*Octane[[#This Row],[quart_X]])))))</f>
        <v>0.55064263524780999</v>
      </c>
      <c r="V30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99.363595419123769</v>
      </c>
      <c r="W30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89.998299839281884</v>
      </c>
      <c r="X303" s="1">
        <f>IF(Octane[[#This Row],[Yaw]]&gt;V302,(360-ABS(Octane[[#This Row],[Yaw]])-ABS(V302)),ABS(Octane[[#This Row],[Yaw]]-V302))</f>
        <v>0.94681256682093817</v>
      </c>
      <c r="Y303" s="1">
        <f>Octane[[#This Row],[Degree change]]+Y302</f>
        <v>229.78740965994717</v>
      </c>
      <c r="Z303" s="1">
        <f>SQRT(Octane[[#This Row],[vel_X]]*Octane[[#This Row],[vel_X]]+Octane[[#This Row],[vel_Y]]*Octane[[#This Row],[vel_Y]]+Octane[[#This Row],[vel_Z]]*Octane[[#This Row],[vel_Z]])</f>
        <v>2299.9926022053214</v>
      </c>
    </row>
    <row r="304" spans="1:26">
      <c r="A304">
        <v>303</v>
      </c>
      <c r="B304" s="1">
        <v>-1016.75</v>
      </c>
      <c r="C304" s="1">
        <v>357.53997800000002</v>
      </c>
      <c r="D304" s="1">
        <v>17.010000000000002</v>
      </c>
      <c r="E304" s="1">
        <v>2250.3298340000001</v>
      </c>
      <c r="F304" s="1">
        <v>-475.30999800000001</v>
      </c>
      <c r="G304" s="1">
        <v>8.11</v>
      </c>
      <c r="H304" s="1">
        <v>-2.0000000000000001E-4</v>
      </c>
      <c r="I304" s="1">
        <v>0</v>
      </c>
      <c r="J304" s="1">
        <v>1.9824999999999999</v>
      </c>
      <c r="K304" s="1">
        <v>3.6999999999999999E-4</v>
      </c>
      <c r="L304" s="1">
        <v>4.7930000000000004E-3</v>
      </c>
      <c r="M304" s="1">
        <v>-7.3383000000000004E-2</v>
      </c>
      <c r="N304" s="1">
        <v>0.99729199999999996</v>
      </c>
      <c r="O304">
        <v>1</v>
      </c>
      <c r="P304">
        <v>0</v>
      </c>
      <c r="Q304">
        <v>1</v>
      </c>
      <c r="R304">
        <v>1</v>
      </c>
      <c r="S304">
        <v>1</v>
      </c>
      <c r="T304" s="1">
        <f>SQRT(POWER(Octane[[#This Row],[angvel_X]],2) + POWER(Octane[[#This Row],[angvel_Y]],2) + POWER(Octane[[#This Row],[angvel_Z]],2))</f>
        <v>1.9825000100882724</v>
      </c>
      <c r="U304" s="1">
        <f>DEGREES(ASIN(MAX(-1,MIN(1,2 * (Octane[[#This Row],[quart_W]]*Octane[[#This Row],[quart_Y]] - Octane[[#This Row],[quart_Z]]*Octane[[#This Row],[quart_X]])))))</f>
        <v>0.55086985135667088</v>
      </c>
      <c r="V30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98.416723818016251</v>
      </c>
      <c r="W30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89.998020531727818</v>
      </c>
      <c r="X304" s="1">
        <f>IF(Octane[[#This Row],[Yaw]]&gt;V303,(360-ABS(Octane[[#This Row],[Yaw]])-ABS(V303)),ABS(Octane[[#This Row],[Yaw]]-V303))</f>
        <v>0.94687160110751734</v>
      </c>
      <c r="Y304" s="1">
        <f>Octane[[#This Row],[Degree change]]+Y303</f>
        <v>230.73428126105469</v>
      </c>
      <c r="Z304" s="1">
        <f>SQRT(Octane[[#This Row],[vel_X]]*Octane[[#This Row],[vel_X]]+Octane[[#This Row],[vel_Y]]*Octane[[#This Row],[vel_Y]]+Octane[[#This Row],[vel_Z]]*Octane[[#This Row],[vel_Z]])</f>
        <v>2299.9934191404172</v>
      </c>
    </row>
    <row r="305" spans="1:26">
      <c r="A305">
        <v>304</v>
      </c>
      <c r="B305" s="1">
        <v>-997.92999299999997</v>
      </c>
      <c r="C305" s="1">
        <v>353.57000699999998</v>
      </c>
      <c r="D305" s="1">
        <v>17.010000000000002</v>
      </c>
      <c r="E305" s="1">
        <v>2257.8798830000001</v>
      </c>
      <c r="F305" s="1">
        <v>-438.05999800000001</v>
      </c>
      <c r="G305" s="1">
        <v>8.11</v>
      </c>
      <c r="H305" s="1">
        <v>-2.9999999999999997E-4</v>
      </c>
      <c r="I305" s="1">
        <v>0</v>
      </c>
      <c r="J305" s="1">
        <v>1.9824999999999999</v>
      </c>
      <c r="K305" s="1">
        <v>3.3199999999999999E-4</v>
      </c>
      <c r="L305" s="1">
        <v>4.7990000000000003E-3</v>
      </c>
      <c r="M305" s="1">
        <v>-6.5144999999999995E-2</v>
      </c>
      <c r="N305" s="1">
        <v>0.99786399999999997</v>
      </c>
      <c r="O305">
        <v>1</v>
      </c>
      <c r="P305">
        <v>0</v>
      </c>
      <c r="Q305">
        <v>1</v>
      </c>
      <c r="R305">
        <v>1</v>
      </c>
      <c r="S305">
        <v>1</v>
      </c>
      <c r="T305" s="1">
        <f>SQRT(POWER(Octane[[#This Row],[angvel_X]],2) + POWER(Octane[[#This Row],[angvel_Y]],2) + POWER(Octane[[#This Row],[angvel_Z]],2))</f>
        <v>1.9825000226986127</v>
      </c>
      <c r="U305" s="1">
        <f>DEGREES(ASIN(MAX(-1,MIN(1,2 * (Octane[[#This Row],[quart_W]]*Octane[[#This Row],[quart_Y]] - Octane[[#This Row],[quart_Z]]*Octane[[#This Row],[quart_X]])))))</f>
        <v>0.55123715835541676</v>
      </c>
      <c r="V30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97.470432044708929</v>
      </c>
      <c r="W30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89.997861623344974</v>
      </c>
      <c r="X305" s="1">
        <f>IF(Octane[[#This Row],[Yaw]]&gt;V304,(360-ABS(Octane[[#This Row],[Yaw]])-ABS(V304)),ABS(Octane[[#This Row],[Yaw]]-V304))</f>
        <v>0.94629177330732261</v>
      </c>
      <c r="Y305" s="1">
        <f>Octane[[#This Row],[Degree change]]+Y304</f>
        <v>231.680573034362</v>
      </c>
      <c r="Z305" s="1">
        <f>SQRT(Octane[[#This Row],[vel_X]]*Octane[[#This Row],[vel_X]]+Octane[[#This Row],[vel_Y]]*Octane[[#This Row],[vel_Y]]+Octane[[#This Row],[vel_Z]]*Octane[[#This Row],[vel_Z]])</f>
        <v>2299.9964999981748</v>
      </c>
    </row>
    <row r="306" spans="1:26">
      <c r="A306">
        <v>305</v>
      </c>
      <c r="B306" s="1">
        <v>-979.04998799999998</v>
      </c>
      <c r="C306" s="1">
        <v>349.91000400000001</v>
      </c>
      <c r="D306" s="1">
        <v>17.010000000000002</v>
      </c>
      <c r="E306" s="1">
        <v>2264.8100589999999</v>
      </c>
      <c r="F306" s="1">
        <v>-400.69998199999998</v>
      </c>
      <c r="G306" s="1">
        <v>8.11</v>
      </c>
      <c r="H306" s="1">
        <v>-2.9999999999999997E-4</v>
      </c>
      <c r="I306" s="1">
        <v>0</v>
      </c>
      <c r="J306" s="1">
        <v>1.9824999999999999</v>
      </c>
      <c r="K306" s="1">
        <v>2.8899999999999998E-4</v>
      </c>
      <c r="L306" s="1">
        <v>4.7990000000000003E-3</v>
      </c>
      <c r="M306" s="1">
        <v>-5.6902000000000001E-2</v>
      </c>
      <c r="N306" s="1">
        <v>0.99836800000000003</v>
      </c>
      <c r="O306">
        <v>1</v>
      </c>
      <c r="P306">
        <v>0</v>
      </c>
      <c r="Q306">
        <v>1</v>
      </c>
      <c r="R306">
        <v>1</v>
      </c>
      <c r="S306">
        <v>1</v>
      </c>
      <c r="T306" s="1">
        <f>SQRT(POWER(Octane[[#This Row],[angvel_X]],2) + POWER(Octane[[#This Row],[angvel_Y]],2) + POWER(Octane[[#This Row],[angvel_Z]],2))</f>
        <v>1.9825000226986127</v>
      </c>
      <c r="U306" s="1">
        <f>DEGREES(ASIN(MAX(-1,MIN(1,2 * (Octane[[#This Row],[quart_W]]*Octane[[#This Row],[quart_Y]] - Octane[[#This Row],[quart_Z]]*Octane[[#This Row],[quart_X]])))))</f>
        <v>0.55092032485433695</v>
      </c>
      <c r="V30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96.524078458482379</v>
      </c>
      <c r="W30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89.998228830635597</v>
      </c>
      <c r="X306" s="1">
        <f>IF(Octane[[#This Row],[Yaw]]&gt;V305,(360-ABS(Octane[[#This Row],[Yaw]])-ABS(V305)),ABS(Octane[[#This Row],[Yaw]]-V305))</f>
        <v>0.94635358622655019</v>
      </c>
      <c r="Y306" s="1">
        <f>Octane[[#This Row],[Degree change]]+Y305</f>
        <v>232.62692662058856</v>
      </c>
      <c r="Z306" s="1">
        <f>SQRT(Octane[[#This Row],[vel_X]]*Octane[[#This Row],[vel_X]]+Octane[[#This Row],[vel_Y]]*Octane[[#This Row],[vel_Y]]+Octane[[#This Row],[vel_Z]]*Octane[[#This Row],[vel_Z]])</f>
        <v>2299.9980110909623</v>
      </c>
    </row>
    <row r="307" spans="1:26">
      <c r="A307">
        <v>306</v>
      </c>
      <c r="B307" s="1">
        <v>-960.10998500000005</v>
      </c>
      <c r="C307" s="1">
        <v>346.55999800000001</v>
      </c>
      <c r="D307" s="1">
        <v>17.010000000000002</v>
      </c>
      <c r="E307" s="1">
        <v>2271.1198730000001</v>
      </c>
      <c r="F307" s="1">
        <v>-363.22998000000001</v>
      </c>
      <c r="G307" s="1">
        <v>8.11</v>
      </c>
      <c r="H307" s="1">
        <v>-2.9999999999999997E-4</v>
      </c>
      <c r="I307" s="1">
        <v>0</v>
      </c>
      <c r="J307" s="1">
        <v>1.9824999999999999</v>
      </c>
      <c r="K307" s="1">
        <v>2.4499999999999999E-4</v>
      </c>
      <c r="L307" s="1">
        <v>4.7990000000000003E-3</v>
      </c>
      <c r="M307" s="1">
        <v>-4.8653000000000002E-2</v>
      </c>
      <c r="N307" s="1">
        <v>0.99880400000000003</v>
      </c>
      <c r="O307">
        <v>1</v>
      </c>
      <c r="P307">
        <v>0</v>
      </c>
      <c r="Q307">
        <v>1</v>
      </c>
      <c r="R307">
        <v>1</v>
      </c>
      <c r="S307">
        <v>1</v>
      </c>
      <c r="T307" s="1">
        <f>SQRT(POWER(Octane[[#This Row],[angvel_X]],2) + POWER(Octane[[#This Row],[angvel_Y]],2) + POWER(Octane[[#This Row],[angvel_Z]],2))</f>
        <v>1.9825000226986127</v>
      </c>
      <c r="U307" s="1">
        <f>DEGREES(ASIN(MAX(-1,MIN(1,2 * (Octane[[#This Row],[quart_W]]*Octane[[#This Row],[quart_Y]] - Octane[[#This Row],[quart_Z]]*Octane[[#This Row],[quart_X]])))))</f>
        <v>0.55064158760339654</v>
      </c>
      <c r="V30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95.577482251495354</v>
      </c>
      <c r="W30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89.998714082031768</v>
      </c>
      <c r="X307" s="1">
        <f>IF(Octane[[#This Row],[Yaw]]&gt;V306,(360-ABS(Octane[[#This Row],[Yaw]])-ABS(V306)),ABS(Octane[[#This Row],[Yaw]]-V306))</f>
        <v>0.9465962069870244</v>
      </c>
      <c r="Y307" s="1">
        <f>Octane[[#This Row],[Degree change]]+Y306</f>
        <v>233.57352282757557</v>
      </c>
      <c r="Z307" s="1">
        <f>SQRT(Octane[[#This Row],[vel_X]]*Octane[[#This Row],[vel_X]]+Octane[[#This Row],[vel_Y]]*Octane[[#This Row],[vel_Y]]+Octane[[#This Row],[vel_Z]]*Octane[[#This Row],[vel_Z]])</f>
        <v>2299.9972321736254</v>
      </c>
    </row>
    <row r="308" spans="1:26">
      <c r="A308">
        <v>307</v>
      </c>
      <c r="B308" s="1">
        <v>-941.11999500000002</v>
      </c>
      <c r="C308" s="1">
        <v>343.52999899999998</v>
      </c>
      <c r="D308" s="1">
        <v>17.010000000000002</v>
      </c>
      <c r="E308" s="1">
        <v>2276.8100589999999</v>
      </c>
      <c r="F308" s="1">
        <v>-325.66000400000001</v>
      </c>
      <c r="G308" s="1">
        <v>8.11</v>
      </c>
      <c r="H308" s="1">
        <v>-2.9999999999999997E-4</v>
      </c>
      <c r="I308" s="1">
        <v>0</v>
      </c>
      <c r="J308" s="1">
        <v>1.9824999999999999</v>
      </c>
      <c r="K308" s="1">
        <v>2.02E-4</v>
      </c>
      <c r="L308" s="1">
        <v>4.7990000000000003E-3</v>
      </c>
      <c r="M308" s="1">
        <v>-4.0398999999999997E-2</v>
      </c>
      <c r="N308" s="1">
        <v>0.99917199999999995</v>
      </c>
      <c r="O308">
        <v>1</v>
      </c>
      <c r="P308">
        <v>0</v>
      </c>
      <c r="Q308">
        <v>1</v>
      </c>
      <c r="R308">
        <v>1</v>
      </c>
      <c r="S308">
        <v>1</v>
      </c>
      <c r="T308" s="1">
        <f>SQRT(POWER(Octane[[#This Row],[angvel_X]],2) + POWER(Octane[[#This Row],[angvel_Y]],2) + POWER(Octane[[#This Row],[angvel_Z]],2))</f>
        <v>1.9825000226986127</v>
      </c>
      <c r="U308" s="1">
        <f>DEGREES(ASIN(MAX(-1,MIN(1,2 * (Octane[[#This Row],[quart_W]]*Octane[[#This Row],[quart_Y]] - Octane[[#This Row],[quart_Z]]*Octane[[#This Row],[quart_X]])))))</f>
        <v>0.55041315540149716</v>
      </c>
      <c r="V30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94.63069326067118</v>
      </c>
      <c r="W30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89.999088044825257</v>
      </c>
      <c r="X308" s="1">
        <f>IF(Octane[[#This Row],[Yaw]]&gt;V307,(360-ABS(Octane[[#This Row],[Yaw]])-ABS(V307)),ABS(Octane[[#This Row],[Yaw]]-V307))</f>
        <v>0.94678899082417445</v>
      </c>
      <c r="Y308" s="1">
        <f>Octane[[#This Row],[Degree change]]+Y307</f>
        <v>234.52031181839976</v>
      </c>
      <c r="Z308" s="1">
        <f>SQRT(Octane[[#This Row],[vel_X]]*Octane[[#This Row],[vel_X]]+Octane[[#This Row],[vel_Y]]*Octane[[#This Row],[vel_Y]]+Octane[[#This Row],[vel_Z]]*Octane[[#This Row],[vel_Z]])</f>
        <v>2299.9965771863363</v>
      </c>
    </row>
    <row r="309" spans="1:26">
      <c r="A309">
        <v>308</v>
      </c>
      <c r="B309" s="1">
        <v>-922.07995600000004</v>
      </c>
      <c r="C309" s="1">
        <v>340.80999800000001</v>
      </c>
      <c r="D309" s="1">
        <v>17.010000000000002</v>
      </c>
      <c r="E309" s="1">
        <v>2281.8798830000001</v>
      </c>
      <c r="F309" s="1">
        <v>-288</v>
      </c>
      <c r="G309" s="1">
        <v>8.11</v>
      </c>
      <c r="H309" s="1">
        <v>-2.0000000000000001E-4</v>
      </c>
      <c r="I309" s="1">
        <v>0</v>
      </c>
      <c r="J309" s="1">
        <v>1.9824999999999999</v>
      </c>
      <c r="K309" s="1">
        <v>1.5899999999999999E-4</v>
      </c>
      <c r="L309" s="1">
        <v>4.7990000000000003E-3</v>
      </c>
      <c r="M309" s="1">
        <v>-3.2145E-2</v>
      </c>
      <c r="N309" s="1">
        <v>0.99947200000000003</v>
      </c>
      <c r="O309">
        <v>1</v>
      </c>
      <c r="P309">
        <v>0</v>
      </c>
      <c r="Q309">
        <v>1</v>
      </c>
      <c r="R309">
        <v>1</v>
      </c>
      <c r="S309">
        <v>1</v>
      </c>
      <c r="T309" s="1">
        <f>SQRT(POWER(Octane[[#This Row],[angvel_X]],2) + POWER(Octane[[#This Row],[angvel_Y]],2) + POWER(Octane[[#This Row],[angvel_Z]],2))</f>
        <v>1.9825000100882724</v>
      </c>
      <c r="U309" s="1">
        <f>DEGREES(ASIN(MAX(-1,MIN(1,2 * (Octane[[#This Row],[quart_W]]*Octane[[#This Row],[quart_Y]] - Octane[[#This Row],[quart_Z]]*Octane[[#This Row],[quart_X]])))))</f>
        <v>0.55022867247273033</v>
      </c>
      <c r="V30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93.684221423457586</v>
      </c>
      <c r="W30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89.999466873368064</v>
      </c>
      <c r="X309" s="1">
        <f>IF(Octane[[#This Row],[Yaw]]&gt;V308,(360-ABS(Octane[[#This Row],[Yaw]])-ABS(V308)),ABS(Octane[[#This Row],[Yaw]]-V308))</f>
        <v>0.9464718372135934</v>
      </c>
      <c r="Y309" s="1">
        <f>Octane[[#This Row],[Degree change]]+Y308</f>
        <v>235.46678365561337</v>
      </c>
      <c r="Z309" s="1">
        <f>SQRT(Octane[[#This Row],[vel_X]]*Octane[[#This Row],[vel_X]]+Octane[[#This Row],[vel_Y]]*Octane[[#This Row],[vel_Y]]+Octane[[#This Row],[vel_Z]]*Octane[[#This Row],[vel_Z]])</f>
        <v>2299.9968635935343</v>
      </c>
    </row>
    <row r="310" spans="1:26">
      <c r="A310">
        <v>309</v>
      </c>
      <c r="B310" s="1">
        <v>-903</v>
      </c>
      <c r="C310" s="1">
        <v>338.41000400000001</v>
      </c>
      <c r="D310" s="1">
        <v>17.010000000000002</v>
      </c>
      <c r="E310" s="1">
        <v>2286.320068</v>
      </c>
      <c r="F310" s="1">
        <v>-250.259995</v>
      </c>
      <c r="G310" s="1">
        <v>8.11</v>
      </c>
      <c r="H310" s="1">
        <v>-1E-4</v>
      </c>
      <c r="I310" s="1">
        <v>0</v>
      </c>
      <c r="J310" s="1">
        <v>1.9824999999999999</v>
      </c>
      <c r="K310" s="1">
        <v>1.21E-4</v>
      </c>
      <c r="L310" s="1">
        <v>4.7990000000000003E-3</v>
      </c>
      <c r="M310" s="1">
        <v>-2.3886000000000001E-2</v>
      </c>
      <c r="N310" s="1">
        <v>0.99970300000000001</v>
      </c>
      <c r="O310">
        <v>1</v>
      </c>
      <c r="P310">
        <v>0</v>
      </c>
      <c r="Q310">
        <v>1</v>
      </c>
      <c r="R310">
        <v>1</v>
      </c>
      <c r="S310">
        <v>1</v>
      </c>
      <c r="T310" s="1">
        <f>SQRT(POWER(Octane[[#This Row],[angvel_X]],2) + POWER(Octane[[#This Row],[angvel_Y]],2) + POWER(Octane[[#This Row],[angvel_Z]],2))</f>
        <v>1.982500002522068</v>
      </c>
      <c r="U310" s="1">
        <f>DEGREES(ASIN(MAX(-1,MIN(1,2 * (Octane[[#This Row],[quart_W]]*Octane[[#This Row],[quart_Y]] - Octane[[#This Row],[quart_Z]]*Octane[[#This Row],[quart_X]])))))</f>
        <v>0.5501012086972914</v>
      </c>
      <c r="V31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92.737421937869087</v>
      </c>
      <c r="W31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89.999274011938624</v>
      </c>
      <c r="X310" s="1">
        <f>IF(Octane[[#This Row],[Yaw]]&gt;V309,(360-ABS(Octane[[#This Row],[Yaw]])-ABS(V309)),ABS(Octane[[#This Row],[Yaw]]-V309))</f>
        <v>0.94679948558849958</v>
      </c>
      <c r="Y310" s="1">
        <f>Octane[[#This Row],[Degree change]]+Y309</f>
        <v>236.41358314120185</v>
      </c>
      <c r="Z310" s="1">
        <f>SQRT(Octane[[#This Row],[vel_X]]*Octane[[#This Row],[vel_X]]+Octane[[#This Row],[vel_Y]]*Octane[[#This Row],[vel_Y]]+Octane[[#This Row],[vel_Z]]*Octane[[#This Row],[vel_Z]])</f>
        <v>2299.9902805309689</v>
      </c>
    </row>
    <row r="311" spans="1:26">
      <c r="A311">
        <v>310</v>
      </c>
      <c r="B311" s="1">
        <v>-883.88000499999998</v>
      </c>
      <c r="C311" s="1">
        <v>336.32000699999998</v>
      </c>
      <c r="D311" s="1">
        <v>17.010000000000002</v>
      </c>
      <c r="E311" s="1">
        <v>2290.1499020000001</v>
      </c>
      <c r="F311" s="1">
        <v>-212.449997</v>
      </c>
      <c r="G311" s="1">
        <v>8.11</v>
      </c>
      <c r="H311" s="1">
        <v>-1E-4</v>
      </c>
      <c r="I311" s="1">
        <v>0</v>
      </c>
      <c r="J311" s="1">
        <v>1.9824999999999999</v>
      </c>
      <c r="K311" s="1">
        <v>8.3999999999999995E-5</v>
      </c>
      <c r="L311" s="1">
        <v>4.7990000000000003E-3</v>
      </c>
      <c r="M311" s="1">
        <v>-1.5626000000000001E-2</v>
      </c>
      <c r="N311" s="1">
        <v>0.99986600000000003</v>
      </c>
      <c r="O311">
        <v>1</v>
      </c>
      <c r="P311">
        <v>0</v>
      </c>
      <c r="Q311">
        <v>1</v>
      </c>
      <c r="R311">
        <v>1</v>
      </c>
      <c r="S311">
        <v>1</v>
      </c>
      <c r="T311" s="1">
        <f>SQRT(POWER(Octane[[#This Row],[angvel_X]],2) + POWER(Octane[[#This Row],[angvel_Y]],2) + POWER(Octane[[#This Row],[angvel_Z]],2))</f>
        <v>1.982500002522068</v>
      </c>
      <c r="U311" s="1">
        <f>DEGREES(ASIN(MAX(-1,MIN(1,2 * (Octane[[#This Row],[quart_W]]*Octane[[#This Row],[quart_Y]] - Octane[[#This Row],[quart_Z]]*Octane[[#This Row],[quart_X]])))))</f>
        <v>0.55001006008977327</v>
      </c>
      <c r="V31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91.790695565352351</v>
      </c>
      <c r="W31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89.998968677725159</v>
      </c>
      <c r="X311" s="1">
        <f>IF(Octane[[#This Row],[Yaw]]&gt;V310,(360-ABS(Octane[[#This Row],[Yaw]])-ABS(V310)),ABS(Octane[[#This Row],[Yaw]]-V310))</f>
        <v>0.94672637251673564</v>
      </c>
      <c r="Y311" s="1">
        <f>Octane[[#This Row],[Degree change]]+Y310</f>
        <v>237.36030951371859</v>
      </c>
      <c r="Z311" s="1">
        <f>SQRT(Octane[[#This Row],[vel_X]]*Octane[[#This Row],[vel_X]]+Octane[[#This Row],[vel_Y]]*Octane[[#This Row],[vel_Y]]+Octane[[#This Row],[vel_Z]]*Octane[[#This Row],[vel_Z]])</f>
        <v>2299.9972493365967</v>
      </c>
    </row>
    <row r="312" spans="1:26">
      <c r="A312">
        <v>311</v>
      </c>
      <c r="B312" s="1">
        <v>-864.72997999999995</v>
      </c>
      <c r="C312" s="1">
        <v>334.54998799999998</v>
      </c>
      <c r="D312" s="1">
        <v>17.010000000000002</v>
      </c>
      <c r="E312" s="1">
        <v>2293.3398440000001</v>
      </c>
      <c r="F312" s="1">
        <v>-174.58000200000001</v>
      </c>
      <c r="G312" s="1">
        <v>8.11</v>
      </c>
      <c r="H312" s="1">
        <v>-1E-4</v>
      </c>
      <c r="I312" s="1">
        <v>0</v>
      </c>
      <c r="J312" s="1">
        <v>1.9824999999999999</v>
      </c>
      <c r="K312" s="1">
        <v>4.6E-5</v>
      </c>
      <c r="L312" s="1">
        <v>4.7990000000000003E-3</v>
      </c>
      <c r="M312" s="1">
        <v>-7.3670000000000003E-3</v>
      </c>
      <c r="N312" s="1">
        <v>0.99996099999999999</v>
      </c>
      <c r="O312">
        <v>1</v>
      </c>
      <c r="P312">
        <v>0</v>
      </c>
      <c r="Q312">
        <v>1</v>
      </c>
      <c r="R312">
        <v>1</v>
      </c>
      <c r="S312">
        <v>1</v>
      </c>
      <c r="T312" s="1">
        <f>SQRT(POWER(Octane[[#This Row],[angvel_X]],2) + POWER(Octane[[#This Row],[angvel_Y]],2) + POWER(Octane[[#This Row],[angvel_Z]],2))</f>
        <v>1.982500002522068</v>
      </c>
      <c r="U312" s="1">
        <f>DEGREES(ASIN(MAX(-1,MIN(1,2 * (Octane[[#This Row],[quart_W]]*Octane[[#This Row],[quart_Y]] - Octane[[#This Row],[quart_Z]]*Octane[[#This Row],[quart_X]])))))</f>
        <v>0.54995072219060226</v>
      </c>
      <c r="V31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90.844207227466597</v>
      </c>
      <c r="W31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89.998780234351344</v>
      </c>
      <c r="X312" s="1">
        <f>IF(Octane[[#This Row],[Yaw]]&gt;V311,(360-ABS(Octane[[#This Row],[Yaw]])-ABS(V311)),ABS(Octane[[#This Row],[Yaw]]-V311))</f>
        <v>0.94648833788575359</v>
      </c>
      <c r="Y312" s="1">
        <f>Octane[[#This Row],[Degree change]]+Y311</f>
        <v>238.30679785160436</v>
      </c>
      <c r="Z312" s="1">
        <f>SQRT(Octane[[#This Row],[vel_X]]*Octane[[#This Row],[vel_X]]+Octane[[#This Row],[vel_Y]]*Octane[[#This Row],[vel_Y]]+Octane[[#This Row],[vel_Z]]*Octane[[#This Row],[vel_Z]])</f>
        <v>2299.9894759055451</v>
      </c>
    </row>
    <row r="313" spans="1:26">
      <c r="A313">
        <v>312</v>
      </c>
      <c r="B313" s="1">
        <v>-845.54998799999998</v>
      </c>
      <c r="C313" s="1">
        <v>333.08999599999999</v>
      </c>
      <c r="D313" s="1">
        <v>17.010000000000002</v>
      </c>
      <c r="E313" s="1">
        <v>2295.919922</v>
      </c>
      <c r="F313" s="1">
        <v>-136.66999799999999</v>
      </c>
      <c r="G313" s="1">
        <v>8.11</v>
      </c>
      <c r="H313" s="1">
        <v>-1E-4</v>
      </c>
      <c r="I313" s="1">
        <v>0</v>
      </c>
      <c r="J313" s="1">
        <v>1.9824999999999999</v>
      </c>
      <c r="K313" s="1">
        <v>7.9999999999999996E-6</v>
      </c>
      <c r="L313" s="1">
        <v>4.7990000000000003E-3</v>
      </c>
      <c r="M313" s="1">
        <v>8.9300000000000002E-4</v>
      </c>
      <c r="N313" s="1">
        <v>0.99998799999999999</v>
      </c>
      <c r="O313">
        <v>1</v>
      </c>
      <c r="P313">
        <v>0</v>
      </c>
      <c r="Q313">
        <v>1</v>
      </c>
      <c r="R313">
        <v>1</v>
      </c>
      <c r="S313">
        <v>1</v>
      </c>
      <c r="T313" s="1">
        <f>SQRT(POWER(Octane[[#This Row],[angvel_X]],2) + POWER(Octane[[#This Row],[angvel_Y]],2) + POWER(Octane[[#This Row],[angvel_Z]],2))</f>
        <v>1.982500002522068</v>
      </c>
      <c r="U313" s="1">
        <f>DEGREES(ASIN(MAX(-1,MIN(1,2 * (Octane[[#This Row],[quart_W]]*Octane[[#This Row],[quart_Y]] - Octane[[#This Row],[quart_Z]]*Octane[[#This Row],[quart_X]])))))</f>
        <v>0.54992591736129914</v>
      </c>
      <c r="V31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89.897661798179499</v>
      </c>
      <c r="W31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89.998592130752741</v>
      </c>
      <c r="X313" s="1">
        <f>IF(Octane[[#This Row],[Yaw]]&gt;V312,(360-ABS(Octane[[#This Row],[Yaw]])-ABS(V312)),ABS(Octane[[#This Row],[Yaw]]-V312))</f>
        <v>0.94654542928709873</v>
      </c>
      <c r="Y313" s="1">
        <f>Octane[[#This Row],[Degree change]]+Y312</f>
        <v>239.25334328089144</v>
      </c>
      <c r="Z313" s="1">
        <f>SQRT(Octane[[#This Row],[vel_X]]*Octane[[#This Row],[vel_X]]+Octane[[#This Row],[vel_Y]]*Octane[[#This Row],[vel_Y]]+Octane[[#This Row],[vel_Z]]*Octane[[#This Row],[vel_Z]])</f>
        <v>2299.9984236276787</v>
      </c>
    </row>
    <row r="314" spans="1:26">
      <c r="A314">
        <v>313</v>
      </c>
      <c r="B314" s="1">
        <v>-826.34997599999997</v>
      </c>
      <c r="C314" s="1">
        <v>331.94998199999998</v>
      </c>
      <c r="D314" s="1">
        <v>17.010000000000002</v>
      </c>
      <c r="E314" s="1">
        <v>2297.8598630000001</v>
      </c>
      <c r="F314" s="1">
        <v>-98.720000999999996</v>
      </c>
      <c r="G314" s="1">
        <v>8.11</v>
      </c>
      <c r="H314" s="1">
        <v>-1E-4</v>
      </c>
      <c r="I314" s="1">
        <v>0</v>
      </c>
      <c r="J314" s="1">
        <v>1.9824999999999999</v>
      </c>
      <c r="K314" s="1">
        <v>-3.0000000000000001E-5</v>
      </c>
      <c r="L314" s="1">
        <v>4.7990000000000003E-3</v>
      </c>
      <c r="M314" s="1">
        <v>9.1520000000000004E-3</v>
      </c>
      <c r="N314" s="1">
        <v>0.99994700000000003</v>
      </c>
      <c r="O314">
        <v>1</v>
      </c>
      <c r="P314">
        <v>0</v>
      </c>
      <c r="Q314">
        <v>1</v>
      </c>
      <c r="R314">
        <v>1</v>
      </c>
      <c r="S314">
        <v>1</v>
      </c>
      <c r="T314" s="1">
        <f>SQRT(POWER(Octane[[#This Row],[angvel_X]],2) + POWER(Octane[[#This Row],[angvel_Y]],2) + POWER(Octane[[#This Row],[angvel_Z]],2))</f>
        <v>1.982500002522068</v>
      </c>
      <c r="U314" s="1">
        <f>DEGREES(ASIN(MAX(-1,MIN(1,2 * (Octane[[#This Row],[quart_W]]*Octane[[#This Row],[quart_Y]] - Octane[[#This Row],[quart_Z]]*Octane[[#This Row],[quart_X]])))))</f>
        <v>0.54993565178966231</v>
      </c>
      <c r="V31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88.951223260749515</v>
      </c>
      <c r="W31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89.998404578471906</v>
      </c>
      <c r="X314" s="1">
        <f>IF(Octane[[#This Row],[Yaw]]&gt;V313,(360-ABS(Octane[[#This Row],[Yaw]])-ABS(V313)),ABS(Octane[[#This Row],[Yaw]]-V313))</f>
        <v>0.94643853742998374</v>
      </c>
      <c r="Y314" s="1">
        <f>Octane[[#This Row],[Degree change]]+Y313</f>
        <v>240.19978181832141</v>
      </c>
      <c r="Z314" s="1">
        <f>SQRT(Octane[[#This Row],[vel_X]]*Octane[[#This Row],[vel_X]]+Octane[[#This Row],[vel_Y]]*Octane[[#This Row],[vel_Y]]+Octane[[#This Row],[vel_Z]]*Octane[[#This Row],[vel_Z]])</f>
        <v>2299.9937740532732</v>
      </c>
    </row>
    <row r="315" spans="1:26">
      <c r="A315">
        <v>314</v>
      </c>
      <c r="B315" s="1">
        <v>-807.13000499999998</v>
      </c>
      <c r="C315" s="1">
        <v>331.13000499999998</v>
      </c>
      <c r="D315" s="1">
        <v>17.010000000000002</v>
      </c>
      <c r="E315" s="1">
        <v>2299.179932</v>
      </c>
      <c r="F315" s="1">
        <v>-60.75</v>
      </c>
      <c r="G315" s="1">
        <v>8.11</v>
      </c>
      <c r="H315" s="1">
        <v>-1E-4</v>
      </c>
      <c r="I315" s="1">
        <v>0</v>
      </c>
      <c r="J315" s="1">
        <v>1.9824999999999999</v>
      </c>
      <c r="K315" s="1">
        <v>-6.7000000000000002E-5</v>
      </c>
      <c r="L315" s="1">
        <v>4.7990000000000003E-3</v>
      </c>
      <c r="M315" s="1">
        <v>1.7412E-2</v>
      </c>
      <c r="N315" s="1">
        <v>0.99983699999999998</v>
      </c>
      <c r="O315">
        <v>1</v>
      </c>
      <c r="P315">
        <v>0</v>
      </c>
      <c r="Q315">
        <v>1</v>
      </c>
      <c r="R315">
        <v>1</v>
      </c>
      <c r="S315">
        <v>1</v>
      </c>
      <c r="T315" s="1">
        <f>SQRT(POWER(Octane[[#This Row],[angvel_X]],2) + POWER(Octane[[#This Row],[angvel_Y]],2) + POWER(Octane[[#This Row],[angvel_Z]],2))</f>
        <v>1.982500002522068</v>
      </c>
      <c r="U315" s="1">
        <f>DEGREES(ASIN(MAX(-1,MIN(1,2 * (Octane[[#This Row],[quart_W]]*Octane[[#This Row],[quart_Y]] - Octane[[#This Row],[quart_Z]]*Octane[[#This Row],[quart_X]])))))</f>
        <v>0.54997738268661278</v>
      </c>
      <c r="V31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88.004598603281693</v>
      </c>
      <c r="W31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89.99810100329924</v>
      </c>
      <c r="X315" s="1">
        <f>IF(Octane[[#This Row],[Yaw]]&gt;V314,(360-ABS(Octane[[#This Row],[Yaw]])-ABS(V314)),ABS(Octane[[#This Row],[Yaw]]-V314))</f>
        <v>0.94662465746782232</v>
      </c>
      <c r="Y315" s="1">
        <f>Octane[[#This Row],[Degree change]]+Y314</f>
        <v>241.14640647578923</v>
      </c>
      <c r="Z315" s="1">
        <f>SQRT(Octane[[#This Row],[vel_X]]*Octane[[#This Row],[vel_X]]+Octane[[#This Row],[vel_Y]]*Octane[[#This Row],[vel_Y]]+Octane[[#This Row],[vel_Z]]*Octane[[#This Row],[vel_Z]])</f>
        <v>2299.9966726740117</v>
      </c>
    </row>
    <row r="316" spans="1:26">
      <c r="A316">
        <v>315</v>
      </c>
      <c r="B316" s="1">
        <v>-787.89996299999996</v>
      </c>
      <c r="C316" s="1">
        <v>330.63000499999998</v>
      </c>
      <c r="D316" s="1">
        <v>17.010000000000002</v>
      </c>
      <c r="E316" s="1">
        <v>2299.8698730000001</v>
      </c>
      <c r="F316" s="1">
        <v>-22.76</v>
      </c>
      <c r="G316" s="1">
        <v>8.11</v>
      </c>
      <c r="H316" s="1">
        <v>-2.0000000000000001E-4</v>
      </c>
      <c r="I316" s="1">
        <v>0</v>
      </c>
      <c r="J316" s="1">
        <v>1.9824999999999999</v>
      </c>
      <c r="K316" s="1">
        <v>-1.05E-4</v>
      </c>
      <c r="L316" s="1">
        <v>4.7990000000000003E-3</v>
      </c>
      <c r="M316" s="1">
        <v>2.5670999999999999E-2</v>
      </c>
      <c r="N316" s="1">
        <v>0.99965899999999996</v>
      </c>
      <c r="O316">
        <v>1</v>
      </c>
      <c r="P316">
        <v>0</v>
      </c>
      <c r="Q316">
        <v>1</v>
      </c>
      <c r="R316">
        <v>1</v>
      </c>
      <c r="S316">
        <v>1</v>
      </c>
      <c r="T316" s="1">
        <f>SQRT(POWER(Octane[[#This Row],[angvel_X]],2) + POWER(Octane[[#This Row],[angvel_Y]],2) + POWER(Octane[[#This Row],[angvel_Z]],2))</f>
        <v>1.9825000100882724</v>
      </c>
      <c r="U316" s="1">
        <f>DEGREES(ASIN(MAX(-1,MIN(1,2 * (Octane[[#This Row],[quart_W]]*Octane[[#This Row],[quart_Y]] - Octane[[#This Row],[quart_Z]]*Octane[[#This Row],[quart_X]])))))</f>
        <v>0.55005469303761678</v>
      </c>
      <c r="V31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87.057952735097544</v>
      </c>
      <c r="W31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89.997910792574729</v>
      </c>
      <c r="X316" s="1">
        <f>IF(Octane[[#This Row],[Yaw]]&gt;V315,(360-ABS(Octane[[#This Row],[Yaw]])-ABS(V315)),ABS(Octane[[#This Row],[Yaw]]-V315))</f>
        <v>0.94664586818414875</v>
      </c>
      <c r="Y316" s="1">
        <f>Octane[[#This Row],[Degree change]]+Y315</f>
        <v>242.0930523439734</v>
      </c>
      <c r="Z316" s="1">
        <f>SQRT(Octane[[#This Row],[vel_X]]*Octane[[#This Row],[vel_X]]+Octane[[#This Row],[vel_Y]]*Octane[[#This Row],[vel_Y]]+Octane[[#This Row],[vel_Z]]*Octane[[#This Row],[vel_Z]])</f>
        <v>2299.9967874831991</v>
      </c>
    </row>
    <row r="317" spans="1:26">
      <c r="A317">
        <v>316</v>
      </c>
      <c r="B317" s="1">
        <v>-768.669983</v>
      </c>
      <c r="C317" s="1">
        <v>330.44000199999999</v>
      </c>
      <c r="D317" s="1">
        <v>17.010000000000002</v>
      </c>
      <c r="E317" s="1">
        <v>2299.929932</v>
      </c>
      <c r="F317" s="1">
        <v>15.23</v>
      </c>
      <c r="G317" s="1">
        <v>8.11</v>
      </c>
      <c r="H317" s="1">
        <v>-2.0000000000000001E-4</v>
      </c>
      <c r="I317" s="1">
        <v>0</v>
      </c>
      <c r="J317" s="1">
        <v>1.9824999999999999</v>
      </c>
      <c r="K317" s="1">
        <v>-1.4300000000000001E-4</v>
      </c>
      <c r="L317" s="1">
        <v>4.7990000000000003E-3</v>
      </c>
      <c r="M317" s="1">
        <v>3.3924999999999997E-2</v>
      </c>
      <c r="N317" s="1">
        <v>0.999413</v>
      </c>
      <c r="O317">
        <v>1</v>
      </c>
      <c r="P317">
        <v>0</v>
      </c>
      <c r="Q317">
        <v>1</v>
      </c>
      <c r="R317">
        <v>1</v>
      </c>
      <c r="S317">
        <v>1</v>
      </c>
      <c r="T317" s="1">
        <f>SQRT(POWER(Octane[[#This Row],[angvel_X]],2) + POWER(Octane[[#This Row],[angvel_Y]],2) + POWER(Octane[[#This Row],[angvel_Z]],2))</f>
        <v>1.9825000100882724</v>
      </c>
      <c r="U317" s="1">
        <f>DEGREES(ASIN(MAX(-1,MIN(1,2 * (Octane[[#This Row],[quart_W]]*Octane[[#This Row],[quart_Y]] - Octane[[#This Row],[quart_Z]]*Octane[[#This Row],[quart_X]])))))</f>
        <v>0.5501664554403255</v>
      </c>
      <c r="V31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86.111678919576235</v>
      </c>
      <c r="W31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89.997720666977585</v>
      </c>
      <c r="X317" s="1">
        <f>IF(Octane[[#This Row],[Yaw]]&gt;V316,(360-ABS(Octane[[#This Row],[Yaw]])-ABS(V316)),ABS(Octane[[#This Row],[Yaw]]-V316))</f>
        <v>0.94627381552130885</v>
      </c>
      <c r="Y317" s="1">
        <f>Octane[[#This Row],[Degree change]]+Y316</f>
        <v>243.03932615949469</v>
      </c>
      <c r="Z317" s="1">
        <f>SQRT(Octane[[#This Row],[vel_X]]*Octane[[#This Row],[vel_X]]+Octane[[#This Row],[vel_Y]]*Octane[[#This Row],[vel_Y]]+Octane[[#This Row],[vel_Z]]*Octane[[#This Row],[vel_Z]])</f>
        <v>2299.9946558871661</v>
      </c>
    </row>
    <row r="318" spans="1:26">
      <c r="A318">
        <v>317</v>
      </c>
      <c r="B318" s="1">
        <v>-749.44000200000005</v>
      </c>
      <c r="C318" s="1">
        <v>330.57000699999998</v>
      </c>
      <c r="D318" s="1">
        <v>17.010000000000002</v>
      </c>
      <c r="E318" s="1">
        <v>2299.3598630000001</v>
      </c>
      <c r="F318" s="1">
        <v>53.209999000000003</v>
      </c>
      <c r="G318" s="1">
        <v>8.11</v>
      </c>
      <c r="H318" s="1">
        <v>-2.9999999999999997E-4</v>
      </c>
      <c r="I318" s="1">
        <v>0</v>
      </c>
      <c r="J318" s="1">
        <v>1.9824999999999999</v>
      </c>
      <c r="K318" s="1">
        <v>-1.8100000000000001E-4</v>
      </c>
      <c r="L318" s="1">
        <v>4.7990000000000003E-3</v>
      </c>
      <c r="M318" s="1">
        <v>4.2179000000000001E-2</v>
      </c>
      <c r="N318" s="1">
        <v>0.99909800000000004</v>
      </c>
      <c r="O318">
        <v>1</v>
      </c>
      <c r="P318">
        <v>0</v>
      </c>
      <c r="Q318">
        <v>1</v>
      </c>
      <c r="R318">
        <v>1</v>
      </c>
      <c r="S318">
        <v>1</v>
      </c>
      <c r="T318" s="1">
        <f>SQRT(POWER(Octane[[#This Row],[angvel_X]],2) + POWER(Octane[[#This Row],[angvel_Y]],2) + POWER(Octane[[#This Row],[angvel_Z]],2))</f>
        <v>1.9825000226986127</v>
      </c>
      <c r="U318" s="1">
        <f>DEGREES(ASIN(MAX(-1,MIN(1,2 * (Octane[[#This Row],[quart_W]]*Octane[[#This Row],[quart_Y]] - Octane[[#This Row],[quart_Z]]*Octane[[#This Row],[quart_X]])))))</f>
        <v>0.55031215833635916</v>
      </c>
      <c r="V31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85.165143218051284</v>
      </c>
      <c r="W31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89.997526967656455</v>
      </c>
      <c r="X318" s="1">
        <f>IF(Octane[[#This Row],[Yaw]]&gt;V317,(360-ABS(Octane[[#This Row],[Yaw]])-ABS(V317)),ABS(Octane[[#This Row],[Yaw]]-V317))</f>
        <v>0.94653570152495092</v>
      </c>
      <c r="Y318" s="1">
        <f>Octane[[#This Row],[Degree change]]+Y317</f>
        <v>243.98586186101966</v>
      </c>
      <c r="Z318" s="1">
        <f>SQRT(Octane[[#This Row],[vel_X]]*Octane[[#This Row],[vel_X]]+Octane[[#This Row],[vel_Y]]*Octane[[#This Row],[vel_Y]]+Octane[[#This Row],[vel_Z]]*Octane[[#This Row],[vel_Z]])</f>
        <v>2299.9897512095481</v>
      </c>
    </row>
    <row r="319" spans="1:26">
      <c r="A319">
        <v>318</v>
      </c>
      <c r="B319" s="1">
        <v>-730.20996100000002</v>
      </c>
      <c r="C319" s="1">
        <v>331.01998900000001</v>
      </c>
      <c r="D319" s="1">
        <v>17.010000000000002</v>
      </c>
      <c r="E319" s="1">
        <v>2298.169922</v>
      </c>
      <c r="F319" s="1">
        <v>91.18</v>
      </c>
      <c r="G319" s="1">
        <v>8.11</v>
      </c>
      <c r="H319" s="1">
        <v>-4.0000000000000002E-4</v>
      </c>
      <c r="I319" s="1">
        <v>0</v>
      </c>
      <c r="J319" s="1">
        <v>1.9824999999999999</v>
      </c>
      <c r="K319" s="1">
        <v>-2.24E-4</v>
      </c>
      <c r="L319" s="1">
        <v>4.7990000000000003E-3</v>
      </c>
      <c r="M319" s="1">
        <v>5.0432999999999999E-2</v>
      </c>
      <c r="N319" s="1">
        <v>0.99871600000000005</v>
      </c>
      <c r="O319">
        <v>1</v>
      </c>
      <c r="P319">
        <v>0</v>
      </c>
      <c r="Q319">
        <v>1</v>
      </c>
      <c r="R319">
        <v>1</v>
      </c>
      <c r="S319">
        <v>1</v>
      </c>
      <c r="T319" s="1">
        <f>SQRT(POWER(Octane[[#This Row],[angvel_X]],2) + POWER(Octane[[#This Row],[angvel_Y]],2) + POWER(Octane[[#This Row],[angvel_Z]],2))</f>
        <v>1.982500040353089</v>
      </c>
      <c r="U319" s="1">
        <f>DEGREES(ASIN(MAX(-1,MIN(1,2 * (Octane[[#This Row],[quart_W]]*Octane[[#This Row],[quart_Y]] - Octane[[#This Row],[quart_Z]]*Octane[[#This Row],[quart_X]])))))</f>
        <v>0.55052179894308195</v>
      </c>
      <c r="V31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84.218273722529148</v>
      </c>
      <c r="W31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89.997901091902477</v>
      </c>
      <c r="X319" s="1">
        <f>IF(Octane[[#This Row],[Yaw]]&gt;V318,(360-ABS(Octane[[#This Row],[Yaw]])-ABS(V318)),ABS(Octane[[#This Row],[Yaw]]-V318))</f>
        <v>0.94686949552213662</v>
      </c>
      <c r="Y319" s="1">
        <f>Octane[[#This Row],[Degree change]]+Y318</f>
        <v>244.93273135654181</v>
      </c>
      <c r="Z319" s="1">
        <f>SQRT(Octane[[#This Row],[vel_X]]*Octane[[#This Row],[vel_X]]+Octane[[#This Row],[vel_Y]]*Octane[[#This Row],[vel_Y]]+Octane[[#This Row],[vel_Z]]*Octane[[#This Row],[vel_Z]])</f>
        <v>2299.9922945274152</v>
      </c>
    </row>
    <row r="320" spans="1:26">
      <c r="A320">
        <v>319</v>
      </c>
      <c r="B320" s="1">
        <v>-710.98999000000003</v>
      </c>
      <c r="C320" s="1">
        <v>331.78997800000002</v>
      </c>
      <c r="D320" s="1">
        <v>17.010000000000002</v>
      </c>
      <c r="E320" s="1">
        <v>2296.3498540000001</v>
      </c>
      <c r="F320" s="1">
        <v>129.12998999999999</v>
      </c>
      <c r="G320" s="1">
        <v>8.11</v>
      </c>
      <c r="H320" s="1">
        <v>-4.0000000000000002E-4</v>
      </c>
      <c r="I320" s="1">
        <v>0</v>
      </c>
      <c r="J320" s="1">
        <v>1.9824999999999999</v>
      </c>
      <c r="K320" s="1">
        <v>-2.6699999999999998E-4</v>
      </c>
      <c r="L320" s="1">
        <v>4.7990000000000003E-3</v>
      </c>
      <c r="M320" s="1">
        <v>5.8681999999999998E-2</v>
      </c>
      <c r="N320" s="1">
        <v>0.99826499999999996</v>
      </c>
      <c r="O320">
        <v>1</v>
      </c>
      <c r="P320">
        <v>0</v>
      </c>
      <c r="Q320">
        <v>1</v>
      </c>
      <c r="R320">
        <v>1</v>
      </c>
      <c r="S320">
        <v>1</v>
      </c>
      <c r="T320" s="1">
        <f>SQRT(POWER(Octane[[#This Row],[angvel_X]],2) + POWER(Octane[[#This Row],[angvel_Y]],2) + POWER(Octane[[#This Row],[angvel_Z]],2))</f>
        <v>1.982500040353089</v>
      </c>
      <c r="U320" s="1">
        <f>DEGREES(ASIN(MAX(-1,MIN(1,2 * (Octane[[#This Row],[quart_W]]*Octane[[#This Row],[quart_Y]] - Octane[[#This Row],[quart_Z]]*Octane[[#This Row],[quart_X]])))))</f>
        <v>0.55077468588848666</v>
      </c>
      <c r="V32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83.271587699678705</v>
      </c>
      <c r="W32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89.998272089959826</v>
      </c>
      <c r="X320" s="1">
        <f>IF(Octane[[#This Row],[Yaw]]&gt;V319,(360-ABS(Octane[[#This Row],[Yaw]])-ABS(V319)),ABS(Octane[[#This Row],[Yaw]]-V319))</f>
        <v>0.94668602285044301</v>
      </c>
      <c r="Y320" s="1">
        <f>Octane[[#This Row],[Degree change]]+Y319</f>
        <v>245.87941737939224</v>
      </c>
      <c r="Z320" s="1">
        <f>SQRT(Octane[[#This Row],[vel_X]]*Octane[[#This Row],[vel_X]]+Octane[[#This Row],[vel_Y]]*Octane[[#This Row],[vel_Y]]+Octane[[#This Row],[vel_Z]]*Octane[[#This Row],[vel_Z]])</f>
        <v>2299.991951808358</v>
      </c>
    </row>
    <row r="321" spans="1:26">
      <c r="A321">
        <v>320</v>
      </c>
      <c r="B321" s="1">
        <v>-691.78997800000002</v>
      </c>
      <c r="C321" s="1">
        <v>332.86999500000002</v>
      </c>
      <c r="D321" s="1">
        <v>17.010000000000002</v>
      </c>
      <c r="E321" s="1">
        <v>2293.9099120000001</v>
      </c>
      <c r="F321" s="1">
        <v>167.050003</v>
      </c>
      <c r="G321" s="1">
        <v>8.11</v>
      </c>
      <c r="H321" s="1">
        <v>-4.0000000000000002E-4</v>
      </c>
      <c r="I321" s="1">
        <v>0</v>
      </c>
      <c r="J321" s="1">
        <v>1.9824999999999999</v>
      </c>
      <c r="K321" s="1">
        <v>-3.1E-4</v>
      </c>
      <c r="L321" s="1">
        <v>4.7990000000000003E-3</v>
      </c>
      <c r="M321" s="1">
        <v>6.6924999999999998E-2</v>
      </c>
      <c r="N321" s="1">
        <v>0.99774600000000002</v>
      </c>
      <c r="O321">
        <v>1</v>
      </c>
      <c r="P321">
        <v>0</v>
      </c>
      <c r="Q321">
        <v>1</v>
      </c>
      <c r="R321">
        <v>1</v>
      </c>
      <c r="S321">
        <v>1</v>
      </c>
      <c r="T321" s="1">
        <f>SQRT(POWER(Octane[[#This Row],[angvel_X]],2) + POWER(Octane[[#This Row],[angvel_Y]],2) + POWER(Octane[[#This Row],[angvel_Z]],2))</f>
        <v>1.982500040353089</v>
      </c>
      <c r="U321" s="1">
        <f>DEGREES(ASIN(MAX(-1,MIN(1,2 * (Octane[[#This Row],[quart_W]]*Octane[[#This Row],[quart_Y]] - Octane[[#This Row],[quart_Z]]*Octane[[#This Row],[quart_X]])))))</f>
        <v>0.55107125968840986</v>
      </c>
      <c r="V32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82.325131228037776</v>
      </c>
      <c r="W32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89.998639527284993</v>
      </c>
      <c r="X321" s="1">
        <f>IF(Octane[[#This Row],[Yaw]]&gt;V320,(360-ABS(Octane[[#This Row],[Yaw]])-ABS(V320)),ABS(Octane[[#This Row],[Yaw]]-V320))</f>
        <v>0.9464564716409285</v>
      </c>
      <c r="Y321" s="1">
        <f>Octane[[#This Row],[Degree change]]+Y320</f>
        <v>246.82587385103318</v>
      </c>
      <c r="Z321" s="1">
        <f>SQRT(Octane[[#This Row],[vel_X]]*Octane[[#This Row],[vel_X]]+Octane[[#This Row],[vel_Y]]*Octane[[#This Row],[vel_Y]]+Octane[[#This Row],[vel_Z]]*Octane[[#This Row],[vel_Z]])</f>
        <v>2299.998730428812</v>
      </c>
    </row>
    <row r="322" spans="1:26">
      <c r="A322">
        <v>321</v>
      </c>
      <c r="B322" s="1">
        <v>-672.60998500000005</v>
      </c>
      <c r="C322" s="1">
        <v>334.26998900000001</v>
      </c>
      <c r="D322" s="1">
        <v>17.010000000000002</v>
      </c>
      <c r="E322" s="1">
        <v>2290.8298340000001</v>
      </c>
      <c r="F322" s="1">
        <v>204.91999799999999</v>
      </c>
      <c r="G322" s="1">
        <v>8.11</v>
      </c>
      <c r="H322" s="1">
        <v>-2.9999999999999997E-4</v>
      </c>
      <c r="I322" s="1">
        <v>-1E-4</v>
      </c>
      <c r="J322" s="1">
        <v>1.9824999999999999</v>
      </c>
      <c r="K322" s="1">
        <v>-3.5300000000000002E-4</v>
      </c>
      <c r="L322" s="1">
        <v>4.7990000000000003E-3</v>
      </c>
      <c r="M322" s="1">
        <v>7.5162999999999994E-2</v>
      </c>
      <c r="N322" s="1">
        <v>0.99716000000000005</v>
      </c>
      <c r="O322">
        <v>1</v>
      </c>
      <c r="P322">
        <v>0</v>
      </c>
      <c r="Q322">
        <v>1</v>
      </c>
      <c r="R322">
        <v>1</v>
      </c>
      <c r="S322">
        <v>1</v>
      </c>
      <c r="T322" s="1">
        <f>SQRT(POWER(Octane[[#This Row],[angvel_X]],2) + POWER(Octane[[#This Row],[angvel_Y]],2) + POWER(Octane[[#This Row],[angvel_Z]],2))</f>
        <v>1.9825000252206806</v>
      </c>
      <c r="U322" s="1">
        <f>DEGREES(ASIN(MAX(-1,MIN(1,2 * (Octane[[#This Row],[quart_W]]*Octane[[#This Row],[quart_Y]] - Octane[[#This Row],[quart_Z]]*Octane[[#This Row],[quart_X]])))))</f>
        <v>0.55141202205446238</v>
      </c>
      <c r="V32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81.378716313309013</v>
      </c>
      <c r="W32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89.999001889144211</v>
      </c>
      <c r="X322" s="1">
        <f>IF(Octane[[#This Row],[Yaw]]&gt;V321,(360-ABS(Octane[[#This Row],[Yaw]])-ABS(V321)),ABS(Octane[[#This Row],[Yaw]]-V321))</f>
        <v>0.94641491472876282</v>
      </c>
      <c r="Y322" s="1">
        <f>Octane[[#This Row],[Degree change]]+Y321</f>
        <v>247.77228876576194</v>
      </c>
      <c r="Z322" s="1">
        <f>SQRT(Octane[[#This Row],[vel_X]]*Octane[[#This Row],[vel_X]]+Octane[[#This Row],[vel_Y]]*Octane[[#This Row],[vel_Y]]+Octane[[#This Row],[vel_Z]]*Octane[[#This Row],[vel_Z]])</f>
        <v>2299.9911534666362</v>
      </c>
    </row>
    <row r="323" spans="1:26">
      <c r="A323">
        <v>322</v>
      </c>
      <c r="B323" s="1">
        <v>-653.45001200000002</v>
      </c>
      <c r="C323" s="1">
        <v>335.98998999999998</v>
      </c>
      <c r="D323" s="1">
        <v>17.010000000000002</v>
      </c>
      <c r="E323" s="1">
        <v>2287.139893</v>
      </c>
      <c r="F323" s="1">
        <v>242.729996</v>
      </c>
      <c r="G323" s="1">
        <v>8.11</v>
      </c>
      <c r="H323" s="1">
        <v>-2.0000000000000001E-4</v>
      </c>
      <c r="I323" s="1">
        <v>-2.0000000000000001E-4</v>
      </c>
      <c r="J323" s="1">
        <v>1.9824999999999999</v>
      </c>
      <c r="K323" s="1">
        <v>-3.97E-4</v>
      </c>
      <c r="L323" s="1">
        <v>4.7930000000000004E-3</v>
      </c>
      <c r="M323" s="1">
        <v>8.3395999999999998E-2</v>
      </c>
      <c r="N323" s="1">
        <v>0.99650499999999997</v>
      </c>
      <c r="O323">
        <v>1</v>
      </c>
      <c r="P323">
        <v>0</v>
      </c>
      <c r="Q323">
        <v>1</v>
      </c>
      <c r="R323">
        <v>1</v>
      </c>
      <c r="S323">
        <v>1</v>
      </c>
      <c r="T323" s="1">
        <f>SQRT(POWER(Octane[[#This Row],[angvel_X]],2) + POWER(Octane[[#This Row],[angvel_Y]],2) + POWER(Octane[[#This Row],[angvel_Z]],2))</f>
        <v>1.9825000201765446</v>
      </c>
      <c r="U323" s="1">
        <f>DEGREES(ASIN(MAX(-1,MIN(1,2 * (Octane[[#This Row],[quart_W]]*Octane[[#This Row],[quart_Y]] - Octane[[#This Row],[quart_Z]]*Octane[[#This Row],[quart_X]])))))</f>
        <v>0.55112017799378965</v>
      </c>
      <c r="V32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80.432295850540086</v>
      </c>
      <c r="W32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89.999529632258913</v>
      </c>
      <c r="X323" s="1">
        <f>IF(Octane[[#This Row],[Yaw]]&gt;V322,(360-ABS(Octane[[#This Row],[Yaw]])-ABS(V322)),ABS(Octane[[#This Row],[Yaw]]-V322))</f>
        <v>0.946420462768927</v>
      </c>
      <c r="Y323" s="1">
        <f>Octane[[#This Row],[Degree change]]+Y322</f>
        <v>248.71870922853088</v>
      </c>
      <c r="Z323" s="1">
        <f>SQRT(Octane[[#This Row],[vel_X]]*Octane[[#This Row],[vel_X]]+Octane[[#This Row],[vel_Y]]*Octane[[#This Row],[vel_Y]]+Octane[[#This Row],[vel_Z]]*Octane[[#This Row],[vel_Z]])</f>
        <v>2299.9983724364265</v>
      </c>
    </row>
    <row r="324" spans="1:26">
      <c r="A324">
        <v>323</v>
      </c>
      <c r="B324" s="1">
        <v>-634.32000700000003</v>
      </c>
      <c r="C324" s="1">
        <v>338.01998900000001</v>
      </c>
      <c r="D324" s="1">
        <v>17.010000000000002</v>
      </c>
      <c r="E324" s="1">
        <v>2282.8100589999999</v>
      </c>
      <c r="F324" s="1">
        <v>280.47998000000001</v>
      </c>
      <c r="G324" s="1">
        <v>8.11</v>
      </c>
      <c r="H324" s="1">
        <v>-1E-4</v>
      </c>
      <c r="I324" s="1">
        <v>-2.0000000000000001E-4</v>
      </c>
      <c r="J324" s="1">
        <v>1.9824999999999999</v>
      </c>
      <c r="K324" s="1">
        <v>-4.3399999999999998E-4</v>
      </c>
      <c r="L324" s="1">
        <v>4.7879999999999997E-3</v>
      </c>
      <c r="M324" s="1">
        <v>9.1622999999999996E-2</v>
      </c>
      <c r="N324" s="1">
        <v>0.99578199999999994</v>
      </c>
      <c r="O324">
        <v>1</v>
      </c>
      <c r="P324">
        <v>0</v>
      </c>
      <c r="Q324">
        <v>1</v>
      </c>
      <c r="R324">
        <v>1</v>
      </c>
      <c r="S324">
        <v>1</v>
      </c>
      <c r="T324" s="1">
        <f>SQRT(POWER(Octane[[#This Row],[angvel_X]],2) + POWER(Octane[[#This Row],[angvel_Y]],2) + POWER(Octane[[#This Row],[angvel_Z]],2))</f>
        <v>1.9825000126103405</v>
      </c>
      <c r="U324" s="1">
        <f>DEGREES(ASIN(MAX(-1,MIN(1,2 * (Octane[[#This Row],[quart_W]]*Octane[[#This Row],[quart_Y]] - Octane[[#This Row],[quart_Z]]*Octane[[#This Row],[quart_X]])))))</f>
        <v>0.55091526975780347</v>
      </c>
      <c r="V32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79.485908269627771</v>
      </c>
      <c r="W32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89.999252652475221</v>
      </c>
      <c r="X324" s="1">
        <f>IF(Octane[[#This Row],[Yaw]]&gt;V323,(360-ABS(Octane[[#This Row],[Yaw]])-ABS(V323)),ABS(Octane[[#This Row],[Yaw]]-V323))</f>
        <v>0.94638758091231523</v>
      </c>
      <c r="Y324" s="1">
        <f>Octane[[#This Row],[Degree change]]+Y323</f>
        <v>249.66509680944318</v>
      </c>
      <c r="Z324" s="1">
        <f>SQRT(Octane[[#This Row],[vel_X]]*Octane[[#This Row],[vel_X]]+Octane[[#This Row],[vel_Y]]*Octane[[#This Row],[vel_Y]]+Octane[[#This Row],[vel_Z]]*Octane[[#This Row],[vel_Z]])</f>
        <v>2299.9905557963457</v>
      </c>
    </row>
    <row r="325" spans="1:26">
      <c r="A325">
        <v>324</v>
      </c>
      <c r="B325" s="1">
        <v>-615.22997999999995</v>
      </c>
      <c r="C325" s="1">
        <v>340.36999500000002</v>
      </c>
      <c r="D325" s="1">
        <v>17.010000000000002</v>
      </c>
      <c r="E325" s="1">
        <v>2277.8698730000001</v>
      </c>
      <c r="F325" s="1">
        <v>318.14999399999999</v>
      </c>
      <c r="G325" s="1">
        <v>8.11</v>
      </c>
      <c r="H325" s="1">
        <v>-1E-4</v>
      </c>
      <c r="I325" s="1">
        <v>-2.0000000000000001E-4</v>
      </c>
      <c r="J325" s="1">
        <v>1.9824999999999999</v>
      </c>
      <c r="K325" s="1">
        <v>-4.7199999999999998E-4</v>
      </c>
      <c r="L325" s="1">
        <v>4.7829999999999999E-3</v>
      </c>
      <c r="M325" s="1">
        <v>9.9845000000000003E-2</v>
      </c>
      <c r="N325" s="1">
        <v>0.99499099999999996</v>
      </c>
      <c r="O325">
        <v>1</v>
      </c>
      <c r="P325">
        <v>0</v>
      </c>
      <c r="Q325">
        <v>1</v>
      </c>
      <c r="R325">
        <v>1</v>
      </c>
      <c r="S325">
        <v>1</v>
      </c>
      <c r="T325" s="1">
        <f>SQRT(POWER(Octane[[#This Row],[angvel_X]],2) + POWER(Octane[[#This Row],[angvel_Y]],2) + POWER(Octane[[#This Row],[angvel_Z]],2))</f>
        <v>1.9825000126103405</v>
      </c>
      <c r="U325" s="1">
        <f>DEGREES(ASIN(MAX(-1,MIN(1,2 * (Octane[[#This Row],[quart_W]]*Octane[[#This Row],[quart_Y]] - Octane[[#This Row],[quart_Z]]*Octane[[#This Row],[quart_X]])))))</f>
        <v>0.55075485650733669</v>
      </c>
      <c r="V32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78.539377329846914</v>
      </c>
      <c r="W32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89.999092062538651</v>
      </c>
      <c r="X325" s="1">
        <f>IF(Octane[[#This Row],[Yaw]]&gt;V324,(360-ABS(Octane[[#This Row],[Yaw]])-ABS(V324)),ABS(Octane[[#This Row],[Yaw]]-V324))</f>
        <v>0.94653093978085678</v>
      </c>
      <c r="Y325" s="1">
        <f>Octane[[#This Row],[Degree change]]+Y324</f>
        <v>250.61162774922406</v>
      </c>
      <c r="Z325" s="1">
        <f>SQRT(Octane[[#This Row],[vel_X]]*Octane[[#This Row],[vel_X]]+Octane[[#This Row],[vel_Y]]*Octane[[#This Row],[vel_Y]]+Octane[[#This Row],[vel_Z]]*Octane[[#This Row],[vel_Z]])</f>
        <v>2299.994858494957</v>
      </c>
    </row>
    <row r="326" spans="1:26">
      <c r="A326">
        <v>325</v>
      </c>
      <c r="B326" s="1">
        <v>-596.17999299999997</v>
      </c>
      <c r="C326" s="1">
        <v>343.02999899999998</v>
      </c>
      <c r="D326" s="1">
        <v>17.010000000000002</v>
      </c>
      <c r="E326" s="1">
        <v>2272.3000489999999</v>
      </c>
      <c r="F326" s="1">
        <v>355.72998000000001</v>
      </c>
      <c r="G326" s="1">
        <v>8.11</v>
      </c>
      <c r="H326" s="1">
        <v>-1E-4</v>
      </c>
      <c r="I326" s="1">
        <v>-2.0000000000000001E-4</v>
      </c>
      <c r="J326" s="1">
        <v>1.9824999999999999</v>
      </c>
      <c r="K326" s="1">
        <v>-5.1000000000000004E-4</v>
      </c>
      <c r="L326" s="1">
        <v>4.777E-3</v>
      </c>
      <c r="M326" s="1">
        <v>0.108061</v>
      </c>
      <c r="N326" s="1">
        <v>0.99413300000000004</v>
      </c>
      <c r="O326">
        <v>1</v>
      </c>
      <c r="P326">
        <v>0</v>
      </c>
      <c r="Q326">
        <v>1</v>
      </c>
      <c r="R326">
        <v>1</v>
      </c>
      <c r="S326">
        <v>1</v>
      </c>
      <c r="T326" s="1">
        <f>SQRT(POWER(Octane[[#This Row],[angvel_X]],2) + POWER(Octane[[#This Row],[angvel_Y]],2) + POWER(Octane[[#This Row],[angvel_Z]],2))</f>
        <v>1.9825000126103405</v>
      </c>
      <c r="U326" s="1">
        <f>DEGREES(ASIN(MAX(-1,MIN(1,2 * (Octane[[#This Row],[quart_W]]*Octane[[#This Row],[quart_Y]] - Octane[[#This Row],[quart_Z]]*Octane[[#This Row],[quart_X]])))))</f>
        <v>0.55051599747761037</v>
      </c>
      <c r="V32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77.592741549851468</v>
      </c>
      <c r="W32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89.998945758611811</v>
      </c>
      <c r="X326" s="1">
        <f>IF(Octane[[#This Row],[Yaw]]&gt;V325,(360-ABS(Octane[[#This Row],[Yaw]])-ABS(V325)),ABS(Octane[[#This Row],[Yaw]]-V325))</f>
        <v>0.94663577999544657</v>
      </c>
      <c r="Y326" s="1">
        <f>Octane[[#This Row],[Degree change]]+Y325</f>
        <v>251.55826352921952</v>
      </c>
      <c r="Z326" s="1">
        <f>SQRT(Octane[[#This Row],[vel_X]]*Octane[[#This Row],[vel_X]]+Octane[[#This Row],[vel_Y]]*Octane[[#This Row],[vel_Y]]+Octane[[#This Row],[vel_Z]]*Octane[[#This Row],[vel_Z]])</f>
        <v>2299.9906746454867</v>
      </c>
    </row>
    <row r="327" spans="1:26">
      <c r="A327">
        <v>326</v>
      </c>
      <c r="B327" s="1">
        <v>-577.17999299999997</v>
      </c>
      <c r="C327" s="1">
        <v>346.00997899999999</v>
      </c>
      <c r="D327" s="1">
        <v>17.010000000000002</v>
      </c>
      <c r="E327" s="1">
        <v>2266.1198730000001</v>
      </c>
      <c r="F327" s="1">
        <v>393.22000100000002</v>
      </c>
      <c r="G327" s="1">
        <v>8.11</v>
      </c>
      <c r="H327" s="1">
        <v>-1E-4</v>
      </c>
      <c r="I327" s="1">
        <v>-2.0000000000000001E-4</v>
      </c>
      <c r="J327" s="1">
        <v>1.9824999999999999</v>
      </c>
      <c r="K327" s="1">
        <v>-5.4799999999999998E-4</v>
      </c>
      <c r="L327" s="1">
        <v>4.7720000000000002E-3</v>
      </c>
      <c r="M327" s="1">
        <v>0.116272</v>
      </c>
      <c r="N327" s="1">
        <v>0.99320600000000003</v>
      </c>
      <c r="O327">
        <v>1</v>
      </c>
      <c r="P327">
        <v>0</v>
      </c>
      <c r="Q327">
        <v>1</v>
      </c>
      <c r="R327">
        <v>1</v>
      </c>
      <c r="S327">
        <v>1</v>
      </c>
      <c r="T327" s="1">
        <f>SQRT(POWER(Octane[[#This Row],[angvel_X]],2) + POWER(Octane[[#This Row],[angvel_Y]],2) + POWER(Octane[[#This Row],[angvel_Z]],2))</f>
        <v>1.9825000126103405</v>
      </c>
      <c r="U327" s="1">
        <f>DEGREES(ASIN(MAX(-1,MIN(1,2 * (Octane[[#This Row],[quart_W]]*Octane[[#This Row],[quart_Y]] - Octane[[#This Row],[quart_Z]]*Octane[[#This Row],[quart_X]])))))</f>
        <v>0.55042565356281448</v>
      </c>
      <c r="V32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76.645841769056972</v>
      </c>
      <c r="W32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89.99878835653503</v>
      </c>
      <c r="X327" s="1">
        <f>IF(Octane[[#This Row],[Yaw]]&gt;V326,(360-ABS(Octane[[#This Row],[Yaw]])-ABS(V326)),ABS(Octane[[#This Row],[Yaw]]-V326))</f>
        <v>0.94689978079449588</v>
      </c>
      <c r="Y327" s="1">
        <f>Octane[[#This Row],[Degree change]]+Y326</f>
        <v>252.50516331001401</v>
      </c>
      <c r="Z327" s="1">
        <f>SQRT(Octane[[#This Row],[vel_X]]*Octane[[#This Row],[vel_X]]+Octane[[#This Row],[vel_Y]]*Octane[[#This Row],[vel_Y]]+Octane[[#This Row],[vel_Z]]*Octane[[#This Row],[vel_Z]])</f>
        <v>2299.9971782791335</v>
      </c>
    </row>
    <row r="328" spans="1:26">
      <c r="A328">
        <v>327</v>
      </c>
      <c r="B328" s="1">
        <v>-558.22997999999995</v>
      </c>
      <c r="C328" s="1">
        <v>349.29998799999998</v>
      </c>
      <c r="D328" s="1">
        <v>17.010000000000002</v>
      </c>
      <c r="E328" s="1">
        <v>2259.3100589999999</v>
      </c>
      <c r="F328" s="1">
        <v>430.59997600000003</v>
      </c>
      <c r="G328" s="1">
        <v>8.11</v>
      </c>
      <c r="H328" s="1">
        <v>-1E-4</v>
      </c>
      <c r="I328" s="1">
        <v>-2.0000000000000001E-4</v>
      </c>
      <c r="J328" s="1">
        <v>1.9824999999999999</v>
      </c>
      <c r="K328" s="1">
        <v>-5.8500000000000002E-4</v>
      </c>
      <c r="L328" s="1">
        <v>4.7660000000000003E-3</v>
      </c>
      <c r="M328" s="1">
        <v>0.124472</v>
      </c>
      <c r="N328" s="1">
        <v>0.99221099999999995</v>
      </c>
      <c r="O328">
        <v>1</v>
      </c>
      <c r="P328">
        <v>0</v>
      </c>
      <c r="Q328">
        <v>1</v>
      </c>
      <c r="R328">
        <v>1</v>
      </c>
      <c r="S328">
        <v>1</v>
      </c>
      <c r="T328" s="1">
        <f>SQRT(POWER(Octane[[#This Row],[angvel_X]],2) + POWER(Octane[[#This Row],[angvel_Y]],2) + POWER(Octane[[#This Row],[angvel_Z]],2))</f>
        <v>1.9825000126103405</v>
      </c>
      <c r="U328" s="1">
        <f>DEGREES(ASIN(MAX(-1,MIN(1,2 * (Octane[[#This Row],[quart_W]]*Octane[[#This Row],[quart_Y]] - Octane[[#This Row],[quart_Z]]*Octane[[#This Row],[quart_X]])))))</f>
        <v>0.55024203022458418</v>
      </c>
      <c r="V32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75.699303211462194</v>
      </c>
      <c r="W32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89.998534292963612</v>
      </c>
      <c r="X328" s="1">
        <f>IF(Octane[[#This Row],[Yaw]]&gt;V327,(360-ABS(Octane[[#This Row],[Yaw]])-ABS(V327)),ABS(Octane[[#This Row],[Yaw]]-V327))</f>
        <v>0.94653855759477779</v>
      </c>
      <c r="Y328" s="1">
        <f>Octane[[#This Row],[Degree change]]+Y327</f>
        <v>253.45170186760879</v>
      </c>
      <c r="Z328" s="1">
        <f>SQRT(Octane[[#This Row],[vel_X]]*Octane[[#This Row],[vel_X]]+Octane[[#This Row],[vel_Y]]*Octane[[#This Row],[vel_Y]]+Octane[[#This Row],[vel_Z]]*Octane[[#This Row],[vel_Z]])</f>
        <v>2299.9921856671131</v>
      </c>
    </row>
    <row r="329" spans="1:26">
      <c r="A329">
        <v>328</v>
      </c>
      <c r="B329" s="1">
        <v>-539.339966</v>
      </c>
      <c r="C329" s="1">
        <v>352.91000400000001</v>
      </c>
      <c r="D329" s="1">
        <v>17.010000000000002</v>
      </c>
      <c r="E329" s="1">
        <v>2251.889893</v>
      </c>
      <c r="F329" s="1">
        <v>467.86999500000002</v>
      </c>
      <c r="G329" s="1">
        <v>8.11</v>
      </c>
      <c r="H329" s="1">
        <v>-1E-4</v>
      </c>
      <c r="I329" s="1">
        <v>-2.0000000000000001E-4</v>
      </c>
      <c r="J329" s="1">
        <v>1.9824999999999999</v>
      </c>
      <c r="K329" s="1">
        <v>-6.2299999999999996E-4</v>
      </c>
      <c r="L329" s="1">
        <v>4.7609999999999996E-3</v>
      </c>
      <c r="M329" s="1">
        <v>0.132661</v>
      </c>
      <c r="N329" s="1">
        <v>0.99114999999999998</v>
      </c>
      <c r="O329">
        <v>1</v>
      </c>
      <c r="P329">
        <v>0</v>
      </c>
      <c r="Q329">
        <v>1</v>
      </c>
      <c r="R329">
        <v>1</v>
      </c>
      <c r="S329">
        <v>1</v>
      </c>
      <c r="T329" s="1">
        <f>SQRT(POWER(Octane[[#This Row],[angvel_X]],2) + POWER(Octane[[#This Row],[angvel_Y]],2) + POWER(Octane[[#This Row],[angvel_Z]],2))</f>
        <v>1.9825000126103405</v>
      </c>
      <c r="U329" s="1">
        <f>DEGREES(ASIN(MAX(-1,MIN(1,2 * (Octane[[#This Row],[quart_W]]*Octane[[#This Row],[quart_Y]] - Octane[[#This Row],[quart_Z]]*Octane[[#This Row],[quart_X]])))))</f>
        <v>0.55022131191749357</v>
      </c>
      <c r="V32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74.753036033606421</v>
      </c>
      <c r="W32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89.998382743915187</v>
      </c>
      <c r="X329" s="1">
        <f>IF(Octane[[#This Row],[Yaw]]&gt;V328,(360-ABS(Octane[[#This Row],[Yaw]])-ABS(V328)),ABS(Octane[[#This Row],[Yaw]]-V328))</f>
        <v>0.94626717785577341</v>
      </c>
      <c r="Y329" s="1">
        <f>Octane[[#This Row],[Degree change]]+Y328</f>
        <v>254.39796904546455</v>
      </c>
      <c r="Z329" s="1">
        <f>SQRT(Octane[[#This Row],[vel_X]]*Octane[[#This Row],[vel_X]]+Octane[[#This Row],[vel_Y]]*Octane[[#This Row],[vel_Y]]+Octane[[#This Row],[vel_Z]]*Octane[[#This Row],[vel_Z]])</f>
        <v>2299.9948248891455</v>
      </c>
    </row>
    <row r="330" spans="1:26">
      <c r="A330">
        <v>329</v>
      </c>
      <c r="B330" s="1">
        <v>-520.51000999999997</v>
      </c>
      <c r="C330" s="1">
        <v>356.82998700000002</v>
      </c>
      <c r="D330" s="1">
        <v>17.010000000000002</v>
      </c>
      <c r="E330" s="1">
        <v>2243.8498540000001</v>
      </c>
      <c r="F330" s="1">
        <v>505</v>
      </c>
      <c r="G330" s="1">
        <v>8.11</v>
      </c>
      <c r="H330" s="1">
        <v>-1E-4</v>
      </c>
      <c r="I330" s="1">
        <v>-1E-4</v>
      </c>
      <c r="J330" s="1">
        <v>1.9824999999999999</v>
      </c>
      <c r="K330" s="1">
        <v>-6.6100000000000002E-4</v>
      </c>
      <c r="L330" s="1">
        <v>4.7559999999999998E-3</v>
      </c>
      <c r="M330" s="1">
        <v>0.140845</v>
      </c>
      <c r="N330" s="1">
        <v>0.99002000000000001</v>
      </c>
      <c r="O330">
        <v>1</v>
      </c>
      <c r="P330">
        <v>0</v>
      </c>
      <c r="Q330">
        <v>1</v>
      </c>
      <c r="R330">
        <v>1</v>
      </c>
      <c r="S330">
        <v>1</v>
      </c>
      <c r="T330" s="1">
        <f>SQRT(POWER(Octane[[#This Row],[angvel_X]],2) + POWER(Octane[[#This Row],[angvel_Y]],2) + POWER(Octane[[#This Row],[angvel_Z]],2))</f>
        <v>1.9825000050441361</v>
      </c>
      <c r="U330" s="1">
        <f>DEGREES(ASIN(MAX(-1,MIN(1,2 * (Octane[[#This Row],[quart_W]]*Octane[[#This Row],[quart_Y]] - Octane[[#This Row],[quart_Z]]*Octane[[#This Row],[quart_X]])))))</f>
        <v>0.55023514513163396</v>
      </c>
      <c r="V33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73.806312396539923</v>
      </c>
      <c r="W33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89.998228837027398</v>
      </c>
      <c r="X330" s="1">
        <f>IF(Octane[[#This Row],[Yaw]]&gt;V329,(360-ABS(Octane[[#This Row],[Yaw]])-ABS(V329)),ABS(Octane[[#This Row],[Yaw]]-V329))</f>
        <v>0.94672363706649776</v>
      </c>
      <c r="Y330" s="1">
        <f>Octane[[#This Row],[Degree change]]+Y329</f>
        <v>255.34469268253105</v>
      </c>
      <c r="Z330" s="1">
        <f>SQRT(Octane[[#This Row],[vel_X]]*Octane[[#This Row],[vel_X]]+Octane[[#This Row],[vel_Y]]*Octane[[#This Row],[vel_Y]]+Octane[[#This Row],[vel_Z]]*Octane[[#This Row],[vel_Z]])</f>
        <v>2299.989769411121</v>
      </c>
    </row>
    <row r="331" spans="1:26">
      <c r="A331">
        <v>330</v>
      </c>
      <c r="B331" s="1">
        <v>-501.75</v>
      </c>
      <c r="C331" s="1">
        <v>361.05999800000001</v>
      </c>
      <c r="D331" s="1">
        <v>17.010000000000002</v>
      </c>
      <c r="E331" s="1">
        <v>2235.209961</v>
      </c>
      <c r="F331" s="1">
        <v>542</v>
      </c>
      <c r="G331" s="1">
        <v>8.11</v>
      </c>
      <c r="H331" s="1">
        <v>-1E-4</v>
      </c>
      <c r="I331" s="1">
        <v>-1E-4</v>
      </c>
      <c r="J331" s="1">
        <v>1.9824999999999999</v>
      </c>
      <c r="K331" s="1">
        <v>-6.9899999999999997E-4</v>
      </c>
      <c r="L331" s="1">
        <v>4.7499999999999999E-3</v>
      </c>
      <c r="M331" s="1">
        <v>0.14901800000000001</v>
      </c>
      <c r="N331" s="1">
        <v>0.98882300000000001</v>
      </c>
      <c r="O331">
        <v>1</v>
      </c>
      <c r="P331">
        <v>0</v>
      </c>
      <c r="Q331">
        <v>1</v>
      </c>
      <c r="R331">
        <v>1</v>
      </c>
      <c r="S331">
        <v>1</v>
      </c>
      <c r="T331" s="1">
        <f>SQRT(POWER(Octane[[#This Row],[angvel_X]],2) + POWER(Octane[[#This Row],[angvel_Y]],2) + POWER(Octane[[#This Row],[angvel_Z]],2))</f>
        <v>1.9825000050441361</v>
      </c>
      <c r="U331" s="1">
        <f>DEGREES(ASIN(MAX(-1,MIN(1,2 * (Octane[[#This Row],[quart_W]]*Octane[[#This Row],[quart_Y]] - Octane[[#This Row],[quart_Z]]*Octane[[#This Row],[quart_X]])))))</f>
        <v>0.55017087544052479</v>
      </c>
      <c r="V33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72.859743949710122</v>
      </c>
      <c r="W33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89.998092166216779</v>
      </c>
      <c r="X331" s="1">
        <f>IF(Octane[[#This Row],[Yaw]]&gt;V330,(360-ABS(Octane[[#This Row],[Yaw]])-ABS(V330)),ABS(Octane[[#This Row],[Yaw]]-V330))</f>
        <v>0.94656844682980079</v>
      </c>
      <c r="Y331" s="1">
        <f>Octane[[#This Row],[Degree change]]+Y330</f>
        <v>256.29126112936086</v>
      </c>
      <c r="Z331" s="1">
        <f>SQRT(Octane[[#This Row],[vel_X]]*Octane[[#This Row],[vel_X]]+Octane[[#This Row],[vel_Y]]*Octane[[#This Row],[vel_Y]]+Octane[[#This Row],[vel_Z]]*Octane[[#This Row],[vel_Z]])</f>
        <v>2299.9985525764187</v>
      </c>
    </row>
    <row r="332" spans="1:26">
      <c r="A332">
        <v>331</v>
      </c>
      <c r="B332" s="1">
        <v>-483.05999800000001</v>
      </c>
      <c r="C332" s="1">
        <v>365.60000600000001</v>
      </c>
      <c r="D332" s="1">
        <v>17.010000000000002</v>
      </c>
      <c r="E332" s="1">
        <v>2225.9499510000001</v>
      </c>
      <c r="F332" s="1">
        <v>578.84997599999997</v>
      </c>
      <c r="G332" s="1">
        <v>8.11</v>
      </c>
      <c r="H332" s="1">
        <v>-2.0000000000000001E-4</v>
      </c>
      <c r="I332" s="1">
        <v>-1E-4</v>
      </c>
      <c r="J332" s="1">
        <v>1.9824999999999999</v>
      </c>
      <c r="K332" s="1">
        <v>-7.36E-4</v>
      </c>
      <c r="L332" s="1">
        <v>4.7450000000000001E-3</v>
      </c>
      <c r="M332" s="1">
        <v>0.15718099999999999</v>
      </c>
      <c r="N332" s="1">
        <v>0.98755800000000005</v>
      </c>
      <c r="O332">
        <v>1</v>
      </c>
      <c r="P332">
        <v>0</v>
      </c>
      <c r="Q332">
        <v>1</v>
      </c>
      <c r="R332">
        <v>1</v>
      </c>
      <c r="S332">
        <v>1</v>
      </c>
      <c r="T332" s="1">
        <f>SQRT(POWER(Octane[[#This Row],[angvel_X]],2) + POWER(Octane[[#This Row],[angvel_Y]],2) + POWER(Octane[[#This Row],[angvel_Z]],2))</f>
        <v>1.9825000126103405</v>
      </c>
      <c r="U332" s="1">
        <f>DEGREES(ASIN(MAX(-1,MIN(1,2 * (Octane[[#This Row],[quart_W]]*Octane[[#This Row],[quart_Y]] - Octane[[#This Row],[quart_Z]]*Octane[[#This Row],[quart_X]])))))</f>
        <v>0.55023677939721727</v>
      </c>
      <c r="V33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71.913163514403564</v>
      </c>
      <c r="W33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89.997824819323242</v>
      </c>
      <c r="X332" s="1">
        <f>IF(Octane[[#This Row],[Yaw]]&gt;V331,(360-ABS(Octane[[#This Row],[Yaw]])-ABS(V331)),ABS(Octane[[#This Row],[Yaw]]-V331))</f>
        <v>0.94658043530655789</v>
      </c>
      <c r="Y332" s="1">
        <f>Octane[[#This Row],[Degree change]]+Y331</f>
        <v>257.23784156466741</v>
      </c>
      <c r="Z332" s="1">
        <f>SQRT(Octane[[#This Row],[vel_X]]*Octane[[#This Row],[vel_X]]+Octane[[#This Row],[vel_Y]]*Octane[[#This Row],[vel_Y]]+Octane[[#This Row],[vel_Z]]*Octane[[#This Row],[vel_Z]])</f>
        <v>2299.9970111224284</v>
      </c>
    </row>
    <row r="333" spans="1:26">
      <c r="A333">
        <v>332</v>
      </c>
      <c r="B333" s="1">
        <v>-464.44000199999999</v>
      </c>
      <c r="C333" s="1">
        <v>370.44998199999998</v>
      </c>
      <c r="D333" s="1">
        <v>17.010000000000002</v>
      </c>
      <c r="E333" s="1">
        <v>2216.0798340000001</v>
      </c>
      <c r="F333" s="1">
        <v>615.53997800000002</v>
      </c>
      <c r="G333" s="1">
        <v>8.11</v>
      </c>
      <c r="H333" s="1">
        <v>-2.0000000000000001E-4</v>
      </c>
      <c r="I333" s="1">
        <v>-1E-4</v>
      </c>
      <c r="J333" s="1">
        <v>1.9824999999999999</v>
      </c>
      <c r="K333" s="1">
        <v>-7.7399999999999995E-4</v>
      </c>
      <c r="L333" s="1">
        <v>4.7390000000000002E-3</v>
      </c>
      <c r="M333" s="1">
        <v>0.16533200000000001</v>
      </c>
      <c r="N333" s="1">
        <v>0.98622600000000005</v>
      </c>
      <c r="O333">
        <v>1</v>
      </c>
      <c r="P333">
        <v>0</v>
      </c>
      <c r="Q333">
        <v>1</v>
      </c>
      <c r="R333">
        <v>1</v>
      </c>
      <c r="S333">
        <v>1</v>
      </c>
      <c r="T333" s="1">
        <f>SQRT(POWER(Octane[[#This Row],[angvel_X]],2) + POWER(Octane[[#This Row],[angvel_Y]],2) + POWER(Octane[[#This Row],[angvel_Z]],2))</f>
        <v>1.9825000126103405</v>
      </c>
      <c r="U333" s="1">
        <f>DEGREES(ASIN(MAX(-1,MIN(1,2 * (Octane[[#This Row],[quart_W]]*Octane[[#This Row],[quart_Y]] - Octane[[#This Row],[quart_Z]]*Octane[[#This Row],[quart_X]])))))</f>
        <v>0.55024182807575206</v>
      </c>
      <c r="V33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70.96672930161489</v>
      </c>
      <c r="W33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89.997688647673826</v>
      </c>
      <c r="X333" s="1">
        <f>IF(Octane[[#This Row],[Yaw]]&gt;V332,(360-ABS(Octane[[#This Row],[Yaw]])-ABS(V332)),ABS(Octane[[#This Row],[Yaw]]-V332))</f>
        <v>0.94643421278867379</v>
      </c>
      <c r="Y333" s="1">
        <f>Octane[[#This Row],[Degree change]]+Y332</f>
        <v>258.18427577745609</v>
      </c>
      <c r="Z333" s="1">
        <f>SQRT(Octane[[#This Row],[vel_X]]*Octane[[#This Row],[vel_X]]+Octane[[#This Row],[vel_Y]]*Octane[[#This Row],[vel_Y]]+Octane[[#This Row],[vel_Z]]*Octane[[#This Row],[vel_Z]])</f>
        <v>2299.9924059173995</v>
      </c>
    </row>
    <row r="334" spans="1:26">
      <c r="A334">
        <v>333</v>
      </c>
      <c r="B334" s="1">
        <v>-445.91000400000001</v>
      </c>
      <c r="C334" s="1">
        <v>375.60000600000001</v>
      </c>
      <c r="D334" s="1">
        <v>17.010000000000002</v>
      </c>
      <c r="E334" s="1">
        <v>2205.6098630000001</v>
      </c>
      <c r="F334" s="1">
        <v>652.07000700000003</v>
      </c>
      <c r="G334" s="1">
        <v>8.11</v>
      </c>
      <c r="H334" s="1">
        <v>-2.0000000000000001E-4</v>
      </c>
      <c r="I334" s="1">
        <v>-1E-4</v>
      </c>
      <c r="J334" s="1">
        <v>1.9824999999999999</v>
      </c>
      <c r="K334" s="1">
        <v>-8.12E-4</v>
      </c>
      <c r="L334" s="1">
        <v>4.7340000000000004E-3</v>
      </c>
      <c r="M334" s="1">
        <v>0.17347299999999999</v>
      </c>
      <c r="N334" s="1">
        <v>0.98482700000000001</v>
      </c>
      <c r="O334">
        <v>1</v>
      </c>
      <c r="P334">
        <v>0</v>
      </c>
      <c r="Q334">
        <v>1</v>
      </c>
      <c r="R334">
        <v>1</v>
      </c>
      <c r="S334">
        <v>1</v>
      </c>
      <c r="T334" s="1">
        <f>SQRT(POWER(Octane[[#This Row],[angvel_X]],2) + POWER(Octane[[#This Row],[angvel_Y]],2) + POWER(Octane[[#This Row],[angvel_Z]],2))</f>
        <v>1.9825000126103405</v>
      </c>
      <c r="U334" s="1">
        <f>DEGREES(ASIN(MAX(-1,MIN(1,2 * (Octane[[#This Row],[quart_W]]*Octane[[#This Row],[quart_Y]] - Octane[[#This Row],[quart_Z]]*Octane[[#This Row],[quart_X]])))))</f>
        <v>0.55039528608601107</v>
      </c>
      <c r="V33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70.020136914036868</v>
      </c>
      <c r="W33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89.997531393925314</v>
      </c>
      <c r="X334" s="1">
        <f>IF(Octane[[#This Row],[Yaw]]&gt;V333,(360-ABS(Octane[[#This Row],[Yaw]])-ABS(V333)),ABS(Octane[[#This Row],[Yaw]]-V333))</f>
        <v>0.946592387578022</v>
      </c>
      <c r="Y334" s="1">
        <f>Octane[[#This Row],[Degree change]]+Y333</f>
        <v>259.13086816503414</v>
      </c>
      <c r="Z334" s="1">
        <f>SQRT(Octane[[#This Row],[vel_X]]*Octane[[#This Row],[vel_X]]+Octane[[#This Row],[vel_Y]]*Octane[[#This Row],[vel_Y]]+Octane[[#This Row],[vel_Z]]*Octane[[#This Row],[vel_Z]])</f>
        <v>2299.9947682314105</v>
      </c>
    </row>
    <row r="335" spans="1:26">
      <c r="A335">
        <v>334</v>
      </c>
      <c r="B335" s="1">
        <v>-427.47000100000002</v>
      </c>
      <c r="C335" s="1">
        <v>381.05999800000001</v>
      </c>
      <c r="D335" s="1">
        <v>17.010000000000002</v>
      </c>
      <c r="E335" s="1">
        <v>2194.540039</v>
      </c>
      <c r="F335" s="1">
        <v>688.419983</v>
      </c>
      <c r="G335" s="1">
        <v>8.11</v>
      </c>
      <c r="H335" s="1">
        <v>-2.9999999999999997E-4</v>
      </c>
      <c r="I335" s="1">
        <v>-1E-4</v>
      </c>
      <c r="J335" s="1">
        <v>1.9824999999999999</v>
      </c>
      <c r="K335" s="1">
        <v>-8.4999999999999995E-4</v>
      </c>
      <c r="L335" s="1">
        <v>4.7289999999999997E-3</v>
      </c>
      <c r="M335" s="1">
        <v>0.18160299999999999</v>
      </c>
      <c r="N335" s="1">
        <v>0.98336000000000001</v>
      </c>
      <c r="O335">
        <v>1</v>
      </c>
      <c r="P335">
        <v>0</v>
      </c>
      <c r="Q335">
        <v>1</v>
      </c>
      <c r="R335">
        <v>1</v>
      </c>
      <c r="S335">
        <v>1</v>
      </c>
      <c r="T335" s="1">
        <f>SQRT(POWER(Octane[[#This Row],[angvel_X]],2) + POWER(Octane[[#This Row],[angvel_Y]],2) + POWER(Octane[[#This Row],[angvel_Z]],2))</f>
        <v>1.9825000252206806</v>
      </c>
      <c r="U335" s="1">
        <f>DEGREES(ASIN(MAX(-1,MIN(1,2 * (Octane[[#This Row],[quart_W]]*Octane[[#This Row],[quart_Y]] - Octane[[#This Row],[quart_Z]]*Octane[[#This Row],[quart_X]])))))</f>
        <v>0.55058332759591511</v>
      </c>
      <c r="V33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69.073458876601677</v>
      </c>
      <c r="W33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89.997370622603</v>
      </c>
      <c r="X335" s="1">
        <f>IF(Octane[[#This Row],[Yaw]]&gt;V334,(360-ABS(Octane[[#This Row],[Yaw]])-ABS(V334)),ABS(Octane[[#This Row],[Yaw]]-V334))</f>
        <v>0.9466780374351913</v>
      </c>
      <c r="Y335" s="1">
        <f>Octane[[#This Row],[Degree change]]+Y334</f>
        <v>260.07754620246931</v>
      </c>
      <c r="Z335" s="1">
        <f>SQRT(Octane[[#This Row],[vel_X]]*Octane[[#This Row],[vel_X]]+Octane[[#This Row],[vel_Y]]*Octane[[#This Row],[vel_Y]]+Octane[[#This Row],[vel_Z]]*Octane[[#This Row],[vel_Z]])</f>
        <v>2299.9986582317479</v>
      </c>
    </row>
    <row r="336" spans="1:26">
      <c r="A336">
        <v>335</v>
      </c>
      <c r="B336" s="1">
        <v>-409.11999500000002</v>
      </c>
      <c r="C336" s="1">
        <v>386.81997699999999</v>
      </c>
      <c r="D336" s="1">
        <v>17.010000000000002</v>
      </c>
      <c r="E336" s="1">
        <v>2182.8598630000001</v>
      </c>
      <c r="F336" s="1">
        <v>724.57995600000004</v>
      </c>
      <c r="G336" s="1">
        <v>8.11</v>
      </c>
      <c r="H336" s="1">
        <v>-2.9999999999999997E-4</v>
      </c>
      <c r="I336" s="1">
        <v>-2.0000000000000001E-4</v>
      </c>
      <c r="J336" s="1">
        <v>1.9824999999999999</v>
      </c>
      <c r="K336" s="1">
        <v>-8.8699999999999998E-4</v>
      </c>
      <c r="L336" s="1">
        <v>4.7229999999999998E-3</v>
      </c>
      <c r="M336" s="1">
        <v>0.189722</v>
      </c>
      <c r="N336" s="1">
        <v>0.98182599999999998</v>
      </c>
      <c r="O336">
        <v>1</v>
      </c>
      <c r="P336">
        <v>0</v>
      </c>
      <c r="Q336">
        <v>1</v>
      </c>
      <c r="R336">
        <v>1</v>
      </c>
      <c r="S336">
        <v>1</v>
      </c>
      <c r="T336" s="1">
        <f>SQRT(POWER(Octane[[#This Row],[angvel_X]],2) + POWER(Octane[[#This Row],[angvel_Y]],2) + POWER(Octane[[#This Row],[angvel_Z]],2))</f>
        <v>1.9825000327868849</v>
      </c>
      <c r="U336" s="1">
        <f>DEGREES(ASIN(MAX(-1,MIN(1,2 * (Octane[[#This Row],[quart_W]]*Octane[[#This Row],[quart_Y]] - Octane[[#This Row],[quart_Z]]*Octane[[#This Row],[quart_X]])))))</f>
        <v>0.55067221143461165</v>
      </c>
      <c r="V33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68.126610479744983</v>
      </c>
      <c r="W33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89.997114755640567</v>
      </c>
      <c r="X336" s="1">
        <f>IF(Octane[[#This Row],[Yaw]]&gt;V335,(360-ABS(Octane[[#This Row],[Yaw]])-ABS(V335)),ABS(Octane[[#This Row],[Yaw]]-V335))</f>
        <v>0.94684839685669431</v>
      </c>
      <c r="Y336" s="1">
        <f>Octane[[#This Row],[Degree change]]+Y335</f>
        <v>261.024394599326</v>
      </c>
      <c r="Z336" s="1">
        <f>SQRT(Octane[[#This Row],[vel_X]]*Octane[[#This Row],[vel_X]]+Octane[[#This Row],[vel_Y]]*Octane[[#This Row],[vel_Y]]+Octane[[#This Row],[vel_Z]]*Octane[[#This Row],[vel_Z]])</f>
        <v>2299.9911013378596</v>
      </c>
    </row>
    <row r="337" spans="1:26">
      <c r="A337">
        <v>336</v>
      </c>
      <c r="B337" s="1">
        <v>-390.86999500000002</v>
      </c>
      <c r="C337" s="1">
        <v>392.88000499999998</v>
      </c>
      <c r="D337" s="1">
        <v>17.010000000000002</v>
      </c>
      <c r="E337" s="1">
        <v>2170.5898440000001</v>
      </c>
      <c r="F337" s="1">
        <v>760.53997800000002</v>
      </c>
      <c r="G337" s="1">
        <v>8.11</v>
      </c>
      <c r="H337" s="1">
        <v>-2.9999999999999997E-4</v>
      </c>
      <c r="I337" s="1">
        <v>-2.0000000000000001E-4</v>
      </c>
      <c r="J337" s="1">
        <v>1.9824999999999999</v>
      </c>
      <c r="K337" s="1">
        <v>-9.2500000000000004E-4</v>
      </c>
      <c r="L337" s="1">
        <v>4.718E-3</v>
      </c>
      <c r="M337" s="1">
        <v>0.197825</v>
      </c>
      <c r="N337" s="1">
        <v>0.98022500000000001</v>
      </c>
      <c r="O337">
        <v>1</v>
      </c>
      <c r="P337">
        <v>0</v>
      </c>
      <c r="Q337">
        <v>1</v>
      </c>
      <c r="R337">
        <v>1</v>
      </c>
      <c r="S337">
        <v>1</v>
      </c>
      <c r="T337" s="1">
        <f>SQRT(POWER(Octane[[#This Row],[angvel_X]],2) + POWER(Octane[[#This Row],[angvel_Y]],2) + POWER(Octane[[#This Row],[angvel_Z]],2))</f>
        <v>1.9825000327868849</v>
      </c>
      <c r="U337" s="1">
        <f>DEGREES(ASIN(MAX(-1,MIN(1,2 * (Octane[[#This Row],[quart_W]]*Octane[[#This Row],[quart_Y]] - Octane[[#This Row],[quart_Z]]*Octane[[#This Row],[quart_X]])))))</f>
        <v>0.55092914480140665</v>
      </c>
      <c r="V33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67.180130423065748</v>
      </c>
      <c r="W33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89.996948259920075</v>
      </c>
      <c r="X337" s="1">
        <f>IF(Octane[[#This Row],[Yaw]]&gt;V336,(360-ABS(Octane[[#This Row],[Yaw]])-ABS(V336)),ABS(Octane[[#This Row],[Yaw]]-V336))</f>
        <v>0.94648005667923485</v>
      </c>
      <c r="Y337" s="1">
        <f>Octane[[#This Row],[Degree change]]+Y336</f>
        <v>261.97087465600521</v>
      </c>
      <c r="Z337" s="1">
        <f>SQRT(Octane[[#This Row],[vel_X]]*Octane[[#This Row],[vel_X]]+Octane[[#This Row],[vel_Y]]*Octane[[#This Row],[vel_Y]]+Octane[[#This Row],[vel_Z]]*Octane[[#This Row],[vel_Z]])</f>
        <v>2299.9885002130304</v>
      </c>
    </row>
    <row r="338" spans="1:26">
      <c r="A338">
        <v>337</v>
      </c>
      <c r="B338" s="1">
        <v>-372.72000100000002</v>
      </c>
      <c r="C338" s="1">
        <v>399.23998999999998</v>
      </c>
      <c r="D338" s="1">
        <v>17.010000000000002</v>
      </c>
      <c r="E338" s="1">
        <v>2157.7299800000001</v>
      </c>
      <c r="F338" s="1">
        <v>796.29998799999998</v>
      </c>
      <c r="G338" s="1">
        <v>8.11</v>
      </c>
      <c r="H338" s="1">
        <v>-2.9999999999999997E-4</v>
      </c>
      <c r="I338" s="1">
        <v>-2.9999999999999997E-4</v>
      </c>
      <c r="J338" s="1">
        <v>1.9824999999999999</v>
      </c>
      <c r="K338" s="1">
        <v>-9.6299999999999999E-4</v>
      </c>
      <c r="L338" s="1">
        <v>4.7070000000000002E-3</v>
      </c>
      <c r="M338" s="1">
        <v>0.20591699999999999</v>
      </c>
      <c r="N338" s="1">
        <v>0.97855800000000004</v>
      </c>
      <c r="O338">
        <v>1</v>
      </c>
      <c r="P338">
        <v>0</v>
      </c>
      <c r="Q338">
        <v>1</v>
      </c>
      <c r="R338">
        <v>1</v>
      </c>
      <c r="S338">
        <v>1</v>
      </c>
      <c r="T338" s="1">
        <f>SQRT(POWER(Octane[[#This Row],[angvel_X]],2) + POWER(Octane[[#This Row],[angvel_Y]],2) + POWER(Octane[[#This Row],[angvel_Z]],2))</f>
        <v>1.982500045397225</v>
      </c>
      <c r="U338" s="1">
        <f>DEGREES(ASIN(MAX(-1,MIN(1,2 * (Octane[[#This Row],[quart_W]]*Octane[[#This Row],[quart_Y]] - Octane[[#This Row],[quart_Z]]*Octane[[#This Row],[quart_X]])))))</f>
        <v>0.55054878661564932</v>
      </c>
      <c r="V33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66.233330433904982</v>
      </c>
      <c r="W33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89.99691734876086</v>
      </c>
      <c r="X338" s="1">
        <f>IF(Octane[[#This Row],[Yaw]]&gt;V337,(360-ABS(Octane[[#This Row],[Yaw]])-ABS(V337)),ABS(Octane[[#This Row],[Yaw]]-V337))</f>
        <v>0.94679998916076613</v>
      </c>
      <c r="Y338" s="1">
        <f>Octane[[#This Row],[Degree change]]+Y337</f>
        <v>262.91767464516596</v>
      </c>
      <c r="Z338" s="1">
        <f>SQRT(Octane[[#This Row],[vel_X]]*Octane[[#This Row],[vel_X]]+Octane[[#This Row],[vel_Y]]*Octane[[#This Row],[vel_Y]]+Octane[[#This Row],[vel_Z]]*Octane[[#This Row],[vel_Z]])</f>
        <v>2299.9908933688412</v>
      </c>
    </row>
    <row r="339" spans="1:26">
      <c r="A339">
        <v>338</v>
      </c>
      <c r="B339" s="1">
        <v>-354.67999300000002</v>
      </c>
      <c r="C339" s="1">
        <v>405.89999399999999</v>
      </c>
      <c r="D339" s="1">
        <v>17.010000000000002</v>
      </c>
      <c r="E339" s="1">
        <v>2144.280029</v>
      </c>
      <c r="F339" s="1">
        <v>831.839966</v>
      </c>
      <c r="G339" s="1">
        <v>8.11</v>
      </c>
      <c r="H339" s="1">
        <v>-4.0000000000000002E-4</v>
      </c>
      <c r="I339" s="1">
        <v>-2.9999999999999997E-4</v>
      </c>
      <c r="J339" s="1">
        <v>1.9824999999999999</v>
      </c>
      <c r="K339" s="1">
        <v>-1.0009999999999999E-3</v>
      </c>
      <c r="L339" s="1">
        <v>4.6959999999999997E-3</v>
      </c>
      <c r="M339" s="1">
        <v>0.21399399999999999</v>
      </c>
      <c r="N339" s="1">
        <v>0.976823</v>
      </c>
      <c r="O339">
        <v>1</v>
      </c>
      <c r="P339">
        <v>0</v>
      </c>
      <c r="Q339">
        <v>1</v>
      </c>
      <c r="R339">
        <v>1</v>
      </c>
      <c r="S339">
        <v>1</v>
      </c>
      <c r="T339" s="1">
        <f>SQRT(POWER(Octane[[#This Row],[angvel_X]],2) + POWER(Octane[[#This Row],[angvel_Y]],2) + POWER(Octane[[#This Row],[angvel_Z]],2))</f>
        <v>1.9825000630517013</v>
      </c>
      <c r="U339" s="1">
        <f>DEGREES(ASIN(MAX(-1,MIN(1,2 * (Octane[[#This Row],[quart_W]]*Octane[[#This Row],[quart_Y]] - Octane[[#This Row],[quart_Z]]*Octane[[#This Row],[quart_X]])))))</f>
        <v>0.55020479266798661</v>
      </c>
      <c r="V33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65.286671188020165</v>
      </c>
      <c r="W33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89.996892591894948</v>
      </c>
      <c r="X339" s="1">
        <f>IF(Octane[[#This Row],[Yaw]]&gt;V338,(360-ABS(Octane[[#This Row],[Yaw]])-ABS(V338)),ABS(Octane[[#This Row],[Yaw]]-V338))</f>
        <v>0.94665924588481687</v>
      </c>
      <c r="Y339" s="1">
        <f>Octane[[#This Row],[Degree change]]+Y338</f>
        <v>263.86433389105076</v>
      </c>
      <c r="Z339" s="1">
        <f>SQRT(Octane[[#This Row],[vel_X]]*Octane[[#This Row],[vel_X]]+Octane[[#This Row],[vel_Y]]*Octane[[#This Row],[vel_Y]]+Octane[[#This Row],[vel_Z]]*Octane[[#This Row],[vel_Z]])</f>
        <v>2299.9913790932178</v>
      </c>
    </row>
    <row r="340" spans="1:26">
      <c r="A340">
        <v>339</v>
      </c>
      <c r="B340" s="1">
        <v>-336.75</v>
      </c>
      <c r="C340" s="1">
        <v>412.85998499999999</v>
      </c>
      <c r="D340" s="1">
        <v>17.010000000000002</v>
      </c>
      <c r="E340" s="1">
        <v>2130.25</v>
      </c>
      <c r="F340" s="1">
        <v>867.14996299999996</v>
      </c>
      <c r="G340" s="1">
        <v>8.1199999999999992</v>
      </c>
      <c r="H340" s="1">
        <v>-4.0000000000000002E-4</v>
      </c>
      <c r="I340" s="1">
        <v>-2.9999999999999997E-4</v>
      </c>
      <c r="J340" s="1">
        <v>1.9824999999999999</v>
      </c>
      <c r="K340" s="1">
        <v>-1.044E-3</v>
      </c>
      <c r="L340" s="1">
        <v>4.6849999999999999E-3</v>
      </c>
      <c r="M340" s="1">
        <v>0.222053</v>
      </c>
      <c r="N340" s="1">
        <v>0.97502299999999997</v>
      </c>
      <c r="O340">
        <v>1</v>
      </c>
      <c r="P340">
        <v>0</v>
      </c>
      <c r="Q340">
        <v>1</v>
      </c>
      <c r="R340">
        <v>1</v>
      </c>
      <c r="S340">
        <v>1</v>
      </c>
      <c r="T340" s="1">
        <f>SQRT(POWER(Octane[[#This Row],[angvel_X]],2) + POWER(Octane[[#This Row],[angvel_Y]],2) + POWER(Octane[[#This Row],[angvel_Z]],2))</f>
        <v>1.9825000630517013</v>
      </c>
      <c r="U340" s="1">
        <f>DEGREES(ASIN(MAX(-1,MIN(1,2 * (Octane[[#This Row],[quart_W]]*Octane[[#This Row],[quart_Y]] - Octane[[#This Row],[quart_Z]]*Octane[[#This Row],[quart_X]])))))</f>
        <v>0.55002571046550508</v>
      </c>
      <c r="V34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64.340393586100248</v>
      </c>
      <c r="W34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89.997433684802061</v>
      </c>
      <c r="X340" s="1">
        <f>IF(Octane[[#This Row],[Yaw]]&gt;V339,(360-ABS(Octane[[#This Row],[Yaw]])-ABS(V339)),ABS(Octane[[#This Row],[Yaw]]-V339))</f>
        <v>0.94627760191991683</v>
      </c>
      <c r="Y340" s="1">
        <f>Octane[[#This Row],[Degree change]]+Y339</f>
        <v>264.81061149297068</v>
      </c>
      <c r="Z340" s="1">
        <f>SQRT(Octane[[#This Row],[vel_X]]*Octane[[#This Row],[vel_X]]+Octane[[#This Row],[vel_Y]]*Octane[[#This Row],[vel_Y]]+Octane[[#This Row],[vel_Z]]*Octane[[#This Row],[vel_Z]])</f>
        <v>2299.9956641765439</v>
      </c>
    </row>
    <row r="341" spans="1:26">
      <c r="A341">
        <v>340</v>
      </c>
      <c r="B341" s="1">
        <v>-318.94000199999999</v>
      </c>
      <c r="C341" s="1">
        <v>420.11999500000002</v>
      </c>
      <c r="D341" s="1">
        <v>17.010000000000002</v>
      </c>
      <c r="E341" s="1">
        <v>2115.6298830000001</v>
      </c>
      <c r="F341" s="1">
        <v>902.21997099999999</v>
      </c>
      <c r="G341" s="1">
        <v>8.1199999999999992</v>
      </c>
      <c r="H341" s="1">
        <v>-4.0000000000000002E-4</v>
      </c>
      <c r="I341" s="1">
        <v>-2.9999999999999997E-4</v>
      </c>
      <c r="J341" s="1">
        <v>1.9824999999999999</v>
      </c>
      <c r="K341" s="1">
        <v>-1.0870000000000001E-3</v>
      </c>
      <c r="L341" s="1">
        <v>4.6750000000000003E-3</v>
      </c>
      <c r="M341" s="1">
        <v>0.230102</v>
      </c>
      <c r="N341" s="1">
        <v>0.97315499999999999</v>
      </c>
      <c r="O341">
        <v>1</v>
      </c>
      <c r="P341">
        <v>0</v>
      </c>
      <c r="Q341">
        <v>1</v>
      </c>
      <c r="R341">
        <v>1</v>
      </c>
      <c r="S341">
        <v>1</v>
      </c>
      <c r="T341" s="1">
        <f>SQRT(POWER(Octane[[#This Row],[angvel_X]],2) + POWER(Octane[[#This Row],[angvel_Y]],2) + POWER(Octane[[#This Row],[angvel_Z]],2))</f>
        <v>1.9825000630517013</v>
      </c>
      <c r="U341" s="1">
        <f>DEGREES(ASIN(MAX(-1,MIN(1,2 * (Octane[[#This Row],[quart_W]]*Octane[[#This Row],[quart_Y]] - Octane[[#This Row],[quart_Z]]*Octane[[#This Row],[quart_X]])))))</f>
        <v>0.55000444266732296</v>
      </c>
      <c r="V34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63.393516549055782</v>
      </c>
      <c r="W34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89.997947872576972</v>
      </c>
      <c r="X341" s="1">
        <f>IF(Octane[[#This Row],[Yaw]]&gt;V340,(360-ABS(Octane[[#This Row],[Yaw]])-ABS(V340)),ABS(Octane[[#This Row],[Yaw]]-V340))</f>
        <v>0.94687703704446591</v>
      </c>
      <c r="Y341" s="1">
        <f>Octane[[#This Row],[Degree change]]+Y340</f>
        <v>265.75748853001517</v>
      </c>
      <c r="Z341" s="1">
        <f>SQRT(Octane[[#This Row],[vel_X]]*Octane[[#This Row],[vel_X]]+Octane[[#This Row],[vel_Y]]*Octane[[#This Row],[vel_Y]]+Octane[[#This Row],[vel_Z]]*Octane[[#This Row],[vel_Z]])</f>
        <v>2299.9905678749715</v>
      </c>
    </row>
    <row r="342" spans="1:26">
      <c r="A342">
        <v>341</v>
      </c>
      <c r="B342" s="1">
        <v>-301.25</v>
      </c>
      <c r="C342" s="1">
        <v>427.669983</v>
      </c>
      <c r="D342" s="1">
        <v>17.010000000000002</v>
      </c>
      <c r="E342" s="1">
        <v>2100.4399410000001</v>
      </c>
      <c r="F342" s="1">
        <v>937.04998799999998</v>
      </c>
      <c r="G342" s="1">
        <v>8.1199999999999992</v>
      </c>
      <c r="H342" s="1">
        <v>-4.0000000000000002E-4</v>
      </c>
      <c r="I342" s="1">
        <v>-2.0000000000000001E-4</v>
      </c>
      <c r="J342" s="1">
        <v>1.9824999999999999</v>
      </c>
      <c r="K342" s="1">
        <v>-1.1299999999999999E-3</v>
      </c>
      <c r="L342" s="1">
        <v>4.6639999999999997E-3</v>
      </c>
      <c r="M342" s="1">
        <v>0.23813500000000001</v>
      </c>
      <c r="N342" s="1">
        <v>0.97121999999999997</v>
      </c>
      <c r="O342">
        <v>1</v>
      </c>
      <c r="P342">
        <v>0</v>
      </c>
      <c r="Q342">
        <v>1</v>
      </c>
      <c r="R342">
        <v>1</v>
      </c>
      <c r="S342">
        <v>1</v>
      </c>
      <c r="T342" s="1">
        <f>SQRT(POWER(Octane[[#This Row],[angvel_X]],2) + POWER(Octane[[#This Row],[angvel_Y]],2) + POWER(Octane[[#This Row],[angvel_Z]],2))</f>
        <v>1.9825000504413612</v>
      </c>
      <c r="U342" s="1">
        <f>DEGREES(ASIN(MAX(-1,MIN(1,2 * (Octane[[#This Row],[quart_W]]*Octane[[#This Row],[quart_Y]] - Octane[[#This Row],[quart_Z]]*Octane[[#This Row],[quart_X]])))))</f>
        <v>0.54991759327622769</v>
      </c>
      <c r="V34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62.446688931195006</v>
      </c>
      <c r="W34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89.998489265310226</v>
      </c>
      <c r="X342" s="1">
        <f>IF(Octane[[#This Row],[Yaw]]&gt;V341,(360-ABS(Octane[[#This Row],[Yaw]])-ABS(V341)),ABS(Octane[[#This Row],[Yaw]]-V341))</f>
        <v>0.94682761786077663</v>
      </c>
      <c r="Y342" s="1">
        <f>Octane[[#This Row],[Degree change]]+Y341</f>
        <v>266.70431614787594</v>
      </c>
      <c r="Z342" s="1">
        <f>SQRT(Octane[[#This Row],[vel_X]]*Octane[[#This Row],[vel_X]]+Octane[[#This Row],[vel_Y]]*Octane[[#This Row],[vel_Y]]+Octane[[#This Row],[vel_Z]]*Octane[[#This Row],[vel_Z]])</f>
        <v>2299.9949043767215</v>
      </c>
    </row>
    <row r="343" spans="1:26">
      <c r="A343">
        <v>342</v>
      </c>
      <c r="B343" s="1">
        <v>-283.69000199999999</v>
      </c>
      <c r="C343" s="1">
        <v>435.50997899999999</v>
      </c>
      <c r="D343" s="1">
        <v>17.010000000000002</v>
      </c>
      <c r="E343" s="1">
        <v>2084.669922</v>
      </c>
      <c r="F343" s="1">
        <v>971.63000499999998</v>
      </c>
      <c r="G343" s="1">
        <v>8.1199999999999992</v>
      </c>
      <c r="H343" s="1">
        <v>-2.9999999999999997E-4</v>
      </c>
      <c r="I343" s="1">
        <v>-2.0000000000000001E-4</v>
      </c>
      <c r="J343" s="1">
        <v>1.9824999999999999</v>
      </c>
      <c r="K343" s="1">
        <v>-1.168E-3</v>
      </c>
      <c r="L343" s="1">
        <v>4.653E-3</v>
      </c>
      <c r="M343" s="1">
        <v>0.24615200000000001</v>
      </c>
      <c r="N343" s="1">
        <v>0.96921900000000005</v>
      </c>
      <c r="O343">
        <v>1</v>
      </c>
      <c r="P343">
        <v>0</v>
      </c>
      <c r="Q343">
        <v>1</v>
      </c>
      <c r="R343">
        <v>1</v>
      </c>
      <c r="S343">
        <v>1</v>
      </c>
      <c r="T343" s="1">
        <f>SQRT(POWER(Octane[[#This Row],[angvel_X]],2) + POWER(Octane[[#This Row],[angvel_Y]],2) + POWER(Octane[[#This Row],[angvel_Z]],2))</f>
        <v>1.9825000327868849</v>
      </c>
      <c r="U343" s="1">
        <f>DEGREES(ASIN(MAX(-1,MIN(1,2 * (Octane[[#This Row],[quart_W]]*Octane[[#This Row],[quart_Y]] - Octane[[#This Row],[quart_Z]]*Octane[[#This Row],[quart_X]])))))</f>
        <v>0.54973640570933213</v>
      </c>
      <c r="V34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61.499819725611111</v>
      </c>
      <c r="W34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89.998476152727932</v>
      </c>
      <c r="X343" s="1">
        <f>IF(Octane[[#This Row],[Yaw]]&gt;V342,(360-ABS(Octane[[#This Row],[Yaw]])-ABS(V342)),ABS(Octane[[#This Row],[Yaw]]-V342))</f>
        <v>0.94686920558389431</v>
      </c>
      <c r="Y343" s="1">
        <f>Octane[[#This Row],[Degree change]]+Y342</f>
        <v>267.65118535345982</v>
      </c>
      <c r="Z343" s="1">
        <f>SQRT(Octane[[#This Row],[vel_X]]*Octane[[#This Row],[vel_X]]+Octane[[#This Row],[vel_Y]]*Octane[[#This Row],[vel_Y]]+Octane[[#This Row],[vel_Z]]*Octane[[#This Row],[vel_Z]])</f>
        <v>2299.9955401495426</v>
      </c>
    </row>
    <row r="344" spans="1:26">
      <c r="A344">
        <v>343</v>
      </c>
      <c r="B344" s="1">
        <v>-266.25997899999999</v>
      </c>
      <c r="C344" s="1">
        <v>443.63998400000003</v>
      </c>
      <c r="D344" s="1">
        <v>17.010000000000002</v>
      </c>
      <c r="E344" s="1">
        <v>2068.3298340000001</v>
      </c>
      <c r="F344" s="1">
        <v>1005.940002</v>
      </c>
      <c r="G344" s="1">
        <v>8.1199999999999992</v>
      </c>
      <c r="H344" s="1">
        <v>-2.9999999999999997E-4</v>
      </c>
      <c r="I344" s="1">
        <v>-1E-4</v>
      </c>
      <c r="J344" s="1">
        <v>1.9824999999999999</v>
      </c>
      <c r="K344" s="1">
        <v>-1.206E-3</v>
      </c>
      <c r="L344" s="1">
        <v>4.6420000000000003E-3</v>
      </c>
      <c r="M344" s="1">
        <v>0.25414700000000001</v>
      </c>
      <c r="N344" s="1">
        <v>0.96715399999999996</v>
      </c>
      <c r="O344">
        <v>1</v>
      </c>
      <c r="P344">
        <v>0</v>
      </c>
      <c r="Q344">
        <v>1</v>
      </c>
      <c r="R344">
        <v>1</v>
      </c>
      <c r="S344">
        <v>1</v>
      </c>
      <c r="T344" s="1">
        <f>SQRT(POWER(Octane[[#This Row],[angvel_X]],2) + POWER(Octane[[#This Row],[angvel_Y]],2) + POWER(Octane[[#This Row],[angvel_Z]],2))</f>
        <v>1.9825000252206806</v>
      </c>
      <c r="U344" s="1">
        <f>DEGREES(ASIN(MAX(-1,MIN(1,2 * (Octane[[#This Row],[quart_W]]*Octane[[#This Row],[quart_Y]] - Octane[[#This Row],[quart_Z]]*Octane[[#This Row],[quart_X]])))))</f>
        <v>0.54959300003542688</v>
      </c>
      <c r="V34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60.553545416622853</v>
      </c>
      <c r="W34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89.998468682655584</v>
      </c>
      <c r="X344" s="1">
        <f>IF(Octane[[#This Row],[Yaw]]&gt;V343,(360-ABS(Octane[[#This Row],[Yaw]])-ABS(V343)),ABS(Octane[[#This Row],[Yaw]]-V343))</f>
        <v>0.94627430898825793</v>
      </c>
      <c r="Y344" s="1">
        <f>Octane[[#This Row],[Degree change]]+Y343</f>
        <v>268.5974596624481</v>
      </c>
      <c r="Z344" s="1">
        <f>SQRT(Octane[[#This Row],[vel_X]]*Octane[[#This Row],[vel_X]]+Octane[[#This Row],[vel_Y]]*Octane[[#This Row],[vel_Y]]+Octane[[#This Row],[vel_Z]]*Octane[[#This Row],[vel_Z]])</f>
        <v>2299.9933748248554</v>
      </c>
    </row>
    <row r="345" spans="1:26">
      <c r="A345">
        <v>344</v>
      </c>
      <c r="B345" s="1">
        <v>-248.959991</v>
      </c>
      <c r="C345" s="1">
        <v>452.05999800000001</v>
      </c>
      <c r="D345" s="1">
        <v>17.010000000000002</v>
      </c>
      <c r="E345" s="1">
        <v>2051.429932</v>
      </c>
      <c r="F345" s="1">
        <v>1039.969971</v>
      </c>
      <c r="G345" s="1">
        <v>8.1199999999999992</v>
      </c>
      <c r="H345" s="1">
        <v>-2.9999999999999997E-4</v>
      </c>
      <c r="I345" s="1">
        <v>-1E-4</v>
      </c>
      <c r="J345" s="1">
        <v>1.9824999999999999</v>
      </c>
      <c r="K345" s="1">
        <v>-1.2440000000000001E-3</v>
      </c>
      <c r="L345" s="1">
        <v>4.6309999999999997E-3</v>
      </c>
      <c r="M345" s="1">
        <v>0.26212600000000003</v>
      </c>
      <c r="N345" s="1">
        <v>0.96502200000000005</v>
      </c>
      <c r="O345">
        <v>1</v>
      </c>
      <c r="P345">
        <v>0</v>
      </c>
      <c r="Q345">
        <v>1</v>
      </c>
      <c r="R345">
        <v>1</v>
      </c>
      <c r="S345">
        <v>1</v>
      </c>
      <c r="T345" s="1">
        <f>SQRT(POWER(Octane[[#This Row],[angvel_X]],2) + POWER(Octane[[#This Row],[angvel_Y]],2) + POWER(Octane[[#This Row],[angvel_Z]],2))</f>
        <v>1.9825000252206806</v>
      </c>
      <c r="U345" s="1">
        <f>DEGREES(ASIN(MAX(-1,MIN(1,2 * (Octane[[#This Row],[quart_W]]*Octane[[#This Row],[quart_Y]] - Octane[[#This Row],[quart_Z]]*Octane[[#This Row],[quart_X]])))))</f>
        <v>0.54948659412843148</v>
      </c>
      <c r="V34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59.6071302641353</v>
      </c>
      <c r="W34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89.998462323934007</v>
      </c>
      <c r="X345" s="1">
        <f>IF(Octane[[#This Row],[Yaw]]&gt;V344,(360-ABS(Octane[[#This Row],[Yaw]])-ABS(V344)),ABS(Octane[[#This Row],[Yaw]]-V344))</f>
        <v>0.94641515248755326</v>
      </c>
      <c r="Y345" s="1">
        <f>Octane[[#This Row],[Degree change]]+Y344</f>
        <v>269.54387481493563</v>
      </c>
      <c r="Z345" s="1">
        <f>SQRT(Octane[[#This Row],[vel_X]]*Octane[[#This Row],[vel_X]]+Octane[[#This Row],[vel_Y]]*Octane[[#This Row],[vel_Y]]+Octane[[#This Row],[vel_Z]]*Octane[[#This Row],[vel_Z]])</f>
        <v>2299.9930958346954</v>
      </c>
    </row>
    <row r="346" spans="1:26">
      <c r="A346">
        <v>345</v>
      </c>
      <c r="B346" s="1">
        <v>-231.80999800000001</v>
      </c>
      <c r="C346" s="1">
        <v>460.75997899999999</v>
      </c>
      <c r="D346" s="1">
        <v>17.010000000000002</v>
      </c>
      <c r="E346" s="1">
        <v>2033.969971</v>
      </c>
      <c r="F346" s="1">
        <v>1073.719971</v>
      </c>
      <c r="G346" s="1">
        <v>8.1199999999999992</v>
      </c>
      <c r="H346" s="1">
        <v>-2.9999999999999997E-4</v>
      </c>
      <c r="I346" s="1">
        <v>-1E-4</v>
      </c>
      <c r="J346" s="1">
        <v>1.9824999999999999</v>
      </c>
      <c r="K346" s="1">
        <v>-1.281E-3</v>
      </c>
      <c r="L346" s="1">
        <v>4.6210000000000001E-3</v>
      </c>
      <c r="M346" s="1">
        <v>0.27008900000000002</v>
      </c>
      <c r="N346" s="1">
        <v>0.96282299999999998</v>
      </c>
      <c r="O346">
        <v>1</v>
      </c>
      <c r="P346">
        <v>0</v>
      </c>
      <c r="Q346">
        <v>1</v>
      </c>
      <c r="R346">
        <v>1</v>
      </c>
      <c r="S346">
        <v>1</v>
      </c>
      <c r="T346" s="1">
        <f>SQRT(POWER(Octane[[#This Row],[angvel_X]],2) + POWER(Octane[[#This Row],[angvel_Y]],2) + POWER(Octane[[#This Row],[angvel_Z]],2))</f>
        <v>1.9825000252206806</v>
      </c>
      <c r="U346" s="1">
        <f>DEGREES(ASIN(MAX(-1,MIN(1,2 * (Octane[[#This Row],[quart_W]]*Octane[[#This Row],[quart_Y]] - Octane[[#This Row],[quart_Z]]*Octane[[#This Row],[quart_X]])))))</f>
        <v>0.54949661745468503</v>
      </c>
      <c r="V34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58.660507558153462</v>
      </c>
      <c r="W34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89.99831485293889</v>
      </c>
      <c r="X346" s="1">
        <f>IF(Octane[[#This Row],[Yaw]]&gt;V345,(360-ABS(Octane[[#This Row],[Yaw]])-ABS(V345)),ABS(Octane[[#This Row],[Yaw]]-V345))</f>
        <v>0.94662270598183795</v>
      </c>
      <c r="Y346" s="1">
        <f>Octane[[#This Row],[Degree change]]+Y345</f>
        <v>270.49049752091747</v>
      </c>
      <c r="Z346" s="1">
        <f>SQRT(Octane[[#This Row],[vel_X]]*Octane[[#This Row],[vel_X]]+Octane[[#This Row],[vel_Y]]*Octane[[#This Row],[vel_Y]]+Octane[[#This Row],[vel_Z]]*Octane[[#This Row],[vel_Z]])</f>
        <v>2299.9944246571517</v>
      </c>
    </row>
    <row r="347" spans="1:26">
      <c r="A347">
        <v>346</v>
      </c>
      <c r="B347" s="1">
        <v>-214.79998800000001</v>
      </c>
      <c r="C347" s="1">
        <v>469.73998999999998</v>
      </c>
      <c r="D347" s="1">
        <v>17.010000000000002</v>
      </c>
      <c r="E347" s="1">
        <v>2015.9499510000001</v>
      </c>
      <c r="F347" s="1">
        <v>1107.179932</v>
      </c>
      <c r="G347" s="1">
        <v>8.1199999999999992</v>
      </c>
      <c r="H347" s="1">
        <v>-2.9999999999999997E-4</v>
      </c>
      <c r="I347" s="1">
        <v>-1E-4</v>
      </c>
      <c r="J347" s="1">
        <v>1.9824999999999999</v>
      </c>
      <c r="K347" s="1">
        <v>-1.3190000000000001E-3</v>
      </c>
      <c r="L347" s="1">
        <v>4.6100000000000004E-3</v>
      </c>
      <c r="M347" s="1">
        <v>0.27803499999999998</v>
      </c>
      <c r="N347" s="1">
        <v>0.96055900000000005</v>
      </c>
      <c r="O347">
        <v>1</v>
      </c>
      <c r="P347">
        <v>0</v>
      </c>
      <c r="Q347">
        <v>1</v>
      </c>
      <c r="R347">
        <v>1</v>
      </c>
      <c r="S347">
        <v>1</v>
      </c>
      <c r="T347" s="1">
        <f>SQRT(POWER(Octane[[#This Row],[angvel_X]],2) + POWER(Octane[[#This Row],[angvel_Y]],2) + POWER(Octane[[#This Row],[angvel_Z]],2))</f>
        <v>1.9825000252206806</v>
      </c>
      <c r="U347" s="1">
        <f>DEGREES(ASIN(MAX(-1,MIN(1,2 * (Octane[[#This Row],[quart_W]]*Octane[[#This Row],[quart_Y]] - Octane[[#This Row],[quart_Z]]*Octane[[#This Row],[quart_X]])))))</f>
        <v>0.54946407917488405</v>
      </c>
      <c r="V34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57.713685312551071</v>
      </c>
      <c r="W34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89.99830808909951</v>
      </c>
      <c r="X347" s="1">
        <f>IF(Octane[[#This Row],[Yaw]]&gt;V346,(360-ABS(Octane[[#This Row],[Yaw]])-ABS(V346)),ABS(Octane[[#This Row],[Yaw]]-V346))</f>
        <v>0.94682224560239092</v>
      </c>
      <c r="Y347" s="1">
        <f>Octane[[#This Row],[Degree change]]+Y346</f>
        <v>271.43731976651986</v>
      </c>
      <c r="Z347" s="1">
        <f>SQRT(Octane[[#This Row],[vel_X]]*Octane[[#This Row],[vel_X]]+Octane[[#This Row],[vel_Y]]*Octane[[#This Row],[vel_Y]]+Octane[[#This Row],[vel_Z]]*Octane[[#This Row],[vel_Z]])</f>
        <v>2299.9929437197034</v>
      </c>
    </row>
    <row r="348" spans="1:26">
      <c r="A348">
        <v>347</v>
      </c>
      <c r="B348" s="1">
        <v>-197.94000199999999</v>
      </c>
      <c r="C348" s="1">
        <v>479</v>
      </c>
      <c r="D348" s="1">
        <v>17.010000000000002</v>
      </c>
      <c r="E348" s="1">
        <v>1997.380005</v>
      </c>
      <c r="F348" s="1">
        <v>1140.339966</v>
      </c>
      <c r="G348" s="1">
        <v>8.1199999999999992</v>
      </c>
      <c r="H348" s="1">
        <v>-2.9999999999999997E-4</v>
      </c>
      <c r="I348" s="1">
        <v>-1E-4</v>
      </c>
      <c r="J348" s="1">
        <v>1.9824999999999999</v>
      </c>
      <c r="K348" s="1">
        <v>-1.3569999999999999E-3</v>
      </c>
      <c r="L348" s="1">
        <v>4.5989999999999998E-3</v>
      </c>
      <c r="M348" s="1">
        <v>0.28595999999999999</v>
      </c>
      <c r="N348" s="1">
        <v>0.958229</v>
      </c>
      <c r="O348">
        <v>1</v>
      </c>
      <c r="P348">
        <v>0</v>
      </c>
      <c r="Q348">
        <v>1</v>
      </c>
      <c r="R348">
        <v>1</v>
      </c>
      <c r="S348">
        <v>1</v>
      </c>
      <c r="T348" s="1">
        <f>SQRT(POWER(Octane[[#This Row],[angvel_X]],2) + POWER(Octane[[#This Row],[angvel_Y]],2) + POWER(Octane[[#This Row],[angvel_Z]],2))</f>
        <v>1.9825000252206806</v>
      </c>
      <c r="U348" s="1">
        <f>DEGREES(ASIN(MAX(-1,MIN(1,2 * (Octane[[#This Row],[quart_W]]*Octane[[#This Row],[quart_Y]] - Octane[[#This Row],[quart_Z]]*Octane[[#This Row],[quart_X]])))))</f>
        <v>0.54946840360080829</v>
      </c>
      <c r="V34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56.76713214565828</v>
      </c>
      <c r="W34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89.998302444287617</v>
      </c>
      <c r="X348" s="1">
        <f>IF(Octane[[#This Row],[Yaw]]&gt;V347,(360-ABS(Octane[[#This Row],[Yaw]])-ABS(V347)),ABS(Octane[[#This Row],[Yaw]]-V347))</f>
        <v>0.9465531668927909</v>
      </c>
      <c r="Y348" s="1">
        <f>Octane[[#This Row],[Degree change]]+Y347</f>
        <v>272.38387293341265</v>
      </c>
      <c r="Z348" s="1">
        <f>SQRT(Octane[[#This Row],[vel_X]]*Octane[[#This Row],[vel_X]]+Octane[[#This Row],[vel_Y]]*Octane[[#This Row],[vel_Y]]+Octane[[#This Row],[vel_Z]]*Octane[[#This Row],[vel_Z]])</f>
        <v>2299.9930558222736</v>
      </c>
    </row>
    <row r="349" spans="1:26">
      <c r="A349">
        <v>348</v>
      </c>
      <c r="B349" s="1">
        <v>-181.23999000000001</v>
      </c>
      <c r="C349" s="1">
        <v>488.53997800000002</v>
      </c>
      <c r="D349" s="1">
        <v>17.010000000000002</v>
      </c>
      <c r="E349" s="1">
        <v>1978.2698969999999</v>
      </c>
      <c r="F349" s="1">
        <v>1173.179932</v>
      </c>
      <c r="G349" s="1">
        <v>8.1199999999999992</v>
      </c>
      <c r="H349" s="1">
        <v>-2.9999999999999997E-4</v>
      </c>
      <c r="I349" s="1">
        <v>-1E-4</v>
      </c>
      <c r="J349" s="1">
        <v>1.9824999999999999</v>
      </c>
      <c r="K349" s="1">
        <v>-1.395E-3</v>
      </c>
      <c r="L349" s="1">
        <v>4.5880000000000001E-3</v>
      </c>
      <c r="M349" s="1">
        <v>0.29386400000000001</v>
      </c>
      <c r="N349" s="1">
        <v>0.95583499999999999</v>
      </c>
      <c r="O349">
        <v>1</v>
      </c>
      <c r="P349">
        <v>0</v>
      </c>
      <c r="Q349">
        <v>1</v>
      </c>
      <c r="R349">
        <v>1</v>
      </c>
      <c r="S349">
        <v>1</v>
      </c>
      <c r="T349" s="1">
        <f>SQRT(POWER(Octane[[#This Row],[angvel_X]],2) + POWER(Octane[[#This Row],[angvel_Y]],2) + POWER(Octane[[#This Row],[angvel_Z]],2))</f>
        <v>1.9825000252206806</v>
      </c>
      <c r="U349" s="1">
        <f>DEGREES(ASIN(MAX(-1,MIN(1,2 * (Octane[[#This Row],[quart_W]]*Octane[[#This Row],[quart_Y]] - Octane[[#This Row],[quart_Z]]*Octane[[#This Row],[quart_X]])))))</f>
        <v>0.54951061752012964</v>
      </c>
      <c r="V34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55.820731998963552</v>
      </c>
      <c r="W34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89.998297296586102</v>
      </c>
      <c r="X349" s="1">
        <f>IF(Octane[[#This Row],[Yaw]]&gt;V348,(360-ABS(Octane[[#This Row],[Yaw]])-ABS(V348)),ABS(Octane[[#This Row],[Yaw]]-V348))</f>
        <v>0.94640014669472805</v>
      </c>
      <c r="Y349" s="1">
        <f>Octane[[#This Row],[Degree change]]+Y348</f>
        <v>273.33027308010736</v>
      </c>
      <c r="Z349" s="1">
        <f>SQRT(Octane[[#This Row],[vel_X]]*Octane[[#This Row],[vel_X]]+Octane[[#This Row],[vel_Y]]*Octane[[#This Row],[vel_Y]]+Octane[[#This Row],[vel_Z]]*Octane[[#This Row],[vel_Z]])</f>
        <v>2299.9932331691575</v>
      </c>
    </row>
    <row r="350" spans="1:26">
      <c r="A350">
        <v>349</v>
      </c>
      <c r="B350" s="1">
        <v>-164.699997</v>
      </c>
      <c r="C350" s="1">
        <v>498.35998499999999</v>
      </c>
      <c r="D350" s="1">
        <v>17.010000000000002</v>
      </c>
      <c r="E350" s="1">
        <v>1958.619995</v>
      </c>
      <c r="F350" s="1">
        <v>1205.6999510000001</v>
      </c>
      <c r="G350" s="1">
        <v>8.1199999999999992</v>
      </c>
      <c r="H350" s="1">
        <v>-2.9999999999999997E-4</v>
      </c>
      <c r="I350" s="1">
        <v>-1E-4</v>
      </c>
      <c r="J350" s="1">
        <v>1.9824999999999999</v>
      </c>
      <c r="K350" s="1">
        <v>-1.4319999999999999E-3</v>
      </c>
      <c r="L350" s="1">
        <v>4.5779999999999996E-3</v>
      </c>
      <c r="M350" s="1">
        <v>0.30175099999999999</v>
      </c>
      <c r="N350" s="1">
        <v>0.95337499999999997</v>
      </c>
      <c r="O350">
        <v>1</v>
      </c>
      <c r="P350">
        <v>0</v>
      </c>
      <c r="Q350">
        <v>1</v>
      </c>
      <c r="R350">
        <v>1</v>
      </c>
      <c r="S350">
        <v>1</v>
      </c>
      <c r="T350" s="1">
        <f>SQRT(POWER(Octane[[#This Row],[angvel_X]],2) + POWER(Octane[[#This Row],[angvel_Y]],2) + POWER(Octane[[#This Row],[angvel_Z]],2))</f>
        <v>1.9825000252206806</v>
      </c>
      <c r="U350" s="1">
        <f>DEGREES(ASIN(MAX(-1,MIN(1,2 * (Octane[[#This Row],[quart_W]]*Octane[[#This Row],[quart_Y]] - Octane[[#This Row],[quart_Z]]*Octane[[#This Row],[quart_X]])))))</f>
        <v>0.54966497051285101</v>
      </c>
      <c r="V35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54.873960189365057</v>
      </c>
      <c r="W35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89.998145470522132</v>
      </c>
      <c r="X350" s="1">
        <f>IF(Octane[[#This Row],[Yaw]]&gt;V349,(360-ABS(Octane[[#This Row],[Yaw]])-ABS(V349)),ABS(Octane[[#This Row],[Yaw]]-V349))</f>
        <v>0.94677180959849494</v>
      </c>
      <c r="Y350" s="1">
        <f>Octane[[#This Row],[Degree change]]+Y349</f>
        <v>274.27704488970585</v>
      </c>
      <c r="Z350" s="1">
        <f>SQRT(Octane[[#This Row],[vel_X]]*Octane[[#This Row],[vel_X]]+Octane[[#This Row],[vel_Y]]*Octane[[#This Row],[vel_Y]]+Octane[[#This Row],[vel_Z]]*Octane[[#This Row],[vel_Z]])</f>
        <v>2299.9936067422454</v>
      </c>
    </row>
    <row r="351" spans="1:26">
      <c r="A351">
        <v>350</v>
      </c>
      <c r="B351" s="1">
        <v>-148.31999200000001</v>
      </c>
      <c r="C351" s="1">
        <v>508.44998199999998</v>
      </c>
      <c r="D351" s="1">
        <v>17.010000000000002</v>
      </c>
      <c r="E351" s="1">
        <v>1938.429932</v>
      </c>
      <c r="F351" s="1">
        <v>1237.8900149999999</v>
      </c>
      <c r="G351" s="1">
        <v>8.1199999999999992</v>
      </c>
      <c r="H351" s="1">
        <v>-2.9999999999999997E-4</v>
      </c>
      <c r="I351" s="1">
        <v>-1E-4</v>
      </c>
      <c r="J351" s="1">
        <v>1.9824999999999999</v>
      </c>
      <c r="K351" s="1">
        <v>-1.47E-3</v>
      </c>
      <c r="L351" s="1">
        <v>4.5669999999999999E-3</v>
      </c>
      <c r="M351" s="1">
        <v>0.30961699999999998</v>
      </c>
      <c r="N351" s="1">
        <v>0.95084900000000006</v>
      </c>
      <c r="O351">
        <v>1</v>
      </c>
      <c r="P351">
        <v>0</v>
      </c>
      <c r="Q351">
        <v>1</v>
      </c>
      <c r="R351">
        <v>1</v>
      </c>
      <c r="S351">
        <v>1</v>
      </c>
      <c r="T351" s="1">
        <f>SQRT(POWER(Octane[[#This Row],[angvel_X]],2) + POWER(Octane[[#This Row],[angvel_Y]],2) + POWER(Octane[[#This Row],[angvel_Z]],2))</f>
        <v>1.9825000252206806</v>
      </c>
      <c r="U351" s="1">
        <f>DEGREES(ASIN(MAX(-1,MIN(1,2 * (Octane[[#This Row],[quart_W]]*Octane[[#This Row],[quart_Y]] - Octane[[#This Row],[quart_Z]]*Octane[[#This Row],[quart_X]])))))</f>
        <v>0.549780276815373</v>
      </c>
      <c r="V35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53.927267441839909</v>
      </c>
      <c r="W35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89.998135187597654</v>
      </c>
      <c r="X351" s="1">
        <f>IF(Octane[[#This Row],[Yaw]]&gt;V350,(360-ABS(Octane[[#This Row],[Yaw]])-ABS(V350)),ABS(Octane[[#This Row],[Yaw]]-V350))</f>
        <v>0.94669274752514809</v>
      </c>
      <c r="Y351" s="1">
        <f>Octane[[#This Row],[Degree change]]+Y350</f>
        <v>275.22373763723101</v>
      </c>
      <c r="Z351" s="1">
        <f>SQRT(Octane[[#This Row],[vel_X]]*Octane[[#This Row],[vel_X]]+Octane[[#This Row],[vel_Y]]*Octane[[#This Row],[vel_Y]]+Octane[[#This Row],[vel_Z]]*Octane[[#This Row],[vel_Z]])</f>
        <v>2299.9887445181603</v>
      </c>
    </row>
    <row r="352" spans="1:26">
      <c r="A352">
        <v>351</v>
      </c>
      <c r="B352" s="1">
        <v>-132.11000100000001</v>
      </c>
      <c r="C352" s="1">
        <v>518.80999799999995</v>
      </c>
      <c r="D352" s="1">
        <v>17.010000000000002</v>
      </c>
      <c r="E352" s="1">
        <v>1917.719971</v>
      </c>
      <c r="F352" s="1">
        <v>1269.75</v>
      </c>
      <c r="G352" s="1">
        <v>8.1199999999999992</v>
      </c>
      <c r="H352" s="1">
        <v>-2.9999999999999997E-4</v>
      </c>
      <c r="I352" s="1">
        <v>-1E-4</v>
      </c>
      <c r="J352" s="1">
        <v>1.9824999999999999</v>
      </c>
      <c r="K352" s="1">
        <v>-1.508E-3</v>
      </c>
      <c r="L352" s="1">
        <v>4.5560000000000002E-3</v>
      </c>
      <c r="M352" s="1">
        <v>0.31746099999999999</v>
      </c>
      <c r="N352" s="1">
        <v>0.94825899999999996</v>
      </c>
      <c r="O352">
        <v>1</v>
      </c>
      <c r="P352">
        <v>0</v>
      </c>
      <c r="Q352">
        <v>1</v>
      </c>
      <c r="R352">
        <v>1</v>
      </c>
      <c r="S352">
        <v>1</v>
      </c>
      <c r="T352" s="1">
        <f>SQRT(POWER(Octane[[#This Row],[angvel_X]],2) + POWER(Octane[[#This Row],[angvel_Y]],2) + POWER(Octane[[#This Row],[angvel_Z]],2))</f>
        <v>1.9825000252206806</v>
      </c>
      <c r="U352" s="1">
        <f>DEGREES(ASIN(MAX(-1,MIN(1,2 * (Octane[[#This Row],[quart_W]]*Octane[[#This Row],[quart_Y]] - Octane[[#This Row],[quart_Z]]*Octane[[#This Row],[quart_X]])))))</f>
        <v>0.54993324284953926</v>
      </c>
      <c r="V35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52.980662150344877</v>
      </c>
      <c r="W35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89.998123162330728</v>
      </c>
      <c r="X352" s="1">
        <f>IF(Octane[[#This Row],[Yaw]]&gt;V351,(360-ABS(Octane[[#This Row],[Yaw]])-ABS(V351)),ABS(Octane[[#This Row],[Yaw]]-V351))</f>
        <v>0.94660529149503247</v>
      </c>
      <c r="Y352" s="1">
        <f>Octane[[#This Row],[Degree change]]+Y351</f>
        <v>276.17034292872603</v>
      </c>
      <c r="Z352" s="1">
        <f>SQRT(Octane[[#This Row],[vel_X]]*Octane[[#This Row],[vel_X]]+Octane[[#This Row],[vel_Y]]*Octane[[#This Row],[vel_Y]]+Octane[[#This Row],[vel_Z]]*Octane[[#This Row],[vel_Z]])</f>
        <v>2299.9958443597761</v>
      </c>
    </row>
    <row r="353" spans="1:26">
      <c r="A353">
        <v>352</v>
      </c>
      <c r="B353" s="1">
        <v>-116.07</v>
      </c>
      <c r="C353" s="1">
        <v>529.42999299999997</v>
      </c>
      <c r="D353" s="1">
        <v>17.010000000000002</v>
      </c>
      <c r="E353" s="1">
        <v>1896.4799800000001</v>
      </c>
      <c r="F353" s="1">
        <v>1301.26001</v>
      </c>
      <c r="G353" s="1">
        <v>8.1199999999999992</v>
      </c>
      <c r="H353" s="1">
        <v>-2.9999999999999997E-4</v>
      </c>
      <c r="I353" s="1">
        <v>-1E-4</v>
      </c>
      <c r="J353" s="1">
        <v>1.9824999999999999</v>
      </c>
      <c r="K353" s="1">
        <v>-1.5460000000000001E-3</v>
      </c>
      <c r="L353" s="1">
        <v>4.5450000000000004E-3</v>
      </c>
      <c r="M353" s="1">
        <v>0.32528299999999999</v>
      </c>
      <c r="N353" s="1">
        <v>0.945604</v>
      </c>
      <c r="O353">
        <v>1</v>
      </c>
      <c r="P353">
        <v>0</v>
      </c>
      <c r="Q353">
        <v>1</v>
      </c>
      <c r="R353">
        <v>1</v>
      </c>
      <c r="S353">
        <v>1</v>
      </c>
      <c r="T353" s="1">
        <f>SQRT(POWER(Octane[[#This Row],[angvel_X]],2) + POWER(Octane[[#This Row],[angvel_Y]],2) + POWER(Octane[[#This Row],[angvel_Z]],2))</f>
        <v>1.9825000252206806</v>
      </c>
      <c r="U353" s="1">
        <f>DEGREES(ASIN(MAX(-1,MIN(1,2 * (Octane[[#This Row],[quart_W]]*Octane[[#This Row],[quart_Y]] - Octane[[#This Row],[quart_Z]]*Octane[[#This Row],[quart_X]])))))</f>
        <v>0.5501233023952532</v>
      </c>
      <c r="V35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52.034109507944159</v>
      </c>
      <c r="W35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89.99810829825843</v>
      </c>
      <c r="X353" s="1">
        <f>IF(Octane[[#This Row],[Yaw]]&gt;V352,(360-ABS(Octane[[#This Row],[Yaw]])-ABS(V352)),ABS(Octane[[#This Row],[Yaw]]-V352))</f>
        <v>0.94655264240071801</v>
      </c>
      <c r="Y353" s="1">
        <f>Octane[[#This Row],[Degree change]]+Y352</f>
        <v>277.11689557112675</v>
      </c>
      <c r="Z353" s="1">
        <f>SQRT(Octane[[#This Row],[vel_X]]*Octane[[#This Row],[vel_X]]+Octane[[#This Row],[vel_Y]]*Octane[[#This Row],[vel_Y]]+Octane[[#This Row],[vel_Z]]*Octane[[#This Row],[vel_Z]])</f>
        <v>2299.9956222927904</v>
      </c>
    </row>
    <row r="354" spans="1:26">
      <c r="A354">
        <v>353</v>
      </c>
      <c r="B354" s="1">
        <v>-100.209999</v>
      </c>
      <c r="C354" s="1">
        <v>540.32000700000003</v>
      </c>
      <c r="D354" s="1">
        <v>17.010000000000002</v>
      </c>
      <c r="E354" s="1">
        <v>1874.719971</v>
      </c>
      <c r="F354" s="1">
        <v>1332.4099120000001</v>
      </c>
      <c r="G354" s="1">
        <v>8.1199999999999992</v>
      </c>
      <c r="H354" s="1">
        <v>-2.9999999999999997E-4</v>
      </c>
      <c r="I354" s="1">
        <v>-1E-4</v>
      </c>
      <c r="J354" s="1">
        <v>1.9824999999999999</v>
      </c>
      <c r="K354" s="1">
        <v>-1.583E-3</v>
      </c>
      <c r="L354" s="1">
        <v>4.5339999999999998E-3</v>
      </c>
      <c r="M354" s="1">
        <v>0.33308399999999999</v>
      </c>
      <c r="N354" s="1">
        <v>0.94288499999999997</v>
      </c>
      <c r="O354">
        <v>1</v>
      </c>
      <c r="P354">
        <v>0</v>
      </c>
      <c r="Q354">
        <v>1</v>
      </c>
      <c r="R354">
        <v>1</v>
      </c>
      <c r="S354">
        <v>1</v>
      </c>
      <c r="T354" s="1">
        <f>SQRT(POWER(Octane[[#This Row],[angvel_X]],2) + POWER(Octane[[#This Row],[angvel_Y]],2) + POWER(Octane[[#This Row],[angvel_Z]],2))</f>
        <v>1.9825000252206806</v>
      </c>
      <c r="U354" s="1">
        <f>DEGREES(ASIN(MAX(-1,MIN(1,2 * (Octane[[#This Row],[quart_W]]*Octane[[#This Row],[quart_Y]] - Octane[[#This Row],[quart_Z]]*Octane[[#This Row],[quart_X]])))))</f>
        <v>0.55031294458531155</v>
      </c>
      <c r="V35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51.087383298131968</v>
      </c>
      <c r="W35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89.997981273325635</v>
      </c>
      <c r="X354" s="1">
        <f>IF(Octane[[#This Row],[Yaw]]&gt;V353,(360-ABS(Octane[[#This Row],[Yaw]])-ABS(V353)),ABS(Octane[[#This Row],[Yaw]]-V353))</f>
        <v>0.94672620981219069</v>
      </c>
      <c r="Y354" s="1">
        <f>Octane[[#This Row],[Degree change]]+Y353</f>
        <v>278.06362178093894</v>
      </c>
      <c r="Z354" s="1">
        <f>SQRT(Octane[[#This Row],[vel_X]]*Octane[[#This Row],[vel_X]]+Octane[[#This Row],[vel_Y]]*Octane[[#This Row],[vel_Y]]+Octane[[#This Row],[vel_Z]]*Octane[[#This Row],[vel_Z]])</f>
        <v>2299.9906690380481</v>
      </c>
    </row>
    <row r="355" spans="1:26">
      <c r="A355">
        <v>354</v>
      </c>
      <c r="B355" s="1">
        <v>-84.529999000000004</v>
      </c>
      <c r="C355" s="1">
        <v>551.46997099999999</v>
      </c>
      <c r="D355" s="1">
        <v>17.010000000000002</v>
      </c>
      <c r="E355" s="1">
        <v>1852.4499510000001</v>
      </c>
      <c r="F355" s="1">
        <v>1363.1999510000001</v>
      </c>
      <c r="G355" s="1">
        <v>8.1199999999999992</v>
      </c>
      <c r="H355" s="1">
        <v>-2.9999999999999997E-4</v>
      </c>
      <c r="I355" s="1">
        <v>-2.0000000000000001E-4</v>
      </c>
      <c r="J355" s="1">
        <v>1.9824999999999999</v>
      </c>
      <c r="K355" s="1">
        <v>-1.621E-3</v>
      </c>
      <c r="L355" s="1">
        <v>4.5240000000000002E-3</v>
      </c>
      <c r="M355" s="1">
        <v>0.34086300000000003</v>
      </c>
      <c r="N355" s="1">
        <v>0.94010000000000005</v>
      </c>
      <c r="O355">
        <v>1</v>
      </c>
      <c r="P355">
        <v>0</v>
      </c>
      <c r="Q355">
        <v>1</v>
      </c>
      <c r="R355">
        <v>1</v>
      </c>
      <c r="S355">
        <v>1</v>
      </c>
      <c r="T355" s="1">
        <f>SQRT(POWER(Octane[[#This Row],[angvel_X]],2) + POWER(Octane[[#This Row],[angvel_Y]],2) + POWER(Octane[[#This Row],[angvel_Z]],2))</f>
        <v>1.9825000327868849</v>
      </c>
      <c r="U355" s="1">
        <f>DEGREES(ASIN(MAX(-1,MIN(1,2 * (Octane[[#This Row],[quart_W]]*Octane[[#This Row],[quart_Y]] - Octane[[#This Row],[quart_Z]]*Octane[[#This Row],[quart_X]])))))</f>
        <v>0.55068409638871685</v>
      </c>
      <c r="V35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50.140608320155401</v>
      </c>
      <c r="W35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89.997918679138678</v>
      </c>
      <c r="X355" s="1">
        <f>IF(Octane[[#This Row],[Yaw]]&gt;V354,(360-ABS(Octane[[#This Row],[Yaw]])-ABS(V354)),ABS(Octane[[#This Row],[Yaw]]-V354))</f>
        <v>0.94677497797656684</v>
      </c>
      <c r="Y355" s="1">
        <f>Octane[[#This Row],[Degree change]]+Y354</f>
        <v>279.01039675891553</v>
      </c>
      <c r="Z355" s="1">
        <f>SQRT(Octane[[#This Row],[vel_X]]*Octane[[#This Row],[vel_X]]+Octane[[#This Row],[vel_Y]]*Octane[[#This Row],[vel_Y]]+Octane[[#This Row],[vel_Z]]*Octane[[#This Row],[vel_Z]])</f>
        <v>2299.9893177504769</v>
      </c>
    </row>
    <row r="356" spans="1:26">
      <c r="A356">
        <v>355</v>
      </c>
      <c r="B356" s="1">
        <v>-69.040001000000004</v>
      </c>
      <c r="C356" s="1">
        <v>562.86999500000002</v>
      </c>
      <c r="D356" s="1">
        <v>17.010000000000002</v>
      </c>
      <c r="E356" s="1">
        <v>1829.679932</v>
      </c>
      <c r="F356" s="1">
        <v>1393.619995</v>
      </c>
      <c r="G356" s="1">
        <v>8.1199999999999992</v>
      </c>
      <c r="H356" s="1">
        <v>-2.0000000000000001E-4</v>
      </c>
      <c r="I356" s="1">
        <v>-2.9999999999999997E-4</v>
      </c>
      <c r="J356" s="1">
        <v>1.9824999999999999</v>
      </c>
      <c r="K356" s="1">
        <v>-1.6590000000000001E-3</v>
      </c>
      <c r="L356" s="1">
        <v>4.5069999999999997E-3</v>
      </c>
      <c r="M356" s="1">
        <v>0.34861599999999998</v>
      </c>
      <c r="N356" s="1">
        <v>0.937253</v>
      </c>
      <c r="O356">
        <v>1</v>
      </c>
      <c r="P356">
        <v>0</v>
      </c>
      <c r="Q356">
        <v>1</v>
      </c>
      <c r="R356">
        <v>1</v>
      </c>
      <c r="S356">
        <v>1</v>
      </c>
      <c r="T356" s="1">
        <f>SQRT(POWER(Octane[[#This Row],[angvel_X]],2) + POWER(Octane[[#This Row],[angvel_Y]],2) + POWER(Octane[[#This Row],[angvel_Z]],2))</f>
        <v>1.9825000327868849</v>
      </c>
      <c r="U356" s="1">
        <f>DEGREES(ASIN(MAX(-1,MIN(1,2 * (Octane[[#This Row],[quart_W]]*Octane[[#This Row],[quart_Y]] - Octane[[#This Row],[quart_Z]]*Octane[[#This Row],[quart_X]])))))</f>
        <v>0.55034052265988154</v>
      </c>
      <c r="V35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49.194136004720626</v>
      </c>
      <c r="W35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89.998130973008998</v>
      </c>
      <c r="X356" s="1">
        <f>IF(Octane[[#This Row],[Yaw]]&gt;V355,(360-ABS(Octane[[#This Row],[Yaw]])-ABS(V355)),ABS(Octane[[#This Row],[Yaw]]-V355))</f>
        <v>0.94647231543477517</v>
      </c>
      <c r="Y356" s="1">
        <f>Octane[[#This Row],[Degree change]]+Y355</f>
        <v>279.95686907435032</v>
      </c>
      <c r="Z356" s="1">
        <f>SQRT(Octane[[#This Row],[vel_X]]*Octane[[#This Row],[vel_X]]+Octane[[#This Row],[vel_Y]]*Octane[[#This Row],[vel_Y]]+Octane[[#This Row],[vel_Z]]*Octane[[#This Row],[vel_Z]])</f>
        <v>2299.9937561713782</v>
      </c>
    </row>
    <row r="357" spans="1:26">
      <c r="A357">
        <v>356</v>
      </c>
      <c r="B357" s="1">
        <v>-53.739998</v>
      </c>
      <c r="C357" s="1">
        <v>574.52996800000005</v>
      </c>
      <c r="D357" s="1">
        <v>17.010000000000002</v>
      </c>
      <c r="E357" s="1">
        <v>1806.3999020000001</v>
      </c>
      <c r="F357" s="1">
        <v>1423.6599120000001</v>
      </c>
      <c r="G357" s="1">
        <v>8.1199999999999992</v>
      </c>
      <c r="H357" s="1">
        <v>-2.0000000000000001E-4</v>
      </c>
      <c r="I357" s="1">
        <v>-2.9999999999999997E-4</v>
      </c>
      <c r="J357" s="1">
        <v>1.9824999999999999</v>
      </c>
      <c r="K357" s="1">
        <v>-1.6969999999999999E-3</v>
      </c>
      <c r="L357" s="1">
        <v>4.4910000000000002E-3</v>
      </c>
      <c r="M357" s="1">
        <v>0.35634700000000002</v>
      </c>
      <c r="N357" s="1">
        <v>0.93434099999999998</v>
      </c>
      <c r="O357">
        <v>1</v>
      </c>
      <c r="P357">
        <v>0</v>
      </c>
      <c r="Q357">
        <v>1</v>
      </c>
      <c r="R357">
        <v>1</v>
      </c>
      <c r="S357">
        <v>1</v>
      </c>
      <c r="T357" s="1">
        <f>SQRT(POWER(Octane[[#This Row],[angvel_X]],2) + POWER(Octane[[#This Row],[angvel_Y]],2) + POWER(Octane[[#This Row],[angvel_Z]],2))</f>
        <v>1.9825000327868849</v>
      </c>
      <c r="U357" s="1">
        <f>DEGREES(ASIN(MAX(-1,MIN(1,2 * (Octane[[#This Row],[quart_W]]*Octane[[#This Row],[quart_Y]] - Octane[[#This Row],[quart_Z]]*Octane[[#This Row],[quart_X]])))))</f>
        <v>0.55014491444277125</v>
      </c>
      <c r="V35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48.247456002736151</v>
      </c>
      <c r="W35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89.998306522253117</v>
      </c>
      <c r="X357" s="1">
        <f>IF(Octane[[#This Row],[Yaw]]&gt;V356,(360-ABS(Octane[[#This Row],[Yaw]])-ABS(V356)),ABS(Octane[[#This Row],[Yaw]]-V356))</f>
        <v>0.94668000198447544</v>
      </c>
      <c r="Y357" s="1">
        <f>Octane[[#This Row],[Degree change]]+Y356</f>
        <v>280.9035490763348</v>
      </c>
      <c r="Z357" s="1">
        <f>SQRT(Octane[[#This Row],[vel_X]]*Octane[[#This Row],[vel_X]]+Octane[[#This Row],[vel_Y]]*Octane[[#This Row],[vel_Y]]+Octane[[#This Row],[vel_Z]]*Octane[[#This Row],[vel_Z]])</f>
        <v>2299.9900185395277</v>
      </c>
    </row>
    <row r="358" spans="1:26">
      <c r="A358">
        <v>357</v>
      </c>
      <c r="B358" s="1">
        <v>-38.639999000000003</v>
      </c>
      <c r="C358" s="1">
        <v>586.44000200000005</v>
      </c>
      <c r="D358" s="1">
        <v>17.010000000000002</v>
      </c>
      <c r="E358" s="1">
        <v>1782.630005</v>
      </c>
      <c r="F358" s="1">
        <v>1453.309937</v>
      </c>
      <c r="G358" s="1">
        <v>8.1199999999999992</v>
      </c>
      <c r="H358" s="1">
        <v>-2.0000000000000001E-4</v>
      </c>
      <c r="I358" s="1">
        <v>-2.9999999999999997E-4</v>
      </c>
      <c r="J358" s="1">
        <v>1.9824999999999999</v>
      </c>
      <c r="K358" s="1">
        <v>-1.7340000000000001E-3</v>
      </c>
      <c r="L358" s="1">
        <v>4.4749999999999998E-3</v>
      </c>
      <c r="M358" s="1">
        <v>0.36404999999999998</v>
      </c>
      <c r="N358" s="1">
        <v>0.93136699999999994</v>
      </c>
      <c r="O358">
        <v>1</v>
      </c>
      <c r="P358">
        <v>0</v>
      </c>
      <c r="Q358">
        <v>1</v>
      </c>
      <c r="R358">
        <v>1</v>
      </c>
      <c r="S358">
        <v>1</v>
      </c>
      <c r="T358" s="1">
        <f>SQRT(POWER(Octane[[#This Row],[angvel_X]],2) + POWER(Octane[[#This Row],[angvel_Y]],2) + POWER(Octane[[#This Row],[angvel_Z]],2))</f>
        <v>1.9825000327868849</v>
      </c>
      <c r="U358" s="1">
        <f>DEGREES(ASIN(MAX(-1,MIN(1,2 * (Octane[[#This Row],[quart_W]]*Octane[[#This Row],[quart_Y]] - Octane[[#This Row],[quart_Z]]*Octane[[#This Row],[quart_X]])))))</f>
        <v>0.54994823589760766</v>
      </c>
      <c r="V35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47.301218109724367</v>
      </c>
      <c r="W35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89.998380360260342</v>
      </c>
      <c r="X358" s="1">
        <f>IF(Octane[[#This Row],[Yaw]]&gt;V357,(360-ABS(Octane[[#This Row],[Yaw]])-ABS(V357)),ABS(Octane[[#This Row],[Yaw]]-V357))</f>
        <v>0.94623789301178363</v>
      </c>
      <c r="Y358" s="1">
        <f>Octane[[#This Row],[Degree change]]+Y357</f>
        <v>281.84978696934661</v>
      </c>
      <c r="Z358" s="1">
        <f>SQRT(Octane[[#This Row],[vel_X]]*Octane[[#This Row],[vel_X]]+Octane[[#This Row],[vel_Y]]*Octane[[#This Row],[vel_Y]]+Octane[[#This Row],[vel_Z]]*Octane[[#This Row],[vel_Z]])</f>
        <v>2299.9881395583857</v>
      </c>
    </row>
    <row r="359" spans="1:26">
      <c r="A359">
        <v>358</v>
      </c>
      <c r="B359" s="1">
        <v>-23.73</v>
      </c>
      <c r="C359" s="1">
        <v>598.59997599999997</v>
      </c>
      <c r="D359" s="1">
        <v>17.010000000000002</v>
      </c>
      <c r="E359" s="1">
        <v>1758.380005</v>
      </c>
      <c r="F359" s="1">
        <v>1482.559937</v>
      </c>
      <c r="G359" s="1">
        <v>8.1199999999999992</v>
      </c>
      <c r="H359" s="1">
        <v>-2.0000000000000001E-4</v>
      </c>
      <c r="I359" s="1">
        <v>-2.9999999999999997E-4</v>
      </c>
      <c r="J359" s="1">
        <v>1.9824999999999999</v>
      </c>
      <c r="K359" s="1">
        <v>-1.7719999999999999E-3</v>
      </c>
      <c r="L359" s="1">
        <v>4.4590000000000003E-3</v>
      </c>
      <c r="M359" s="1">
        <v>0.37173299999999998</v>
      </c>
      <c r="N359" s="1">
        <v>0.92832700000000001</v>
      </c>
      <c r="O359">
        <v>1</v>
      </c>
      <c r="P359">
        <v>0</v>
      </c>
      <c r="Q359">
        <v>1</v>
      </c>
      <c r="R359">
        <v>1</v>
      </c>
      <c r="S359">
        <v>1</v>
      </c>
      <c r="T359" s="1">
        <f>SQRT(POWER(Octane[[#This Row],[angvel_X]],2) + POWER(Octane[[#This Row],[angvel_Y]],2) + POWER(Octane[[#This Row],[angvel_Z]],2))</f>
        <v>1.9825000327868849</v>
      </c>
      <c r="U359" s="1">
        <f>DEGREES(ASIN(MAX(-1,MIN(1,2 * (Octane[[#This Row],[quart_W]]*Octane[[#This Row],[quart_Y]] - Octane[[#This Row],[quart_Z]]*Octane[[#This Row],[quart_X]])))))</f>
        <v>0.54983260127190792</v>
      </c>
      <c r="V35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46.354402470303718</v>
      </c>
      <c r="W35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89.998560434206766</v>
      </c>
      <c r="X359" s="1">
        <f>IF(Octane[[#This Row],[Yaw]]&gt;V358,(360-ABS(Octane[[#This Row],[Yaw]])-ABS(V358)),ABS(Octane[[#This Row],[Yaw]]-V358))</f>
        <v>0.94681563942064884</v>
      </c>
      <c r="Y359" s="1">
        <f>Octane[[#This Row],[Degree change]]+Y358</f>
        <v>282.79660260876727</v>
      </c>
      <c r="Z359" s="1">
        <f>SQRT(Octane[[#This Row],[vel_X]]*Octane[[#This Row],[vel_X]]+Octane[[#This Row],[vel_Y]]*Octane[[#This Row],[vel_Y]]+Octane[[#This Row],[vel_Z]]*Octane[[#This Row],[vel_Z]])</f>
        <v>2299.9891615356023</v>
      </c>
    </row>
    <row r="360" spans="1:26">
      <c r="A360">
        <v>359</v>
      </c>
      <c r="B360" s="1">
        <v>-9.0299999999999994</v>
      </c>
      <c r="C360" s="1">
        <v>611</v>
      </c>
      <c r="D360" s="1">
        <v>17.010000000000002</v>
      </c>
      <c r="E360" s="1">
        <v>1733.6499020000001</v>
      </c>
      <c r="F360" s="1">
        <v>1511.4099120000001</v>
      </c>
      <c r="G360" s="1">
        <v>8.1199999999999992</v>
      </c>
      <c r="H360" s="1">
        <v>-2.0000000000000001E-4</v>
      </c>
      <c r="I360" s="1">
        <v>-2.0000000000000001E-4</v>
      </c>
      <c r="J360" s="1">
        <v>1.9824999999999999</v>
      </c>
      <c r="K360" s="1">
        <v>-1.81E-3</v>
      </c>
      <c r="L360" s="1">
        <v>4.4429999999999999E-3</v>
      </c>
      <c r="M360" s="1">
        <v>0.379388</v>
      </c>
      <c r="N360" s="1">
        <v>0.92522499999999996</v>
      </c>
      <c r="O360">
        <v>1</v>
      </c>
      <c r="P360">
        <v>0</v>
      </c>
      <c r="Q360">
        <v>1</v>
      </c>
      <c r="R360">
        <v>1</v>
      </c>
      <c r="S360">
        <v>1</v>
      </c>
      <c r="T360" s="1">
        <f>SQRT(POWER(Octane[[#This Row],[angvel_X]],2) + POWER(Octane[[#This Row],[angvel_Y]],2) + POWER(Octane[[#This Row],[angvel_Z]],2))</f>
        <v>1.9825000201765446</v>
      </c>
      <c r="U360" s="1">
        <f>DEGREES(ASIN(MAX(-1,MIN(1,2 * (Octane[[#This Row],[quart_W]]*Octane[[#This Row],[quart_Y]] - Octane[[#This Row],[quart_Z]]*Octane[[#This Row],[quart_X]])))))</f>
        <v>0.54975765333751647</v>
      </c>
      <c r="V36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45.407902140304152</v>
      </c>
      <c r="W36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89.998743602252176</v>
      </c>
      <c r="X360" s="1">
        <f>IF(Octane[[#This Row],[Yaw]]&gt;V359,(360-ABS(Octane[[#This Row],[Yaw]])-ABS(V359)),ABS(Octane[[#This Row],[Yaw]]-V359))</f>
        <v>0.94650032999956579</v>
      </c>
      <c r="Y360" s="1">
        <f>Octane[[#This Row],[Degree change]]+Y359</f>
        <v>283.74310293876681</v>
      </c>
      <c r="Z360" s="1">
        <f>SQRT(Octane[[#This Row],[vel_X]]*Octane[[#This Row],[vel_X]]+Octane[[#This Row],[vel_Y]]*Octane[[#This Row],[vel_Y]]+Octane[[#This Row],[vel_Z]]*Octane[[#This Row],[vel_Z]])</f>
        <v>2299.9930085103429</v>
      </c>
    </row>
    <row r="361" spans="1:26">
      <c r="A361">
        <v>360</v>
      </c>
      <c r="B361" s="1">
        <v>5.47</v>
      </c>
      <c r="C361" s="1">
        <v>623.64001499999995</v>
      </c>
      <c r="D361" s="1">
        <v>17.010000000000002</v>
      </c>
      <c r="E361" s="1">
        <v>1708.4399410000001</v>
      </c>
      <c r="F361" s="1">
        <v>1539.839966</v>
      </c>
      <c r="G361" s="1">
        <v>8.1199999999999992</v>
      </c>
      <c r="H361" s="1">
        <v>-2.0000000000000001E-4</v>
      </c>
      <c r="I361" s="1">
        <v>-2.0000000000000001E-4</v>
      </c>
      <c r="J361" s="1">
        <v>1.9824999999999999</v>
      </c>
      <c r="K361" s="1">
        <v>-1.848E-3</v>
      </c>
      <c r="L361" s="1">
        <v>4.4260000000000002E-3</v>
      </c>
      <c r="M361" s="1">
        <v>0.38701600000000003</v>
      </c>
      <c r="N361" s="1">
        <v>0.92205999999999999</v>
      </c>
      <c r="O361">
        <v>1</v>
      </c>
      <c r="P361">
        <v>0</v>
      </c>
      <c r="Q361">
        <v>1</v>
      </c>
      <c r="R361">
        <v>1</v>
      </c>
      <c r="S361">
        <v>1</v>
      </c>
      <c r="T361" s="1">
        <f>SQRT(POWER(Octane[[#This Row],[angvel_X]],2) + POWER(Octane[[#This Row],[angvel_Y]],2) + POWER(Octane[[#This Row],[angvel_Z]],2))</f>
        <v>1.9825000201765446</v>
      </c>
      <c r="U361" s="1">
        <f>DEGREES(ASIN(MAX(-1,MIN(1,2 * (Octane[[#This Row],[quart_W]]*Octane[[#This Row],[quart_Y]] - Octane[[#This Row],[quart_Z]]*Octane[[#This Row],[quart_X]])))))</f>
        <v>0.54961740663935754</v>
      </c>
      <c r="V36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44.461551815991548</v>
      </c>
      <c r="W36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89.998972532142801</v>
      </c>
      <c r="X361" s="1">
        <f>IF(Octane[[#This Row],[Yaw]]&gt;V360,(360-ABS(Octane[[#This Row],[Yaw]])-ABS(V360)),ABS(Octane[[#This Row],[Yaw]]-V360))</f>
        <v>0.94635032431260413</v>
      </c>
      <c r="Y361" s="1">
        <f>Octane[[#This Row],[Degree change]]+Y360</f>
        <v>284.68945326307943</v>
      </c>
      <c r="Z361" s="1">
        <f>SQRT(Octane[[#This Row],[vel_X]]*Octane[[#This Row],[vel_X]]+Octane[[#This Row],[vel_Y]]*Octane[[#This Row],[vel_Y]]+Octane[[#This Row],[vel_Z]]*Octane[[#This Row],[vel_Z]])</f>
        <v>2299.9869754620277</v>
      </c>
    </row>
    <row r="362" spans="1:26">
      <c r="A362">
        <v>361</v>
      </c>
      <c r="B362" s="1">
        <v>19.760000000000002</v>
      </c>
      <c r="C362" s="1">
        <v>636.51995799999997</v>
      </c>
      <c r="D362" s="1">
        <v>17.010000000000002</v>
      </c>
      <c r="E362" s="1">
        <v>1682.7700199999999</v>
      </c>
      <c r="F362" s="1">
        <v>1567.8599850000001</v>
      </c>
      <c r="G362" s="1">
        <v>8.1199999999999992</v>
      </c>
      <c r="H362" s="1">
        <v>-2.0000000000000001E-4</v>
      </c>
      <c r="I362" s="1">
        <v>-1E-4</v>
      </c>
      <c r="J362" s="1">
        <v>1.9824999999999999</v>
      </c>
      <c r="K362" s="1">
        <v>-1.885E-3</v>
      </c>
      <c r="L362" s="1">
        <v>4.4099999999999999E-3</v>
      </c>
      <c r="M362" s="1">
        <v>0.394617</v>
      </c>
      <c r="N362" s="1">
        <v>0.91883300000000001</v>
      </c>
      <c r="O362">
        <v>1</v>
      </c>
      <c r="P362">
        <v>0</v>
      </c>
      <c r="Q362">
        <v>1</v>
      </c>
      <c r="R362">
        <v>1</v>
      </c>
      <c r="S362">
        <v>1</v>
      </c>
      <c r="T362" s="1">
        <f>SQRT(POWER(Octane[[#This Row],[angvel_X]],2) + POWER(Octane[[#This Row],[angvel_Y]],2) + POWER(Octane[[#This Row],[angvel_Z]],2))</f>
        <v>1.9825000126103405</v>
      </c>
      <c r="U362" s="1">
        <f>DEGREES(ASIN(MAX(-1,MIN(1,2 * (Octane[[#This Row],[quart_W]]*Octane[[#This Row],[quart_Y]] - Octane[[#This Row],[quart_Z]]*Octane[[#This Row],[quart_X]])))))</f>
        <v>0.54957883873204794</v>
      </c>
      <c r="V36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43.515256270255165</v>
      </c>
      <c r="W36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89.999053342511232</v>
      </c>
      <c r="X362" s="1">
        <f>IF(Octane[[#This Row],[Yaw]]&gt;V361,(360-ABS(Octane[[#This Row],[Yaw]])-ABS(V361)),ABS(Octane[[#This Row],[Yaw]]-V361))</f>
        <v>0.9462955457363833</v>
      </c>
      <c r="Y362" s="1">
        <f>Octane[[#This Row],[Degree change]]+Y361</f>
        <v>285.63574880881583</v>
      </c>
      <c r="Z362" s="1">
        <f>SQRT(Octane[[#This Row],[vel_X]]*Octane[[#This Row],[vel_X]]+Octane[[#This Row],[vel_Y]]*Octane[[#This Row],[vel_Y]]+Octane[[#This Row],[vel_Z]]*Octane[[#This Row],[vel_Z]])</f>
        <v>2299.9925667651623</v>
      </c>
    </row>
    <row r="363" spans="1:26">
      <c r="A363">
        <v>362</v>
      </c>
      <c r="B363" s="1">
        <v>33.829998000000003</v>
      </c>
      <c r="C363" s="1">
        <v>649.64001499999995</v>
      </c>
      <c r="D363" s="1">
        <v>17.010000000000002</v>
      </c>
      <c r="E363" s="1">
        <v>1656.6400149999999</v>
      </c>
      <c r="F363" s="1">
        <v>1595.4399410000001</v>
      </c>
      <c r="G363" s="1">
        <v>8.1199999999999992</v>
      </c>
      <c r="H363" s="1">
        <v>-2.0000000000000001E-4</v>
      </c>
      <c r="I363" s="1">
        <v>-1E-4</v>
      </c>
      <c r="J363" s="1">
        <v>1.9824999999999999</v>
      </c>
      <c r="K363" s="1">
        <v>-1.923E-3</v>
      </c>
      <c r="L363" s="1">
        <v>4.3940000000000003E-3</v>
      </c>
      <c r="M363" s="1">
        <v>0.40219199999999999</v>
      </c>
      <c r="N363" s="1">
        <v>0.915543</v>
      </c>
      <c r="O363">
        <v>1</v>
      </c>
      <c r="P363">
        <v>0</v>
      </c>
      <c r="Q363">
        <v>1</v>
      </c>
      <c r="R363">
        <v>1</v>
      </c>
      <c r="S363">
        <v>1</v>
      </c>
      <c r="T363" s="1">
        <f>SQRT(POWER(Octane[[#This Row],[angvel_X]],2) + POWER(Octane[[#This Row],[angvel_Y]],2) + POWER(Octane[[#This Row],[angvel_Z]],2))</f>
        <v>1.9825000126103405</v>
      </c>
      <c r="U363" s="1">
        <f>DEGREES(ASIN(MAX(-1,MIN(1,2 * (Octane[[#This Row],[quart_W]]*Octane[[#This Row],[quart_Y]] - Octane[[#This Row],[quart_Z]]*Octane[[#This Row],[quart_X]])))))</f>
        <v>0.54962520266180992</v>
      </c>
      <c r="V36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42.56884521276713</v>
      </c>
      <c r="W36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89.999238795244196</v>
      </c>
      <c r="X363" s="1">
        <f>IF(Octane[[#This Row],[Yaw]]&gt;V362,(360-ABS(Octane[[#This Row],[Yaw]])-ABS(V362)),ABS(Octane[[#This Row],[Yaw]]-V362))</f>
        <v>0.94641105748803511</v>
      </c>
      <c r="Y363" s="1">
        <f>Octane[[#This Row],[Degree change]]+Y362</f>
        <v>286.58215986630387</v>
      </c>
      <c r="Z363" s="1">
        <f>SQRT(Octane[[#This Row],[vel_X]]*Octane[[#This Row],[vel_X]]+Octane[[#This Row],[vel_Y]]*Octane[[#This Row],[vel_Y]]+Octane[[#This Row],[vel_Z]]*Octane[[#This Row],[vel_Z]])</f>
        <v>2299.9892780265918</v>
      </c>
    </row>
    <row r="364" spans="1:26">
      <c r="A364">
        <v>363</v>
      </c>
      <c r="B364" s="1">
        <v>47.68</v>
      </c>
      <c r="C364" s="1">
        <v>662.98999000000003</v>
      </c>
      <c r="D364" s="1">
        <v>17.010000000000002</v>
      </c>
      <c r="E364" s="1">
        <v>1630.059937</v>
      </c>
      <c r="F364" s="1">
        <v>1622.589966</v>
      </c>
      <c r="G364" s="1">
        <v>8.1199999999999992</v>
      </c>
      <c r="H364" s="1">
        <v>-1E-4</v>
      </c>
      <c r="I364" s="1">
        <v>-1E-4</v>
      </c>
      <c r="J364" s="1">
        <v>1.9824999999999999</v>
      </c>
      <c r="K364" s="1">
        <v>-1.9610000000000001E-3</v>
      </c>
      <c r="L364" s="1">
        <v>4.3779999999999999E-3</v>
      </c>
      <c r="M364" s="1">
        <v>0.40973900000000002</v>
      </c>
      <c r="N364" s="1">
        <v>0.91218999999999995</v>
      </c>
      <c r="O364">
        <v>1</v>
      </c>
      <c r="P364">
        <v>0</v>
      </c>
      <c r="Q364">
        <v>1</v>
      </c>
      <c r="R364">
        <v>1</v>
      </c>
      <c r="S364">
        <v>1</v>
      </c>
      <c r="T364" s="1">
        <f>SQRT(POWER(Octane[[#This Row],[angvel_X]],2) + POWER(Octane[[#This Row],[angvel_Y]],2) + POWER(Octane[[#This Row],[angvel_Z]],2))</f>
        <v>1.9825000050441361</v>
      </c>
      <c r="U364" s="1">
        <f>DEGREES(ASIN(MAX(-1,MIN(1,2 * (Octane[[#This Row],[quart_W]]*Octane[[#This Row],[quart_Y]] - Octane[[#This Row],[quart_Z]]*Octane[[#This Row],[quart_X]])))))</f>
        <v>0.54971170504944067</v>
      </c>
      <c r="V36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41.622530357491442</v>
      </c>
      <c r="W36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89.999423262557912</v>
      </c>
      <c r="X364" s="1">
        <f>IF(Octane[[#This Row],[Yaw]]&gt;V363,(360-ABS(Octane[[#This Row],[Yaw]])-ABS(V363)),ABS(Octane[[#This Row],[Yaw]]-V363))</f>
        <v>0.94631485527568771</v>
      </c>
      <c r="Y364" s="1">
        <f>Octane[[#This Row],[Degree change]]+Y363</f>
        <v>287.52847472157953</v>
      </c>
      <c r="Z364" s="1">
        <f>SQRT(Octane[[#This Row],[vel_X]]*Octane[[#This Row],[vel_X]]+Octane[[#This Row],[vel_Y]]*Octane[[#This Row],[vel_Y]]+Octane[[#This Row],[vel_Z]]*Octane[[#This Row],[vel_Z]])</f>
        <v>2299.9912022388967</v>
      </c>
    </row>
    <row r="365" spans="1:26">
      <c r="A365">
        <v>364</v>
      </c>
      <c r="B365" s="1">
        <v>61.309998</v>
      </c>
      <c r="C365" s="1">
        <v>676.55999799999995</v>
      </c>
      <c r="D365" s="1">
        <v>17.010000000000002</v>
      </c>
      <c r="E365" s="1">
        <v>1603.0399170000001</v>
      </c>
      <c r="F365" s="1">
        <v>1649.299927</v>
      </c>
      <c r="G365" s="1">
        <v>8.1199999999999992</v>
      </c>
      <c r="H365" s="1">
        <v>-1E-4</v>
      </c>
      <c r="I365" s="1">
        <v>0</v>
      </c>
      <c r="J365" s="1">
        <v>1.9824999999999999</v>
      </c>
      <c r="K365" s="1">
        <v>-1.9989999999999999E-3</v>
      </c>
      <c r="L365" s="1">
        <v>4.3620000000000004E-3</v>
      </c>
      <c r="M365" s="1">
        <v>0.41725899999999999</v>
      </c>
      <c r="N365" s="1">
        <v>0.908775</v>
      </c>
      <c r="O365">
        <v>1</v>
      </c>
      <c r="P365">
        <v>0</v>
      </c>
      <c r="Q365">
        <v>1</v>
      </c>
      <c r="R365">
        <v>1</v>
      </c>
      <c r="S365">
        <v>1</v>
      </c>
      <c r="T365" s="1">
        <f>SQRT(POWER(Octane[[#This Row],[angvel_X]],2) + POWER(Octane[[#This Row],[angvel_Y]],2) + POWER(Octane[[#This Row],[angvel_Z]],2))</f>
        <v>1.982500002522068</v>
      </c>
      <c r="U365" s="1">
        <f>DEGREES(ASIN(MAX(-1,MIN(1,2 * (Octane[[#This Row],[quart_W]]*Octane[[#This Row],[quart_Y]] - Octane[[#This Row],[quart_Z]]*Octane[[#This Row],[quart_X]])))))</f>
        <v>0.54983905559488822</v>
      </c>
      <c r="V36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40.676076281526825</v>
      </c>
      <c r="W36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89.999605496611196</v>
      </c>
      <c r="X365" s="1">
        <f>IF(Octane[[#This Row],[Yaw]]&gt;V364,(360-ABS(Octane[[#This Row],[Yaw]])-ABS(V364)),ABS(Octane[[#This Row],[Yaw]]-V364))</f>
        <v>0.94645407596461695</v>
      </c>
      <c r="Y365" s="1">
        <f>Octane[[#This Row],[Degree change]]+Y364</f>
        <v>288.47492879754412</v>
      </c>
      <c r="Z365" s="1">
        <f>SQRT(Octane[[#This Row],[vel_X]]*Octane[[#This Row],[vel_X]]+Octane[[#This Row],[vel_Y]]*Octane[[#This Row],[vel_Y]]+Octane[[#This Row],[vel_Z]]*Octane[[#This Row],[vel_Z]])</f>
        <v>2299.9985128468174</v>
      </c>
    </row>
    <row r="366" spans="1:26">
      <c r="A366">
        <v>365</v>
      </c>
      <c r="B366" s="1">
        <v>74.709998999999996</v>
      </c>
      <c r="C366" s="1">
        <v>690.35998500000005</v>
      </c>
      <c r="D366" s="1">
        <v>17.010000000000002</v>
      </c>
      <c r="E366" s="1">
        <v>1575.5699460000001</v>
      </c>
      <c r="F366" s="1">
        <v>1675.549927</v>
      </c>
      <c r="G366" s="1">
        <v>8.1199999999999992</v>
      </c>
      <c r="H366" s="1">
        <v>0</v>
      </c>
      <c r="I366" s="1">
        <v>0</v>
      </c>
      <c r="J366" s="1">
        <v>1.9824999999999999</v>
      </c>
      <c r="K366" s="1">
        <v>-2.0370000000000002E-3</v>
      </c>
      <c r="L366" s="1">
        <v>4.346E-3</v>
      </c>
      <c r="M366" s="1">
        <v>0.42475299999999999</v>
      </c>
      <c r="N366" s="1">
        <v>0.90529700000000002</v>
      </c>
      <c r="O366">
        <v>1</v>
      </c>
      <c r="P366">
        <v>0</v>
      </c>
      <c r="Q366">
        <v>1</v>
      </c>
      <c r="R366">
        <v>1</v>
      </c>
      <c r="S366">
        <v>1</v>
      </c>
      <c r="T366" s="1">
        <f>SQRT(POWER(Octane[[#This Row],[angvel_X]],2) + POWER(Octane[[#This Row],[angvel_Y]],2) + POWER(Octane[[#This Row],[angvel_Z]],2))</f>
        <v>1.9824999999999999</v>
      </c>
      <c r="U366" s="1">
        <f>DEGREES(ASIN(MAX(-1,MIN(1,2 * (Octane[[#This Row],[quart_W]]*Octane[[#This Row],[quart_Y]] - Octane[[#This Row],[quart_Z]]*Octane[[#This Row],[quart_X]])))))</f>
        <v>0.55000697800778797</v>
      </c>
      <c r="V36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39.729305569398406</v>
      </c>
      <c r="W36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89.999783807448026</v>
      </c>
      <c r="X366" s="1">
        <f>IF(Octane[[#This Row],[Yaw]]&gt;V365,(360-ABS(Octane[[#This Row],[Yaw]])-ABS(V365)),ABS(Octane[[#This Row],[Yaw]]-V365))</f>
        <v>0.94677071212841923</v>
      </c>
      <c r="Y366" s="1">
        <f>Octane[[#This Row],[Degree change]]+Y365</f>
        <v>289.42169950967252</v>
      </c>
      <c r="Z366" s="1">
        <f>SQRT(Octane[[#This Row],[vel_X]]*Octane[[#This Row],[vel_X]]+Octane[[#This Row],[vel_Y]]*Octane[[#This Row],[vel_Y]]+Octane[[#This Row],[vel_Z]]*Octane[[#This Row],[vel_Z]])</f>
        <v>2299.9900319366925</v>
      </c>
    </row>
    <row r="367" spans="1:26">
      <c r="A367">
        <v>366</v>
      </c>
      <c r="B367" s="1">
        <v>87.879997000000003</v>
      </c>
      <c r="C367" s="1">
        <v>704.38000499999998</v>
      </c>
      <c r="D367" s="1">
        <v>17.010000000000002</v>
      </c>
      <c r="E367" s="1">
        <v>1547.679932</v>
      </c>
      <c r="F367" s="1">
        <v>1701.349976</v>
      </c>
      <c r="G367" s="1">
        <v>8.1199999999999992</v>
      </c>
      <c r="H367" s="1">
        <v>0</v>
      </c>
      <c r="I367" s="1">
        <v>0</v>
      </c>
      <c r="J367" s="1">
        <v>1.9824999999999999</v>
      </c>
      <c r="K367" s="1">
        <v>-2.0739999999999999E-3</v>
      </c>
      <c r="L367" s="1">
        <v>4.3290000000000004E-3</v>
      </c>
      <c r="M367" s="1">
        <v>0.43221399999999999</v>
      </c>
      <c r="N367" s="1">
        <v>0.90175799999999995</v>
      </c>
      <c r="O367">
        <v>1</v>
      </c>
      <c r="P367">
        <v>0</v>
      </c>
      <c r="Q367">
        <v>1</v>
      </c>
      <c r="R367">
        <v>1</v>
      </c>
      <c r="S367">
        <v>1</v>
      </c>
      <c r="T367" s="1">
        <f>SQRT(POWER(Octane[[#This Row],[angvel_X]],2) + POWER(Octane[[#This Row],[angvel_Y]],2) + POWER(Octane[[#This Row],[angvel_Z]],2))</f>
        <v>1.9824999999999999</v>
      </c>
      <c r="U367" s="1">
        <f>DEGREES(ASIN(MAX(-1,MIN(1,2 * (Octane[[#This Row],[quart_W]]*Octane[[#This Row],[quart_Y]] - Octane[[#This Row],[quart_Z]]*Octane[[#This Row],[quart_X]])))))</f>
        <v>0.55006193807903347</v>
      </c>
      <c r="V36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38.78307900604279</v>
      </c>
      <c r="W36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89.999907369769844</v>
      </c>
      <c r="X367" s="1">
        <f>IF(Octane[[#This Row],[Yaw]]&gt;V366,(360-ABS(Octane[[#This Row],[Yaw]])-ABS(V366)),ABS(Octane[[#This Row],[Yaw]]-V366))</f>
        <v>0.94622656335561572</v>
      </c>
      <c r="Y367" s="1">
        <f>Octane[[#This Row],[Degree change]]+Y366</f>
        <v>290.36792607302812</v>
      </c>
      <c r="Z367" s="1">
        <f>SQRT(Octane[[#This Row],[vel_X]]*Octane[[#This Row],[vel_X]]+Octane[[#This Row],[vel_Y]]*Octane[[#This Row],[vel_Y]]+Octane[[#This Row],[vel_Z]]*Octane[[#This Row],[vel_Z]])</f>
        <v>2299.9936624153388</v>
      </c>
    </row>
    <row r="368" spans="1:26">
      <c r="A368">
        <v>367</v>
      </c>
      <c r="B368" s="1">
        <v>100.82</v>
      </c>
      <c r="C368" s="1">
        <v>718.60998500000005</v>
      </c>
      <c r="D368" s="1">
        <v>17.010000000000002</v>
      </c>
      <c r="E368" s="1">
        <v>1519.3599850000001</v>
      </c>
      <c r="F368" s="1">
        <v>1726.679932</v>
      </c>
      <c r="G368" s="1">
        <v>8.1199999999999992</v>
      </c>
      <c r="H368" s="1">
        <v>0</v>
      </c>
      <c r="I368" s="1">
        <v>0</v>
      </c>
      <c r="J368" s="1">
        <v>1.9824999999999999</v>
      </c>
      <c r="K368" s="1">
        <v>-2.1120000000000002E-3</v>
      </c>
      <c r="L368" s="1">
        <v>4.313E-3</v>
      </c>
      <c r="M368" s="1">
        <v>0.43964799999999998</v>
      </c>
      <c r="N368" s="1">
        <v>0.89815699999999998</v>
      </c>
      <c r="O368">
        <v>1</v>
      </c>
      <c r="P368">
        <v>0</v>
      </c>
      <c r="Q368">
        <v>1</v>
      </c>
      <c r="R368">
        <v>1</v>
      </c>
      <c r="S368">
        <v>1</v>
      </c>
      <c r="T368" s="1">
        <f>SQRT(POWER(Octane[[#This Row],[angvel_X]],2) + POWER(Octane[[#This Row],[angvel_Y]],2) + POWER(Octane[[#This Row],[angvel_Z]],2))</f>
        <v>1.9824999999999999</v>
      </c>
      <c r="U368" s="1">
        <f>DEGREES(ASIN(MAX(-1,MIN(1,2 * (Octane[[#This Row],[quart_W]]*Octane[[#This Row],[quart_Y]] - Octane[[#This Row],[quart_Z]]*Octane[[#This Row],[quart_X]])))))</f>
        <v>0.55031009742670167</v>
      </c>
      <c r="V36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37.836514868702032</v>
      </c>
      <c r="W36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90.000080877869181</v>
      </c>
      <c r="X368" s="1">
        <f>IF(Octane[[#This Row],[Yaw]]&gt;V367,(360-ABS(Octane[[#This Row],[Yaw]])-ABS(V367)),ABS(Octane[[#This Row],[Yaw]]-V367))</f>
        <v>0.94656413734075784</v>
      </c>
      <c r="Y368" s="1">
        <f>Octane[[#This Row],[Degree change]]+Y367</f>
        <v>291.31449021036889</v>
      </c>
      <c r="Z368" s="1">
        <f>SQRT(Octane[[#This Row],[vel_X]]*Octane[[#This Row],[vel_X]]+Octane[[#This Row],[vel_Y]]*Octane[[#This Row],[vel_Y]]+Octane[[#This Row],[vel_Z]]*Octane[[#This Row],[vel_Z]])</f>
        <v>2299.9878882269627</v>
      </c>
    </row>
    <row r="369" spans="1:26">
      <c r="A369">
        <v>368</v>
      </c>
      <c r="B369" s="1">
        <v>113.519997</v>
      </c>
      <c r="C369" s="1">
        <v>733.04998799999998</v>
      </c>
      <c r="D369" s="1">
        <v>17.010000000000002</v>
      </c>
      <c r="E369" s="1">
        <v>1490.630005</v>
      </c>
      <c r="F369" s="1">
        <v>1751.549927</v>
      </c>
      <c r="G369" s="1">
        <v>8.1199999999999992</v>
      </c>
      <c r="H369" s="1">
        <v>0</v>
      </c>
      <c r="I369" s="1">
        <v>0</v>
      </c>
      <c r="J369" s="1">
        <v>1.9824999999999999</v>
      </c>
      <c r="K369" s="1">
        <v>-2.15E-3</v>
      </c>
      <c r="L369" s="1">
        <v>4.2969999999999996E-3</v>
      </c>
      <c r="M369" s="1">
        <v>0.44705</v>
      </c>
      <c r="N369" s="1">
        <v>0.89449599999999996</v>
      </c>
      <c r="O369">
        <v>1</v>
      </c>
      <c r="P369">
        <v>0</v>
      </c>
      <c r="Q369">
        <v>1</v>
      </c>
      <c r="R369">
        <v>1</v>
      </c>
      <c r="S369">
        <v>1</v>
      </c>
      <c r="T369" s="1">
        <f>SQRT(POWER(Octane[[#This Row],[angvel_X]],2) + POWER(Octane[[#This Row],[angvel_Y]],2) + POWER(Octane[[#This Row],[angvel_Z]],2))</f>
        <v>1.9824999999999999</v>
      </c>
      <c r="U369" s="1">
        <f>DEGREES(ASIN(MAX(-1,MIN(1,2 * (Octane[[#This Row],[quart_W]]*Octane[[#This Row],[quart_Y]] - Octane[[#This Row],[quart_Z]]*Octane[[#This Row],[quart_X]])))))</f>
        <v>0.55059877777245336</v>
      </c>
      <c r="V36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36.890198213712651</v>
      </c>
      <c r="W36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90.00025125932423</v>
      </c>
      <c r="X369" s="1">
        <f>IF(Octane[[#This Row],[Yaw]]&gt;V368,(360-ABS(Octane[[#This Row],[Yaw]])-ABS(V368)),ABS(Octane[[#This Row],[Yaw]]-V368))</f>
        <v>0.94631665498938133</v>
      </c>
      <c r="Y369" s="1">
        <f>Octane[[#This Row],[Degree change]]+Y368</f>
        <v>292.26080686535829</v>
      </c>
      <c r="Z369" s="1">
        <f>SQRT(Octane[[#This Row],[vel_X]]*Octane[[#This Row],[vel_X]]+Octane[[#This Row],[vel_Y]]*Octane[[#This Row],[vel_Y]]+Octane[[#This Row],[vel_Z]]*Octane[[#This Row],[vel_Z]])</f>
        <v>2299.9936723782535</v>
      </c>
    </row>
    <row r="370" spans="1:26">
      <c r="A370">
        <v>369</v>
      </c>
      <c r="B370" s="1">
        <v>125.979996</v>
      </c>
      <c r="C370" s="1">
        <v>747.70001200000002</v>
      </c>
      <c r="D370" s="1">
        <v>17.010000000000002</v>
      </c>
      <c r="E370" s="1">
        <v>1461.48999</v>
      </c>
      <c r="F370" s="1">
        <v>1775.929932</v>
      </c>
      <c r="G370" s="1">
        <v>8.1199999999999992</v>
      </c>
      <c r="H370" s="1">
        <v>0</v>
      </c>
      <c r="I370" s="1">
        <v>0</v>
      </c>
      <c r="J370" s="1">
        <v>1.9824999999999999</v>
      </c>
      <c r="K370" s="1">
        <v>-2.1879999999999998E-3</v>
      </c>
      <c r="L370" s="1">
        <v>4.2810000000000001E-3</v>
      </c>
      <c r="M370" s="1">
        <v>0.45442399999999999</v>
      </c>
      <c r="N370" s="1">
        <v>0.89077200000000001</v>
      </c>
      <c r="O370">
        <v>1</v>
      </c>
      <c r="P370">
        <v>0</v>
      </c>
      <c r="Q370">
        <v>1</v>
      </c>
      <c r="R370">
        <v>1</v>
      </c>
      <c r="S370">
        <v>1</v>
      </c>
      <c r="T370" s="1">
        <f>SQRT(POWER(Octane[[#This Row],[angvel_X]],2) + POWER(Octane[[#This Row],[angvel_Y]],2) + POWER(Octane[[#This Row],[angvel_Z]],2))</f>
        <v>1.9824999999999999</v>
      </c>
      <c r="U370" s="1">
        <f>DEGREES(ASIN(MAX(-1,MIN(1,2 * (Octane[[#This Row],[quart_W]]*Octane[[#This Row],[quart_Y]] - Octane[[#This Row],[quart_Z]]*Octane[[#This Row],[quart_X]])))))</f>
        <v>0.55092742229605385</v>
      </c>
      <c r="V37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35.943583817140677</v>
      </c>
      <c r="W37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90.000414839704391</v>
      </c>
      <c r="X370" s="1">
        <f>IF(Octane[[#This Row],[Yaw]]&gt;V369,(360-ABS(Octane[[#This Row],[Yaw]])-ABS(V369)),ABS(Octane[[#This Row],[Yaw]]-V369))</f>
        <v>0.94661439657197377</v>
      </c>
      <c r="Y370" s="1">
        <f>Octane[[#This Row],[Degree change]]+Y369</f>
        <v>293.20742126193028</v>
      </c>
      <c r="Z370" s="1">
        <f>SQRT(Octane[[#This Row],[vel_X]]*Octane[[#This Row],[vel_X]]+Octane[[#This Row],[vel_Y]]*Octane[[#This Row],[vel_Y]]+Octane[[#This Row],[vel_Z]]*Octane[[#This Row],[vel_Z]])</f>
        <v>2299.9882714143837</v>
      </c>
    </row>
    <row r="371" spans="1:26">
      <c r="A371">
        <v>370</v>
      </c>
      <c r="B371" s="1">
        <v>138.199997</v>
      </c>
      <c r="C371" s="1">
        <v>762.55999799999995</v>
      </c>
      <c r="D371" s="1">
        <v>17.010000000000002</v>
      </c>
      <c r="E371" s="1">
        <v>1431.959961</v>
      </c>
      <c r="F371" s="1">
        <v>1799.829956</v>
      </c>
      <c r="G371" s="1">
        <v>8.1199999999999992</v>
      </c>
      <c r="H371" s="1">
        <v>0</v>
      </c>
      <c r="I371" s="1">
        <v>0</v>
      </c>
      <c r="J371" s="1">
        <v>1.9824999999999999</v>
      </c>
      <c r="K371" s="1">
        <v>-2.225E-3</v>
      </c>
      <c r="L371" s="1">
        <v>4.2649999999999997E-3</v>
      </c>
      <c r="M371" s="1">
        <v>0.46176699999999998</v>
      </c>
      <c r="N371" s="1">
        <v>0.886988</v>
      </c>
      <c r="O371">
        <v>1</v>
      </c>
      <c r="P371">
        <v>0</v>
      </c>
      <c r="Q371">
        <v>1</v>
      </c>
      <c r="R371">
        <v>1</v>
      </c>
      <c r="S371">
        <v>1</v>
      </c>
      <c r="T371" s="1">
        <f>SQRT(POWER(Octane[[#This Row],[angvel_X]],2) + POWER(Octane[[#This Row],[angvel_Y]],2) + POWER(Octane[[#This Row],[angvel_Z]],2))</f>
        <v>1.9824999999999999</v>
      </c>
      <c r="U371" s="1">
        <f>DEGREES(ASIN(MAX(-1,MIN(1,2 * (Octane[[#This Row],[quart_W]]*Octane[[#This Row],[quart_Y]] - Octane[[#This Row],[quart_Z]]*Octane[[#This Row],[quart_X]])))))</f>
        <v>0.55124379569110704</v>
      </c>
      <c r="V37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34.996943224584641</v>
      </c>
      <c r="W37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90.000471227456529</v>
      </c>
      <c r="X371" s="1">
        <f>IF(Octane[[#This Row],[Yaw]]&gt;V370,(360-ABS(Octane[[#This Row],[Yaw]])-ABS(V370)),ABS(Octane[[#This Row],[Yaw]]-V370))</f>
        <v>0.94664059255603661</v>
      </c>
      <c r="Y371" s="1">
        <f>Octane[[#This Row],[Degree change]]+Y370</f>
        <v>294.15406185448632</v>
      </c>
      <c r="Z371" s="1">
        <f>SQRT(Octane[[#This Row],[vel_X]]*Octane[[#This Row],[vel_X]]+Octane[[#This Row],[vel_Y]]*Octane[[#This Row],[vel_Y]]+Octane[[#This Row],[vel_Z]]*Octane[[#This Row],[vel_Z]])</f>
        <v>2299.9919858169255</v>
      </c>
    </row>
    <row r="372" spans="1:26">
      <c r="A372">
        <v>371</v>
      </c>
      <c r="B372" s="1">
        <v>150.16999799999999</v>
      </c>
      <c r="C372" s="1">
        <v>777.61999500000002</v>
      </c>
      <c r="D372" s="1">
        <v>17.010000000000002</v>
      </c>
      <c r="E372" s="1">
        <v>1402.030029</v>
      </c>
      <c r="F372" s="1">
        <v>1823.23999</v>
      </c>
      <c r="G372" s="1">
        <v>8.1199999999999992</v>
      </c>
      <c r="H372" s="1">
        <v>1E-4</v>
      </c>
      <c r="I372" s="1">
        <v>0</v>
      </c>
      <c r="J372" s="1">
        <v>1.9824999999999999</v>
      </c>
      <c r="K372" s="1">
        <v>-2.2629999999999998E-3</v>
      </c>
      <c r="L372" s="1">
        <v>4.248E-3</v>
      </c>
      <c r="M372" s="1">
        <v>0.46907700000000002</v>
      </c>
      <c r="N372" s="1">
        <v>0.88314400000000004</v>
      </c>
      <c r="O372">
        <v>1</v>
      </c>
      <c r="P372">
        <v>0</v>
      </c>
      <c r="Q372">
        <v>1</v>
      </c>
      <c r="R372">
        <v>1</v>
      </c>
      <c r="S372">
        <v>1</v>
      </c>
      <c r="T372" s="1">
        <f>SQRT(POWER(Octane[[#This Row],[angvel_X]],2) + POWER(Octane[[#This Row],[angvel_Y]],2) + POWER(Octane[[#This Row],[angvel_Z]],2))</f>
        <v>1.982500002522068</v>
      </c>
      <c r="U372" s="1">
        <f>DEGREES(ASIN(MAX(-1,MIN(1,2 * (Octane[[#This Row],[quart_W]]*Octane[[#This Row],[quart_Y]] - Octane[[#This Row],[quart_Z]]*Octane[[#This Row],[quart_X]])))))</f>
        <v>0.55155109497910926</v>
      </c>
      <c r="V37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34.05050440789487</v>
      </c>
      <c r="W37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90.000677929405398</v>
      </c>
      <c r="X372" s="1">
        <f>IF(Octane[[#This Row],[Yaw]]&gt;V371,(360-ABS(Octane[[#This Row],[Yaw]])-ABS(V371)),ABS(Octane[[#This Row],[Yaw]]-V371))</f>
        <v>0.94643881668977059</v>
      </c>
      <c r="Y372" s="1">
        <f>Octane[[#This Row],[Degree change]]+Y371</f>
        <v>295.10050067117606</v>
      </c>
      <c r="Z372" s="1">
        <f>SQRT(Octane[[#This Row],[vel_X]]*Octane[[#This Row],[vel_X]]+Octane[[#This Row],[vel_Y]]*Octane[[#This Row],[vel_Y]]+Octane[[#This Row],[vel_Z]]*Octane[[#This Row],[vel_Z]])</f>
        <v>2299.9909125370345</v>
      </c>
    </row>
    <row r="373" spans="1:26">
      <c r="A373">
        <v>372</v>
      </c>
      <c r="B373" s="1">
        <v>161.88999899999999</v>
      </c>
      <c r="C373" s="1">
        <v>792.86999500000002</v>
      </c>
      <c r="D373" s="1">
        <v>17.010000000000002</v>
      </c>
      <c r="E373" s="1">
        <v>1371.719971</v>
      </c>
      <c r="F373" s="1">
        <v>1846.1499020000001</v>
      </c>
      <c r="G373" s="1">
        <v>8.1199999999999992</v>
      </c>
      <c r="H373" s="1">
        <v>2.0000000000000001E-4</v>
      </c>
      <c r="I373" s="1">
        <v>0</v>
      </c>
      <c r="J373" s="1">
        <v>1.9824999999999999</v>
      </c>
      <c r="K373" s="1">
        <v>-2.2950000000000002E-3</v>
      </c>
      <c r="L373" s="1">
        <v>4.2269999999999999E-3</v>
      </c>
      <c r="M373" s="1">
        <v>0.476354</v>
      </c>
      <c r="N373" s="1">
        <v>0.87924000000000002</v>
      </c>
      <c r="O373">
        <v>1</v>
      </c>
      <c r="P373">
        <v>0</v>
      </c>
      <c r="Q373">
        <v>1</v>
      </c>
      <c r="R373">
        <v>1</v>
      </c>
      <c r="S373">
        <v>1</v>
      </c>
      <c r="T373" s="1">
        <f>SQRT(POWER(Octane[[#This Row],[angvel_X]],2) + POWER(Octane[[#This Row],[angvel_Y]],2) + POWER(Octane[[#This Row],[angvel_Z]],2))</f>
        <v>1.9825000100882724</v>
      </c>
      <c r="U373" s="1">
        <f>DEGREES(ASIN(MAX(-1,MIN(1,2 * (Octane[[#This Row],[quart_W]]*Octane[[#This Row],[quart_Y]] - Octane[[#This Row],[quart_Z]]*Octane[[#This Row],[quart_X]])))))</f>
        <v>0.55116867916699608</v>
      </c>
      <c r="V37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33.104206037787002</v>
      </c>
      <c r="W37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90.000493619333497</v>
      </c>
      <c r="X373" s="1">
        <f>IF(Octane[[#This Row],[Yaw]]&gt;V372,(360-ABS(Octane[[#This Row],[Yaw]])-ABS(V372)),ABS(Octane[[#This Row],[Yaw]]-V372))</f>
        <v>0.94629837010786844</v>
      </c>
      <c r="Y373" s="1">
        <f>Octane[[#This Row],[Degree change]]+Y372</f>
        <v>296.04679904128392</v>
      </c>
      <c r="Z373" s="1">
        <f>SQRT(Octane[[#This Row],[vel_X]]*Octane[[#This Row],[vel_X]]+Octane[[#This Row],[vel_Y]]*Octane[[#This Row],[vel_Y]]+Octane[[#This Row],[vel_Z]]*Octane[[#This Row],[vel_Z]])</f>
        <v>2299.9893638655917</v>
      </c>
    </row>
    <row r="374" spans="1:26">
      <c r="A374">
        <v>373</v>
      </c>
      <c r="B374" s="1">
        <v>173.36000100000001</v>
      </c>
      <c r="C374" s="1">
        <v>808.30999799999995</v>
      </c>
      <c r="D374" s="1">
        <v>17.010000000000002</v>
      </c>
      <c r="E374" s="1">
        <v>1341.0399170000001</v>
      </c>
      <c r="F374" s="1">
        <v>1868.559937</v>
      </c>
      <c r="G374" s="1">
        <v>8.1199999999999992</v>
      </c>
      <c r="H374" s="1">
        <v>2.0000000000000001E-4</v>
      </c>
      <c r="I374" s="1">
        <v>0</v>
      </c>
      <c r="J374" s="1">
        <v>1.9824999999999999</v>
      </c>
      <c r="K374" s="1">
        <v>-2.3280000000000002E-3</v>
      </c>
      <c r="L374" s="1">
        <v>4.2050000000000004E-3</v>
      </c>
      <c r="M374" s="1">
        <v>0.483599</v>
      </c>
      <c r="N374" s="1">
        <v>0.87527600000000005</v>
      </c>
      <c r="O374">
        <v>1</v>
      </c>
      <c r="P374">
        <v>0</v>
      </c>
      <c r="Q374">
        <v>1</v>
      </c>
      <c r="R374">
        <v>1</v>
      </c>
      <c r="S374">
        <v>1</v>
      </c>
      <c r="T374" s="1">
        <f>SQRT(POWER(Octane[[#This Row],[angvel_X]],2) + POWER(Octane[[#This Row],[angvel_Y]],2) + POWER(Octane[[#This Row],[angvel_Z]],2))</f>
        <v>1.9825000100882724</v>
      </c>
      <c r="U374" s="1">
        <f>DEGREES(ASIN(MAX(-1,MIN(1,2 * (Octane[[#This Row],[quart_W]]*Octane[[#This Row],[quart_Y]] - Octane[[#This Row],[quart_Z]]*Octane[[#This Row],[quart_X]])))))</f>
        <v>0.55077608660582988</v>
      </c>
      <c r="V37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32.157838090325924</v>
      </c>
      <c r="W37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90.000470847874766</v>
      </c>
      <c r="X374" s="1">
        <f>IF(Octane[[#This Row],[Yaw]]&gt;V373,(360-ABS(Octane[[#This Row],[Yaw]])-ABS(V373)),ABS(Octane[[#This Row],[Yaw]]-V373))</f>
        <v>0.94636794746107711</v>
      </c>
      <c r="Y374" s="1">
        <f>Octane[[#This Row],[Degree change]]+Y373</f>
        <v>296.99316698874497</v>
      </c>
      <c r="Z374" s="1">
        <f>SQRT(Octane[[#This Row],[vel_X]]*Octane[[#This Row],[vel_X]]+Octane[[#This Row],[vel_Y]]*Octane[[#This Row],[vel_Y]]+Octane[[#This Row],[vel_Z]]*Octane[[#This Row],[vel_Z]])</f>
        <v>2299.9935285884635</v>
      </c>
    </row>
    <row r="375" spans="1:26">
      <c r="A375">
        <v>374</v>
      </c>
      <c r="B375" s="1">
        <v>184.56999200000001</v>
      </c>
      <c r="C375" s="1">
        <v>823.94000200000005</v>
      </c>
      <c r="D375" s="1">
        <v>17.010000000000002</v>
      </c>
      <c r="E375" s="1">
        <v>1309.98999</v>
      </c>
      <c r="F375" s="1">
        <v>1890.459961</v>
      </c>
      <c r="G375" s="1">
        <v>8.1199999999999992</v>
      </c>
      <c r="H375" s="1">
        <v>2.0000000000000001E-4</v>
      </c>
      <c r="I375" s="1">
        <v>0</v>
      </c>
      <c r="J375" s="1">
        <v>1.9824999999999999</v>
      </c>
      <c r="K375" s="1">
        <v>-2.3600000000000001E-3</v>
      </c>
      <c r="L375" s="1">
        <v>4.1840000000000002E-3</v>
      </c>
      <c r="M375" s="1">
        <v>0.49081200000000003</v>
      </c>
      <c r="N375" s="1">
        <v>0.87125200000000003</v>
      </c>
      <c r="O375">
        <v>1</v>
      </c>
      <c r="P375">
        <v>0</v>
      </c>
      <c r="Q375">
        <v>1</v>
      </c>
      <c r="R375">
        <v>1</v>
      </c>
      <c r="S375">
        <v>1</v>
      </c>
      <c r="T375" s="1">
        <f>SQRT(POWER(Octane[[#This Row],[angvel_X]],2) + POWER(Octane[[#This Row],[angvel_Y]],2) + POWER(Octane[[#This Row],[angvel_Z]],2))</f>
        <v>1.9825000100882724</v>
      </c>
      <c r="U375" s="1">
        <f>DEGREES(ASIN(MAX(-1,MIN(1,2 * (Octane[[#This Row],[quart_W]]*Octane[[#This Row],[quart_Y]] - Octane[[#This Row],[quart_Z]]*Octane[[#This Row],[quart_X]])))))</f>
        <v>0.55046445605534344</v>
      </c>
      <c r="V37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31.211332355073136</v>
      </c>
      <c r="W37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90.00029764376788</v>
      </c>
      <c r="X375" s="1">
        <f>IF(Octane[[#This Row],[Yaw]]&gt;V374,(360-ABS(Octane[[#This Row],[Yaw]])-ABS(V374)),ABS(Octane[[#This Row],[Yaw]]-V374))</f>
        <v>0.94650573525278858</v>
      </c>
      <c r="Y375" s="1">
        <f>Octane[[#This Row],[Degree change]]+Y374</f>
        <v>297.93967272399777</v>
      </c>
      <c r="Z375" s="1">
        <f>SQRT(Octane[[#This Row],[vel_X]]*Octane[[#This Row],[vel_X]]+Octane[[#This Row],[vel_Y]]*Octane[[#This Row],[vel_Y]]+Octane[[#This Row],[vel_Z]]*Octane[[#This Row],[vel_Z]])</f>
        <v>2299.9953418310051</v>
      </c>
    </row>
    <row r="376" spans="1:26">
      <c r="A376">
        <v>375</v>
      </c>
      <c r="B376" s="1">
        <v>195.51998900000001</v>
      </c>
      <c r="C376" s="1">
        <v>839.75</v>
      </c>
      <c r="D376" s="1">
        <v>17.010000000000002</v>
      </c>
      <c r="E376" s="1">
        <v>1278.579956</v>
      </c>
      <c r="F376" s="1">
        <v>1911.839966</v>
      </c>
      <c r="G376" s="1">
        <v>8.1199999999999992</v>
      </c>
      <c r="H376" s="1">
        <v>1E-4</v>
      </c>
      <c r="I376" s="1">
        <v>0</v>
      </c>
      <c r="J376" s="1">
        <v>1.9824999999999999</v>
      </c>
      <c r="K376" s="1">
        <v>-2.3930000000000002E-3</v>
      </c>
      <c r="L376" s="1">
        <v>4.1619999999999999E-3</v>
      </c>
      <c r="M376" s="1">
        <v>0.49799300000000002</v>
      </c>
      <c r="N376" s="1">
        <v>0.86716800000000005</v>
      </c>
      <c r="O376">
        <v>1</v>
      </c>
      <c r="P376">
        <v>0</v>
      </c>
      <c r="Q376">
        <v>1</v>
      </c>
      <c r="R376">
        <v>1</v>
      </c>
      <c r="S376">
        <v>1</v>
      </c>
      <c r="T376" s="1">
        <f>SQRT(POWER(Octane[[#This Row],[angvel_X]],2) + POWER(Octane[[#This Row],[angvel_Y]],2) + POWER(Octane[[#This Row],[angvel_Z]],2))</f>
        <v>1.982500002522068</v>
      </c>
      <c r="U376" s="1">
        <f>DEGREES(ASIN(MAX(-1,MIN(1,2 * (Octane[[#This Row],[quart_W]]*Octane[[#This Row],[quart_Y]] - Octane[[#This Row],[quart_Z]]*Octane[[#This Row],[quart_X]])))))</f>
        <v>0.55014539288458497</v>
      </c>
      <c r="V37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30.264622980096114</v>
      </c>
      <c r="W37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90.000284905854613</v>
      </c>
      <c r="X376" s="1">
        <f>IF(Octane[[#This Row],[Yaw]]&gt;V375,(360-ABS(Octane[[#This Row],[Yaw]])-ABS(V375)),ABS(Octane[[#This Row],[Yaw]]-V375))</f>
        <v>0.94670937497702212</v>
      </c>
      <c r="Y376" s="1">
        <f>Octane[[#This Row],[Degree change]]+Y375</f>
        <v>298.88638209897482</v>
      </c>
      <c r="Z376" s="1">
        <f>SQRT(Octane[[#This Row],[vel_X]]*Octane[[#This Row],[vel_X]]+Octane[[#This Row],[vel_Y]]*Octane[[#This Row],[vel_Y]]+Octane[[#This Row],[vel_Z]]*Octane[[#This Row],[vel_Z]])</f>
        <v>2299.9923247436809</v>
      </c>
    </row>
    <row r="377" spans="1:26">
      <c r="A377">
        <v>376</v>
      </c>
      <c r="B377" s="1">
        <v>206.209991</v>
      </c>
      <c r="C377" s="1">
        <v>855.73999000000003</v>
      </c>
      <c r="D377" s="1">
        <v>17.010000000000002</v>
      </c>
      <c r="E377" s="1">
        <v>1246.829956</v>
      </c>
      <c r="F377" s="1">
        <v>1932.6999510000001</v>
      </c>
      <c r="G377" s="1">
        <v>8.1199999999999992</v>
      </c>
      <c r="H377" s="1">
        <v>0</v>
      </c>
      <c r="I377" s="1">
        <v>0</v>
      </c>
      <c r="J377" s="1">
        <v>1.9824999999999999</v>
      </c>
      <c r="K377" s="1">
        <v>-2.4250000000000001E-3</v>
      </c>
      <c r="L377" s="1">
        <v>4.1409999999999997E-3</v>
      </c>
      <c r="M377" s="1">
        <v>0.50514099999999995</v>
      </c>
      <c r="N377" s="1">
        <v>0.86302299999999998</v>
      </c>
      <c r="O377">
        <v>1</v>
      </c>
      <c r="P377">
        <v>0</v>
      </c>
      <c r="Q377">
        <v>1</v>
      </c>
      <c r="R377">
        <v>1</v>
      </c>
      <c r="S377">
        <v>1</v>
      </c>
      <c r="T377" s="1">
        <f>SQRT(POWER(Octane[[#This Row],[angvel_X]],2) + POWER(Octane[[#This Row],[angvel_Y]],2) + POWER(Octane[[#This Row],[angvel_Z]],2))</f>
        <v>1.9824999999999999</v>
      </c>
      <c r="U377" s="1">
        <f>DEGREES(ASIN(MAX(-1,MIN(1,2 * (Octane[[#This Row],[quart_W]]*Octane[[#This Row],[quart_Y]] - Octane[[#This Row],[quart_Z]]*Octane[[#This Row],[quart_X]])))))</f>
        <v>0.54990413250254366</v>
      </c>
      <c r="V37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29.317816721431548</v>
      </c>
      <c r="W37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90.000119397756905</v>
      </c>
      <c r="X377" s="1">
        <f>IF(Octane[[#This Row],[Yaw]]&gt;V376,(360-ABS(Octane[[#This Row],[Yaw]])-ABS(V376)),ABS(Octane[[#This Row],[Yaw]]-V376))</f>
        <v>0.9468062586645658</v>
      </c>
      <c r="Y377" s="1">
        <f>Octane[[#This Row],[Degree change]]+Y376</f>
        <v>299.83318835763941</v>
      </c>
      <c r="Z377" s="1">
        <f>SQRT(Octane[[#This Row],[vel_X]]*Octane[[#This Row],[vel_X]]+Octane[[#This Row],[vel_Y]]*Octane[[#This Row],[vel_Y]]+Octane[[#This Row],[vel_Z]]*Octane[[#This Row],[vel_Z]])</f>
        <v>2299.9956465555242</v>
      </c>
    </row>
    <row r="378" spans="1:26">
      <c r="A378">
        <v>377</v>
      </c>
      <c r="B378" s="1">
        <v>216.62998999999999</v>
      </c>
      <c r="C378" s="1">
        <v>871.90997300000004</v>
      </c>
      <c r="D378" s="1">
        <v>17.010000000000002</v>
      </c>
      <c r="E378" s="1">
        <v>1214.7299800000001</v>
      </c>
      <c r="F378" s="1">
        <v>1953.0299070000001</v>
      </c>
      <c r="G378" s="1">
        <v>8.1199999999999992</v>
      </c>
      <c r="H378" s="1">
        <v>0</v>
      </c>
      <c r="I378" s="1">
        <v>0</v>
      </c>
      <c r="J378" s="1">
        <v>1.9824999999999999</v>
      </c>
      <c r="K378" s="1">
        <v>-2.457E-3</v>
      </c>
      <c r="L378" s="1">
        <v>4.1190000000000003E-3</v>
      </c>
      <c r="M378" s="1">
        <v>0.51225100000000001</v>
      </c>
      <c r="N378" s="1">
        <v>0.85882199999999997</v>
      </c>
      <c r="O378">
        <v>1</v>
      </c>
      <c r="P378">
        <v>0</v>
      </c>
      <c r="Q378">
        <v>1</v>
      </c>
      <c r="R378">
        <v>1</v>
      </c>
      <c r="S378">
        <v>1</v>
      </c>
      <c r="T378" s="1">
        <f>SQRT(POWER(Octane[[#This Row],[angvel_X]],2) + POWER(Octane[[#This Row],[angvel_Y]],2) + POWER(Octane[[#This Row],[angvel_Z]],2))</f>
        <v>1.9824999999999999</v>
      </c>
      <c r="U378" s="1">
        <f>DEGREES(ASIN(MAX(-1,MIN(1,2 * (Octane[[#This Row],[quart_W]]*Octane[[#This Row],[quart_Y]] - Octane[[#This Row],[quart_Z]]*Octane[[#This Row],[quart_X]])))))</f>
        <v>0.54959968962544237</v>
      </c>
      <c r="V37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28.371456291146192</v>
      </c>
      <c r="W37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90.00001876924199</v>
      </c>
      <c r="X378" s="1">
        <f>IF(Octane[[#This Row],[Yaw]]&gt;V377,(360-ABS(Octane[[#This Row],[Yaw]])-ABS(V377)),ABS(Octane[[#This Row],[Yaw]]-V377))</f>
        <v>0.9463604302853561</v>
      </c>
      <c r="Y378" s="1">
        <f>Octane[[#This Row],[Degree change]]+Y377</f>
        <v>300.7795487879248</v>
      </c>
      <c r="Z378" s="1">
        <f>SQRT(Octane[[#This Row],[vel_X]]*Octane[[#This Row],[vel_X]]+Octane[[#This Row],[vel_Y]]*Octane[[#This Row],[vel_Y]]+Octane[[#This Row],[vel_Z]]*Octane[[#This Row],[vel_Z]])</f>
        <v>2299.9914513639455</v>
      </c>
    </row>
    <row r="379" spans="1:26">
      <c r="A379">
        <v>378</v>
      </c>
      <c r="B379" s="1">
        <v>226.78999300000001</v>
      </c>
      <c r="C379" s="1">
        <v>888.25</v>
      </c>
      <c r="D379" s="1">
        <v>17.010000000000002</v>
      </c>
      <c r="E379" s="1">
        <v>1182.299927</v>
      </c>
      <c r="F379" s="1">
        <v>1972.829956</v>
      </c>
      <c r="G379" s="1">
        <v>8.1199999999999992</v>
      </c>
      <c r="H379" s="1">
        <v>0</v>
      </c>
      <c r="I379" s="1">
        <v>0</v>
      </c>
      <c r="J379" s="1">
        <v>1.9824999999999999</v>
      </c>
      <c r="K379" s="1">
        <v>-2.49E-3</v>
      </c>
      <c r="L379" s="1">
        <v>4.0969999999999999E-3</v>
      </c>
      <c r="M379" s="1">
        <v>0.51932900000000004</v>
      </c>
      <c r="N379" s="1">
        <v>0.85456100000000002</v>
      </c>
      <c r="O379">
        <v>1</v>
      </c>
      <c r="P379">
        <v>0</v>
      </c>
      <c r="Q379">
        <v>1</v>
      </c>
      <c r="R379">
        <v>1</v>
      </c>
      <c r="S379">
        <v>1</v>
      </c>
      <c r="T379" s="1">
        <f>SQRT(POWER(Octane[[#This Row],[angvel_X]],2) + POWER(Octane[[#This Row],[angvel_Y]],2) + POWER(Octane[[#This Row],[angvel_Z]],2))</f>
        <v>1.9824999999999999</v>
      </c>
      <c r="U379" s="1">
        <f>DEGREES(ASIN(MAX(-1,MIN(1,2 * (Octane[[#This Row],[quart_W]]*Octane[[#This Row],[quart_Y]] - Octane[[#This Row],[quart_Z]]*Octane[[#This Row],[quart_X]])))))</f>
        <v>0.54939079129475488</v>
      </c>
      <c r="V37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27.424692364737627</v>
      </c>
      <c r="W37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90.000019020437577</v>
      </c>
      <c r="X379" s="1">
        <f>IF(Octane[[#This Row],[Yaw]]&gt;V378,(360-ABS(Octane[[#This Row],[Yaw]])-ABS(V378)),ABS(Octane[[#This Row],[Yaw]]-V378))</f>
        <v>0.94676392640856477</v>
      </c>
      <c r="Y379" s="1">
        <f>Octane[[#This Row],[Degree change]]+Y378</f>
        <v>301.72631271433335</v>
      </c>
      <c r="Z379" s="1">
        <f>SQRT(Octane[[#This Row],[vel_X]]*Octane[[#This Row],[vel_X]]+Octane[[#This Row],[vel_Y]]*Octane[[#This Row],[vel_Y]]+Octane[[#This Row],[vel_Z]]*Octane[[#This Row],[vel_Z]])</f>
        <v>2299.9906710843779</v>
      </c>
    </row>
    <row r="380" spans="1:26">
      <c r="A380">
        <v>379</v>
      </c>
      <c r="B380" s="1">
        <v>236.66999799999999</v>
      </c>
      <c r="C380" s="1">
        <v>904.75</v>
      </c>
      <c r="D380" s="1">
        <v>17.010000000000002</v>
      </c>
      <c r="E380" s="1">
        <v>1149.549927</v>
      </c>
      <c r="F380" s="1">
        <v>1992.089966</v>
      </c>
      <c r="G380" s="1">
        <v>8.1199999999999992</v>
      </c>
      <c r="H380" s="1">
        <v>0</v>
      </c>
      <c r="I380" s="1">
        <v>0</v>
      </c>
      <c r="J380" s="1">
        <v>1.9824999999999999</v>
      </c>
      <c r="K380" s="1">
        <v>-2.5219999999999999E-3</v>
      </c>
      <c r="L380" s="1">
        <v>4.0759999999999998E-3</v>
      </c>
      <c r="M380" s="1">
        <v>0.52637</v>
      </c>
      <c r="N380" s="1">
        <v>0.85024200000000005</v>
      </c>
      <c r="O380">
        <v>1</v>
      </c>
      <c r="P380">
        <v>0</v>
      </c>
      <c r="Q380">
        <v>1</v>
      </c>
      <c r="R380">
        <v>1</v>
      </c>
      <c r="S380">
        <v>1</v>
      </c>
      <c r="T380" s="1">
        <f>SQRT(POWER(Octane[[#This Row],[angvel_X]],2) + POWER(Octane[[#This Row],[angvel_Y]],2) + POWER(Octane[[#This Row],[angvel_Z]],2))</f>
        <v>1.9824999999999999</v>
      </c>
      <c r="U380" s="1">
        <f>DEGREES(ASIN(MAX(-1,MIN(1,2 * (Octane[[#This Row],[quart_W]]*Octane[[#This Row],[quart_Y]] - Octane[[#This Row],[quart_Z]]*Octane[[#This Row],[quart_X]])))))</f>
        <v>0.54925624373448578</v>
      </c>
      <c r="V38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26.478153752777974</v>
      </c>
      <c r="W38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89.999865486705701</v>
      </c>
      <c r="X380" s="1">
        <f>IF(Octane[[#This Row],[Yaw]]&gt;V379,(360-ABS(Octane[[#This Row],[Yaw]])-ABS(V379)),ABS(Octane[[#This Row],[Yaw]]-V379))</f>
        <v>0.94653861195965305</v>
      </c>
      <c r="Y380" s="1">
        <f>Octane[[#This Row],[Degree change]]+Y379</f>
        <v>302.67285132629297</v>
      </c>
      <c r="Z380" s="1">
        <f>SQRT(Octane[[#This Row],[vel_X]]*Octane[[#This Row],[vel_X]]+Octane[[#This Row],[vel_Y]]*Octane[[#This Row],[vel_Y]]+Octane[[#This Row],[vel_Z]]*Octane[[#This Row],[vel_Z]])</f>
        <v>2299.9898699132536</v>
      </c>
    </row>
    <row r="381" spans="1:26">
      <c r="A381">
        <v>380</v>
      </c>
      <c r="B381" s="1">
        <v>246.279999</v>
      </c>
      <c r="C381" s="1">
        <v>921.40997300000004</v>
      </c>
      <c r="D381" s="1">
        <v>17.010000000000002</v>
      </c>
      <c r="E381" s="1">
        <v>1116.48999</v>
      </c>
      <c r="F381" s="1">
        <v>2010.809937</v>
      </c>
      <c r="G381" s="1">
        <v>8.1199999999999992</v>
      </c>
      <c r="H381" s="1">
        <v>0</v>
      </c>
      <c r="I381" s="1">
        <v>0</v>
      </c>
      <c r="J381" s="1">
        <v>1.9824999999999999</v>
      </c>
      <c r="K381" s="1">
        <v>-2.5539999999999998E-3</v>
      </c>
      <c r="L381" s="1">
        <v>4.0540000000000003E-3</v>
      </c>
      <c r="M381" s="1">
        <v>0.53337699999999999</v>
      </c>
      <c r="N381" s="1">
        <v>0.84586399999999995</v>
      </c>
      <c r="O381">
        <v>1</v>
      </c>
      <c r="P381">
        <v>0</v>
      </c>
      <c r="Q381">
        <v>1</v>
      </c>
      <c r="R381">
        <v>1</v>
      </c>
      <c r="S381">
        <v>1</v>
      </c>
      <c r="T381" s="1">
        <f>SQRT(POWER(Octane[[#This Row],[angvel_X]],2) + POWER(Octane[[#This Row],[angvel_Y]],2) + POWER(Octane[[#This Row],[angvel_Z]],2))</f>
        <v>1.9824999999999999</v>
      </c>
      <c r="U381" s="1">
        <f>DEGREES(ASIN(MAX(-1,MIN(1,2 * (Octane[[#This Row],[quart_W]]*Octane[[#This Row],[quart_Y]] - Octane[[#This Row],[quart_Z]]*Octane[[#This Row],[quart_X]])))))</f>
        <v>0.54905982271764131</v>
      </c>
      <c r="V38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25.531350481532606</v>
      </c>
      <c r="W38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89.999773820025567</v>
      </c>
      <c r="X381" s="1">
        <f>IF(Octane[[#This Row],[Yaw]]&gt;V380,(360-ABS(Octane[[#This Row],[Yaw]])-ABS(V380)),ABS(Octane[[#This Row],[Yaw]]-V380))</f>
        <v>0.94680327124536845</v>
      </c>
      <c r="Y381" s="1">
        <f>Octane[[#This Row],[Degree change]]+Y380</f>
        <v>303.61965459753833</v>
      </c>
      <c r="Z381" s="1">
        <f>SQRT(Octane[[#This Row],[vel_X]]*Octane[[#This Row],[vel_X]]+Octane[[#This Row],[vel_Y]]*Octane[[#This Row],[vel_Y]]+Octane[[#This Row],[vel_Z]]*Octane[[#This Row],[vel_Z]])</f>
        <v>2299.9940075809209</v>
      </c>
    </row>
    <row r="382" spans="1:26">
      <c r="A382">
        <v>381</v>
      </c>
      <c r="B382" s="1">
        <v>255.61000100000001</v>
      </c>
      <c r="C382" s="1">
        <v>938.22997999999995</v>
      </c>
      <c r="D382" s="1">
        <v>17.010000000000002</v>
      </c>
      <c r="E382" s="1">
        <v>1083.119995</v>
      </c>
      <c r="F382" s="1">
        <v>2028.9799800000001</v>
      </c>
      <c r="G382" s="1">
        <v>8.1199999999999992</v>
      </c>
      <c r="H382" s="1">
        <v>0</v>
      </c>
      <c r="I382" s="1">
        <v>0</v>
      </c>
      <c r="J382" s="1">
        <v>1.9824999999999999</v>
      </c>
      <c r="K382" s="1">
        <v>-2.5869999999999999E-3</v>
      </c>
      <c r="L382" s="1">
        <v>4.0330000000000001E-3</v>
      </c>
      <c r="M382" s="1">
        <v>0.54034800000000005</v>
      </c>
      <c r="N382" s="1">
        <v>0.84142799999999995</v>
      </c>
      <c r="O382">
        <v>1</v>
      </c>
      <c r="P382">
        <v>0</v>
      </c>
      <c r="Q382">
        <v>1</v>
      </c>
      <c r="R382">
        <v>1</v>
      </c>
      <c r="S382">
        <v>1</v>
      </c>
      <c r="T382" s="1">
        <f>SQRT(POWER(Octane[[#This Row],[angvel_X]],2) + POWER(Octane[[#This Row],[angvel_Y]],2) + POWER(Octane[[#This Row],[angvel_Z]],2))</f>
        <v>1.9824999999999999</v>
      </c>
      <c r="U382" s="1">
        <f>DEGREES(ASIN(MAX(-1,MIN(1,2 * (Octane[[#This Row],[quart_W]]*Octane[[#This Row],[quart_Y]] - Octane[[#This Row],[quart_Z]]*Octane[[#This Row],[quart_X]])))))</f>
        <v>0.54905774691082943</v>
      </c>
      <c r="V38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24.584490263975074</v>
      </c>
      <c r="W38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89.99971932396592</v>
      </c>
      <c r="X382" s="1">
        <f>IF(Octane[[#This Row],[Yaw]]&gt;V381,(360-ABS(Octane[[#This Row],[Yaw]])-ABS(V381)),ABS(Octane[[#This Row],[Yaw]]-V381))</f>
        <v>0.94686021755753202</v>
      </c>
      <c r="Y382" s="1">
        <f>Octane[[#This Row],[Degree change]]+Y381</f>
        <v>304.56651481509584</v>
      </c>
      <c r="Z382" s="1">
        <f>SQRT(Octane[[#This Row],[vel_X]]*Octane[[#This Row],[vel_X]]+Octane[[#This Row],[vel_Y]]*Octane[[#This Row],[vel_Y]]+Octane[[#This Row],[vel_Z]]*Octane[[#This Row],[vel_Z]])</f>
        <v>2299.9944819954676</v>
      </c>
    </row>
    <row r="383" spans="1:26">
      <c r="A383">
        <v>382</v>
      </c>
      <c r="B383" s="1">
        <v>264.66000400000001</v>
      </c>
      <c r="C383" s="1">
        <v>955.19995100000006</v>
      </c>
      <c r="D383" s="1">
        <v>17.010000000000002</v>
      </c>
      <c r="E383" s="1">
        <v>1049.4499510000001</v>
      </c>
      <c r="F383" s="1">
        <v>2046.599976</v>
      </c>
      <c r="G383" s="1">
        <v>8.1199999999999992</v>
      </c>
      <c r="H383" s="1">
        <v>0</v>
      </c>
      <c r="I383" s="1">
        <v>0</v>
      </c>
      <c r="J383" s="1">
        <v>1.9824999999999999</v>
      </c>
      <c r="K383" s="1">
        <v>-2.6189999999999998E-3</v>
      </c>
      <c r="L383" s="1">
        <v>4.0109999999999998E-3</v>
      </c>
      <c r="M383" s="1">
        <v>0.54727999999999999</v>
      </c>
      <c r="N383" s="1">
        <v>0.83693600000000001</v>
      </c>
      <c r="O383">
        <v>1</v>
      </c>
      <c r="P383">
        <v>0</v>
      </c>
      <c r="Q383">
        <v>1</v>
      </c>
      <c r="R383">
        <v>1</v>
      </c>
      <c r="S383">
        <v>1</v>
      </c>
      <c r="T383" s="1">
        <f>SQRT(POWER(Octane[[#This Row],[angvel_X]],2) + POWER(Octane[[#This Row],[angvel_Y]],2) + POWER(Octane[[#This Row],[angvel_Z]],2))</f>
        <v>1.9824999999999999</v>
      </c>
      <c r="U383" s="1">
        <f>DEGREES(ASIN(MAX(-1,MIN(1,2 * (Octane[[#This Row],[quart_W]]*Octane[[#This Row],[quart_Y]] - Octane[[#This Row],[quart_Z]]*Octane[[#This Row],[quart_X]])))))</f>
        <v>0.54893366330813198</v>
      </c>
      <c r="V38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23.637917319911228</v>
      </c>
      <c r="W38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89.999632752034472</v>
      </c>
      <c r="X383" s="1">
        <f>IF(Octane[[#This Row],[Yaw]]&gt;V382,(360-ABS(Octane[[#This Row],[Yaw]])-ABS(V382)),ABS(Octane[[#This Row],[Yaw]]-V382))</f>
        <v>0.94657294406384551</v>
      </c>
      <c r="Y383" s="1">
        <f>Octane[[#This Row],[Degree change]]+Y382</f>
        <v>305.5130877591597</v>
      </c>
      <c r="Z383" s="1">
        <f>SQRT(Octane[[#This Row],[vel_X]]*Octane[[#This Row],[vel_X]]+Octane[[#This Row],[vel_Y]]*Octane[[#This Row],[vel_Y]]+Octane[[#This Row],[vel_Z]]*Octane[[#This Row],[vel_Z]])</f>
        <v>2299.9962164788667</v>
      </c>
    </row>
    <row r="384" spans="1:26">
      <c r="A384">
        <v>383</v>
      </c>
      <c r="B384" s="1">
        <v>273.42999300000002</v>
      </c>
      <c r="C384" s="1">
        <v>972.32000700000003</v>
      </c>
      <c r="D384" s="1">
        <v>17.010000000000002</v>
      </c>
      <c r="E384" s="1">
        <v>1015.48999</v>
      </c>
      <c r="F384" s="1">
        <v>2063.6599120000001</v>
      </c>
      <c r="G384" s="1">
        <v>8.1199999999999992</v>
      </c>
      <c r="H384" s="1">
        <v>0</v>
      </c>
      <c r="I384" s="1">
        <v>0</v>
      </c>
      <c r="J384" s="1">
        <v>1.9824999999999999</v>
      </c>
      <c r="K384" s="1">
        <v>-2.6519999999999998E-3</v>
      </c>
      <c r="L384" s="1">
        <v>3.9890000000000004E-3</v>
      </c>
      <c r="M384" s="1">
        <v>0.55417400000000006</v>
      </c>
      <c r="N384" s="1">
        <v>0.83238699999999999</v>
      </c>
      <c r="O384">
        <v>1</v>
      </c>
      <c r="P384">
        <v>0</v>
      </c>
      <c r="Q384">
        <v>1</v>
      </c>
      <c r="R384">
        <v>1</v>
      </c>
      <c r="S384">
        <v>1</v>
      </c>
      <c r="T384" s="1">
        <f>SQRT(POWER(Octane[[#This Row],[angvel_X]],2) + POWER(Octane[[#This Row],[angvel_Y]],2) + POWER(Octane[[#This Row],[angvel_Z]],2))</f>
        <v>1.9824999999999999</v>
      </c>
      <c r="U384" s="1">
        <f>DEGREES(ASIN(MAX(-1,MIN(1,2 * (Octane[[#This Row],[quart_W]]*Octane[[#This Row],[quart_Y]] - Octane[[#This Row],[quart_Z]]*Octane[[#This Row],[quart_X]])))))</f>
        <v>0.54890897628858004</v>
      </c>
      <c r="V38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22.691443155151518</v>
      </c>
      <c r="W38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89.999643631170301</v>
      </c>
      <c r="X384" s="1">
        <f>IF(Octane[[#This Row],[Yaw]]&gt;V383,(360-ABS(Octane[[#This Row],[Yaw]])-ABS(V383)),ABS(Octane[[#This Row],[Yaw]]-V383))</f>
        <v>0.94647416475971013</v>
      </c>
      <c r="Y384" s="1">
        <f>Octane[[#This Row],[Degree change]]+Y383</f>
        <v>306.45956192391941</v>
      </c>
      <c r="Z384" s="1">
        <f>SQRT(Octane[[#This Row],[vel_X]]*Octane[[#This Row],[vel_X]]+Octane[[#This Row],[vel_Y]]*Octane[[#This Row],[vel_Y]]+Octane[[#This Row],[vel_Z]]*Octane[[#This Row],[vel_Z]])</f>
        <v>2299.995236209425</v>
      </c>
    </row>
    <row r="385" spans="1:26">
      <c r="A385">
        <v>384</v>
      </c>
      <c r="B385" s="1">
        <v>281.919983</v>
      </c>
      <c r="C385" s="1">
        <v>989.57995600000004</v>
      </c>
      <c r="D385" s="1">
        <v>17.010000000000002</v>
      </c>
      <c r="E385" s="1">
        <v>981.25994900000001</v>
      </c>
      <c r="F385" s="1">
        <v>2080.1499020000001</v>
      </c>
      <c r="G385" s="1">
        <v>8.1199999999999992</v>
      </c>
      <c r="H385" s="1">
        <v>0</v>
      </c>
      <c r="I385" s="1">
        <v>0</v>
      </c>
      <c r="J385" s="1">
        <v>1.9824999999999999</v>
      </c>
      <c r="K385" s="1">
        <v>-2.6840000000000002E-3</v>
      </c>
      <c r="L385" s="1">
        <v>3.9680000000000002E-3</v>
      </c>
      <c r="M385" s="1">
        <v>0.56103099999999995</v>
      </c>
      <c r="N385" s="1">
        <v>0.82778099999999999</v>
      </c>
      <c r="O385">
        <v>1</v>
      </c>
      <c r="P385">
        <v>0</v>
      </c>
      <c r="Q385">
        <v>1</v>
      </c>
      <c r="R385">
        <v>1</v>
      </c>
      <c r="S385">
        <v>1</v>
      </c>
      <c r="T385" s="1">
        <f>SQRT(POWER(Octane[[#This Row],[angvel_X]],2) + POWER(Octane[[#This Row],[angvel_Y]],2) + POWER(Octane[[#This Row],[angvel_Z]],2))</f>
        <v>1.9824999999999999</v>
      </c>
      <c r="U385" s="1">
        <f>DEGREES(ASIN(MAX(-1,MIN(1,2 * (Octane[[#This Row],[quart_W]]*Octane[[#This Row],[quart_Y]] - Octane[[#This Row],[quart_Z]]*Octane[[#This Row],[quart_X]])))))</f>
        <v>0.54895264008290123</v>
      </c>
      <c r="V38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21.744848177810685</v>
      </c>
      <c r="W38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89.999494994280695</v>
      </c>
      <c r="X385" s="1">
        <f>IF(Octane[[#This Row],[Yaw]]&gt;V384,(360-ABS(Octane[[#This Row],[Yaw]])-ABS(V384)),ABS(Octane[[#This Row],[Yaw]]-V384))</f>
        <v>0.94659497734083331</v>
      </c>
      <c r="Y385" s="1">
        <f>Octane[[#This Row],[Degree change]]+Y384</f>
        <v>307.40615690126026</v>
      </c>
      <c r="Z385" s="1">
        <f>SQRT(Octane[[#This Row],[vel_X]]*Octane[[#This Row],[vel_X]]+Octane[[#This Row],[vel_Y]]*Octane[[#This Row],[vel_Y]]+Octane[[#This Row],[vel_Z]]*Octane[[#This Row],[vel_Z]])</f>
        <v>2299.9914427454055</v>
      </c>
    </row>
    <row r="386" spans="1:26">
      <c r="A386">
        <v>385</v>
      </c>
      <c r="B386" s="1">
        <v>290.11999500000002</v>
      </c>
      <c r="C386" s="1">
        <v>1006.97998</v>
      </c>
      <c r="D386" s="1">
        <v>17.010000000000002</v>
      </c>
      <c r="E386" s="1">
        <v>946.75994900000001</v>
      </c>
      <c r="F386" s="1">
        <v>2096.0798340000001</v>
      </c>
      <c r="G386" s="1">
        <v>8.1199999999999992</v>
      </c>
      <c r="H386" s="1">
        <v>0</v>
      </c>
      <c r="I386" s="1">
        <v>0</v>
      </c>
      <c r="J386" s="1">
        <v>1.9824999999999999</v>
      </c>
      <c r="K386" s="1">
        <v>-2.7160000000000001E-3</v>
      </c>
      <c r="L386" s="1">
        <v>3.9459999999999999E-3</v>
      </c>
      <c r="M386" s="1">
        <v>0.56784999999999997</v>
      </c>
      <c r="N386" s="1">
        <v>0.82311800000000002</v>
      </c>
      <c r="O386">
        <v>1</v>
      </c>
      <c r="P386">
        <v>0</v>
      </c>
      <c r="Q386">
        <v>1</v>
      </c>
      <c r="R386">
        <v>1</v>
      </c>
      <c r="S386">
        <v>1</v>
      </c>
      <c r="T386" s="1">
        <f>SQRT(POWER(Octane[[#This Row],[angvel_X]],2) + POWER(Octane[[#This Row],[angvel_Y]],2) + POWER(Octane[[#This Row],[angvel_Z]],2))</f>
        <v>1.9824999999999999</v>
      </c>
      <c r="U386" s="1">
        <f>DEGREES(ASIN(MAX(-1,MIN(1,2 * (Octane[[#This Row],[quart_W]]*Octane[[#This Row],[quart_Y]] - Octane[[#This Row],[quart_Z]]*Octane[[#This Row],[quart_X]])))))</f>
        <v>0.54893682755548234</v>
      </c>
      <c r="V38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20.798221986867876</v>
      </c>
      <c r="W38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89.999410100042141</v>
      </c>
      <c r="X386" s="1">
        <f>IF(Octane[[#This Row],[Yaw]]&gt;V385,(360-ABS(Octane[[#This Row],[Yaw]])-ABS(V385)),ABS(Octane[[#This Row],[Yaw]]-V385))</f>
        <v>0.94662619094280842</v>
      </c>
      <c r="Y386" s="1">
        <f>Octane[[#This Row],[Degree change]]+Y385</f>
        <v>308.35278309220308</v>
      </c>
      <c r="Z386" s="1">
        <f>SQRT(Octane[[#This Row],[vel_X]]*Octane[[#This Row],[vel_X]]+Octane[[#This Row],[vel_Y]]*Octane[[#This Row],[vel_Y]]+Octane[[#This Row],[vel_Z]]*Octane[[#This Row],[vel_Z]])</f>
        <v>2299.9936969330915</v>
      </c>
    </row>
    <row r="387" spans="1:26">
      <c r="A387">
        <v>386</v>
      </c>
      <c r="B387" s="1">
        <v>298.02999899999998</v>
      </c>
      <c r="C387" s="1">
        <v>1024.51001</v>
      </c>
      <c r="D387" s="1">
        <v>17.010000000000002</v>
      </c>
      <c r="E387" s="1">
        <v>912</v>
      </c>
      <c r="F387" s="1">
        <v>2111.4399410000001</v>
      </c>
      <c r="G387" s="1">
        <v>8.1199999999999992</v>
      </c>
      <c r="H387" s="1">
        <v>0</v>
      </c>
      <c r="I387" s="1">
        <v>0</v>
      </c>
      <c r="J387" s="1">
        <v>1.9824999999999999</v>
      </c>
      <c r="K387" s="1">
        <v>-2.7490000000000001E-3</v>
      </c>
      <c r="L387" s="1">
        <v>3.9249999999999997E-3</v>
      </c>
      <c r="M387" s="1">
        <v>0.57463200000000003</v>
      </c>
      <c r="N387" s="1">
        <v>0.81839799999999996</v>
      </c>
      <c r="O387">
        <v>1</v>
      </c>
      <c r="P387">
        <v>0</v>
      </c>
      <c r="Q387">
        <v>1</v>
      </c>
      <c r="R387">
        <v>1</v>
      </c>
      <c r="S387">
        <v>1</v>
      </c>
      <c r="T387" s="1">
        <f>SQRT(POWER(Octane[[#This Row],[angvel_X]],2) + POWER(Octane[[#This Row],[angvel_Y]],2) + POWER(Octane[[#This Row],[angvel_Z]],2))</f>
        <v>1.9824999999999999</v>
      </c>
      <c r="U387" s="1">
        <f>DEGREES(ASIN(MAX(-1,MIN(1,2 * (Octane[[#This Row],[quart_W]]*Octane[[#This Row],[quart_Y]] - Octane[[#This Row],[quart_Z]]*Octane[[#This Row],[quart_X]])))))</f>
        <v>0.54911689239306616</v>
      </c>
      <c r="V38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19.851340583303745</v>
      </c>
      <c r="W38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89.999352012499713</v>
      </c>
      <c r="X387" s="1">
        <f>IF(Octane[[#This Row],[Yaw]]&gt;V386,(360-ABS(Octane[[#This Row],[Yaw]])-ABS(V386)),ABS(Octane[[#This Row],[Yaw]]-V386))</f>
        <v>0.94688140356413086</v>
      </c>
      <c r="Y387" s="1">
        <f>Octane[[#This Row],[Degree change]]+Y386</f>
        <v>309.29966449576722</v>
      </c>
      <c r="Z387" s="1">
        <f>SQRT(Octane[[#This Row],[vel_X]]*Octane[[#This Row],[vel_X]]+Octane[[#This Row],[vel_Y]]*Octane[[#This Row],[vel_Y]]+Octane[[#This Row],[vel_Z]]*Octane[[#This Row],[vel_Z]])</f>
        <v>2299.9975127921516</v>
      </c>
    </row>
    <row r="388" spans="1:26">
      <c r="A388">
        <v>387</v>
      </c>
      <c r="B388" s="1">
        <v>305.64999399999999</v>
      </c>
      <c r="C388" s="1">
        <v>1042.169922</v>
      </c>
      <c r="D388" s="1">
        <v>17.010000000000002</v>
      </c>
      <c r="E388" s="1">
        <v>876.98999000000003</v>
      </c>
      <c r="F388" s="1">
        <v>2126.219971</v>
      </c>
      <c r="G388" s="1">
        <v>8.1199999999999992</v>
      </c>
      <c r="H388" s="1">
        <v>0</v>
      </c>
      <c r="I388" s="1">
        <v>0</v>
      </c>
      <c r="J388" s="1">
        <v>1.9824999999999999</v>
      </c>
      <c r="K388" s="1">
        <v>-2.7810000000000001E-3</v>
      </c>
      <c r="L388" s="1">
        <v>3.9029999999999998E-3</v>
      </c>
      <c r="M388" s="1">
        <v>0.58137000000000005</v>
      </c>
      <c r="N388" s="1">
        <v>0.81362500000000004</v>
      </c>
      <c r="O388">
        <v>1</v>
      </c>
      <c r="P388">
        <v>0</v>
      </c>
      <c r="Q388">
        <v>1</v>
      </c>
      <c r="R388">
        <v>1</v>
      </c>
      <c r="S388">
        <v>1</v>
      </c>
      <c r="T388" s="1">
        <f>SQRT(POWER(Octane[[#This Row],[angvel_X]],2) + POWER(Octane[[#This Row],[angvel_Y]],2) + POWER(Octane[[#This Row],[angvel_Z]],2))</f>
        <v>1.9824999999999999</v>
      </c>
      <c r="U388" s="1">
        <f>DEGREES(ASIN(MAX(-1,MIN(1,2 * (Octane[[#This Row],[quart_W]]*Octane[[#This Row],[quart_Y]] - Octane[[#This Row],[quart_Z]]*Octane[[#This Row],[quart_X]])))))</f>
        <v>0.54917336880128331</v>
      </c>
      <c r="V38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18.905142494843023</v>
      </c>
      <c r="W38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89.999267040439079</v>
      </c>
      <c r="X388" s="1">
        <f>IF(Octane[[#This Row],[Yaw]]&gt;V387,(360-ABS(Octane[[#This Row],[Yaw]])-ABS(V387)),ABS(Octane[[#This Row],[Yaw]]-V387))</f>
        <v>0.94619808846072218</v>
      </c>
      <c r="Y388" s="1">
        <f>Octane[[#This Row],[Degree change]]+Y387</f>
        <v>310.24586258422795</v>
      </c>
      <c r="Z388" s="1">
        <f>SQRT(Octane[[#This Row],[vel_X]]*Octane[[#This Row],[vel_X]]+Octane[[#This Row],[vel_Y]]*Octane[[#This Row],[vel_Y]]+Octane[[#This Row],[vel_Z]]*Octane[[#This Row],[vel_Z]])</f>
        <v>2299.9975526159674</v>
      </c>
    </row>
    <row r="389" spans="1:26">
      <c r="A389">
        <v>388</v>
      </c>
      <c r="B389" s="1">
        <v>312.97998000000001</v>
      </c>
      <c r="C389" s="1">
        <v>1059.9499510000001</v>
      </c>
      <c r="D389" s="1">
        <v>17.010000000000002</v>
      </c>
      <c r="E389" s="1">
        <v>841.73999000000003</v>
      </c>
      <c r="F389" s="1">
        <v>2140.4099120000001</v>
      </c>
      <c r="G389" s="1">
        <v>8.1199999999999992</v>
      </c>
      <c r="H389" s="1">
        <v>0</v>
      </c>
      <c r="I389" s="1">
        <v>0</v>
      </c>
      <c r="J389" s="1">
        <v>1.9824999999999999</v>
      </c>
      <c r="K389" s="1">
        <v>-2.813E-3</v>
      </c>
      <c r="L389" s="1">
        <v>3.882E-3</v>
      </c>
      <c r="M389" s="1">
        <v>0.58806999999999998</v>
      </c>
      <c r="N389" s="1">
        <v>0.80879599999999996</v>
      </c>
      <c r="O389">
        <v>1</v>
      </c>
      <c r="P389">
        <v>0</v>
      </c>
      <c r="Q389">
        <v>1</v>
      </c>
      <c r="R389">
        <v>1</v>
      </c>
      <c r="S389">
        <v>1</v>
      </c>
      <c r="T389" s="1">
        <f>SQRT(POWER(Octane[[#This Row],[angvel_X]],2) + POWER(Octane[[#This Row],[angvel_Y]],2) + POWER(Octane[[#This Row],[angvel_Z]],2))</f>
        <v>1.9824999999999999</v>
      </c>
      <c r="U389" s="1">
        <f>DEGREES(ASIN(MAX(-1,MIN(1,2 * (Octane[[#This Row],[quart_W]]*Octane[[#This Row],[quart_Y]] - Octane[[#This Row],[quart_Z]]*Octane[[#This Row],[quart_X]])))))</f>
        <v>0.54935885946193641</v>
      </c>
      <c r="V38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17.958697059700391</v>
      </c>
      <c r="W38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89.999112494333886</v>
      </c>
      <c r="X389" s="1">
        <f>IF(Octane[[#This Row],[Yaw]]&gt;V388,(360-ABS(Octane[[#This Row],[Yaw]])-ABS(V388)),ABS(Octane[[#This Row],[Yaw]]-V388))</f>
        <v>0.94644543514263191</v>
      </c>
      <c r="Y389" s="1">
        <f>Octane[[#This Row],[Degree change]]+Y388</f>
        <v>311.19230801937056</v>
      </c>
      <c r="Z389" s="1">
        <f>SQRT(Octane[[#This Row],[vel_X]]*Octane[[#This Row],[vel_X]]+Octane[[#This Row],[vel_Y]]*Octane[[#This Row],[vel_Y]]+Octane[[#This Row],[vel_Z]]*Octane[[#This Row],[vel_Z]])</f>
        <v>2299.9884209606466</v>
      </c>
    </row>
    <row r="390" spans="1:26">
      <c r="A390">
        <v>389</v>
      </c>
      <c r="B390" s="1">
        <v>320.01998900000001</v>
      </c>
      <c r="C390" s="1">
        <v>1077.849976</v>
      </c>
      <c r="D390" s="1">
        <v>17.010000000000002</v>
      </c>
      <c r="E390" s="1">
        <v>806.26995799999997</v>
      </c>
      <c r="F390" s="1">
        <v>2154.030029</v>
      </c>
      <c r="G390" s="1">
        <v>8.1199999999999992</v>
      </c>
      <c r="H390" s="1">
        <v>0</v>
      </c>
      <c r="I390" s="1">
        <v>0</v>
      </c>
      <c r="J390" s="1">
        <v>1.9824999999999999</v>
      </c>
      <c r="K390" s="1">
        <v>-2.846E-3</v>
      </c>
      <c r="L390" s="1">
        <v>3.8600000000000001E-3</v>
      </c>
      <c r="M390" s="1">
        <v>0.59473299999999996</v>
      </c>
      <c r="N390" s="1">
        <v>0.80390899999999998</v>
      </c>
      <c r="O390">
        <v>1</v>
      </c>
      <c r="P390">
        <v>0</v>
      </c>
      <c r="Q390">
        <v>1</v>
      </c>
      <c r="R390">
        <v>1</v>
      </c>
      <c r="S390">
        <v>1</v>
      </c>
      <c r="T390" s="1">
        <f>SQRT(POWER(Octane[[#This Row],[angvel_X]],2) + POWER(Octane[[#This Row],[angvel_Y]],2) + POWER(Octane[[#This Row],[angvel_Z]],2))</f>
        <v>1.9824999999999999</v>
      </c>
      <c r="U390" s="1">
        <f>DEGREES(ASIN(MAX(-1,MIN(1,2 * (Octane[[#This Row],[quart_W]]*Octane[[#This Row],[quart_Y]] - Octane[[#This Row],[quart_Z]]*Octane[[#This Row],[quart_X]])))))</f>
        <v>0.54955503502219905</v>
      </c>
      <c r="V39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17.011819368287945</v>
      </c>
      <c r="W39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89.99911252020361</v>
      </c>
      <c r="X390" s="1">
        <f>IF(Octane[[#This Row],[Yaw]]&gt;V389,(360-ABS(Octane[[#This Row],[Yaw]])-ABS(V389)),ABS(Octane[[#This Row],[Yaw]]-V389))</f>
        <v>0.94687769141244615</v>
      </c>
      <c r="Y390" s="1">
        <f>Octane[[#This Row],[Degree change]]+Y389</f>
        <v>312.13918571078301</v>
      </c>
      <c r="Z390" s="1">
        <f>SQRT(Octane[[#This Row],[vel_X]]*Octane[[#This Row],[vel_X]]+Octane[[#This Row],[vel_Y]]*Octane[[#This Row],[vel_Y]]+Octane[[#This Row],[vel_Z]]*Octane[[#This Row],[vel_Z]])</f>
        <v>2299.9962055201445</v>
      </c>
    </row>
    <row r="391" spans="1:26">
      <c r="A391">
        <v>390</v>
      </c>
      <c r="B391" s="1">
        <v>326.75997899999999</v>
      </c>
      <c r="C391" s="1">
        <v>1095.869995</v>
      </c>
      <c r="D391" s="1">
        <v>17.010000000000002</v>
      </c>
      <c r="E391" s="1">
        <v>770.57000700000003</v>
      </c>
      <c r="F391" s="1">
        <v>2167.0500489999999</v>
      </c>
      <c r="G391" s="1">
        <v>8.1199999999999992</v>
      </c>
      <c r="H391" s="1">
        <v>0</v>
      </c>
      <c r="I391" s="1">
        <v>0</v>
      </c>
      <c r="J391" s="1">
        <v>1.9824999999999999</v>
      </c>
      <c r="K391" s="1">
        <v>-2.8779999999999999E-3</v>
      </c>
      <c r="L391" s="1">
        <v>3.8379999999999998E-3</v>
      </c>
      <c r="M391" s="1">
        <v>0.601352</v>
      </c>
      <c r="N391" s="1">
        <v>0.79896999999999996</v>
      </c>
      <c r="O391">
        <v>1</v>
      </c>
      <c r="P391">
        <v>0</v>
      </c>
      <c r="Q391">
        <v>1</v>
      </c>
      <c r="R391">
        <v>1</v>
      </c>
      <c r="S391">
        <v>1</v>
      </c>
      <c r="T391" s="1">
        <f>SQRT(POWER(Octane[[#This Row],[angvel_X]],2) + POWER(Octane[[#This Row],[angvel_Y]],2) + POWER(Octane[[#This Row],[angvel_Z]],2))</f>
        <v>1.9824999999999999</v>
      </c>
      <c r="U391" s="1">
        <f>DEGREES(ASIN(MAX(-1,MIN(1,2 * (Octane[[#This Row],[quart_W]]*Octane[[#This Row],[quart_Y]] - Octane[[#This Row],[quart_Z]]*Octane[[#This Row],[quart_X]])))))</f>
        <v>0.54971994650990785</v>
      </c>
      <c r="V39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16.065421262409259</v>
      </c>
      <c r="W39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89.999019817070675</v>
      </c>
      <c r="X391" s="1">
        <f>IF(Octane[[#This Row],[Yaw]]&gt;V390,(360-ABS(Octane[[#This Row],[Yaw]])-ABS(V390)),ABS(Octane[[#This Row],[Yaw]]-V390))</f>
        <v>0.94639810587868567</v>
      </c>
      <c r="Y391" s="1">
        <f>Octane[[#This Row],[Degree change]]+Y390</f>
        <v>313.08558381666171</v>
      </c>
      <c r="Z391" s="1">
        <f>SQRT(Octane[[#This Row],[vel_X]]*Octane[[#This Row],[vel_X]]+Octane[[#This Row],[vel_Y]]*Octane[[#This Row],[vel_Y]]+Octane[[#This Row],[vel_Z]]*Octane[[#This Row],[vel_Z]])</f>
        <v>2299.9891271392744</v>
      </c>
    </row>
    <row r="392" spans="1:26">
      <c r="A392">
        <v>391</v>
      </c>
      <c r="B392" s="1">
        <v>333.19998199999998</v>
      </c>
      <c r="C392" s="1">
        <v>1114</v>
      </c>
      <c r="D392" s="1">
        <v>17.010000000000002</v>
      </c>
      <c r="E392" s="1">
        <v>734.669983</v>
      </c>
      <c r="F392" s="1">
        <v>2179.48999</v>
      </c>
      <c r="G392" s="1">
        <v>8.1199999999999992</v>
      </c>
      <c r="H392" s="1">
        <v>0</v>
      </c>
      <c r="I392" s="1">
        <v>0</v>
      </c>
      <c r="J392" s="1">
        <v>1.9824999999999999</v>
      </c>
      <c r="K392" s="1">
        <v>-2.911E-3</v>
      </c>
      <c r="L392" s="1">
        <v>3.8170000000000001E-3</v>
      </c>
      <c r="M392" s="1">
        <v>0.60793399999999997</v>
      </c>
      <c r="N392" s="1">
        <v>0.79397300000000004</v>
      </c>
      <c r="O392">
        <v>1</v>
      </c>
      <c r="P392">
        <v>0</v>
      </c>
      <c r="Q392">
        <v>1</v>
      </c>
      <c r="R392">
        <v>1</v>
      </c>
      <c r="S392">
        <v>1</v>
      </c>
      <c r="T392" s="1">
        <f>SQRT(POWER(Octane[[#This Row],[angvel_X]],2) + POWER(Octane[[#This Row],[angvel_Y]],2) + POWER(Octane[[#This Row],[angvel_Z]],2))</f>
        <v>1.9824999999999999</v>
      </c>
      <c r="U392" s="1">
        <f>DEGREES(ASIN(MAX(-1,MIN(1,2 * (Octane[[#This Row],[quart_W]]*Octane[[#This Row],[quart_Y]] - Octane[[#This Row],[quart_Z]]*Octane[[#This Row],[quart_X]])))))</f>
        <v>0.55008125876250491</v>
      </c>
      <c r="V39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15.118450617781859</v>
      </c>
      <c r="W39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89.998942423003768</v>
      </c>
      <c r="X392" s="1">
        <f>IF(Octane[[#This Row],[Yaw]]&gt;V391,(360-ABS(Octane[[#This Row],[Yaw]])-ABS(V391)),ABS(Octane[[#This Row],[Yaw]]-V391))</f>
        <v>0.94697064462740066</v>
      </c>
      <c r="Y392" s="1">
        <f>Octane[[#This Row],[Degree change]]+Y391</f>
        <v>314.03255446128912</v>
      </c>
      <c r="Z392" s="1">
        <f>SQRT(Octane[[#This Row],[vel_X]]*Octane[[#This Row],[vel_X]]+Octane[[#This Row],[vel_Y]]*Octane[[#This Row],[vel_Y]]+Octane[[#This Row],[vel_Z]]*Octane[[#This Row],[vel_Z]])</f>
        <v>2299.9962032210879</v>
      </c>
    </row>
    <row r="393" spans="1:26">
      <c r="A393">
        <v>392</v>
      </c>
      <c r="B393" s="1">
        <v>339.33999599999999</v>
      </c>
      <c r="C393" s="1">
        <v>1132.2299800000001</v>
      </c>
      <c r="D393" s="1">
        <v>17.010000000000002</v>
      </c>
      <c r="E393" s="1">
        <v>698.55999799999995</v>
      </c>
      <c r="F393" s="1">
        <v>2191.3298340000001</v>
      </c>
      <c r="G393" s="1">
        <v>8.1199999999999992</v>
      </c>
      <c r="H393" s="1">
        <v>0</v>
      </c>
      <c r="I393" s="1">
        <v>0</v>
      </c>
      <c r="J393" s="1">
        <v>1.9824999999999999</v>
      </c>
      <c r="K393" s="1">
        <v>-2.9429999999999999E-3</v>
      </c>
      <c r="L393" s="1">
        <v>3.7950000000000002E-3</v>
      </c>
      <c r="M393" s="1">
        <v>0.61447200000000002</v>
      </c>
      <c r="N393" s="1">
        <v>0.78892399999999996</v>
      </c>
      <c r="O393">
        <v>1</v>
      </c>
      <c r="P393">
        <v>0</v>
      </c>
      <c r="Q393">
        <v>1</v>
      </c>
      <c r="R393">
        <v>1</v>
      </c>
      <c r="S393">
        <v>1</v>
      </c>
      <c r="T393" s="1">
        <f>SQRT(POWER(Octane[[#This Row],[angvel_X]],2) + POWER(Octane[[#This Row],[angvel_Y]],2) + POWER(Octane[[#This Row],[angvel_Z]],2))</f>
        <v>1.9824999999999999</v>
      </c>
      <c r="U393" s="1">
        <f>DEGREES(ASIN(MAX(-1,MIN(1,2 * (Octane[[#This Row],[quart_W]]*Octane[[#This Row],[quart_Y]] - Octane[[#This Row],[quart_Z]]*Octane[[#This Row],[quart_X]])))))</f>
        <v>0.55031811450737289</v>
      </c>
      <c r="V39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14.171835660375859</v>
      </c>
      <c r="W39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89.998840519665535</v>
      </c>
      <c r="X393" s="1">
        <f>IF(Octane[[#This Row],[Yaw]]&gt;V392,(360-ABS(Octane[[#This Row],[Yaw]])-ABS(V392)),ABS(Octane[[#This Row],[Yaw]]-V392))</f>
        <v>0.9466149574060001</v>
      </c>
      <c r="Y393" s="1">
        <f>Octane[[#This Row],[Degree change]]+Y392</f>
        <v>314.97916941869511</v>
      </c>
      <c r="Z393" s="1">
        <f>SQRT(Octane[[#This Row],[vel_X]]*Octane[[#This Row],[vel_X]]+Octane[[#This Row],[vel_Y]]*Octane[[#This Row],[vel_Y]]+Octane[[#This Row],[vel_Z]]*Octane[[#This Row],[vel_Z]])</f>
        <v>2299.9953144700594</v>
      </c>
    </row>
    <row r="394" spans="1:26">
      <c r="A394">
        <v>393</v>
      </c>
      <c r="B394" s="1">
        <v>345.17999300000002</v>
      </c>
      <c r="C394" s="1">
        <v>1150.559937</v>
      </c>
      <c r="D394" s="1">
        <v>17.010000000000002</v>
      </c>
      <c r="E394" s="1">
        <v>662.26000999999997</v>
      </c>
      <c r="F394" s="1">
        <v>2202.570068</v>
      </c>
      <c r="G394" s="1">
        <v>8.1199999999999992</v>
      </c>
      <c r="H394" s="1">
        <v>0</v>
      </c>
      <c r="I394" s="1">
        <v>0</v>
      </c>
      <c r="J394" s="1">
        <v>1.9824999999999999</v>
      </c>
      <c r="K394" s="1">
        <v>-2.9750000000000002E-3</v>
      </c>
      <c r="L394" s="1">
        <v>3.7680000000000001E-3</v>
      </c>
      <c r="M394" s="1">
        <v>0.62096799999999996</v>
      </c>
      <c r="N394" s="1">
        <v>0.78382099999999999</v>
      </c>
      <c r="O394">
        <v>1</v>
      </c>
      <c r="P394">
        <v>0</v>
      </c>
      <c r="Q394">
        <v>1</v>
      </c>
      <c r="R394">
        <v>1</v>
      </c>
      <c r="S394">
        <v>1</v>
      </c>
      <c r="T394" s="1">
        <f>SQRT(POWER(Octane[[#This Row],[angvel_X]],2) + POWER(Octane[[#This Row],[angvel_Y]],2) + POWER(Octane[[#This Row],[angvel_Z]],2))</f>
        <v>1.9824999999999999</v>
      </c>
      <c r="U394" s="1">
        <f>DEGREES(ASIN(MAX(-1,MIN(1,2 * (Octane[[#This Row],[quart_W]]*Octane[[#This Row],[quart_Y]] - Octane[[#This Row],[quart_Z]]*Octane[[#This Row],[quart_X]])))))</f>
        <v>0.55014159548904473</v>
      </c>
      <c r="V39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13.225237959649112</v>
      </c>
      <c r="W39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89.999090106922338</v>
      </c>
      <c r="X394" s="1">
        <f>IF(Octane[[#This Row],[Yaw]]&gt;V393,(360-ABS(Octane[[#This Row],[Yaw]])-ABS(V393)),ABS(Octane[[#This Row],[Yaw]]-V393))</f>
        <v>0.94659770072674654</v>
      </c>
      <c r="Y394" s="1">
        <f>Octane[[#This Row],[Degree change]]+Y393</f>
        <v>315.92576711942183</v>
      </c>
      <c r="Z394" s="1">
        <f>SQRT(Octane[[#This Row],[vel_X]]*Octane[[#This Row],[vel_X]]+Octane[[#This Row],[vel_Y]]*Octane[[#This Row],[vel_Y]]+Octane[[#This Row],[vel_Z]]*Octane[[#This Row],[vel_Z]])</f>
        <v>2299.9932955760378</v>
      </c>
    </row>
    <row r="395" spans="1:26">
      <c r="A395">
        <v>394</v>
      </c>
      <c r="B395" s="1">
        <v>350.709991</v>
      </c>
      <c r="C395" s="1">
        <v>1168.9799800000001</v>
      </c>
      <c r="D395" s="1">
        <v>17.010000000000002</v>
      </c>
      <c r="E395" s="1">
        <v>625.77996800000005</v>
      </c>
      <c r="F395" s="1">
        <v>2213.209961</v>
      </c>
      <c r="G395" s="1">
        <v>8.1199999999999992</v>
      </c>
      <c r="H395" s="1">
        <v>0</v>
      </c>
      <c r="I395" s="1">
        <v>0</v>
      </c>
      <c r="J395" s="1">
        <v>1.9824999999999999</v>
      </c>
      <c r="K395" s="1">
        <v>-3.0079999999999998E-3</v>
      </c>
      <c r="L395" s="1">
        <v>3.741E-3</v>
      </c>
      <c r="M395" s="1">
        <v>0.62741999999999998</v>
      </c>
      <c r="N395" s="1">
        <v>0.77866599999999997</v>
      </c>
      <c r="O395">
        <v>1</v>
      </c>
      <c r="P395">
        <v>0</v>
      </c>
      <c r="Q395">
        <v>1</v>
      </c>
      <c r="R395">
        <v>1</v>
      </c>
      <c r="S395">
        <v>1</v>
      </c>
      <c r="T395" s="1">
        <f>SQRT(POWER(Octane[[#This Row],[angvel_X]],2) + POWER(Octane[[#This Row],[angvel_Y]],2) + POWER(Octane[[#This Row],[angvel_Z]],2))</f>
        <v>1.9824999999999999</v>
      </c>
      <c r="U395" s="1">
        <f>DEGREES(ASIN(MAX(-1,MIN(1,2 * (Octane[[#This Row],[quart_W]]*Octane[[#This Row],[quart_Y]] - Octane[[#This Row],[quart_Z]]*Octane[[#This Row],[quart_X]])))))</f>
        <v>0.55007874347645513</v>
      </c>
      <c r="V39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12.278876426147416</v>
      </c>
      <c r="W39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89.999432643419809</v>
      </c>
      <c r="X395" s="1">
        <f>IF(Octane[[#This Row],[Yaw]]&gt;V394,(360-ABS(Octane[[#This Row],[Yaw]])-ABS(V394)),ABS(Octane[[#This Row],[Yaw]]-V394))</f>
        <v>0.94636153350169572</v>
      </c>
      <c r="Y395" s="1">
        <f>Octane[[#This Row],[Degree change]]+Y394</f>
        <v>316.87212865292355</v>
      </c>
      <c r="Z395" s="1">
        <f>SQRT(Octane[[#This Row],[vel_X]]*Octane[[#This Row],[vel_X]]+Octane[[#This Row],[vel_Y]]*Octane[[#This Row],[vel_Y]]+Octane[[#This Row],[vel_Z]]*Octane[[#This Row],[vel_Z]])</f>
        <v>2299.9923552524479</v>
      </c>
    </row>
    <row r="396" spans="1:26">
      <c r="A396">
        <v>395</v>
      </c>
      <c r="B396" s="1">
        <v>355.94000199999999</v>
      </c>
      <c r="C396" s="1">
        <v>1187.48999</v>
      </c>
      <c r="D396" s="1">
        <v>17.010000000000002</v>
      </c>
      <c r="E396" s="1">
        <v>589.13000499999998</v>
      </c>
      <c r="F396" s="1">
        <v>2223.25</v>
      </c>
      <c r="G396" s="1">
        <v>8.1199999999999992</v>
      </c>
      <c r="H396" s="1">
        <v>0</v>
      </c>
      <c r="I396" s="1">
        <v>0</v>
      </c>
      <c r="J396" s="1">
        <v>1.9824999999999999</v>
      </c>
      <c r="K396" s="1">
        <v>-3.0400000000000002E-3</v>
      </c>
      <c r="L396" s="1">
        <v>3.7139999999999999E-3</v>
      </c>
      <c r="M396" s="1">
        <v>0.63382899999999998</v>
      </c>
      <c r="N396" s="1">
        <v>0.77345799999999998</v>
      </c>
      <c r="O396">
        <v>1</v>
      </c>
      <c r="P396">
        <v>0</v>
      </c>
      <c r="Q396">
        <v>1</v>
      </c>
      <c r="R396">
        <v>1</v>
      </c>
      <c r="S396">
        <v>1</v>
      </c>
      <c r="T396" s="1">
        <f>SQRT(POWER(Octane[[#This Row],[angvel_X]],2) + POWER(Octane[[#This Row],[angvel_Y]],2) + POWER(Octane[[#This Row],[angvel_Z]],2))</f>
        <v>1.9824999999999999</v>
      </c>
      <c r="U396" s="1">
        <f>DEGREES(ASIN(MAX(-1,MIN(1,2 * (Octane[[#This Row],[quart_W]]*Octane[[#This Row],[quart_Y]] - Octane[[#This Row],[quart_Z]]*Octane[[#This Row],[quart_X]])))))</f>
        <v>0.54998641349047084</v>
      </c>
      <c r="V39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11.3325462185789</v>
      </c>
      <c r="W39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89.999687312670588</v>
      </c>
      <c r="X396" s="1">
        <f>IF(Octane[[#This Row],[Yaw]]&gt;V395,(360-ABS(Octane[[#This Row],[Yaw]])-ABS(V395)),ABS(Octane[[#This Row],[Yaw]]-V395))</f>
        <v>0.94633020756851671</v>
      </c>
      <c r="Y396" s="1">
        <f>Octane[[#This Row],[Degree change]]+Y395</f>
        <v>317.81845886049206</v>
      </c>
      <c r="Z396" s="1">
        <f>SQRT(Octane[[#This Row],[vel_X]]*Octane[[#This Row],[vel_X]]+Octane[[#This Row],[vel_Y]]*Octane[[#This Row],[vel_Y]]+Octane[[#This Row],[vel_Z]]*Octane[[#This Row],[vel_Z]])</f>
        <v>2299.9957955812224</v>
      </c>
    </row>
    <row r="397" spans="1:26">
      <c r="A397">
        <v>396</v>
      </c>
      <c r="B397" s="1">
        <v>360.85998499999999</v>
      </c>
      <c r="C397" s="1">
        <v>1206.079956</v>
      </c>
      <c r="D397" s="1">
        <v>17.010000000000002</v>
      </c>
      <c r="E397" s="1">
        <v>552.32000700000003</v>
      </c>
      <c r="F397" s="1">
        <v>2232.679932</v>
      </c>
      <c r="G397" s="1">
        <v>8.1199999999999992</v>
      </c>
      <c r="H397" s="1">
        <v>0</v>
      </c>
      <c r="I397" s="1">
        <v>0</v>
      </c>
      <c r="J397" s="1">
        <v>1.9824999999999999</v>
      </c>
      <c r="K397" s="1">
        <v>-3.0720000000000001E-3</v>
      </c>
      <c r="L397" s="1">
        <v>3.6870000000000002E-3</v>
      </c>
      <c r="M397" s="1">
        <v>0.64019499999999996</v>
      </c>
      <c r="N397" s="1">
        <v>0.76819800000000005</v>
      </c>
      <c r="O397">
        <v>1</v>
      </c>
      <c r="P397">
        <v>0</v>
      </c>
      <c r="Q397">
        <v>1</v>
      </c>
      <c r="R397">
        <v>1</v>
      </c>
      <c r="S397">
        <v>1</v>
      </c>
      <c r="T397" s="1">
        <f>SQRT(POWER(Octane[[#This Row],[angvel_X]],2) + POWER(Octane[[#This Row],[angvel_Y]],2) + POWER(Octane[[#This Row],[angvel_Z]],2))</f>
        <v>1.9824999999999999</v>
      </c>
      <c r="U397" s="1">
        <f>DEGREES(ASIN(MAX(-1,MIN(1,2 * (Octane[[#This Row],[quart_W]]*Octane[[#This Row],[quart_Y]] - Octane[[#This Row],[quart_Z]]*Octane[[#This Row],[quart_X]])))))</f>
        <v>0.54993620792811537</v>
      </c>
      <c r="V39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10.386169425762329</v>
      </c>
      <c r="W39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89.999943307913071</v>
      </c>
      <c r="X397" s="1">
        <f>IF(Octane[[#This Row],[Yaw]]&gt;V396,(360-ABS(Octane[[#This Row],[Yaw]])-ABS(V396)),ABS(Octane[[#This Row],[Yaw]]-V396))</f>
        <v>0.9463767928165705</v>
      </c>
      <c r="Y397" s="1">
        <f>Octane[[#This Row],[Degree change]]+Y396</f>
        <v>318.76483565330864</v>
      </c>
      <c r="Z397" s="1">
        <f>SQRT(Octane[[#This Row],[vel_X]]*Octane[[#This Row],[vel_X]]+Octane[[#This Row],[vel_Y]]*Octane[[#This Row],[vel_Y]]+Octane[[#This Row],[vel_Z]]*Octane[[#This Row],[vel_Z]])</f>
        <v>2299.9963050596416</v>
      </c>
    </row>
    <row r="398" spans="1:26">
      <c r="A398">
        <v>397</v>
      </c>
      <c r="B398" s="1">
        <v>365.47998000000001</v>
      </c>
      <c r="C398" s="1">
        <v>1224.75</v>
      </c>
      <c r="D398" s="1">
        <v>17.010000000000002</v>
      </c>
      <c r="E398" s="1">
        <v>515.35998500000005</v>
      </c>
      <c r="F398" s="1">
        <v>2241.5</v>
      </c>
      <c r="G398" s="1">
        <v>8.1199999999999992</v>
      </c>
      <c r="H398" s="1">
        <v>0</v>
      </c>
      <c r="I398" s="1">
        <v>0</v>
      </c>
      <c r="J398" s="1">
        <v>1.9824999999999999</v>
      </c>
      <c r="K398" s="1">
        <v>-3.1050000000000001E-3</v>
      </c>
      <c r="L398" s="1">
        <v>3.6600000000000001E-3</v>
      </c>
      <c r="M398" s="1">
        <v>0.64651800000000004</v>
      </c>
      <c r="N398" s="1">
        <v>0.76288400000000001</v>
      </c>
      <c r="O398">
        <v>1</v>
      </c>
      <c r="P398">
        <v>0</v>
      </c>
      <c r="Q398">
        <v>1</v>
      </c>
      <c r="R398">
        <v>1</v>
      </c>
      <c r="S398">
        <v>1</v>
      </c>
      <c r="T398" s="1">
        <f>SQRT(POWER(Octane[[#This Row],[angvel_X]],2) + POWER(Octane[[#This Row],[angvel_Y]],2) + POWER(Octane[[#This Row],[angvel_Z]],2))</f>
        <v>1.9824999999999999</v>
      </c>
      <c r="U398" s="1">
        <f>DEGREES(ASIN(MAX(-1,MIN(1,2 * (Octane[[#This Row],[quart_W]]*Octane[[#This Row],[quart_Y]] - Octane[[#This Row],[quart_Z]]*Octane[[#This Row],[quart_X]])))))</f>
        <v>0.55000138648422603</v>
      </c>
      <c r="V39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9.4397072859815143</v>
      </c>
      <c r="W39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90.000286370624522</v>
      </c>
      <c r="X398" s="1">
        <f>IF(Octane[[#This Row],[Yaw]]&gt;V397,(360-ABS(Octane[[#This Row],[Yaw]])-ABS(V397)),ABS(Octane[[#This Row],[Yaw]]-V397))</f>
        <v>0.94646213978081484</v>
      </c>
      <c r="Y398" s="1">
        <f>Octane[[#This Row],[Degree change]]+Y397</f>
        <v>319.71129779308944</v>
      </c>
      <c r="Z398" s="1">
        <f>SQRT(Octane[[#This Row],[vel_X]]*Octane[[#This Row],[vel_X]]+Octane[[#This Row],[vel_Y]]*Octane[[#This Row],[vel_Y]]+Octane[[#This Row],[vel_Z]]*Octane[[#This Row],[vel_Z]])</f>
        <v>2299.9965431580977</v>
      </c>
    </row>
    <row r="399" spans="1:26">
      <c r="A399">
        <v>398</v>
      </c>
      <c r="B399" s="1">
        <v>369.78997800000002</v>
      </c>
      <c r="C399" s="1">
        <v>1243.5</v>
      </c>
      <c r="D399" s="1">
        <v>17.010000000000002</v>
      </c>
      <c r="E399" s="1">
        <v>478.25997899999999</v>
      </c>
      <c r="F399" s="1">
        <v>2249.6999510000001</v>
      </c>
      <c r="G399" s="1">
        <v>8.1199999999999992</v>
      </c>
      <c r="H399" s="1">
        <v>0</v>
      </c>
      <c r="I399" s="1">
        <v>0</v>
      </c>
      <c r="J399" s="1">
        <v>1.9824999999999999</v>
      </c>
      <c r="K399" s="1">
        <v>-3.137E-3</v>
      </c>
      <c r="L399" s="1">
        <v>3.6329999999999999E-3</v>
      </c>
      <c r="M399" s="1">
        <v>0.65279699999999996</v>
      </c>
      <c r="N399" s="1">
        <v>0.75751800000000002</v>
      </c>
      <c r="O399">
        <v>1</v>
      </c>
      <c r="P399">
        <v>0</v>
      </c>
      <c r="Q399">
        <v>1</v>
      </c>
      <c r="R399">
        <v>1</v>
      </c>
      <c r="S399">
        <v>1</v>
      </c>
      <c r="T399" s="1">
        <f>SQRT(POWER(Octane[[#This Row],[angvel_X]],2) + POWER(Octane[[#This Row],[angvel_Y]],2) + POWER(Octane[[#This Row],[angvel_Z]],2))</f>
        <v>1.9824999999999999</v>
      </c>
      <c r="U399" s="1">
        <f>DEGREES(ASIN(MAX(-1,MIN(1,2 * (Octane[[#This Row],[quart_W]]*Octane[[#This Row],[quart_Y]] - Octane[[#This Row],[quart_Z]]*Octane[[#This Row],[quart_X]])))))</f>
        <v>0.55003499235111175</v>
      </c>
      <c r="V39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8.4932272036165379</v>
      </c>
      <c r="W39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90.000541179563754</v>
      </c>
      <c r="X399" s="1">
        <f>IF(Octane[[#This Row],[Yaw]]&gt;V398,(360-ABS(Octane[[#This Row],[Yaw]])-ABS(V398)),ABS(Octane[[#This Row],[Yaw]]-V398))</f>
        <v>0.94648008236497638</v>
      </c>
      <c r="Y399" s="1">
        <f>Octane[[#This Row],[Degree change]]+Y398</f>
        <v>320.65777787545443</v>
      </c>
      <c r="Z399" s="1">
        <f>SQRT(Octane[[#This Row],[vel_X]]*Octane[[#This Row],[vel_X]]+Octane[[#This Row],[vel_Y]]*Octane[[#This Row],[vel_Y]]+Octane[[#This Row],[vel_Z]]*Octane[[#This Row],[vel_Z]])</f>
        <v>2299.9887850688497</v>
      </c>
    </row>
    <row r="400" spans="1:26">
      <c r="A400">
        <v>399</v>
      </c>
      <c r="B400" s="1">
        <v>373.78997800000002</v>
      </c>
      <c r="C400" s="1">
        <v>1262.3199460000001</v>
      </c>
      <c r="D400" s="1">
        <v>17.010000000000002</v>
      </c>
      <c r="E400" s="1">
        <v>441.02999899999998</v>
      </c>
      <c r="F400" s="1">
        <v>2257.3000489999999</v>
      </c>
      <c r="G400" s="1">
        <v>8.1199999999999992</v>
      </c>
      <c r="H400" s="1">
        <v>0</v>
      </c>
      <c r="I400" s="1">
        <v>0</v>
      </c>
      <c r="J400" s="1">
        <v>1.9824999999999999</v>
      </c>
      <c r="K400" s="1">
        <v>-3.1689999999999999E-3</v>
      </c>
      <c r="L400" s="1">
        <v>3.6059999999999998E-3</v>
      </c>
      <c r="M400" s="1">
        <v>0.65903299999999998</v>
      </c>
      <c r="N400" s="1">
        <v>0.75209800000000004</v>
      </c>
      <c r="O400">
        <v>1</v>
      </c>
      <c r="P400">
        <v>0</v>
      </c>
      <c r="Q400">
        <v>1</v>
      </c>
      <c r="R400">
        <v>1</v>
      </c>
      <c r="S400">
        <v>1</v>
      </c>
      <c r="T400" s="1">
        <f>SQRT(POWER(Octane[[#This Row],[angvel_X]],2) + POWER(Octane[[#This Row],[angvel_Y]],2) + POWER(Octane[[#This Row],[angvel_Z]],2))</f>
        <v>1.9824999999999999</v>
      </c>
      <c r="U400" s="1">
        <f>DEGREES(ASIN(MAX(-1,MIN(1,2 * (Octane[[#This Row],[quart_W]]*Octane[[#This Row],[quart_Y]] - Octane[[#This Row],[quart_Z]]*Octane[[#This Row],[quart_X]])))))</f>
        <v>0.55010992516220247</v>
      </c>
      <c r="V40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7.5465227232472394</v>
      </c>
      <c r="W40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90.000793647756325</v>
      </c>
      <c r="X400" s="1">
        <f>IF(Octane[[#This Row],[Yaw]]&gt;V399,(360-ABS(Octane[[#This Row],[Yaw]])-ABS(V399)),ABS(Octane[[#This Row],[Yaw]]-V399))</f>
        <v>0.94670448036929855</v>
      </c>
      <c r="Y400" s="1">
        <f>Octane[[#This Row],[Degree change]]+Y399</f>
        <v>321.60448235582373</v>
      </c>
      <c r="Z400" s="1">
        <f>SQRT(Octane[[#This Row],[vel_X]]*Octane[[#This Row],[vel_X]]+Octane[[#This Row],[vel_Y]]*Octane[[#This Row],[vel_Y]]+Octane[[#This Row],[vel_Z]]*Octane[[#This Row],[vel_Z]])</f>
        <v>2299.9949794800295</v>
      </c>
    </row>
    <row r="401" spans="1:26">
      <c r="A401">
        <v>400</v>
      </c>
      <c r="B401" s="1">
        <v>377.47000100000002</v>
      </c>
      <c r="C401" s="1">
        <v>1281.1999510000001</v>
      </c>
      <c r="D401" s="1">
        <v>17.010000000000002</v>
      </c>
      <c r="E401" s="1">
        <v>403.67999300000002</v>
      </c>
      <c r="F401" s="1">
        <v>2264.280029</v>
      </c>
      <c r="G401" s="1">
        <v>8.1199999999999992</v>
      </c>
      <c r="H401" s="1">
        <v>0</v>
      </c>
      <c r="I401" s="1">
        <v>0</v>
      </c>
      <c r="J401" s="1">
        <v>1.9824999999999999</v>
      </c>
      <c r="K401" s="1">
        <v>-3.202E-3</v>
      </c>
      <c r="L401" s="1">
        <v>3.5790000000000001E-3</v>
      </c>
      <c r="M401" s="1">
        <v>0.66522099999999995</v>
      </c>
      <c r="N401" s="1">
        <v>0.74663100000000004</v>
      </c>
      <c r="O401">
        <v>1</v>
      </c>
      <c r="P401">
        <v>0</v>
      </c>
      <c r="Q401">
        <v>1</v>
      </c>
      <c r="R401">
        <v>1</v>
      </c>
      <c r="S401">
        <v>1</v>
      </c>
      <c r="T401" s="1">
        <f>SQRT(POWER(Octane[[#This Row],[angvel_X]],2) + POWER(Octane[[#This Row],[angvel_Y]],2) + POWER(Octane[[#This Row],[angvel_Z]],2))</f>
        <v>1.9824999999999999</v>
      </c>
      <c r="U401" s="1">
        <f>DEGREES(ASIN(MAX(-1,MIN(1,2 * (Octane[[#This Row],[quart_W]]*Octane[[#This Row],[quart_Y]] - Octane[[#This Row],[quart_Z]]*Octane[[#This Row],[quart_X]])))))</f>
        <v>0.55030348220924219</v>
      </c>
      <c r="V40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6.6002645107717122</v>
      </c>
      <c r="W40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90.001132962048786</v>
      </c>
      <c r="X401" s="1">
        <f>IF(Octane[[#This Row],[Yaw]]&gt;V400,(360-ABS(Octane[[#This Row],[Yaw]])-ABS(V400)),ABS(Octane[[#This Row],[Yaw]]-V400))</f>
        <v>0.94625821247552722</v>
      </c>
      <c r="Y401" s="1">
        <f>Octane[[#This Row],[Degree change]]+Y400</f>
        <v>322.55074056829926</v>
      </c>
      <c r="Z401" s="1">
        <f>SQRT(Octane[[#This Row],[vel_X]]*Octane[[#This Row],[vel_X]]+Octane[[#This Row],[vel_Y]]*Octane[[#This Row],[vel_Y]]+Octane[[#This Row],[vel_Z]]*Octane[[#This Row],[vel_Z]])</f>
        <v>2299.9972871455134</v>
      </c>
    </row>
    <row r="402" spans="1:26">
      <c r="A402">
        <v>401</v>
      </c>
      <c r="B402" s="1">
        <v>380.83999599999999</v>
      </c>
      <c r="C402" s="1">
        <v>1300.1400149999999</v>
      </c>
      <c r="D402" s="1">
        <v>17.010000000000002</v>
      </c>
      <c r="E402" s="1">
        <v>366.22000100000002</v>
      </c>
      <c r="F402" s="1">
        <v>2270.639893</v>
      </c>
      <c r="G402" s="1">
        <v>8.1199999999999992</v>
      </c>
      <c r="H402" s="1">
        <v>0</v>
      </c>
      <c r="I402" s="1">
        <v>0</v>
      </c>
      <c r="J402" s="1">
        <v>1.9824999999999999</v>
      </c>
      <c r="K402" s="1">
        <v>-3.2290000000000001E-3</v>
      </c>
      <c r="L402" s="1">
        <v>3.552E-3</v>
      </c>
      <c r="M402" s="1">
        <v>0.67136600000000002</v>
      </c>
      <c r="N402" s="1">
        <v>0.74111000000000005</v>
      </c>
      <c r="O402">
        <v>1</v>
      </c>
      <c r="P402">
        <v>0</v>
      </c>
      <c r="Q402">
        <v>1</v>
      </c>
      <c r="R402">
        <v>1</v>
      </c>
      <c r="S402">
        <v>1</v>
      </c>
      <c r="T402" s="1">
        <f>SQRT(POWER(Octane[[#This Row],[angvel_X]],2) + POWER(Octane[[#This Row],[angvel_Y]],2) + POWER(Octane[[#This Row],[angvel_Z]],2))</f>
        <v>1.9824999999999999</v>
      </c>
      <c r="U402" s="1">
        <f>DEGREES(ASIN(MAX(-1,MIN(1,2 * (Octane[[#This Row],[quart_W]]*Octane[[#This Row],[quart_Y]] - Octane[[#This Row],[quart_Z]]*Octane[[#This Row],[quart_X]])))))</f>
        <v>0.55007813244610237</v>
      </c>
      <c r="V40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5.6536495813850838</v>
      </c>
      <c r="W40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90.000957130916973</v>
      </c>
      <c r="X402" s="1">
        <f>IF(Octane[[#This Row],[Yaw]]&gt;V401,(360-ABS(Octane[[#This Row],[Yaw]])-ABS(V401)),ABS(Octane[[#This Row],[Yaw]]-V401))</f>
        <v>0.94661492938662839</v>
      </c>
      <c r="Y402" s="1">
        <f>Octane[[#This Row],[Degree change]]+Y401</f>
        <v>323.49735549768587</v>
      </c>
      <c r="Z402" s="1">
        <f>SQRT(Octane[[#This Row],[vel_X]]*Octane[[#This Row],[vel_X]]+Octane[[#This Row],[vel_Y]]*Octane[[#This Row],[vel_Y]]+Octane[[#This Row],[vel_Z]]*Octane[[#This Row],[vel_Z]])</f>
        <v>2299.9975102628896</v>
      </c>
    </row>
    <row r="403" spans="1:26">
      <c r="A403">
        <v>402</v>
      </c>
      <c r="B403" s="1">
        <v>383.89999399999999</v>
      </c>
      <c r="C403" s="1">
        <v>1319.130005</v>
      </c>
      <c r="D403" s="1">
        <v>17.010000000000002</v>
      </c>
      <c r="E403" s="1">
        <v>328.66000400000001</v>
      </c>
      <c r="F403" s="1">
        <v>2276.3798830000001</v>
      </c>
      <c r="G403" s="1">
        <v>8.1199999999999992</v>
      </c>
      <c r="H403" s="1">
        <v>0</v>
      </c>
      <c r="I403" s="1">
        <v>0</v>
      </c>
      <c r="J403" s="1">
        <v>1.9824999999999999</v>
      </c>
      <c r="K403" s="1">
        <v>-3.2560000000000002E-3</v>
      </c>
      <c r="L403" s="1">
        <v>3.5260000000000001E-3</v>
      </c>
      <c r="M403" s="1">
        <v>0.67746799999999996</v>
      </c>
      <c r="N403" s="1">
        <v>0.735537</v>
      </c>
      <c r="O403">
        <v>1</v>
      </c>
      <c r="P403">
        <v>0</v>
      </c>
      <c r="Q403">
        <v>1</v>
      </c>
      <c r="R403">
        <v>1</v>
      </c>
      <c r="S403">
        <v>1</v>
      </c>
      <c r="T403" s="1">
        <f>SQRT(POWER(Octane[[#This Row],[angvel_X]],2) + POWER(Octane[[#This Row],[angvel_Y]],2) + POWER(Octane[[#This Row],[angvel_Z]],2))</f>
        <v>1.9824999999999999</v>
      </c>
      <c r="U403" s="1">
        <f>DEGREES(ASIN(MAX(-1,MIN(1,2 * (Octane[[#This Row],[quart_W]]*Octane[[#This Row],[quart_Y]] - Octane[[#This Row],[quart_Z]]*Octane[[#This Row],[quart_X]])))))</f>
        <v>0.54997221471299285</v>
      </c>
      <c r="V40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4.7065870484406602</v>
      </c>
      <c r="W40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90.000705492974106</v>
      </c>
      <c r="X403" s="1">
        <f>IF(Octane[[#This Row],[Yaw]]&gt;V402,(360-ABS(Octane[[#This Row],[Yaw]])-ABS(V402)),ABS(Octane[[#This Row],[Yaw]]-V402))</f>
        <v>0.94706253294442355</v>
      </c>
      <c r="Y403" s="1">
        <f>Octane[[#This Row],[Degree change]]+Y402</f>
        <v>324.44441803063029</v>
      </c>
      <c r="Z403" s="1">
        <f>SQRT(Octane[[#This Row],[vel_X]]*Octane[[#This Row],[vel_X]]+Octane[[#This Row],[vel_Y]]*Octane[[#This Row],[vel_Y]]+Octane[[#This Row],[vel_Z]]*Octane[[#This Row],[vel_Z]])</f>
        <v>2299.9975444239881</v>
      </c>
    </row>
    <row r="404" spans="1:26">
      <c r="A404">
        <v>403</v>
      </c>
      <c r="B404" s="1">
        <v>386.63998400000003</v>
      </c>
      <c r="C404" s="1">
        <v>1338.169922</v>
      </c>
      <c r="D404" s="1">
        <v>17.010000000000002</v>
      </c>
      <c r="E404" s="1">
        <v>291.00997899999999</v>
      </c>
      <c r="F404" s="1">
        <v>2281.5</v>
      </c>
      <c r="G404" s="1">
        <v>8.1199999999999992</v>
      </c>
      <c r="H404" s="1">
        <v>0</v>
      </c>
      <c r="I404" s="1">
        <v>0</v>
      </c>
      <c r="J404" s="1">
        <v>1.9824999999999999</v>
      </c>
      <c r="K404" s="1">
        <v>-3.2829999999999999E-3</v>
      </c>
      <c r="L404" s="1">
        <v>3.4989999999999999E-3</v>
      </c>
      <c r="M404" s="1">
        <v>0.68352000000000002</v>
      </c>
      <c r="N404" s="1">
        <v>0.72991499999999998</v>
      </c>
      <c r="O404">
        <v>1</v>
      </c>
      <c r="P404">
        <v>0</v>
      </c>
      <c r="Q404">
        <v>1</v>
      </c>
      <c r="R404">
        <v>1</v>
      </c>
      <c r="S404">
        <v>1</v>
      </c>
      <c r="T404" s="1">
        <f>SQRT(POWER(Octane[[#This Row],[angvel_X]],2) + POWER(Octane[[#This Row],[angvel_Y]],2) + POWER(Octane[[#This Row],[angvel_Z]],2))</f>
        <v>1.9824999999999999</v>
      </c>
      <c r="U404" s="1">
        <f>DEGREES(ASIN(MAX(-1,MIN(1,2 * (Octane[[#This Row],[quart_W]]*Octane[[#This Row],[quart_Y]] - Octane[[#This Row],[quart_Z]]*Octane[[#This Row],[quart_X]])))))</f>
        <v>0.54981515688322546</v>
      </c>
      <c r="V40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3.7601237914248324</v>
      </c>
      <c r="W40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90.000535678895773</v>
      </c>
      <c r="X404" s="1">
        <f>IF(Octane[[#This Row],[Yaw]]&gt;V403,(360-ABS(Octane[[#This Row],[Yaw]])-ABS(V403)),ABS(Octane[[#This Row],[Yaw]]-V403))</f>
        <v>0.94646325701582779</v>
      </c>
      <c r="Y404" s="1">
        <f>Octane[[#This Row],[Degree change]]+Y403</f>
        <v>325.3908812876461</v>
      </c>
      <c r="Z404" s="1">
        <f>SQRT(Octane[[#This Row],[vel_X]]*Octane[[#This Row],[vel_X]]+Octane[[#This Row],[vel_Y]]*Octane[[#This Row],[vel_Y]]+Octane[[#This Row],[vel_Z]]*Octane[[#This Row],[vel_Z]])</f>
        <v>2299.9989113644338</v>
      </c>
    </row>
    <row r="405" spans="1:26">
      <c r="A405">
        <v>404</v>
      </c>
      <c r="B405" s="1">
        <v>389.06997699999999</v>
      </c>
      <c r="C405" s="1">
        <v>1357.25</v>
      </c>
      <c r="D405" s="1">
        <v>17.010000000000002</v>
      </c>
      <c r="E405" s="1">
        <v>253.279999</v>
      </c>
      <c r="F405" s="1">
        <v>2285.98999</v>
      </c>
      <c r="G405" s="1">
        <v>8.1199999999999992</v>
      </c>
      <c r="H405" s="1">
        <v>0</v>
      </c>
      <c r="I405" s="1">
        <v>0</v>
      </c>
      <c r="J405" s="1">
        <v>1.9824999999999999</v>
      </c>
      <c r="K405" s="1">
        <v>-3.31E-3</v>
      </c>
      <c r="L405" s="1">
        <v>3.4719999999999998E-3</v>
      </c>
      <c r="M405" s="1">
        <v>0.68952500000000005</v>
      </c>
      <c r="N405" s="1">
        <v>0.72424599999999995</v>
      </c>
      <c r="O405">
        <v>1</v>
      </c>
      <c r="P405">
        <v>0</v>
      </c>
      <c r="Q405">
        <v>1</v>
      </c>
      <c r="R405">
        <v>1</v>
      </c>
      <c r="S405">
        <v>1</v>
      </c>
      <c r="T405" s="1">
        <f>SQRT(POWER(Octane[[#This Row],[angvel_X]],2) + POWER(Octane[[#This Row],[angvel_Y]],2) + POWER(Octane[[#This Row],[angvel_Z]],2))</f>
        <v>1.9824999999999999</v>
      </c>
      <c r="U405" s="1">
        <f>DEGREES(ASIN(MAX(-1,MIN(1,2 * (Octane[[#This Row],[quart_W]]*Octane[[#This Row],[quart_Y]] - Octane[[#This Row],[quart_Z]]*Octane[[#This Row],[quart_X]])))))</f>
        <v>0.54969381224370384</v>
      </c>
      <c r="V40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2.8137060264918592</v>
      </c>
      <c r="W40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90.0003693983072</v>
      </c>
      <c r="X405" s="1">
        <f>IF(Octane[[#This Row],[Yaw]]&gt;V404,(360-ABS(Octane[[#This Row],[Yaw]])-ABS(V404)),ABS(Octane[[#This Row],[Yaw]]-V404))</f>
        <v>0.94641776493297325</v>
      </c>
      <c r="Y405" s="1">
        <f>Octane[[#This Row],[Degree change]]+Y404</f>
        <v>326.33729905257906</v>
      </c>
      <c r="Z405" s="1">
        <f>SQRT(Octane[[#This Row],[vel_X]]*Octane[[#This Row],[vel_X]]+Octane[[#This Row],[vel_Y]]*Octane[[#This Row],[vel_Y]]+Octane[[#This Row],[vel_Z]]*Octane[[#This Row],[vel_Z]])</f>
        <v>2299.9928101352057</v>
      </c>
    </row>
    <row r="406" spans="1:26">
      <c r="A406">
        <v>405</v>
      </c>
      <c r="B406" s="1">
        <v>391.17999300000002</v>
      </c>
      <c r="C406" s="1">
        <v>1376.369995</v>
      </c>
      <c r="D406" s="1">
        <v>17.010000000000002</v>
      </c>
      <c r="E406" s="1">
        <v>215.479996</v>
      </c>
      <c r="F406" s="1">
        <v>2289.8598630000001</v>
      </c>
      <c r="G406" s="1">
        <v>8.1199999999999992</v>
      </c>
      <c r="H406" s="1">
        <v>0</v>
      </c>
      <c r="I406" s="1">
        <v>0</v>
      </c>
      <c r="J406" s="1">
        <v>1.9824999999999999</v>
      </c>
      <c r="K406" s="1">
        <v>-3.3370000000000001E-3</v>
      </c>
      <c r="L406" s="1">
        <v>3.4450000000000001E-3</v>
      </c>
      <c r="M406" s="1">
        <v>0.69548600000000005</v>
      </c>
      <c r="N406" s="1">
        <v>0.71852300000000002</v>
      </c>
      <c r="O406">
        <v>1</v>
      </c>
      <c r="P406">
        <v>0</v>
      </c>
      <c r="Q406">
        <v>1</v>
      </c>
      <c r="R406">
        <v>1</v>
      </c>
      <c r="S406">
        <v>1</v>
      </c>
      <c r="T406" s="1">
        <f>SQRT(POWER(Octane[[#This Row],[angvel_X]],2) + POWER(Octane[[#This Row],[angvel_Y]],2) + POWER(Octane[[#This Row],[angvel_Z]],2))</f>
        <v>1.9824999999999999</v>
      </c>
      <c r="U406" s="1">
        <f>DEGREES(ASIN(MAX(-1,MIN(1,2 * (Octane[[#This Row],[quart_W]]*Octane[[#This Row],[quart_Y]] - Octane[[#This Row],[quart_Z]]*Octane[[#This Row],[quart_X]])))))</f>
        <v>0.54960656451854173</v>
      </c>
      <c r="V40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1.8668113010634448</v>
      </c>
      <c r="W40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90.000201917439412</v>
      </c>
      <c r="X406" s="1">
        <f>IF(Octane[[#This Row],[Yaw]]&gt;V405,(360-ABS(Octane[[#This Row],[Yaw]])-ABS(V405)),ABS(Octane[[#This Row],[Yaw]]-V405))</f>
        <v>0.94689472542841435</v>
      </c>
      <c r="Y406" s="1">
        <f>Octane[[#This Row],[Degree change]]+Y405</f>
        <v>327.28419377800748</v>
      </c>
      <c r="Z406" s="1">
        <f>SQRT(Octane[[#This Row],[vel_X]]*Octane[[#This Row],[vel_X]]+Octane[[#This Row],[vel_Y]]*Octane[[#This Row],[vel_Y]]+Octane[[#This Row],[vel_Z]]*Octane[[#This Row],[vel_Z]])</f>
        <v>2299.9903815569619</v>
      </c>
    </row>
    <row r="407" spans="1:26">
      <c r="A407">
        <v>406</v>
      </c>
      <c r="B407" s="1">
        <v>392.97998000000001</v>
      </c>
      <c r="C407" s="1">
        <v>1395.5200199999999</v>
      </c>
      <c r="D407" s="1">
        <v>17.010000000000002</v>
      </c>
      <c r="E407" s="1">
        <v>177.61999499999999</v>
      </c>
      <c r="F407" s="1">
        <v>2293.1098630000001</v>
      </c>
      <c r="G407" s="1">
        <v>8.1199999999999992</v>
      </c>
      <c r="H407" s="1">
        <v>0</v>
      </c>
      <c r="I407" s="1">
        <v>0</v>
      </c>
      <c r="J407" s="1">
        <v>1.9824999999999999</v>
      </c>
      <c r="K407" s="1">
        <v>-3.3639999999999998E-3</v>
      </c>
      <c r="L407" s="1">
        <v>3.418E-3</v>
      </c>
      <c r="M407" s="1">
        <v>0.70139899999999999</v>
      </c>
      <c r="N407" s="1">
        <v>0.71275299999999997</v>
      </c>
      <c r="O407">
        <v>1</v>
      </c>
      <c r="P407">
        <v>0</v>
      </c>
      <c r="Q407">
        <v>1</v>
      </c>
      <c r="R407">
        <v>1</v>
      </c>
      <c r="S407">
        <v>1</v>
      </c>
      <c r="T407" s="1">
        <f>SQRT(POWER(Octane[[#This Row],[angvel_X]],2) + POWER(Octane[[#This Row],[angvel_Y]],2) + POWER(Octane[[#This Row],[angvel_Z]],2))</f>
        <v>1.9824999999999999</v>
      </c>
      <c r="U407" s="1">
        <f>DEGREES(ASIN(MAX(-1,MIN(1,2 * (Octane[[#This Row],[quart_W]]*Octane[[#This Row],[quart_Y]] - Octane[[#This Row],[quart_Z]]*Octane[[#This Row],[quart_X]])))))</f>
        <v>0.5495547063584898</v>
      </c>
      <c r="V40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0.91999503356799028</v>
      </c>
      <c r="W40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90.000036591913869</v>
      </c>
      <c r="X407" s="1">
        <f>IF(Octane[[#This Row],[Yaw]]&gt;V406,(360-ABS(Octane[[#This Row],[Yaw]])-ABS(V406)),ABS(Octane[[#This Row],[Yaw]]-V406))</f>
        <v>0.94681626749545456</v>
      </c>
      <c r="Y407" s="1">
        <f>Octane[[#This Row],[Degree change]]+Y406</f>
        <v>328.23101004550296</v>
      </c>
      <c r="Z407" s="1">
        <f>SQRT(Octane[[#This Row],[vel_X]]*Octane[[#This Row],[vel_X]]+Octane[[#This Row],[vel_Y]]*Octane[[#This Row],[vel_Y]]+Octane[[#This Row],[vel_Z]]*Octane[[#This Row],[vel_Z]])</f>
        <v>2299.9929653830854</v>
      </c>
    </row>
    <row r="408" spans="1:26">
      <c r="A408">
        <v>407</v>
      </c>
      <c r="B408" s="1">
        <v>394.459991</v>
      </c>
      <c r="C408" s="1">
        <v>1414.6999510000001</v>
      </c>
      <c r="D408" s="1">
        <v>17.010000000000002</v>
      </c>
      <c r="E408" s="1">
        <v>139.709991</v>
      </c>
      <c r="F408" s="1">
        <v>2295.7299800000001</v>
      </c>
      <c r="G408" s="1">
        <v>8.1199999999999992</v>
      </c>
      <c r="H408" s="1">
        <v>0</v>
      </c>
      <c r="I408" s="1">
        <v>0</v>
      </c>
      <c r="J408" s="1">
        <v>1.9824999999999999</v>
      </c>
      <c r="K408" s="1">
        <v>-3.3909999999999999E-3</v>
      </c>
      <c r="L408" s="1">
        <v>3.3909999999999999E-3</v>
      </c>
      <c r="M408" s="1">
        <v>0.70726299999999998</v>
      </c>
      <c r="N408" s="1">
        <v>0.70693399999999995</v>
      </c>
      <c r="O408">
        <v>1</v>
      </c>
      <c r="P408">
        <v>0</v>
      </c>
      <c r="Q408">
        <v>1</v>
      </c>
      <c r="R408">
        <v>1</v>
      </c>
      <c r="S408">
        <v>1</v>
      </c>
      <c r="T408" s="1">
        <f>SQRT(POWER(Octane[[#This Row],[angvel_X]],2) + POWER(Octane[[#This Row],[angvel_Y]],2) + POWER(Octane[[#This Row],[angvel_Z]],2))</f>
        <v>1.9824999999999999</v>
      </c>
      <c r="U408" s="1">
        <f>DEGREES(ASIN(MAX(-1,MIN(1,2 * (Octane[[#This Row],[quart_W]]*Octane[[#This Row],[quart_Y]] - Octane[[#This Row],[quart_Z]]*Octane[[#This Row],[quart_X]])))))</f>
        <v>0.54953706268673164</v>
      </c>
      <c r="V40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-2.6638049695469092E-2</v>
      </c>
      <c r="W40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89.999872151307216</v>
      </c>
      <c r="X408" s="1">
        <f>IF(Octane[[#This Row],[Yaw]]&gt;V407,(360-ABS(Octane[[#This Row],[Yaw]])-ABS(V407)),ABS(Octane[[#This Row],[Yaw]]-V407))</f>
        <v>0.94663308326345941</v>
      </c>
      <c r="Y408" s="1">
        <f>Octane[[#This Row],[Degree change]]+Y407</f>
        <v>329.17764312876642</v>
      </c>
      <c r="Z408" s="1">
        <f>SQRT(Octane[[#This Row],[vel_X]]*Octane[[#This Row],[vel_X]]+Octane[[#This Row],[vel_Y]]*Octane[[#This Row],[vel_Y]]+Octane[[#This Row],[vel_Z]]*Octane[[#This Row],[vel_Z]])</f>
        <v>2299.9915123878218</v>
      </c>
    </row>
    <row r="409" spans="1:26">
      <c r="A409">
        <v>408</v>
      </c>
      <c r="B409" s="1">
        <v>395.61999500000002</v>
      </c>
      <c r="C409" s="1">
        <v>1433.900024</v>
      </c>
      <c r="D409" s="1">
        <v>17.010000000000002</v>
      </c>
      <c r="E409" s="1">
        <v>101.759995</v>
      </c>
      <c r="F409" s="1">
        <v>2297.7299800000001</v>
      </c>
      <c r="G409" s="1">
        <v>8.1199999999999992</v>
      </c>
      <c r="H409" s="1">
        <v>0</v>
      </c>
      <c r="I409" s="1">
        <v>0</v>
      </c>
      <c r="J409" s="1">
        <v>1.9824999999999999</v>
      </c>
      <c r="K409" s="1">
        <v>-3.418E-3</v>
      </c>
      <c r="L409" s="1">
        <v>3.3639999999999998E-3</v>
      </c>
      <c r="M409" s="1">
        <v>0.71307600000000004</v>
      </c>
      <c r="N409" s="1">
        <v>0.70106999999999997</v>
      </c>
      <c r="O409">
        <v>1</v>
      </c>
      <c r="P409">
        <v>0</v>
      </c>
      <c r="Q409">
        <v>1</v>
      </c>
      <c r="R409">
        <v>1</v>
      </c>
      <c r="S409">
        <v>1</v>
      </c>
      <c r="T409" s="1">
        <f>SQRT(POWER(Octane[[#This Row],[angvel_X]],2) + POWER(Octane[[#This Row],[angvel_Y]],2) + POWER(Octane[[#This Row],[angvel_Z]],2))</f>
        <v>1.9824999999999999</v>
      </c>
      <c r="U409" s="1">
        <f>DEGREES(ASIN(MAX(-1,MIN(1,2 * (Octane[[#This Row],[quart_W]]*Octane[[#This Row],[quart_Y]] - Octane[[#This Row],[quart_Z]]*Octane[[#This Row],[quart_X]])))))</f>
        <v>0.54955439213398094</v>
      </c>
      <c r="V40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-0.97282512577875502</v>
      </c>
      <c r="W40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89.99971002372223</v>
      </c>
      <c r="X409" s="1">
        <f>IF(Octane[[#This Row],[Yaw]]&gt;V408,(360-ABS(Octane[[#This Row],[Yaw]])-ABS(V408)),ABS(Octane[[#This Row],[Yaw]]-V408))</f>
        <v>0.94618707608328589</v>
      </c>
      <c r="Y409" s="1">
        <f>Octane[[#This Row],[Degree change]]+Y408</f>
        <v>330.1238302048497</v>
      </c>
      <c r="Z409" s="1">
        <f>SQRT(Octane[[#This Row],[vel_X]]*Octane[[#This Row],[vel_X]]+Octane[[#This Row],[vel_Y]]*Octane[[#This Row],[vel_Y]]+Octane[[#This Row],[vel_Z]]*Octane[[#This Row],[vel_Z]])</f>
        <v>2299.9965417307044</v>
      </c>
    </row>
    <row r="410" spans="1:26">
      <c r="A410">
        <v>409</v>
      </c>
      <c r="B410" s="1">
        <v>396.47000100000002</v>
      </c>
      <c r="C410" s="1">
        <v>1453.119995</v>
      </c>
      <c r="D410" s="1">
        <v>17.010000000000002</v>
      </c>
      <c r="E410" s="1">
        <v>63.789997</v>
      </c>
      <c r="F410" s="1">
        <v>2299.0998540000001</v>
      </c>
      <c r="G410" s="1">
        <v>8.1199999999999992</v>
      </c>
      <c r="H410" s="1">
        <v>0</v>
      </c>
      <c r="I410" s="1">
        <v>0</v>
      </c>
      <c r="J410" s="1">
        <v>1.9824999999999999</v>
      </c>
      <c r="K410" s="1">
        <v>-3.4450000000000001E-3</v>
      </c>
      <c r="L410" s="1">
        <v>3.3370000000000001E-3</v>
      </c>
      <c r="M410" s="1">
        <v>0.71884199999999998</v>
      </c>
      <c r="N410" s="1">
        <v>0.69515700000000002</v>
      </c>
      <c r="O410">
        <v>1</v>
      </c>
      <c r="P410">
        <v>0</v>
      </c>
      <c r="Q410">
        <v>1</v>
      </c>
      <c r="R410">
        <v>1</v>
      </c>
      <c r="S410">
        <v>1</v>
      </c>
      <c r="T410" s="1">
        <f>SQRT(POWER(Octane[[#This Row],[angvel_X]],2) + POWER(Octane[[#This Row],[angvel_Y]],2) + POWER(Octane[[#This Row],[angvel_Z]],2))</f>
        <v>1.9824999999999999</v>
      </c>
      <c r="U410" s="1">
        <f>DEGREES(ASIN(MAX(-1,MIN(1,2 * (Octane[[#This Row],[quart_W]]*Octane[[#This Row],[quart_Y]] - Octane[[#This Row],[quart_Z]]*Octane[[#This Row],[quart_X]])))))</f>
        <v>0.54960668851231309</v>
      </c>
      <c r="V41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-1.9192777176620879</v>
      </c>
      <c r="W41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89.999546209268303</v>
      </c>
      <c r="X410" s="1">
        <f>IF(Octane[[#This Row],[Yaw]]&gt;V409,(360-ABS(Octane[[#This Row],[Yaw]])-ABS(V409)),ABS(Octane[[#This Row],[Yaw]]-V409))</f>
        <v>0.94645259188333286</v>
      </c>
      <c r="Y410" s="1">
        <f>Octane[[#This Row],[Degree change]]+Y409</f>
        <v>331.07028279673301</v>
      </c>
      <c r="Z410" s="1">
        <f>SQRT(Octane[[#This Row],[vel_X]]*Octane[[#This Row],[vel_X]]+Octane[[#This Row],[vel_Y]]*Octane[[#This Row],[vel_Y]]+Octane[[#This Row],[vel_Z]]*Octane[[#This Row],[vel_Z]])</f>
        <v>2299.9989645171759</v>
      </c>
    </row>
    <row r="411" spans="1:26">
      <c r="A411">
        <v>410</v>
      </c>
      <c r="B411" s="1">
        <v>397</v>
      </c>
      <c r="C411" s="1">
        <v>1472.349976</v>
      </c>
      <c r="D411" s="1">
        <v>17.010000000000002</v>
      </c>
      <c r="E411" s="1">
        <v>25.799999</v>
      </c>
      <c r="F411" s="1">
        <v>2299.8398440000001</v>
      </c>
      <c r="G411" s="1">
        <v>8.1199999999999992</v>
      </c>
      <c r="H411" s="1">
        <v>0</v>
      </c>
      <c r="I411" s="1">
        <v>0</v>
      </c>
      <c r="J411" s="1">
        <v>1.9824999999999999</v>
      </c>
      <c r="K411" s="1">
        <v>-3.4719999999999998E-3</v>
      </c>
      <c r="L411" s="1">
        <v>3.31E-3</v>
      </c>
      <c r="M411" s="1">
        <v>0.72455899999999995</v>
      </c>
      <c r="N411" s="1">
        <v>0.68919600000000003</v>
      </c>
      <c r="O411">
        <v>1</v>
      </c>
      <c r="P411">
        <v>0</v>
      </c>
      <c r="Q411">
        <v>1</v>
      </c>
      <c r="R411">
        <v>1</v>
      </c>
      <c r="S411">
        <v>1</v>
      </c>
      <c r="T411" s="1">
        <f>SQRT(POWER(Octane[[#This Row],[angvel_X]],2) + POWER(Octane[[#This Row],[angvel_Y]],2) + POWER(Octane[[#This Row],[angvel_Z]],2))</f>
        <v>1.9824999999999999</v>
      </c>
      <c r="U411" s="1">
        <f>DEGREES(ASIN(MAX(-1,MIN(1,2 * (Octane[[#This Row],[quart_W]]*Octane[[#This Row],[quart_Y]] - Octane[[#This Row],[quart_Z]]*Octane[[#This Row],[quart_X]])))))</f>
        <v>0.54969355394244246</v>
      </c>
      <c r="V41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-2.8657377758510694</v>
      </c>
      <c r="W41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89.999380973348792</v>
      </c>
      <c r="X411" s="1">
        <f>IF(Octane[[#This Row],[Yaw]]&gt;V410,(360-ABS(Octane[[#This Row],[Yaw]])-ABS(V410)),ABS(Octane[[#This Row],[Yaw]]-V410))</f>
        <v>0.94646005818898149</v>
      </c>
      <c r="Y411" s="1">
        <f>Octane[[#This Row],[Degree change]]+Y410</f>
        <v>332.01674285492197</v>
      </c>
      <c r="Z411" s="1">
        <f>SQRT(Octane[[#This Row],[vel_X]]*Octane[[#This Row],[vel_X]]+Octane[[#This Row],[vel_Y]]*Octane[[#This Row],[vel_Y]]+Octane[[#This Row],[vel_Z]]*Octane[[#This Row],[vel_Z]])</f>
        <v>2299.9988874776318</v>
      </c>
    </row>
    <row r="412" spans="1:26">
      <c r="A412">
        <v>411</v>
      </c>
      <c r="B412" s="1">
        <v>397.209991</v>
      </c>
      <c r="C412" s="1">
        <v>1491.579956</v>
      </c>
      <c r="D412" s="1">
        <v>17.010000000000002</v>
      </c>
      <c r="E412" s="1">
        <v>-12.179999</v>
      </c>
      <c r="F412" s="1">
        <v>2299.9499510000001</v>
      </c>
      <c r="G412" s="1">
        <v>8.1199999999999992</v>
      </c>
      <c r="H412" s="1">
        <v>0</v>
      </c>
      <c r="I412" s="1">
        <v>0</v>
      </c>
      <c r="J412" s="1">
        <v>1.9824999999999999</v>
      </c>
      <c r="K412" s="1">
        <v>-3.4989999999999999E-3</v>
      </c>
      <c r="L412" s="1">
        <v>3.2829999999999999E-3</v>
      </c>
      <c r="M412" s="1">
        <v>0.73022799999999999</v>
      </c>
      <c r="N412" s="1">
        <v>0.68318599999999996</v>
      </c>
      <c r="O412">
        <v>1</v>
      </c>
      <c r="P412">
        <v>0</v>
      </c>
      <c r="Q412">
        <v>1</v>
      </c>
      <c r="R412">
        <v>1</v>
      </c>
      <c r="S412">
        <v>1</v>
      </c>
      <c r="T412" s="1">
        <f>SQRT(POWER(Octane[[#This Row],[angvel_X]],2) + POWER(Octane[[#This Row],[angvel_Y]],2) + POWER(Octane[[#This Row],[angvel_Z]],2))</f>
        <v>1.9824999999999999</v>
      </c>
      <c r="U412" s="1">
        <f>DEGREES(ASIN(MAX(-1,MIN(1,2 * (Octane[[#This Row],[quart_W]]*Octane[[#This Row],[quart_Y]] - Octane[[#This Row],[quart_Z]]*Octane[[#This Row],[quart_X]])))))</f>
        <v>0.54981500389645022</v>
      </c>
      <c r="V41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-3.8124404280239617</v>
      </c>
      <c r="W41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89.999212638377699</v>
      </c>
      <c r="X412" s="1">
        <f>IF(Octane[[#This Row],[Yaw]]&gt;V411,(360-ABS(Octane[[#This Row],[Yaw]])-ABS(V411)),ABS(Octane[[#This Row],[Yaw]]-V411))</f>
        <v>0.94670265217289229</v>
      </c>
      <c r="Y412" s="1">
        <f>Octane[[#This Row],[Degree change]]+Y411</f>
        <v>332.96344550709489</v>
      </c>
      <c r="Z412" s="1">
        <f>SQRT(Octane[[#This Row],[vel_X]]*Octane[[#This Row],[vel_X]]+Octane[[#This Row],[vel_Y]]*Octane[[#This Row],[vel_Y]]+Octane[[#This Row],[vel_Z]]*Octane[[#This Row],[vel_Z]])</f>
        <v>2299.9965356235957</v>
      </c>
    </row>
    <row r="413" spans="1:26">
      <c r="A413">
        <v>412</v>
      </c>
      <c r="B413" s="1">
        <v>397.10000600000001</v>
      </c>
      <c r="C413" s="1">
        <v>1510.809937</v>
      </c>
      <c r="D413" s="1">
        <v>17.010000000000002</v>
      </c>
      <c r="E413" s="1">
        <v>-50.169998</v>
      </c>
      <c r="F413" s="1">
        <v>2299.429932</v>
      </c>
      <c r="G413" s="1">
        <v>8.1199999999999992</v>
      </c>
      <c r="H413" s="1">
        <v>0</v>
      </c>
      <c r="I413" s="1">
        <v>0</v>
      </c>
      <c r="J413" s="1">
        <v>1.9824999999999999</v>
      </c>
      <c r="K413" s="1">
        <v>-3.5260000000000001E-3</v>
      </c>
      <c r="L413" s="1">
        <v>3.2560000000000002E-3</v>
      </c>
      <c r="M413" s="1">
        <v>0.73584499999999997</v>
      </c>
      <c r="N413" s="1">
        <v>0.67713299999999998</v>
      </c>
      <c r="O413">
        <v>1</v>
      </c>
      <c r="P413">
        <v>0</v>
      </c>
      <c r="Q413">
        <v>1</v>
      </c>
      <c r="R413">
        <v>1</v>
      </c>
      <c r="S413">
        <v>1</v>
      </c>
      <c r="T413" s="1">
        <f>SQRT(POWER(Octane[[#This Row],[angvel_X]],2) + POWER(Octane[[#This Row],[angvel_Y]],2) + POWER(Octane[[#This Row],[angvel_Z]],2))</f>
        <v>1.9824999999999999</v>
      </c>
      <c r="U413" s="1">
        <f>DEGREES(ASIN(MAX(-1,MIN(1,2 * (Octane[[#This Row],[quart_W]]*Octane[[#This Row],[quart_Y]] - Octane[[#This Row],[quart_Z]]*Octane[[#This Row],[quart_X]])))))</f>
        <v>0.5499716701488172</v>
      </c>
      <c r="V41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-4.7587703997925344</v>
      </c>
      <c r="W41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89.999044220884429</v>
      </c>
      <c r="X413" s="1">
        <f>IF(Octane[[#This Row],[Yaw]]&gt;V412,(360-ABS(Octane[[#This Row],[Yaw]])-ABS(V412)),ABS(Octane[[#This Row],[Yaw]]-V412))</f>
        <v>0.9463299717685727</v>
      </c>
      <c r="Y413" s="1">
        <f>Octane[[#This Row],[Degree change]]+Y412</f>
        <v>333.90977547886348</v>
      </c>
      <c r="Z413" s="1">
        <f>SQRT(Octane[[#This Row],[vel_X]]*Octane[[#This Row],[vel_X]]+Octane[[#This Row],[vel_Y]]*Octane[[#This Row],[vel_Y]]+Octane[[#This Row],[vel_Z]]*Octane[[#This Row],[vel_Z]])</f>
        <v>2299.9915163488854</v>
      </c>
    </row>
    <row r="414" spans="1:26">
      <c r="A414">
        <v>413</v>
      </c>
      <c r="B414" s="1">
        <v>396.67999300000002</v>
      </c>
      <c r="C414" s="1">
        <v>1530.0399170000001</v>
      </c>
      <c r="D414" s="1">
        <v>17.010000000000002</v>
      </c>
      <c r="E414" s="1">
        <v>-88.139999000000003</v>
      </c>
      <c r="F414" s="1">
        <v>2298.290039</v>
      </c>
      <c r="G414" s="1">
        <v>8.1199999999999992</v>
      </c>
      <c r="H414" s="1">
        <v>0</v>
      </c>
      <c r="I414" s="1">
        <v>0</v>
      </c>
      <c r="J414" s="1">
        <v>1.9824999999999999</v>
      </c>
      <c r="K414" s="1">
        <v>-3.552E-3</v>
      </c>
      <c r="L414" s="1">
        <v>3.2290000000000001E-3</v>
      </c>
      <c r="M414" s="1">
        <v>0.74141299999999999</v>
      </c>
      <c r="N414" s="1">
        <v>0.67103199999999996</v>
      </c>
      <c r="O414">
        <v>1</v>
      </c>
      <c r="P414">
        <v>0</v>
      </c>
      <c r="Q414">
        <v>1</v>
      </c>
      <c r="R414">
        <v>1</v>
      </c>
      <c r="S414">
        <v>1</v>
      </c>
      <c r="T414" s="1">
        <f>SQRT(POWER(Octane[[#This Row],[angvel_X]],2) + POWER(Octane[[#This Row],[angvel_Y]],2) + POWER(Octane[[#This Row],[angvel_Z]],2))</f>
        <v>1.9824999999999999</v>
      </c>
      <c r="U414" s="1">
        <f>DEGREES(ASIN(MAX(-1,MIN(1,2 * (Octane[[#This Row],[quart_W]]*Octane[[#This Row],[quart_Y]] - Octane[[#This Row],[quart_Z]]*Octane[[#This Row],[quart_X]])))))</f>
        <v>0.55007787689514853</v>
      </c>
      <c r="V41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-5.7053050995578793</v>
      </c>
      <c r="W41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89.998794794999938</v>
      </c>
      <c r="X414" s="1">
        <f>IF(Octane[[#This Row],[Yaw]]&gt;V413,(360-ABS(Octane[[#This Row],[Yaw]])-ABS(V413)),ABS(Octane[[#This Row],[Yaw]]-V413))</f>
        <v>0.94653469976534499</v>
      </c>
      <c r="Y414" s="1">
        <f>Octane[[#This Row],[Degree change]]+Y413</f>
        <v>334.8563101786288</v>
      </c>
      <c r="Z414" s="1">
        <f>SQRT(Octane[[#This Row],[vel_X]]*Octane[[#This Row],[vel_X]]+Octane[[#This Row],[vel_Y]]*Octane[[#This Row],[vel_Y]]+Octane[[#This Row],[vel_Z]]*Octane[[#This Row],[vel_Z]])</f>
        <v>2299.9938472070617</v>
      </c>
    </row>
    <row r="415" spans="1:26">
      <c r="A415">
        <v>414</v>
      </c>
      <c r="B415" s="1">
        <v>395.94000199999999</v>
      </c>
      <c r="C415" s="1">
        <v>1549.26001</v>
      </c>
      <c r="D415" s="1">
        <v>17.010000000000002</v>
      </c>
      <c r="E415" s="1">
        <v>-126.089996</v>
      </c>
      <c r="F415" s="1">
        <v>2296.5200199999999</v>
      </c>
      <c r="G415" s="1">
        <v>8.1199999999999992</v>
      </c>
      <c r="H415" s="1">
        <v>0</v>
      </c>
      <c r="I415" s="1">
        <v>0</v>
      </c>
      <c r="J415" s="1">
        <v>1.9824999999999999</v>
      </c>
      <c r="K415" s="1">
        <v>-3.5790000000000001E-3</v>
      </c>
      <c r="L415" s="1">
        <v>3.202E-3</v>
      </c>
      <c r="M415" s="1">
        <v>0.74692899999999995</v>
      </c>
      <c r="N415" s="1">
        <v>0.66488700000000001</v>
      </c>
      <c r="O415">
        <v>1</v>
      </c>
      <c r="P415">
        <v>0</v>
      </c>
      <c r="Q415">
        <v>1</v>
      </c>
      <c r="R415">
        <v>1</v>
      </c>
      <c r="S415">
        <v>1</v>
      </c>
      <c r="T415" s="1">
        <f>SQRT(POWER(Octane[[#This Row],[angvel_X]],2) + POWER(Octane[[#This Row],[angvel_Y]],2) + POWER(Octane[[#This Row],[angvel_Z]],2))</f>
        <v>1.9824999999999999</v>
      </c>
      <c r="U415" s="1">
        <f>DEGREES(ASIN(MAX(-1,MIN(1,2 * (Octane[[#This Row],[quart_W]]*Octane[[#This Row],[quart_Y]] - Octane[[#This Row],[quart_Z]]*Octane[[#This Row],[quart_X]])))))</f>
        <v>0.5503031468988745</v>
      </c>
      <c r="V41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-6.6515938004710566</v>
      </c>
      <c r="W41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89.998620702636714</v>
      </c>
      <c r="X415" s="1">
        <f>IF(Octane[[#This Row],[Yaw]]&gt;V414,(360-ABS(Octane[[#This Row],[Yaw]])-ABS(V414)),ABS(Octane[[#This Row],[Yaw]]-V414))</f>
        <v>0.94628870091317729</v>
      </c>
      <c r="Y415" s="1">
        <f>Octane[[#This Row],[Degree change]]+Y414</f>
        <v>335.80259887954196</v>
      </c>
      <c r="Z415" s="1">
        <f>SQRT(Octane[[#This Row],[vel_X]]*Octane[[#This Row],[vel_X]]+Octane[[#This Row],[vel_Y]]*Octane[[#This Row],[vel_Y]]+Octane[[#This Row],[vel_Z]]*Octane[[#This Row],[vel_Z]])</f>
        <v>2299.9932225448142</v>
      </c>
    </row>
    <row r="416" spans="1:26">
      <c r="A416">
        <v>415</v>
      </c>
      <c r="B416" s="1">
        <v>394.88000499999998</v>
      </c>
      <c r="C416" s="1">
        <v>1568.469971</v>
      </c>
      <c r="D416" s="1">
        <v>17.010000000000002</v>
      </c>
      <c r="E416" s="1">
        <v>-164</v>
      </c>
      <c r="F416" s="1">
        <v>2294.1298830000001</v>
      </c>
      <c r="G416" s="1">
        <v>8.1199999999999992</v>
      </c>
      <c r="H416" s="1">
        <v>0</v>
      </c>
      <c r="I416" s="1">
        <v>0</v>
      </c>
      <c r="J416" s="1">
        <v>1.9824999999999999</v>
      </c>
      <c r="K416" s="1">
        <v>-3.6059999999999998E-3</v>
      </c>
      <c r="L416" s="1">
        <v>3.1749999999999999E-3</v>
      </c>
      <c r="M416" s="1">
        <v>0.75239599999999995</v>
      </c>
      <c r="N416" s="1">
        <v>0.658694</v>
      </c>
      <c r="O416">
        <v>1</v>
      </c>
      <c r="P416">
        <v>0</v>
      </c>
      <c r="Q416">
        <v>1</v>
      </c>
      <c r="R416">
        <v>1</v>
      </c>
      <c r="S416">
        <v>1</v>
      </c>
      <c r="T416" s="1">
        <f>SQRT(POWER(Octane[[#This Row],[angvel_X]],2) + POWER(Octane[[#This Row],[angvel_Y]],2) + POWER(Octane[[#This Row],[angvel_Z]],2))</f>
        <v>1.9824999999999999</v>
      </c>
      <c r="U416" s="1">
        <f>DEGREES(ASIN(MAX(-1,MIN(1,2 * (Octane[[#This Row],[quart_W]]*Octane[[#This Row],[quart_Y]] - Octane[[#This Row],[quart_Z]]*Octane[[#This Row],[quart_X]])))))</f>
        <v>0.55056286472401683</v>
      </c>
      <c r="V41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-7.5982234556360133</v>
      </c>
      <c r="W41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89.998440710920065</v>
      </c>
      <c r="X416" s="1">
        <f>IF(Octane[[#This Row],[Yaw]]&gt;V415,(360-ABS(Octane[[#This Row],[Yaw]])-ABS(V415)),ABS(Octane[[#This Row],[Yaw]]-V415))</f>
        <v>0.94662965516495667</v>
      </c>
      <c r="Y416" s="1">
        <f>Octane[[#This Row],[Degree change]]+Y415</f>
        <v>336.7492285347069</v>
      </c>
      <c r="Z416" s="1">
        <f>SQRT(Octane[[#This Row],[vel_X]]*Octane[[#This Row],[vel_X]]+Octane[[#This Row],[vel_Y]]*Octane[[#This Row],[vel_Y]]+Octane[[#This Row],[vel_Z]]*Octane[[#This Row],[vel_Z]])</f>
        <v>2299.9986640156108</v>
      </c>
    </row>
    <row r="417" spans="1:26">
      <c r="A417">
        <v>416</v>
      </c>
      <c r="B417" s="1">
        <v>393.5</v>
      </c>
      <c r="C417" s="1">
        <v>1587.6599120000001</v>
      </c>
      <c r="D417" s="1">
        <v>17.010000000000002</v>
      </c>
      <c r="E417" s="1">
        <v>-201.86999499999999</v>
      </c>
      <c r="F417" s="1">
        <v>2291.0998540000001</v>
      </c>
      <c r="G417" s="1">
        <v>8.1199999999999992</v>
      </c>
      <c r="H417" s="1">
        <v>0</v>
      </c>
      <c r="I417" s="1">
        <v>0</v>
      </c>
      <c r="J417" s="1">
        <v>1.9824999999999999</v>
      </c>
      <c r="K417" s="1">
        <v>-3.6329999999999999E-3</v>
      </c>
      <c r="L417" s="1">
        <v>3.1419999999999998E-3</v>
      </c>
      <c r="M417" s="1">
        <v>0.75780999999999998</v>
      </c>
      <c r="N417" s="1">
        <v>0.65245699999999995</v>
      </c>
      <c r="O417">
        <v>1</v>
      </c>
      <c r="P417">
        <v>0</v>
      </c>
      <c r="Q417">
        <v>1</v>
      </c>
      <c r="R417">
        <v>1</v>
      </c>
      <c r="S417">
        <v>1</v>
      </c>
      <c r="T417" s="1">
        <f>SQRT(POWER(Octane[[#This Row],[angvel_X]],2) + POWER(Octane[[#This Row],[angvel_Y]],2) + POWER(Octane[[#This Row],[angvel_Z]],2))</f>
        <v>1.9824999999999999</v>
      </c>
      <c r="U417" s="1">
        <f>DEGREES(ASIN(MAX(-1,MIN(1,2 * (Octane[[#This Row],[quart_W]]*Octane[[#This Row],[quart_Y]] - Octane[[#This Row],[quart_Z]]*Octane[[#This Row],[quart_X]])))))</f>
        <v>0.55040818166915506</v>
      </c>
      <c r="V41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-8.5445707504275994</v>
      </c>
      <c r="W41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89.998778083733384</v>
      </c>
      <c r="X417" s="1">
        <f>IF(Octane[[#This Row],[Yaw]]&gt;V416,(360-ABS(Octane[[#This Row],[Yaw]])-ABS(V416)),ABS(Octane[[#This Row],[Yaw]]-V416))</f>
        <v>0.94634729479158608</v>
      </c>
      <c r="Y417" s="1">
        <f>Octane[[#This Row],[Degree change]]+Y416</f>
        <v>337.69557582949847</v>
      </c>
      <c r="Z417" s="1">
        <f>SQRT(Octane[[#This Row],[vel_X]]*Octane[[#This Row],[vel_X]]+Octane[[#This Row],[vel_Y]]*Octane[[#This Row],[vel_Y]]+Octane[[#This Row],[vel_Z]]*Octane[[#This Row],[vel_Z]])</f>
        <v>2299.9904283018486</v>
      </c>
    </row>
    <row r="418" spans="1:26">
      <c r="A418">
        <v>417</v>
      </c>
      <c r="B418" s="1">
        <v>391.80999800000001</v>
      </c>
      <c r="C418" s="1">
        <v>1606.8199460000001</v>
      </c>
      <c r="D418" s="1">
        <v>17.010000000000002</v>
      </c>
      <c r="E418" s="1">
        <v>-239.689987</v>
      </c>
      <c r="F418" s="1">
        <v>2287.459961</v>
      </c>
      <c r="G418" s="1">
        <v>8.1199999999999992</v>
      </c>
      <c r="H418" s="1">
        <v>0</v>
      </c>
      <c r="I418" s="1">
        <v>0</v>
      </c>
      <c r="J418" s="1">
        <v>1.9824999999999999</v>
      </c>
      <c r="K418" s="1">
        <v>-3.6600000000000001E-3</v>
      </c>
      <c r="L418" s="1">
        <v>3.1099999999999999E-3</v>
      </c>
      <c r="M418" s="1">
        <v>0.76317199999999996</v>
      </c>
      <c r="N418" s="1">
        <v>0.64617800000000003</v>
      </c>
      <c r="O418">
        <v>1</v>
      </c>
      <c r="P418">
        <v>0</v>
      </c>
      <c r="Q418">
        <v>1</v>
      </c>
      <c r="R418">
        <v>1</v>
      </c>
      <c r="S418">
        <v>1</v>
      </c>
      <c r="T418" s="1">
        <f>SQRT(POWER(Octane[[#This Row],[angvel_X]],2) + POWER(Octane[[#This Row],[angvel_Y]],2) + POWER(Octane[[#This Row],[angvel_Z]],2))</f>
        <v>1.9824999999999999</v>
      </c>
      <c r="U418" s="1">
        <f>DEGREES(ASIN(MAX(-1,MIN(1,2 * (Octane[[#This Row],[quart_W]]*Octane[[#This Row],[quart_Y]] - Octane[[#This Row],[quart_Z]]*Octane[[#This Row],[quart_X]])))))</f>
        <v>0.55037145062957982</v>
      </c>
      <c r="V41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-9.4908353316431491</v>
      </c>
      <c r="W41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89.999031262438265</v>
      </c>
      <c r="X418" s="1">
        <f>IF(Octane[[#This Row],[Yaw]]&gt;V417,(360-ABS(Octane[[#This Row],[Yaw]])-ABS(V417)),ABS(Octane[[#This Row],[Yaw]]-V417))</f>
        <v>0.94626458121554968</v>
      </c>
      <c r="Y418" s="1">
        <f>Octane[[#This Row],[Degree change]]+Y417</f>
        <v>338.641840410714</v>
      </c>
      <c r="Z418" s="1">
        <f>SQRT(Octane[[#This Row],[vel_X]]*Octane[[#This Row],[vel_X]]+Octane[[#This Row],[vel_Y]]*Octane[[#This Row],[vel_Y]]+Octane[[#This Row],[vel_Z]]*Octane[[#This Row],[vel_Z]])</f>
        <v>2299.9978907482027</v>
      </c>
    </row>
    <row r="419" spans="1:26">
      <c r="A419">
        <v>418</v>
      </c>
      <c r="B419" s="1">
        <v>389.79998799999998</v>
      </c>
      <c r="C419" s="1">
        <v>1625.9499510000001</v>
      </c>
      <c r="D419" s="1">
        <v>17.010000000000002</v>
      </c>
      <c r="E419" s="1">
        <v>-277.44000199999999</v>
      </c>
      <c r="F419" s="1">
        <v>2283.1899410000001</v>
      </c>
      <c r="G419" s="1">
        <v>8.1199999999999992</v>
      </c>
      <c r="H419" s="1">
        <v>0</v>
      </c>
      <c r="I419" s="1">
        <v>0</v>
      </c>
      <c r="J419" s="1">
        <v>1.9824999999999999</v>
      </c>
      <c r="K419" s="1">
        <v>-3.6870000000000002E-3</v>
      </c>
      <c r="L419" s="1">
        <v>3.078E-3</v>
      </c>
      <c r="M419" s="1">
        <v>0.76848499999999997</v>
      </c>
      <c r="N419" s="1">
        <v>0.63985000000000003</v>
      </c>
      <c r="O419">
        <v>1</v>
      </c>
      <c r="P419">
        <v>0</v>
      </c>
      <c r="Q419">
        <v>1</v>
      </c>
      <c r="R419">
        <v>1</v>
      </c>
      <c r="S419">
        <v>1</v>
      </c>
      <c r="T419" s="1">
        <f>SQRT(POWER(Octane[[#This Row],[angvel_X]],2) + POWER(Octane[[#This Row],[angvel_Y]],2) + POWER(Octane[[#This Row],[angvel_Z]],2))</f>
        <v>1.9824999999999999</v>
      </c>
      <c r="U419" s="1">
        <f>DEGREES(ASIN(MAX(-1,MIN(1,2 * (Octane[[#This Row],[quart_W]]*Octane[[#This Row],[quart_Y]] - Octane[[#This Row],[quart_Z]]*Octane[[#This Row],[quart_X]])))))</f>
        <v>0.55037596517232901</v>
      </c>
      <c r="V41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-10.437662146702598</v>
      </c>
      <c r="W41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89.999281491526759</v>
      </c>
      <c r="X419" s="1">
        <f>IF(Octane[[#This Row],[Yaw]]&gt;V418,(360-ABS(Octane[[#This Row],[Yaw]])-ABS(V418)),ABS(Octane[[#This Row],[Yaw]]-V418))</f>
        <v>0.94682681505944899</v>
      </c>
      <c r="Y419" s="1">
        <f>Octane[[#This Row],[Degree change]]+Y418</f>
        <v>339.58866722577346</v>
      </c>
      <c r="Z419" s="1">
        <f>SQRT(Octane[[#This Row],[vel_X]]*Octane[[#This Row],[vel_X]]+Octane[[#This Row],[vel_Y]]*Octane[[#This Row],[vel_Y]]+Octane[[#This Row],[vel_Z]]*Octane[[#This Row],[vel_Z]])</f>
        <v>2299.9989556070113</v>
      </c>
    </row>
    <row r="420" spans="1:26">
      <c r="A420">
        <v>419</v>
      </c>
      <c r="B420" s="1">
        <v>387.47998000000001</v>
      </c>
      <c r="C420" s="1">
        <v>1645.0399170000001</v>
      </c>
      <c r="D420" s="1">
        <v>17.010000000000002</v>
      </c>
      <c r="E420" s="1">
        <v>-315.10998499999999</v>
      </c>
      <c r="F420" s="1">
        <v>2278.290039</v>
      </c>
      <c r="G420" s="1">
        <v>8.1199999999999992</v>
      </c>
      <c r="H420" s="1">
        <v>0</v>
      </c>
      <c r="I420" s="1">
        <v>0</v>
      </c>
      <c r="J420" s="1">
        <v>1.9824999999999999</v>
      </c>
      <c r="K420" s="1">
        <v>-3.7139999999999999E-3</v>
      </c>
      <c r="L420" s="1">
        <v>3.045E-3</v>
      </c>
      <c r="M420" s="1">
        <v>0.77374500000000002</v>
      </c>
      <c r="N420" s="1">
        <v>0.63347799999999999</v>
      </c>
      <c r="O420">
        <v>1</v>
      </c>
      <c r="P420">
        <v>0</v>
      </c>
      <c r="Q420">
        <v>1</v>
      </c>
      <c r="R420">
        <v>1</v>
      </c>
      <c r="S420">
        <v>1</v>
      </c>
      <c r="T420" s="1">
        <f>SQRT(POWER(Octane[[#This Row],[angvel_X]],2) + POWER(Octane[[#This Row],[angvel_Y]],2) + POWER(Octane[[#This Row],[angvel_Z]],2))</f>
        <v>1.9824999999999999</v>
      </c>
      <c r="U420" s="1">
        <f>DEGREES(ASIN(MAX(-1,MIN(1,2 * (Octane[[#This Row],[quart_W]]*Octane[[#This Row],[quart_Y]] - Octane[[#This Row],[quart_Z]]*Octane[[#This Row],[quart_X]])))))</f>
        <v>0.55034925780442778</v>
      </c>
      <c r="V42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-11.384409240673387</v>
      </c>
      <c r="W42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89.999619970159046</v>
      </c>
      <c r="X420" s="1">
        <f>IF(Octane[[#This Row],[Yaw]]&gt;V419,(360-ABS(Octane[[#This Row],[Yaw]])-ABS(V419)),ABS(Octane[[#This Row],[Yaw]]-V419))</f>
        <v>0.94674709397078871</v>
      </c>
      <c r="Y420" s="1">
        <f>Octane[[#This Row],[Degree change]]+Y419</f>
        <v>340.53541431974423</v>
      </c>
      <c r="Z420" s="1">
        <f>SQRT(Octane[[#This Row],[vel_X]]*Octane[[#This Row],[vel_X]]+Octane[[#This Row],[vel_Y]]*Octane[[#This Row],[vel_Y]]+Octane[[#This Row],[vel_Z]]*Octane[[#This Row],[vel_Z]])</f>
        <v>2299.9925519125754</v>
      </c>
    </row>
    <row r="421" spans="1:26">
      <c r="A421">
        <v>420</v>
      </c>
      <c r="B421" s="1">
        <v>384.83999599999999</v>
      </c>
      <c r="C421" s="1">
        <v>1664.089966</v>
      </c>
      <c r="D421" s="1">
        <v>17.010000000000002</v>
      </c>
      <c r="E421" s="1">
        <v>-352.69998199999998</v>
      </c>
      <c r="F421" s="1">
        <v>2272.780029</v>
      </c>
      <c r="G421" s="1">
        <v>8.1199999999999992</v>
      </c>
      <c r="H421" s="1">
        <v>0</v>
      </c>
      <c r="I421" s="1">
        <v>0</v>
      </c>
      <c r="J421" s="1">
        <v>1.9824999999999999</v>
      </c>
      <c r="K421" s="1">
        <v>-3.741E-3</v>
      </c>
      <c r="L421" s="1">
        <v>3.0130000000000001E-3</v>
      </c>
      <c r="M421" s="1">
        <v>0.77895300000000001</v>
      </c>
      <c r="N421" s="1">
        <v>0.62706399999999995</v>
      </c>
      <c r="O421">
        <v>1</v>
      </c>
      <c r="P421">
        <v>0</v>
      </c>
      <c r="Q421">
        <v>1</v>
      </c>
      <c r="R421">
        <v>1</v>
      </c>
      <c r="S421">
        <v>1</v>
      </c>
      <c r="T421" s="1">
        <f>SQRT(POWER(Octane[[#This Row],[angvel_X]],2) + POWER(Octane[[#This Row],[angvel_Y]],2) + POWER(Octane[[#This Row],[angvel_Z]],2))</f>
        <v>1.9824999999999999</v>
      </c>
      <c r="U421" s="1">
        <f>DEGREES(ASIN(MAX(-1,MIN(1,2 * (Octane[[#This Row],[quart_W]]*Octane[[#This Row],[quart_Y]] - Octane[[#This Row],[quart_Z]]*Octane[[#This Row],[quart_X]])))))</f>
        <v>0.55043836430130944</v>
      </c>
      <c r="V42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-12.331266733372795</v>
      </c>
      <c r="W42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89.999869478201859</v>
      </c>
      <c r="X421" s="1">
        <f>IF(Octane[[#This Row],[Yaw]]&gt;V420,(360-ABS(Octane[[#This Row],[Yaw]])-ABS(V420)),ABS(Octane[[#This Row],[Yaw]]-V420))</f>
        <v>0.946857492699408</v>
      </c>
      <c r="Y421" s="1">
        <f>Octane[[#This Row],[Degree change]]+Y420</f>
        <v>341.48227181244363</v>
      </c>
      <c r="Z421" s="1">
        <f>SQRT(Octane[[#This Row],[vel_X]]*Octane[[#This Row],[vel_X]]+Octane[[#This Row],[vel_Y]]*Octane[[#This Row],[vel_Y]]+Octane[[#This Row],[vel_Z]]*Octane[[#This Row],[vel_Z]])</f>
        <v>2299.9983199828735</v>
      </c>
    </row>
    <row r="422" spans="1:26">
      <c r="A422">
        <v>421</v>
      </c>
      <c r="B422" s="1">
        <v>381.88998400000003</v>
      </c>
      <c r="C422" s="1">
        <v>1683.099976</v>
      </c>
      <c r="D422" s="1">
        <v>17.010000000000002</v>
      </c>
      <c r="E422" s="1">
        <v>-390.19998199999998</v>
      </c>
      <c r="F422" s="1">
        <v>2266.639893</v>
      </c>
      <c r="G422" s="1">
        <v>8.1199999999999992</v>
      </c>
      <c r="H422" s="1">
        <v>0</v>
      </c>
      <c r="I422" s="1">
        <v>0</v>
      </c>
      <c r="J422" s="1">
        <v>1.9824999999999999</v>
      </c>
      <c r="K422" s="1">
        <v>-3.7680000000000001E-3</v>
      </c>
      <c r="L422" s="1">
        <v>2.9810000000000001E-3</v>
      </c>
      <c r="M422" s="1">
        <v>0.78410800000000003</v>
      </c>
      <c r="N422" s="1">
        <v>0.62060599999999999</v>
      </c>
      <c r="O422">
        <v>1</v>
      </c>
      <c r="P422">
        <v>0</v>
      </c>
      <c r="Q422">
        <v>1</v>
      </c>
      <c r="R422">
        <v>1</v>
      </c>
      <c r="S422">
        <v>1</v>
      </c>
      <c r="T422" s="1">
        <f>SQRT(POWER(Octane[[#This Row],[angvel_X]],2) + POWER(Octane[[#This Row],[angvel_Y]],2) + POWER(Octane[[#This Row],[angvel_Z]],2))</f>
        <v>1.9824999999999999</v>
      </c>
      <c r="U422" s="1">
        <f>DEGREES(ASIN(MAX(-1,MIN(1,2 * (Octane[[#This Row],[quart_W]]*Octane[[#This Row],[quart_Y]] - Octane[[#This Row],[quart_Z]]*Octane[[#This Row],[quart_X]])))))</f>
        <v>0.55056882421858977</v>
      </c>
      <c r="V42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-13.278174948188932</v>
      </c>
      <c r="W42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90.000116597710758</v>
      </c>
      <c r="X422" s="1">
        <f>IF(Octane[[#This Row],[Yaw]]&gt;V421,(360-ABS(Octane[[#This Row],[Yaw]])-ABS(V421)),ABS(Octane[[#This Row],[Yaw]]-V421))</f>
        <v>0.94690821481613696</v>
      </c>
      <c r="Y422" s="1">
        <f>Octane[[#This Row],[Degree change]]+Y421</f>
        <v>342.42918002725975</v>
      </c>
      <c r="Z422" s="1">
        <f>SQRT(Octane[[#This Row],[vel_X]]*Octane[[#This Row],[vel_X]]+Octane[[#This Row],[vel_Y]]*Octane[[#This Row],[vel_Y]]+Octane[[#This Row],[vel_Z]]*Octane[[#This Row],[vel_Z]])</f>
        <v>2299.9952967108111</v>
      </c>
    </row>
    <row r="423" spans="1:26">
      <c r="A423">
        <v>422</v>
      </c>
      <c r="B423" s="1">
        <v>378.61999500000002</v>
      </c>
      <c r="C423" s="1">
        <v>1702.059937</v>
      </c>
      <c r="D423" s="1">
        <v>17.010000000000002</v>
      </c>
      <c r="E423" s="1">
        <v>-427.58999599999999</v>
      </c>
      <c r="F423" s="1">
        <v>2259.8798830000001</v>
      </c>
      <c r="G423" s="1">
        <v>8.1199999999999992</v>
      </c>
      <c r="H423" s="1">
        <v>0</v>
      </c>
      <c r="I423" s="1">
        <v>0</v>
      </c>
      <c r="J423" s="1">
        <v>1.9824999999999999</v>
      </c>
      <c r="K423" s="1">
        <v>-3.7950000000000002E-3</v>
      </c>
      <c r="L423" s="1">
        <v>2.9480000000000001E-3</v>
      </c>
      <c r="M423" s="1">
        <v>0.78920900000000005</v>
      </c>
      <c r="N423" s="1">
        <v>0.61410600000000004</v>
      </c>
      <c r="O423">
        <v>1</v>
      </c>
      <c r="P423">
        <v>0</v>
      </c>
      <c r="Q423">
        <v>1</v>
      </c>
      <c r="R423">
        <v>1</v>
      </c>
      <c r="S423">
        <v>1</v>
      </c>
      <c r="T423" s="1">
        <f>SQRT(POWER(Octane[[#This Row],[angvel_X]],2) + POWER(Octane[[#This Row],[angvel_Y]],2) + POWER(Octane[[#This Row],[angvel_Z]],2))</f>
        <v>1.9824999999999999</v>
      </c>
      <c r="U423" s="1">
        <f>DEGREES(ASIN(MAX(-1,MIN(1,2 * (Octane[[#This Row],[quart_W]]*Octane[[#This Row],[quart_Y]] - Octane[[#This Row],[quart_Z]]*Octane[[#This Row],[quart_X]])))))</f>
        <v>0.55067049603433782</v>
      </c>
      <c r="V42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-14.225001363862134</v>
      </c>
      <c r="W42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90.000451985797596</v>
      </c>
      <c r="X423" s="1">
        <f>IF(Octane[[#This Row],[Yaw]]&gt;V422,(360-ABS(Octane[[#This Row],[Yaw]])-ABS(V422)),ABS(Octane[[#This Row],[Yaw]]-V422))</f>
        <v>0.94682641567320225</v>
      </c>
      <c r="Y423" s="1">
        <f>Octane[[#This Row],[Degree change]]+Y422</f>
        <v>343.37600644293298</v>
      </c>
      <c r="Z423" s="1">
        <f>SQRT(Octane[[#This Row],[vel_X]]*Octane[[#This Row],[vel_X]]+Octane[[#This Row],[vel_Y]]*Octane[[#This Row],[vel_Y]]+Octane[[#This Row],[vel_Z]]*Octane[[#This Row],[vel_Z]])</f>
        <v>2299.9904836036544</v>
      </c>
    </row>
    <row r="424" spans="1:26">
      <c r="A424">
        <v>423</v>
      </c>
      <c r="B424" s="1">
        <v>375.03997800000002</v>
      </c>
      <c r="C424" s="1">
        <v>1720.959961</v>
      </c>
      <c r="D424" s="1">
        <v>17.010000000000002</v>
      </c>
      <c r="E424" s="1">
        <v>-464.86999500000002</v>
      </c>
      <c r="F424" s="1">
        <v>2252.51001</v>
      </c>
      <c r="G424" s="1">
        <v>8.1199999999999992</v>
      </c>
      <c r="H424" s="1">
        <v>0</v>
      </c>
      <c r="I424" s="1">
        <v>0</v>
      </c>
      <c r="J424" s="1">
        <v>1.9824999999999999</v>
      </c>
      <c r="K424" s="1">
        <v>-3.8170000000000001E-3</v>
      </c>
      <c r="L424" s="1">
        <v>2.9160000000000002E-3</v>
      </c>
      <c r="M424" s="1">
        <v>0.79425400000000002</v>
      </c>
      <c r="N424" s="1">
        <v>0.60756699999999997</v>
      </c>
      <c r="O424">
        <v>1</v>
      </c>
      <c r="P424">
        <v>0</v>
      </c>
      <c r="Q424">
        <v>1</v>
      </c>
      <c r="R424">
        <v>1</v>
      </c>
      <c r="S424">
        <v>1</v>
      </c>
      <c r="T424" s="1">
        <f>SQRT(POWER(Octane[[#This Row],[angvel_X]],2) + POWER(Octane[[#This Row],[angvel_Y]],2) + POWER(Octane[[#This Row],[angvel_Z]],2))</f>
        <v>1.9824999999999999</v>
      </c>
      <c r="U424" s="1">
        <f>DEGREES(ASIN(MAX(-1,MIN(1,2 * (Octane[[#This Row],[quart_W]]*Octane[[#This Row],[quart_Y]] - Octane[[#This Row],[quart_Z]]*Octane[[#This Row],[quart_X]])))))</f>
        <v>0.55042987095598006</v>
      </c>
      <c r="V42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-15.171425068464428</v>
      </c>
      <c r="W42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90.000348211114684</v>
      </c>
      <c r="X424" s="1">
        <f>IF(Octane[[#This Row],[Yaw]]&gt;V423,(360-ABS(Octane[[#This Row],[Yaw]])-ABS(V423)),ABS(Octane[[#This Row],[Yaw]]-V423))</f>
        <v>0.94642370460229408</v>
      </c>
      <c r="Y424" s="1">
        <f>Octane[[#This Row],[Degree change]]+Y423</f>
        <v>344.32243014753527</v>
      </c>
      <c r="Z424" s="1">
        <f>SQRT(Octane[[#This Row],[vel_X]]*Octane[[#This Row],[vel_X]]+Octane[[#This Row],[vel_Y]]*Octane[[#This Row],[vel_Y]]+Octane[[#This Row],[vel_Z]]*Octane[[#This Row],[vel_Z]])</f>
        <v>2299.9937808180048</v>
      </c>
    </row>
    <row r="425" spans="1:26">
      <c r="A425">
        <v>424</v>
      </c>
      <c r="B425" s="1">
        <v>371.14999399999999</v>
      </c>
      <c r="C425" s="1">
        <v>1739.799927</v>
      </c>
      <c r="D425" s="1">
        <v>17.010000000000002</v>
      </c>
      <c r="E425" s="1">
        <v>-502.01998900000001</v>
      </c>
      <c r="F425" s="1">
        <v>2244.5200199999999</v>
      </c>
      <c r="G425" s="1">
        <v>8.1199999999999992</v>
      </c>
      <c r="H425" s="1">
        <v>0</v>
      </c>
      <c r="I425" s="1">
        <v>0</v>
      </c>
      <c r="J425" s="1">
        <v>1.9824999999999999</v>
      </c>
      <c r="K425" s="1">
        <v>-3.8379999999999998E-3</v>
      </c>
      <c r="L425" s="1">
        <v>2.8839999999999998E-3</v>
      </c>
      <c r="M425" s="1">
        <v>0.79924600000000001</v>
      </c>
      <c r="N425" s="1">
        <v>0.60098499999999999</v>
      </c>
      <c r="O425">
        <v>1</v>
      </c>
      <c r="P425">
        <v>0</v>
      </c>
      <c r="Q425">
        <v>1</v>
      </c>
      <c r="R425">
        <v>1</v>
      </c>
      <c r="S425">
        <v>1</v>
      </c>
      <c r="T425" s="1">
        <f>SQRT(POWER(Octane[[#This Row],[angvel_X]],2) + POWER(Octane[[#This Row],[angvel_Y]],2) + POWER(Octane[[#This Row],[angvel_Z]],2))</f>
        <v>1.9824999999999999</v>
      </c>
      <c r="U425" s="1">
        <f>DEGREES(ASIN(MAX(-1,MIN(1,2 * (Octane[[#This Row],[quart_W]]*Octane[[#This Row],[quart_Y]] - Octane[[#This Row],[quart_Z]]*Octane[[#This Row],[quart_X]])))))</f>
        <v>0.55013352328753007</v>
      </c>
      <c r="V42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-16.1180730846411</v>
      </c>
      <c r="W42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90.000178194192102</v>
      </c>
      <c r="X425" s="1">
        <f>IF(Octane[[#This Row],[Yaw]]&gt;V424,(360-ABS(Octane[[#This Row],[Yaw]])-ABS(V424)),ABS(Octane[[#This Row],[Yaw]]-V424))</f>
        <v>0.94664801617667216</v>
      </c>
      <c r="Y425" s="1">
        <f>Octane[[#This Row],[Degree change]]+Y424</f>
        <v>345.26907816371192</v>
      </c>
      <c r="Z425" s="1">
        <f>SQRT(Octane[[#This Row],[vel_X]]*Octane[[#This Row],[vel_X]]+Octane[[#This Row],[vel_Y]]*Octane[[#This Row],[vel_Y]]+Octane[[#This Row],[vel_Z]]*Octane[[#This Row],[vel_Z]])</f>
        <v>2299.9913312741769</v>
      </c>
    </row>
    <row r="426" spans="1:26">
      <c r="A426">
        <v>425</v>
      </c>
      <c r="B426" s="1">
        <v>366.94998199999998</v>
      </c>
      <c r="C426" s="1">
        <v>1758.5699460000001</v>
      </c>
      <c r="D426" s="1">
        <v>17.010000000000002</v>
      </c>
      <c r="E426" s="1">
        <v>-539.02996800000005</v>
      </c>
      <c r="F426" s="1">
        <v>2235.919922</v>
      </c>
      <c r="G426" s="1">
        <v>8.1199999999999992</v>
      </c>
      <c r="H426" s="1">
        <v>0</v>
      </c>
      <c r="I426" s="1">
        <v>0</v>
      </c>
      <c r="J426" s="1">
        <v>1.9824999999999999</v>
      </c>
      <c r="K426" s="1">
        <v>-3.8600000000000001E-3</v>
      </c>
      <c r="L426" s="1">
        <v>2.8509999999999998E-3</v>
      </c>
      <c r="M426" s="1">
        <v>0.80418400000000001</v>
      </c>
      <c r="N426" s="1">
        <v>0.59436</v>
      </c>
      <c r="O426">
        <v>1</v>
      </c>
      <c r="P426">
        <v>0</v>
      </c>
      <c r="Q426">
        <v>1</v>
      </c>
      <c r="R426">
        <v>1</v>
      </c>
      <c r="S426">
        <v>1</v>
      </c>
      <c r="T426" s="1">
        <f>SQRT(POWER(Octane[[#This Row],[angvel_X]],2) + POWER(Octane[[#This Row],[angvel_Y]],2) + POWER(Octane[[#This Row],[angvel_Z]],2))</f>
        <v>1.9824999999999999</v>
      </c>
      <c r="U426" s="1">
        <f>DEGREES(ASIN(MAX(-1,MIN(1,2 * (Octane[[#This Row],[quart_W]]*Octane[[#This Row],[quart_Y]] - Octane[[#This Row],[quart_Z]]*Octane[[#This Row],[quart_X]])))))</f>
        <v>0.54989558724560772</v>
      </c>
      <c r="V42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-17.064859193293543</v>
      </c>
      <c r="W42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90.000172011685649</v>
      </c>
      <c r="X426" s="1">
        <f>IF(Octane[[#This Row],[Yaw]]&gt;V425,(360-ABS(Octane[[#This Row],[Yaw]])-ABS(V425)),ABS(Octane[[#This Row],[Yaw]]-V425))</f>
        <v>0.94678610865244295</v>
      </c>
      <c r="Y426" s="1">
        <f>Octane[[#This Row],[Degree change]]+Y425</f>
        <v>346.21586427236434</v>
      </c>
      <c r="Z426" s="1">
        <f>SQRT(Octane[[#This Row],[vel_X]]*Octane[[#This Row],[vel_X]]+Octane[[#This Row],[vel_Y]]*Octane[[#This Row],[vel_Y]]+Octane[[#This Row],[vel_Z]]*Octane[[#This Row],[vel_Z]])</f>
        <v>2299.9906822416838</v>
      </c>
    </row>
    <row r="427" spans="1:26">
      <c r="A427">
        <v>426</v>
      </c>
      <c r="B427" s="1">
        <v>362.44000199999999</v>
      </c>
      <c r="C427" s="1">
        <v>1777.2700199999999</v>
      </c>
      <c r="D427" s="1">
        <v>17.010000000000002</v>
      </c>
      <c r="E427" s="1">
        <v>-575.89996299999996</v>
      </c>
      <c r="F427" s="1">
        <v>2226.709961</v>
      </c>
      <c r="G427" s="1">
        <v>8.1199999999999992</v>
      </c>
      <c r="H427" s="1">
        <v>0</v>
      </c>
      <c r="I427" s="1">
        <v>0</v>
      </c>
      <c r="J427" s="1">
        <v>1.9824999999999999</v>
      </c>
      <c r="K427" s="1">
        <v>-3.882E-3</v>
      </c>
      <c r="L427" s="1">
        <v>2.8189999999999999E-3</v>
      </c>
      <c r="M427" s="1">
        <v>0.80906599999999995</v>
      </c>
      <c r="N427" s="1">
        <v>0.58769800000000005</v>
      </c>
      <c r="O427">
        <v>1</v>
      </c>
      <c r="P427">
        <v>0</v>
      </c>
      <c r="Q427">
        <v>1</v>
      </c>
      <c r="R427">
        <v>1</v>
      </c>
      <c r="S427">
        <v>1</v>
      </c>
      <c r="T427" s="1">
        <f>SQRT(POWER(Octane[[#This Row],[angvel_X]],2) + POWER(Octane[[#This Row],[angvel_Y]],2) + POWER(Octane[[#This Row],[angvel_Z]],2))</f>
        <v>1.9824999999999999</v>
      </c>
      <c r="U427" s="1">
        <f>DEGREES(ASIN(MAX(-1,MIN(1,2 * (Octane[[#This Row],[quart_W]]*Octane[[#This Row],[quart_Y]] - Octane[[#This Row],[quart_Z]]*Octane[[#This Row],[quart_X]])))))</f>
        <v>0.54976314470321697</v>
      </c>
      <c r="V42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-18.011375678139835</v>
      </c>
      <c r="W42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90.000078680123679</v>
      </c>
      <c r="X427" s="1">
        <f>IF(Octane[[#This Row],[Yaw]]&gt;V426,(360-ABS(Octane[[#This Row],[Yaw]])-ABS(V426)),ABS(Octane[[#This Row],[Yaw]]-V426))</f>
        <v>0.94651648484629192</v>
      </c>
      <c r="Y427" s="1">
        <f>Octane[[#This Row],[Degree change]]+Y426</f>
        <v>347.16238075721066</v>
      </c>
      <c r="Z427" s="1">
        <f>SQRT(Octane[[#This Row],[vel_X]]*Octane[[#This Row],[vel_X]]+Octane[[#This Row],[vel_Y]]*Octane[[#This Row],[vel_Y]]+Octane[[#This Row],[vel_Z]]*Octane[[#This Row],[vel_Z]])</f>
        <v>2299.9921635083938</v>
      </c>
    </row>
    <row r="428" spans="1:26">
      <c r="A428">
        <v>427</v>
      </c>
      <c r="B428" s="1">
        <v>357.61999500000002</v>
      </c>
      <c r="C428" s="1">
        <v>1795.8900149999999</v>
      </c>
      <c r="D428" s="1">
        <v>17.010000000000002</v>
      </c>
      <c r="E428" s="1">
        <v>-612.60998500000005</v>
      </c>
      <c r="F428" s="1">
        <v>2216.889893</v>
      </c>
      <c r="G428" s="1">
        <v>8.1199999999999992</v>
      </c>
      <c r="H428" s="1">
        <v>0</v>
      </c>
      <c r="I428" s="1">
        <v>0</v>
      </c>
      <c r="J428" s="1">
        <v>1.9824999999999999</v>
      </c>
      <c r="K428" s="1">
        <v>-3.9029999999999998E-3</v>
      </c>
      <c r="L428" s="1">
        <v>2.7859999999999998E-3</v>
      </c>
      <c r="M428" s="1">
        <v>0.81389500000000004</v>
      </c>
      <c r="N428" s="1">
        <v>0.58099199999999995</v>
      </c>
      <c r="O428">
        <v>1</v>
      </c>
      <c r="P428">
        <v>0</v>
      </c>
      <c r="Q428">
        <v>1</v>
      </c>
      <c r="R428">
        <v>1</v>
      </c>
      <c r="S428">
        <v>1</v>
      </c>
      <c r="T428" s="1">
        <f>SQRT(POWER(Octane[[#This Row],[angvel_X]],2) + POWER(Octane[[#This Row],[angvel_Y]],2) + POWER(Octane[[#This Row],[angvel_Z]],2))</f>
        <v>1.9824999999999999</v>
      </c>
      <c r="U428" s="1">
        <f>DEGREES(ASIN(MAX(-1,MIN(1,2 * (Octane[[#This Row],[quart_W]]*Octane[[#This Row],[quart_Y]] - Octane[[#This Row],[quart_Z]]*Octane[[#This Row],[quart_X]])))))</f>
        <v>0.5495065650324511</v>
      </c>
      <c r="V42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-18.958347751445352</v>
      </c>
      <c r="W42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90.000011494749558</v>
      </c>
      <c r="X428" s="1">
        <f>IF(Octane[[#This Row],[Yaw]]&gt;V427,(360-ABS(Octane[[#This Row],[Yaw]])-ABS(V427)),ABS(Octane[[#This Row],[Yaw]]-V427))</f>
        <v>0.94697207330551691</v>
      </c>
      <c r="Y428" s="1">
        <f>Octane[[#This Row],[Degree change]]+Y427</f>
        <v>348.10935283051617</v>
      </c>
      <c r="Z428" s="1">
        <f>SQRT(Octane[[#This Row],[vel_X]]*Octane[[#This Row],[vel_X]]+Octane[[#This Row],[vel_Y]]*Octane[[#This Row],[vel_Y]]+Octane[[#This Row],[vel_Z]]*Octane[[#This Row],[vel_Z]])</f>
        <v>2299.990809939738</v>
      </c>
    </row>
    <row r="429" spans="1:26">
      <c r="A429">
        <v>428</v>
      </c>
      <c r="B429" s="1">
        <v>352.48998999999998</v>
      </c>
      <c r="C429" s="1">
        <v>1814.429932</v>
      </c>
      <c r="D429" s="1">
        <v>17.010000000000002</v>
      </c>
      <c r="E429" s="1">
        <v>-649.14996299999996</v>
      </c>
      <c r="F429" s="1">
        <v>2206.469971</v>
      </c>
      <c r="G429" s="1">
        <v>8.1199999999999992</v>
      </c>
      <c r="H429" s="1">
        <v>0</v>
      </c>
      <c r="I429" s="1">
        <v>0</v>
      </c>
      <c r="J429" s="1">
        <v>1.9824999999999999</v>
      </c>
      <c r="K429" s="1">
        <v>-3.9249999999999997E-3</v>
      </c>
      <c r="L429" s="1">
        <v>2.7539999999999999E-3</v>
      </c>
      <c r="M429" s="1">
        <v>0.81866700000000003</v>
      </c>
      <c r="N429" s="1">
        <v>0.57424799999999998</v>
      </c>
      <c r="O429">
        <v>1</v>
      </c>
      <c r="P429">
        <v>0</v>
      </c>
      <c r="Q429">
        <v>1</v>
      </c>
      <c r="R429">
        <v>1</v>
      </c>
      <c r="S429">
        <v>1</v>
      </c>
      <c r="T429" s="1">
        <f>SQRT(POWER(Octane[[#This Row],[angvel_X]],2) + POWER(Octane[[#This Row],[angvel_Y]],2) + POWER(Octane[[#This Row],[angvel_Z]],2))</f>
        <v>1.9824999999999999</v>
      </c>
      <c r="U429" s="1">
        <f>DEGREES(ASIN(MAX(-1,MIN(1,2 * (Octane[[#This Row],[quart_W]]*Octane[[#This Row],[quart_Y]] - Octane[[#This Row],[quart_Z]]*Octane[[#This Row],[quart_X]])))))</f>
        <v>0.54944595133179441</v>
      </c>
      <c r="V42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-19.905048806105281</v>
      </c>
      <c r="W42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89.999921441811523</v>
      </c>
      <c r="X429" s="1">
        <f>IF(Octane[[#This Row],[Yaw]]&gt;V428,(360-ABS(Octane[[#This Row],[Yaw]])-ABS(V428)),ABS(Octane[[#This Row],[Yaw]]-V428))</f>
        <v>0.94670105465992904</v>
      </c>
      <c r="Y429" s="1">
        <f>Octane[[#This Row],[Degree change]]+Y428</f>
        <v>349.05605388517608</v>
      </c>
      <c r="Z429" s="1">
        <f>SQRT(Octane[[#This Row],[vel_X]]*Octane[[#This Row],[vel_X]]+Octane[[#This Row],[vel_Y]]*Octane[[#This Row],[vel_Y]]+Octane[[#This Row],[vel_Z]]*Octane[[#This Row],[vel_Z]])</f>
        <v>2299.9937699453976</v>
      </c>
    </row>
    <row r="430" spans="1:26">
      <c r="A430">
        <v>429</v>
      </c>
      <c r="B430" s="1">
        <v>347.05999800000001</v>
      </c>
      <c r="C430" s="1">
        <v>1832.880005</v>
      </c>
      <c r="D430" s="1">
        <v>17.010000000000002</v>
      </c>
      <c r="E430" s="1">
        <v>-685.51995799999997</v>
      </c>
      <c r="F430" s="1">
        <v>2195.4399410000001</v>
      </c>
      <c r="G430" s="1">
        <v>8.1199999999999992</v>
      </c>
      <c r="H430" s="1">
        <v>0</v>
      </c>
      <c r="I430" s="1">
        <v>0</v>
      </c>
      <c r="J430" s="1">
        <v>1.9824999999999999</v>
      </c>
      <c r="K430" s="1">
        <v>-3.9459999999999999E-3</v>
      </c>
      <c r="L430" s="1">
        <v>2.722E-3</v>
      </c>
      <c r="M430" s="1">
        <v>0.82338199999999995</v>
      </c>
      <c r="N430" s="1">
        <v>0.56746700000000005</v>
      </c>
      <c r="O430">
        <v>1</v>
      </c>
      <c r="P430">
        <v>0</v>
      </c>
      <c r="Q430">
        <v>1</v>
      </c>
      <c r="R430">
        <v>1</v>
      </c>
      <c r="S430">
        <v>1</v>
      </c>
      <c r="T430" s="1">
        <f>SQRT(POWER(Octane[[#This Row],[angvel_X]],2) + POWER(Octane[[#This Row],[angvel_Y]],2) + POWER(Octane[[#This Row],[angvel_Z]],2))</f>
        <v>1.9824999999999999</v>
      </c>
      <c r="U430" s="1">
        <f>DEGREES(ASIN(MAX(-1,MIN(1,2 * (Octane[[#This Row],[quart_W]]*Octane[[#This Row],[quart_Y]] - Octane[[#This Row],[quart_Z]]*Octane[[#This Row],[quart_X]])))))</f>
        <v>0.54932718077367704</v>
      </c>
      <c r="V43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-20.851504883432341</v>
      </c>
      <c r="W43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89.99976839729365</v>
      </c>
      <c r="X430" s="1">
        <f>IF(Octane[[#This Row],[Yaw]]&gt;V429,(360-ABS(Octane[[#This Row],[Yaw]])-ABS(V429)),ABS(Octane[[#This Row],[Yaw]]-V429))</f>
        <v>0.94645607732705983</v>
      </c>
      <c r="Y430" s="1">
        <f>Octane[[#This Row],[Degree change]]+Y429</f>
        <v>350.00250996250315</v>
      </c>
      <c r="Z430" s="1">
        <f>SQRT(Octane[[#This Row],[vel_X]]*Octane[[#This Row],[vel_X]]+Octane[[#This Row],[vel_Y]]*Octane[[#This Row],[vel_Y]]+Octane[[#This Row],[vel_Z]]*Octane[[#This Row],[vel_Z]])</f>
        <v>2299.991322104152</v>
      </c>
    </row>
    <row r="431" spans="1:26">
      <c r="A431">
        <v>430</v>
      </c>
      <c r="B431" s="1">
        <v>341.32000699999998</v>
      </c>
      <c r="C431" s="1">
        <v>1851.23999</v>
      </c>
      <c r="D431" s="1">
        <v>17.010000000000002</v>
      </c>
      <c r="E431" s="1">
        <v>-721.70001200000002</v>
      </c>
      <c r="F431" s="1">
        <v>2183.820068</v>
      </c>
      <c r="G431" s="1">
        <v>8.1199999999999992</v>
      </c>
      <c r="H431" s="1">
        <v>0</v>
      </c>
      <c r="I431" s="1">
        <v>0</v>
      </c>
      <c r="J431" s="1">
        <v>1.9824999999999999</v>
      </c>
      <c r="K431" s="1">
        <v>-3.9680000000000002E-3</v>
      </c>
      <c r="L431" s="1">
        <v>2.689E-3</v>
      </c>
      <c r="M431" s="1">
        <v>0.82804</v>
      </c>
      <c r="N431" s="1">
        <v>0.56064800000000004</v>
      </c>
      <c r="O431">
        <v>1</v>
      </c>
      <c r="P431">
        <v>0</v>
      </c>
      <c r="Q431">
        <v>1</v>
      </c>
      <c r="R431">
        <v>1</v>
      </c>
      <c r="S431">
        <v>1</v>
      </c>
      <c r="T431" s="1">
        <f>SQRT(POWER(Octane[[#This Row],[angvel_X]],2) + POWER(Octane[[#This Row],[angvel_Y]],2) + POWER(Octane[[#This Row],[angvel_Z]],2))</f>
        <v>1.9824999999999999</v>
      </c>
      <c r="U431" s="1">
        <f>DEGREES(ASIN(MAX(-1,MIN(1,2 * (Octane[[#This Row],[quart_W]]*Octane[[#This Row],[quart_Y]] - Octane[[#This Row],[quart_Z]]*Octane[[#This Row],[quart_X]])))))</f>
        <v>0.54927385268257667</v>
      </c>
      <c r="V43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-21.797808075415247</v>
      </c>
      <c r="W43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89.999776731464408</v>
      </c>
      <c r="X431" s="1">
        <f>IF(Octane[[#This Row],[Yaw]]&gt;V430,(360-ABS(Octane[[#This Row],[Yaw]])-ABS(V430)),ABS(Octane[[#This Row],[Yaw]]-V430))</f>
        <v>0.94630319198290636</v>
      </c>
      <c r="Y431" s="1">
        <f>Octane[[#This Row],[Degree change]]+Y430</f>
        <v>350.94881315448606</v>
      </c>
      <c r="Z431" s="1">
        <f>SQRT(Octane[[#This Row],[vel_X]]*Octane[[#This Row],[vel_X]]+Octane[[#This Row],[vel_Y]]*Octane[[#This Row],[vel_Y]]+Octane[[#This Row],[vel_Z]]*Octane[[#This Row],[vel_Z]])</f>
        <v>2299.9971589374463</v>
      </c>
    </row>
    <row r="432" spans="1:26">
      <c r="A432">
        <v>431</v>
      </c>
      <c r="B432" s="1">
        <v>335.27999899999998</v>
      </c>
      <c r="C432" s="1">
        <v>1869.5</v>
      </c>
      <c r="D432" s="1">
        <v>17.010000000000002</v>
      </c>
      <c r="E432" s="1">
        <v>-757.67999299999997</v>
      </c>
      <c r="F432" s="1">
        <v>2171.5998540000001</v>
      </c>
      <c r="G432" s="1">
        <v>8.1199999999999992</v>
      </c>
      <c r="H432" s="1">
        <v>0</v>
      </c>
      <c r="I432" s="1">
        <v>0</v>
      </c>
      <c r="J432" s="1">
        <v>1.9824999999999999</v>
      </c>
      <c r="K432" s="1">
        <v>-3.9890000000000004E-3</v>
      </c>
      <c r="L432" s="1">
        <v>2.6570000000000001E-3</v>
      </c>
      <c r="M432" s="1">
        <v>0.83264199999999999</v>
      </c>
      <c r="N432" s="1">
        <v>0.55379100000000003</v>
      </c>
      <c r="O432">
        <v>1</v>
      </c>
      <c r="P432">
        <v>0</v>
      </c>
      <c r="Q432">
        <v>1</v>
      </c>
      <c r="R432">
        <v>1</v>
      </c>
      <c r="S432">
        <v>1</v>
      </c>
      <c r="T432" s="1">
        <f>SQRT(POWER(Octane[[#This Row],[angvel_X]],2) + POWER(Octane[[#This Row],[angvel_Y]],2) + POWER(Octane[[#This Row],[angvel_Z]],2))</f>
        <v>1.9824999999999999</v>
      </c>
      <c r="U432" s="1">
        <f>DEGREES(ASIN(MAX(-1,MIN(1,2 * (Octane[[#This Row],[quart_W]]*Octane[[#This Row],[quart_Y]] - Octane[[#This Row],[quart_Z]]*Octane[[#This Row],[quart_X]])))))</f>
        <v>0.5492264592176741</v>
      </c>
      <c r="V43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-22.744175093756112</v>
      </c>
      <c r="W43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89.999626701418777</v>
      </c>
      <c r="X432" s="1">
        <f>IF(Octane[[#This Row],[Yaw]]&gt;V431,(360-ABS(Octane[[#This Row],[Yaw]])-ABS(V431)),ABS(Octane[[#This Row],[Yaw]]-V431))</f>
        <v>0.94636701834086523</v>
      </c>
      <c r="Y432" s="1">
        <f>Octane[[#This Row],[Degree change]]+Y431</f>
        <v>351.89518017282694</v>
      </c>
      <c r="Z432" s="1">
        <f>SQRT(Octane[[#This Row],[vel_X]]*Octane[[#This Row],[vel_X]]+Octane[[#This Row],[vel_Y]]*Octane[[#This Row],[vel_Y]]+Octane[[#This Row],[vel_Z]]*Octane[[#This Row],[vel_Z]])</f>
        <v>2299.9980069742019</v>
      </c>
    </row>
    <row r="433" spans="1:26">
      <c r="A433">
        <v>432</v>
      </c>
      <c r="B433" s="1">
        <v>328.94000199999999</v>
      </c>
      <c r="C433" s="1">
        <v>1887.6599120000001</v>
      </c>
      <c r="D433" s="1">
        <v>17.010000000000002</v>
      </c>
      <c r="E433" s="1">
        <v>-793.45001200000002</v>
      </c>
      <c r="F433" s="1">
        <v>2158.780029</v>
      </c>
      <c r="G433" s="1">
        <v>8.1199999999999992</v>
      </c>
      <c r="H433" s="1">
        <v>0</v>
      </c>
      <c r="I433" s="1">
        <v>0</v>
      </c>
      <c r="J433" s="1">
        <v>1.9824999999999999</v>
      </c>
      <c r="K433" s="1">
        <v>-4.0109999999999998E-3</v>
      </c>
      <c r="L433" s="1">
        <v>2.6250000000000002E-3</v>
      </c>
      <c r="M433" s="1">
        <v>0.83718599999999999</v>
      </c>
      <c r="N433" s="1">
        <v>0.54689699999999997</v>
      </c>
      <c r="O433">
        <v>1</v>
      </c>
      <c r="P433">
        <v>0</v>
      </c>
      <c r="Q433">
        <v>1</v>
      </c>
      <c r="R433">
        <v>1</v>
      </c>
      <c r="S433">
        <v>1</v>
      </c>
      <c r="T433" s="1">
        <f>SQRT(POWER(Octane[[#This Row],[angvel_X]],2) + POWER(Octane[[#This Row],[angvel_Y]],2) + POWER(Octane[[#This Row],[angvel_Z]],2))</f>
        <v>1.9824999999999999</v>
      </c>
      <c r="U433" s="1">
        <f>DEGREES(ASIN(MAX(-1,MIN(1,2 * (Octane[[#This Row],[quart_W]]*Octane[[#This Row],[quart_Y]] - Octane[[#This Row],[quart_Z]]*Octane[[#This Row],[quart_X]])))))</f>
        <v>0.54930966178393714</v>
      </c>
      <c r="V43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-23.690328620724955</v>
      </c>
      <c r="W43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89.999540537435564</v>
      </c>
      <c r="X433" s="1">
        <f>IF(Octane[[#This Row],[Yaw]]&gt;V432,(360-ABS(Octane[[#This Row],[Yaw]])-ABS(V432)),ABS(Octane[[#This Row],[Yaw]]-V432))</f>
        <v>0.94615352696884258</v>
      </c>
      <c r="Y433" s="1">
        <f>Octane[[#This Row],[Degree change]]+Y432</f>
        <v>352.84133369979577</v>
      </c>
      <c r="Z433" s="1">
        <f>SQRT(Octane[[#This Row],[vel_X]]*Octane[[#This Row],[vel_X]]+Octane[[#This Row],[vel_Y]]*Octane[[#This Row],[vel_Y]]+Octane[[#This Row],[vel_Z]]*Octane[[#This Row],[vel_Z]])</f>
        <v>2299.9913194514543</v>
      </c>
    </row>
    <row r="434" spans="1:26">
      <c r="A434">
        <v>433</v>
      </c>
      <c r="B434" s="1">
        <v>322.29998799999998</v>
      </c>
      <c r="C434" s="1">
        <v>1905.709961</v>
      </c>
      <c r="D434" s="1">
        <v>17.010000000000002</v>
      </c>
      <c r="E434" s="1">
        <v>-829</v>
      </c>
      <c r="F434" s="1">
        <v>2145.3798830000001</v>
      </c>
      <c r="G434" s="1">
        <v>8.1199999999999992</v>
      </c>
      <c r="H434" s="1">
        <v>0</v>
      </c>
      <c r="I434" s="1">
        <v>0</v>
      </c>
      <c r="J434" s="1">
        <v>1.9824999999999999</v>
      </c>
      <c r="K434" s="1">
        <v>-4.0330000000000001E-3</v>
      </c>
      <c r="L434" s="1">
        <v>2.5920000000000001E-3</v>
      </c>
      <c r="M434" s="1">
        <v>0.84167400000000003</v>
      </c>
      <c r="N434" s="1">
        <v>0.539964</v>
      </c>
      <c r="O434">
        <v>1</v>
      </c>
      <c r="P434">
        <v>0</v>
      </c>
      <c r="Q434">
        <v>1</v>
      </c>
      <c r="R434">
        <v>1</v>
      </c>
      <c r="S434">
        <v>1</v>
      </c>
      <c r="T434" s="1">
        <f>SQRT(POWER(Octane[[#This Row],[angvel_X]],2) + POWER(Octane[[#This Row],[angvel_Y]],2) + POWER(Octane[[#This Row],[angvel_Z]],2))</f>
        <v>1.9824999999999999</v>
      </c>
      <c r="U434" s="1">
        <f>DEGREES(ASIN(MAX(-1,MIN(1,2 * (Octane[[#This Row],[quart_W]]*Octane[[#This Row],[quart_Y]] - Octane[[#This Row],[quart_Z]]*Octane[[#This Row],[quart_X]])))))</f>
        <v>0.5493669898775918</v>
      </c>
      <c r="V43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-24.636712280369725</v>
      </c>
      <c r="W43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89.999548007654482</v>
      </c>
      <c r="X434" s="1">
        <f>IF(Octane[[#This Row],[Yaw]]&gt;V433,(360-ABS(Octane[[#This Row],[Yaw]])-ABS(V433)),ABS(Octane[[#This Row],[Yaw]]-V433))</f>
        <v>0.94638365964476989</v>
      </c>
      <c r="Y434" s="1">
        <f>Octane[[#This Row],[Degree change]]+Y433</f>
        <v>353.78771735944053</v>
      </c>
      <c r="Z434" s="1">
        <f>SQRT(Octane[[#This Row],[vel_X]]*Octane[[#This Row],[vel_X]]+Octane[[#This Row],[vel_Y]]*Octane[[#This Row],[vel_Y]]+Octane[[#This Row],[vel_Z]]*Octane[[#This Row],[vel_Z]])</f>
        <v>2299.9916905895752</v>
      </c>
    </row>
    <row r="435" spans="1:26">
      <c r="A435">
        <v>434</v>
      </c>
      <c r="B435" s="1">
        <v>315.35998499999999</v>
      </c>
      <c r="C435" s="1">
        <v>1923.6499020000001</v>
      </c>
      <c r="D435" s="1">
        <v>17.010000000000002</v>
      </c>
      <c r="E435" s="1">
        <v>-864.32995600000004</v>
      </c>
      <c r="F435" s="1">
        <v>2131.389893</v>
      </c>
      <c r="G435" s="1">
        <v>8.1199999999999992</v>
      </c>
      <c r="H435" s="1">
        <v>0</v>
      </c>
      <c r="I435" s="1">
        <v>0</v>
      </c>
      <c r="J435" s="1">
        <v>1.9824999999999999</v>
      </c>
      <c r="K435" s="1">
        <v>-4.0540000000000003E-3</v>
      </c>
      <c r="L435" s="1">
        <v>2.5600000000000002E-3</v>
      </c>
      <c r="M435" s="1">
        <v>0.846105</v>
      </c>
      <c r="N435" s="1">
        <v>0.53299399999999997</v>
      </c>
      <c r="O435">
        <v>1</v>
      </c>
      <c r="P435">
        <v>0</v>
      </c>
      <c r="Q435">
        <v>1</v>
      </c>
      <c r="R435">
        <v>1</v>
      </c>
      <c r="S435">
        <v>1</v>
      </c>
      <c r="T435" s="1">
        <f>SQRT(POWER(Octane[[#This Row],[angvel_X]],2) + POWER(Octane[[#This Row],[angvel_Y]],2) + POWER(Octane[[#This Row],[angvel_Z]],2))</f>
        <v>1.9824999999999999</v>
      </c>
      <c r="U435" s="1">
        <f>DEGREES(ASIN(MAX(-1,MIN(1,2 * (Octane[[#This Row],[quart_W]]*Octane[[#This Row],[quart_Y]] - Octane[[#This Row],[quart_Z]]*Octane[[#This Row],[quart_X]])))))</f>
        <v>0.54942616538725775</v>
      </c>
      <c r="V43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-25.583165650336809</v>
      </c>
      <c r="W43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89.999395945910436</v>
      </c>
      <c r="X435" s="1">
        <f>IF(Octane[[#This Row],[Yaw]]&gt;V434,(360-ABS(Octane[[#This Row],[Yaw]])-ABS(V434)),ABS(Octane[[#This Row],[Yaw]]-V434))</f>
        <v>0.94645336996708451</v>
      </c>
      <c r="Y435" s="1">
        <f>Octane[[#This Row],[Degree change]]+Y434</f>
        <v>354.73417072940759</v>
      </c>
      <c r="Z435" s="1">
        <f>SQRT(Octane[[#This Row],[vel_X]]*Octane[[#This Row],[vel_X]]+Octane[[#This Row],[vel_Y]]*Octane[[#This Row],[vel_Y]]+Octane[[#This Row],[vel_Z]]*Octane[[#This Row],[vel_Z]])</f>
        <v>2299.9902354622104</v>
      </c>
    </row>
    <row r="436" spans="1:26">
      <c r="A436">
        <v>435</v>
      </c>
      <c r="B436" s="1">
        <v>308.13000499999998</v>
      </c>
      <c r="C436" s="1">
        <v>1941.469971</v>
      </c>
      <c r="D436" s="1">
        <v>17.010000000000002</v>
      </c>
      <c r="E436" s="1">
        <v>-899.419983</v>
      </c>
      <c r="F436" s="1">
        <v>2116.820068</v>
      </c>
      <c r="G436" s="1">
        <v>8.1199999999999992</v>
      </c>
      <c r="H436" s="1">
        <v>0</v>
      </c>
      <c r="I436" s="1">
        <v>0</v>
      </c>
      <c r="J436" s="1">
        <v>1.9824999999999999</v>
      </c>
      <c r="K436" s="1">
        <v>-4.0759999999999998E-3</v>
      </c>
      <c r="L436" s="1">
        <v>2.5270000000000002E-3</v>
      </c>
      <c r="M436" s="1">
        <v>0.85047899999999998</v>
      </c>
      <c r="N436" s="1">
        <v>0.52598599999999995</v>
      </c>
      <c r="O436">
        <v>1</v>
      </c>
      <c r="P436">
        <v>0</v>
      </c>
      <c r="Q436">
        <v>1</v>
      </c>
      <c r="R436">
        <v>1</v>
      </c>
      <c r="S436">
        <v>1</v>
      </c>
      <c r="T436" s="1">
        <f>SQRT(POWER(Octane[[#This Row],[angvel_X]],2) + POWER(Octane[[#This Row],[angvel_Y]],2) + POWER(Octane[[#This Row],[angvel_Z]],2))</f>
        <v>1.9824999999999999</v>
      </c>
      <c r="U436" s="1">
        <f>DEGREES(ASIN(MAX(-1,MIN(1,2 * (Octane[[#This Row],[quart_W]]*Octane[[#This Row],[quart_Y]] - Octane[[#This Row],[quart_Z]]*Octane[[#This Row],[quart_X]])))))</f>
        <v>0.54955734621107322</v>
      </c>
      <c r="V43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-26.529795881166219</v>
      </c>
      <c r="W43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89.99939934105744</v>
      </c>
      <c r="X436" s="1">
        <f>IF(Octane[[#This Row],[Yaw]]&gt;V435,(360-ABS(Octane[[#This Row],[Yaw]])-ABS(V435)),ABS(Octane[[#This Row],[Yaw]]-V435))</f>
        <v>0.94663023082940967</v>
      </c>
      <c r="Y436" s="1">
        <f>Octane[[#This Row],[Degree change]]+Y435</f>
        <v>355.68080096023698</v>
      </c>
      <c r="Z436" s="1">
        <f>SQRT(Octane[[#This Row],[vel_X]]*Octane[[#This Row],[vel_X]]+Octane[[#This Row],[vel_Y]]*Octane[[#This Row],[vel_Y]]+Octane[[#This Row],[vel_Z]]*Octane[[#This Row],[vel_Z]])</f>
        <v>2299.9890087796603</v>
      </c>
    </row>
    <row r="437" spans="1:26">
      <c r="A437">
        <v>436</v>
      </c>
      <c r="B437" s="1">
        <v>300.60000600000001</v>
      </c>
      <c r="C437" s="1">
        <v>1959.169922</v>
      </c>
      <c r="D437" s="1">
        <v>17.010000000000002</v>
      </c>
      <c r="E437" s="1">
        <v>-934.26995799999997</v>
      </c>
      <c r="F437" s="1">
        <v>2101.679932</v>
      </c>
      <c r="G437" s="1">
        <v>8.1199999999999992</v>
      </c>
      <c r="H437" s="1">
        <v>0</v>
      </c>
      <c r="I437" s="1">
        <v>0</v>
      </c>
      <c r="J437" s="1">
        <v>1.9824999999999999</v>
      </c>
      <c r="K437" s="1">
        <v>-4.0969999999999999E-3</v>
      </c>
      <c r="L437" s="1">
        <v>2.4949999999999998E-3</v>
      </c>
      <c r="M437" s="1">
        <v>0.85479700000000003</v>
      </c>
      <c r="N437" s="1">
        <v>0.51894099999999999</v>
      </c>
      <c r="O437">
        <v>1</v>
      </c>
      <c r="P437">
        <v>0</v>
      </c>
      <c r="Q437">
        <v>1</v>
      </c>
      <c r="R437">
        <v>1</v>
      </c>
      <c r="S437">
        <v>1</v>
      </c>
      <c r="T437" s="1">
        <f>SQRT(POWER(Octane[[#This Row],[angvel_X]],2) + POWER(Octane[[#This Row],[angvel_Y]],2) + POWER(Octane[[#This Row],[angvel_Z]],2))</f>
        <v>1.9824999999999999</v>
      </c>
      <c r="U437" s="1">
        <f>DEGREES(ASIN(MAX(-1,MIN(1,2 * (Octane[[#This Row],[quart_W]]*Octane[[#This Row],[quart_Y]] - Octane[[#This Row],[quart_Z]]*Octane[[#This Row],[quart_X]])))))</f>
        <v>0.5496882247313245</v>
      </c>
      <c r="V43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-27.476776439233237</v>
      </c>
      <c r="W43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89.999241685482886</v>
      </c>
      <c r="X437" s="1">
        <f>IF(Octane[[#This Row],[Yaw]]&gt;V436,(360-ABS(Octane[[#This Row],[Yaw]])-ABS(V436)),ABS(Octane[[#This Row],[Yaw]]-V436))</f>
        <v>0.94698055806701831</v>
      </c>
      <c r="Y437" s="1">
        <f>Octane[[#This Row],[Degree change]]+Y436</f>
        <v>356.627781518304</v>
      </c>
      <c r="Z437" s="1">
        <f>SQRT(Octane[[#This Row],[vel_X]]*Octane[[#This Row],[vel_X]]+Octane[[#This Row],[vel_Y]]*Octane[[#This Row],[vel_Y]]+Octane[[#This Row],[vel_Z]]*Octane[[#This Row],[vel_Z]])</f>
        <v>2299.9967011699923</v>
      </c>
    </row>
    <row r="438" spans="1:26">
      <c r="A438">
        <v>437</v>
      </c>
      <c r="B438" s="1">
        <v>292.77999899999998</v>
      </c>
      <c r="C438" s="1">
        <v>1976.75</v>
      </c>
      <c r="D438" s="1">
        <v>17.010000000000002</v>
      </c>
      <c r="E438" s="1">
        <v>-968.85998500000005</v>
      </c>
      <c r="F438" s="1">
        <v>2085.959961</v>
      </c>
      <c r="G438" s="1">
        <v>8.1199999999999992</v>
      </c>
      <c r="H438" s="1">
        <v>0</v>
      </c>
      <c r="I438" s="1">
        <v>0</v>
      </c>
      <c r="J438" s="1">
        <v>1.9824999999999999</v>
      </c>
      <c r="K438" s="1">
        <v>-4.1190000000000003E-3</v>
      </c>
      <c r="L438" s="1">
        <v>2.4629999999999999E-3</v>
      </c>
      <c r="M438" s="1">
        <v>0.85905399999999998</v>
      </c>
      <c r="N438" s="1">
        <v>0.51186299999999996</v>
      </c>
      <c r="O438">
        <v>1</v>
      </c>
      <c r="P438">
        <v>0</v>
      </c>
      <c r="Q438">
        <v>1</v>
      </c>
      <c r="R438">
        <v>1</v>
      </c>
      <c r="S438">
        <v>1</v>
      </c>
      <c r="T438" s="1">
        <f>SQRT(POWER(Octane[[#This Row],[angvel_X]],2) + POWER(Octane[[#This Row],[angvel_Y]],2) + POWER(Octane[[#This Row],[angvel_Z]],2))</f>
        <v>1.9824999999999999</v>
      </c>
      <c r="U438" s="1">
        <f>DEGREES(ASIN(MAX(-1,MIN(1,2 * (Octane[[#This Row],[quart_W]]*Octane[[#This Row],[quart_Y]] - Octane[[#This Row],[quart_Z]]*Octane[[#This Row],[quart_X]])))))</f>
        <v>0.54995189955851498</v>
      </c>
      <c r="V43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-28.423257090999034</v>
      </c>
      <c r="W43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89.999142093119247</v>
      </c>
      <c r="X438" s="1">
        <f>IF(Octane[[#This Row],[Yaw]]&gt;V437,(360-ABS(Octane[[#This Row],[Yaw]])-ABS(V437)),ABS(Octane[[#This Row],[Yaw]]-V437))</f>
        <v>0.94648065176579621</v>
      </c>
      <c r="Y438" s="1">
        <f>Octane[[#This Row],[Degree change]]+Y437</f>
        <v>357.5742621700698</v>
      </c>
      <c r="Z438" s="1">
        <f>SQRT(Octane[[#This Row],[vel_X]]*Octane[[#This Row],[vel_X]]+Octane[[#This Row],[vel_Y]]*Octane[[#This Row],[vel_Y]]+Octane[[#This Row],[vel_Z]]*Octane[[#This Row],[vel_Z]])</f>
        <v>2299.996644308274</v>
      </c>
    </row>
    <row r="439" spans="1:26">
      <c r="A439">
        <v>438</v>
      </c>
      <c r="B439" s="1">
        <v>284.669983</v>
      </c>
      <c r="C439" s="1">
        <v>1994.1899410000001</v>
      </c>
      <c r="D439" s="1">
        <v>17.010000000000002</v>
      </c>
      <c r="E439" s="1">
        <v>-1003.190002</v>
      </c>
      <c r="F439" s="1">
        <v>2069.669922</v>
      </c>
      <c r="G439" s="1">
        <v>8.1199999999999992</v>
      </c>
      <c r="H439" s="1">
        <v>0</v>
      </c>
      <c r="I439" s="1">
        <v>0</v>
      </c>
      <c r="J439" s="1">
        <v>1.9824999999999999</v>
      </c>
      <c r="K439" s="1">
        <v>-4.1409999999999997E-3</v>
      </c>
      <c r="L439" s="1">
        <v>2.4299999999999999E-3</v>
      </c>
      <c r="M439" s="1">
        <v>0.86325399999999997</v>
      </c>
      <c r="N439" s="1">
        <v>0.50474699999999995</v>
      </c>
      <c r="O439">
        <v>1</v>
      </c>
      <c r="P439">
        <v>0</v>
      </c>
      <c r="Q439">
        <v>1</v>
      </c>
      <c r="R439">
        <v>1</v>
      </c>
      <c r="S439">
        <v>1</v>
      </c>
      <c r="T439" s="1">
        <f>SQRT(POWER(Octane[[#This Row],[angvel_X]],2) + POWER(Octane[[#This Row],[angvel_Y]],2) + POWER(Octane[[#This Row],[angvel_Z]],2))</f>
        <v>1.9824999999999999</v>
      </c>
      <c r="U439" s="1">
        <f>DEGREES(ASIN(MAX(-1,MIN(1,2 * (Octane[[#This Row],[quart_W]]*Octane[[#This Row],[quart_Y]] - Octane[[#This Row],[quart_Z]]*Octane[[#This Row],[quart_X]])))))</f>
        <v>0.55019347302106103</v>
      </c>
      <c r="V43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-29.370118272671974</v>
      </c>
      <c r="W43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89.999134806100457</v>
      </c>
      <c r="X439" s="1">
        <f>IF(Octane[[#This Row],[Yaw]]&gt;V438,(360-ABS(Octane[[#This Row],[Yaw]])-ABS(V438)),ABS(Octane[[#This Row],[Yaw]]-V438))</f>
        <v>0.94686118167293998</v>
      </c>
      <c r="Y439" s="1">
        <f>Octane[[#This Row],[Degree change]]+Y438</f>
        <v>358.52112335174274</v>
      </c>
      <c r="Z439" s="1">
        <f>SQRT(Octane[[#This Row],[vel_X]]*Octane[[#This Row],[vel_X]]+Octane[[#This Row],[vel_Y]]*Octane[[#This Row],[vel_Y]]+Octane[[#This Row],[vel_Z]]*Octane[[#This Row],[vel_Z]])</f>
        <v>2299.9977609867897</v>
      </c>
    </row>
    <row r="440" spans="1:26">
      <c r="A440">
        <v>439</v>
      </c>
      <c r="B440" s="1">
        <v>276.27999899999998</v>
      </c>
      <c r="C440" s="1">
        <v>2011.5</v>
      </c>
      <c r="D440" s="1">
        <v>17.010000000000002</v>
      </c>
      <c r="E440" s="1">
        <v>-1037.23999</v>
      </c>
      <c r="F440" s="1">
        <v>2052.8100589999999</v>
      </c>
      <c r="G440" s="1">
        <v>8.1199999999999992</v>
      </c>
      <c r="H440" s="1">
        <v>0</v>
      </c>
      <c r="I440" s="1">
        <v>0</v>
      </c>
      <c r="J440" s="1">
        <v>1.9824999999999999</v>
      </c>
      <c r="K440" s="1">
        <v>-4.1619999999999999E-3</v>
      </c>
      <c r="L440" s="1">
        <v>2.398E-3</v>
      </c>
      <c r="M440" s="1">
        <v>0.867394</v>
      </c>
      <c r="N440" s="1">
        <v>0.49759900000000001</v>
      </c>
      <c r="O440">
        <v>1</v>
      </c>
      <c r="P440">
        <v>0</v>
      </c>
      <c r="Q440">
        <v>1</v>
      </c>
      <c r="R440">
        <v>1</v>
      </c>
      <c r="S440">
        <v>1</v>
      </c>
      <c r="T440" s="1">
        <f>SQRT(POWER(Octane[[#This Row],[angvel_X]],2) + POWER(Octane[[#This Row],[angvel_Y]],2) + POWER(Octane[[#This Row],[angvel_Z]],2))</f>
        <v>1.9824999999999999</v>
      </c>
      <c r="U440" s="1">
        <f>DEGREES(ASIN(MAX(-1,MIN(1,2 * (Octane[[#This Row],[quart_W]]*Octane[[#This Row],[quart_Y]] - Octane[[#This Row],[quart_Z]]*Octane[[#This Row],[quart_X]])))))</f>
        <v>0.55043025370944954</v>
      </c>
      <c r="V44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-30.316706424869679</v>
      </c>
      <c r="W44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89.998968195887429</v>
      </c>
      <c r="X440" s="1">
        <f>IF(Octane[[#This Row],[Yaw]]&gt;V439,(360-ABS(Octane[[#This Row],[Yaw]])-ABS(V439)),ABS(Octane[[#This Row],[Yaw]]-V439))</f>
        <v>0.94658815219770531</v>
      </c>
      <c r="Y440" s="1">
        <f>Octane[[#This Row],[Degree change]]+Y439</f>
        <v>359.46771150394045</v>
      </c>
      <c r="Z440" s="1">
        <f>SQRT(Octane[[#This Row],[vel_X]]*Octane[[#This Row],[vel_X]]+Octane[[#This Row],[vel_Y]]*Octane[[#This Row],[vel_Y]]+Octane[[#This Row],[vel_Z]]*Octane[[#This Row],[vel_Z]])</f>
        <v>2299.991710764798</v>
      </c>
    </row>
    <row r="441" spans="1:26">
      <c r="A441">
        <v>440</v>
      </c>
      <c r="B441" s="1">
        <v>267.60000600000001</v>
      </c>
      <c r="C441" s="1">
        <v>2028.669922</v>
      </c>
      <c r="D441" s="1">
        <v>17.010000000000002</v>
      </c>
      <c r="E441" s="1">
        <v>-1071.01001</v>
      </c>
      <c r="F441" s="1">
        <v>2035.3999020000001</v>
      </c>
      <c r="G441" s="1">
        <v>8.1199999999999992</v>
      </c>
      <c r="H441" s="1">
        <v>0</v>
      </c>
      <c r="I441" s="1">
        <v>0</v>
      </c>
      <c r="J441" s="1">
        <v>1.9824999999999999</v>
      </c>
      <c r="K441" s="1">
        <v>-4.1840000000000002E-3</v>
      </c>
      <c r="L441" s="1">
        <v>2.366E-3</v>
      </c>
      <c r="M441" s="1">
        <v>0.87147399999999997</v>
      </c>
      <c r="N441" s="1">
        <v>0.49041800000000002</v>
      </c>
      <c r="O441">
        <v>1</v>
      </c>
      <c r="P441">
        <v>0</v>
      </c>
      <c r="Q441">
        <v>1</v>
      </c>
      <c r="R441">
        <v>1</v>
      </c>
      <c r="S441">
        <v>1</v>
      </c>
      <c r="T441" s="1">
        <f>SQRT(POWER(Octane[[#This Row],[angvel_X]],2) + POWER(Octane[[#This Row],[angvel_Y]],2) + POWER(Octane[[#This Row],[angvel_Z]],2))</f>
        <v>1.9824999999999999</v>
      </c>
      <c r="U441" s="1">
        <f>DEGREES(ASIN(MAX(-1,MIN(1,2 * (Octane[[#This Row],[quart_W]]*Octane[[#This Row],[quart_Y]] - Octane[[#This Row],[quart_Z]]*Octane[[#This Row],[quart_X]])))))</f>
        <v>0.55080154452614105</v>
      </c>
      <c r="V44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-31.263130077770228</v>
      </c>
      <c r="W44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89.998854195101728</v>
      </c>
      <c r="X441" s="1">
        <f>IF(Octane[[#This Row],[Yaw]]&gt;V440,(360-ABS(Octane[[#This Row],[Yaw]])-ABS(V440)),ABS(Octane[[#This Row],[Yaw]]-V440))</f>
        <v>0.94642365290054897</v>
      </c>
      <c r="Y441" s="1">
        <f>Octane[[#This Row],[Degree change]]+Y440</f>
        <v>360.41413515684098</v>
      </c>
      <c r="Z441" s="1">
        <f>SQRT(Octane[[#This Row],[vel_X]]*Octane[[#This Row],[vel_X]]+Octane[[#This Row],[vel_Y]]*Octane[[#This Row],[vel_Y]]+Octane[[#This Row],[vel_Z]]*Octane[[#This Row],[vel_Z]])</f>
        <v>2299.9958993402161</v>
      </c>
    </row>
    <row r="442" spans="1:26">
      <c r="A442">
        <v>441</v>
      </c>
      <c r="B442" s="1">
        <v>258.63998400000003</v>
      </c>
      <c r="C442" s="1">
        <v>2045.6899410000001</v>
      </c>
      <c r="D442" s="1">
        <v>17.010000000000002</v>
      </c>
      <c r="E442" s="1">
        <v>-1104.48999</v>
      </c>
      <c r="F442" s="1">
        <v>2017.429932</v>
      </c>
      <c r="G442" s="1">
        <v>8.1199999999999992</v>
      </c>
      <c r="H442" s="1">
        <v>1E-4</v>
      </c>
      <c r="I442" s="1">
        <v>0</v>
      </c>
      <c r="J442" s="1">
        <v>1.9824999999999999</v>
      </c>
      <c r="K442" s="1">
        <v>-4.2050000000000004E-3</v>
      </c>
      <c r="L442" s="1">
        <v>2.333E-3</v>
      </c>
      <c r="M442" s="1">
        <v>0.87549399999999999</v>
      </c>
      <c r="N442" s="1">
        <v>0.48320600000000002</v>
      </c>
      <c r="O442">
        <v>1</v>
      </c>
      <c r="P442">
        <v>0</v>
      </c>
      <c r="Q442">
        <v>1</v>
      </c>
      <c r="R442">
        <v>1</v>
      </c>
      <c r="S442">
        <v>1</v>
      </c>
      <c r="T442" s="1">
        <f>SQRT(POWER(Octane[[#This Row],[angvel_X]],2) + POWER(Octane[[#This Row],[angvel_Y]],2) + POWER(Octane[[#This Row],[angvel_Z]],2))</f>
        <v>1.982500002522068</v>
      </c>
      <c r="U442" s="1">
        <f>DEGREES(ASIN(MAX(-1,MIN(1,2 * (Octane[[#This Row],[quart_W]]*Octane[[#This Row],[quart_Y]] - Octane[[#This Row],[quart_Z]]*Octane[[#This Row],[quart_X]])))))</f>
        <v>0.55105316071884503</v>
      </c>
      <c r="V44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-32.209345010612324</v>
      </c>
      <c r="W44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89.998779970667741</v>
      </c>
      <c r="X442" s="1">
        <f>IF(Octane[[#This Row],[Yaw]]&gt;V441,(360-ABS(Octane[[#This Row],[Yaw]])-ABS(V441)),ABS(Octane[[#This Row],[Yaw]]-V441))</f>
        <v>0.94621493284209635</v>
      </c>
      <c r="Y442" s="1">
        <f>Octane[[#This Row],[Degree change]]+Y441</f>
        <v>361.3603500896831</v>
      </c>
      <c r="Z442" s="1">
        <f>SQRT(Octane[[#This Row],[vel_X]]*Octane[[#This Row],[vel_X]]+Octane[[#This Row],[vel_Y]]*Octane[[#This Row],[vel_Y]]+Octane[[#This Row],[vel_Z]]*Octane[[#This Row],[vel_Z]])</f>
        <v>2299.9973049853179</v>
      </c>
    </row>
    <row r="443" spans="1:26">
      <c r="A443">
        <v>442</v>
      </c>
      <c r="B443" s="1">
        <v>249.39999399999999</v>
      </c>
      <c r="C443" s="1">
        <v>2062.5600589999999</v>
      </c>
      <c r="D443" s="1">
        <v>17.010000000000002</v>
      </c>
      <c r="E443" s="1">
        <v>-1137.660034</v>
      </c>
      <c r="F443" s="1">
        <v>1998.9099120000001</v>
      </c>
      <c r="G443" s="1">
        <v>8.1199999999999992</v>
      </c>
      <c r="H443" s="1">
        <v>2.0000000000000001E-4</v>
      </c>
      <c r="I443" s="1">
        <v>0</v>
      </c>
      <c r="J443" s="1">
        <v>1.9824999999999999</v>
      </c>
      <c r="K443" s="1">
        <v>-4.2269999999999999E-3</v>
      </c>
      <c r="L443" s="1">
        <v>2.2950000000000002E-3</v>
      </c>
      <c r="M443" s="1">
        <v>0.87945600000000002</v>
      </c>
      <c r="N443" s="1">
        <v>0.47595500000000002</v>
      </c>
      <c r="O443">
        <v>1</v>
      </c>
      <c r="P443">
        <v>0</v>
      </c>
      <c r="Q443">
        <v>1</v>
      </c>
      <c r="R443">
        <v>1</v>
      </c>
      <c r="S443">
        <v>1</v>
      </c>
      <c r="T443" s="1">
        <f>SQRT(POWER(Octane[[#This Row],[angvel_X]],2) + POWER(Octane[[#This Row],[angvel_Y]],2) + POWER(Octane[[#This Row],[angvel_Z]],2))</f>
        <v>1.9825000100882724</v>
      </c>
      <c r="U443" s="1">
        <f>DEGREES(ASIN(MAX(-1,MIN(1,2 * (Octane[[#This Row],[quart_W]]*Octane[[#This Row],[quart_Y]] - Octane[[#This Row],[quart_Z]]*Octane[[#This Row],[quart_X]])))))</f>
        <v>0.55116837284958575</v>
      </c>
      <c r="V443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-33.15612286523826</v>
      </c>
      <c r="W443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89.999256296738238</v>
      </c>
      <c r="X443" s="1">
        <f>IF(Octane[[#This Row],[Yaw]]&gt;V442,(360-ABS(Octane[[#This Row],[Yaw]])-ABS(V442)),ABS(Octane[[#This Row],[Yaw]]-V442))</f>
        <v>0.94677785462593533</v>
      </c>
      <c r="Y443" s="1">
        <f>Octane[[#This Row],[Degree change]]+Y442</f>
        <v>362.30712794430906</v>
      </c>
      <c r="Z443" s="1">
        <f>SQRT(Octane[[#This Row],[vel_X]]*Octane[[#This Row],[vel_X]]+Octane[[#This Row],[vel_Y]]*Octane[[#This Row],[vel_Y]]+Octane[[#This Row],[vel_Z]]*Octane[[#This Row],[vel_Z]])</f>
        <v>2299.9950268756515</v>
      </c>
    </row>
    <row r="444" spans="1:26">
      <c r="A444">
        <v>443</v>
      </c>
      <c r="B444" s="1">
        <v>239.87998999999999</v>
      </c>
      <c r="C444" s="1">
        <v>2079.280029</v>
      </c>
      <c r="D444" s="1">
        <v>17.010000000000002</v>
      </c>
      <c r="E444" s="1">
        <v>-1170.530029</v>
      </c>
      <c r="F444" s="1">
        <v>1979.839966</v>
      </c>
      <c r="G444" s="1">
        <v>8.1199999999999992</v>
      </c>
      <c r="H444" s="1">
        <v>2.0000000000000001E-4</v>
      </c>
      <c r="I444" s="1">
        <v>0</v>
      </c>
      <c r="J444" s="1">
        <v>1.9824999999999999</v>
      </c>
      <c r="K444" s="1">
        <v>-4.2430000000000002E-3</v>
      </c>
      <c r="L444" s="1">
        <v>2.258E-3</v>
      </c>
      <c r="M444" s="1">
        <v>0.88335900000000001</v>
      </c>
      <c r="N444" s="1">
        <v>0.46867199999999998</v>
      </c>
      <c r="O444">
        <v>1</v>
      </c>
      <c r="P444">
        <v>0</v>
      </c>
      <c r="Q444">
        <v>1</v>
      </c>
      <c r="R444">
        <v>1</v>
      </c>
      <c r="S444">
        <v>1</v>
      </c>
      <c r="T444" s="1">
        <f>SQRT(POWER(Octane[[#This Row],[angvel_X]],2) + POWER(Octane[[#This Row],[angvel_Y]],2) + POWER(Octane[[#This Row],[angvel_Z]],2))</f>
        <v>1.9825000100882724</v>
      </c>
      <c r="U444" s="1">
        <f>DEGREES(ASIN(MAX(-1,MIN(1,2 * (Octane[[#This Row],[quart_W]]*Octane[[#This Row],[quart_Y]] - Octane[[#This Row],[quart_Z]]*Octane[[#This Row],[quart_X]])))))</f>
        <v>0.55077603629781113</v>
      </c>
      <c r="V444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-34.103019908210733</v>
      </c>
      <c r="W444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89.999306766273008</v>
      </c>
      <c r="X444" s="1">
        <f>IF(Octane[[#This Row],[Yaw]]&gt;V443,(360-ABS(Octane[[#This Row],[Yaw]])-ABS(V443)),ABS(Octane[[#This Row],[Yaw]]-V443))</f>
        <v>0.94689704297247346</v>
      </c>
      <c r="Y444" s="1">
        <f>Octane[[#This Row],[Degree change]]+Y443</f>
        <v>363.25402498728153</v>
      </c>
      <c r="Z444" s="1">
        <f>SQRT(Octane[[#This Row],[vel_X]]*Octane[[#This Row],[vel_X]]+Octane[[#This Row],[vel_Y]]*Octane[[#This Row],[vel_Y]]+Octane[[#This Row],[vel_Z]]*Octane[[#This Row],[vel_Z]])</f>
        <v>2299.9940813318676</v>
      </c>
    </row>
    <row r="445" spans="1:26">
      <c r="A445">
        <v>444</v>
      </c>
      <c r="B445" s="1">
        <v>230.08999600000001</v>
      </c>
      <c r="C445" s="1">
        <v>2095.8398440000001</v>
      </c>
      <c r="D445" s="1">
        <v>17.010000000000002</v>
      </c>
      <c r="E445" s="1">
        <v>-1203.079956</v>
      </c>
      <c r="F445" s="1">
        <v>1960.2299800000001</v>
      </c>
      <c r="G445" s="1">
        <v>8.1199999999999992</v>
      </c>
      <c r="H445" s="1">
        <v>2.0000000000000001E-4</v>
      </c>
      <c r="I445" s="1">
        <v>0</v>
      </c>
      <c r="J445" s="1">
        <v>1.9824999999999999</v>
      </c>
      <c r="K445" s="1">
        <v>-4.2589999999999998E-3</v>
      </c>
      <c r="L445" s="1">
        <v>2.2200000000000002E-3</v>
      </c>
      <c r="M445" s="1">
        <v>0.88720200000000005</v>
      </c>
      <c r="N445" s="1">
        <v>0.46135700000000002</v>
      </c>
      <c r="O445">
        <v>1</v>
      </c>
      <c r="P445">
        <v>0</v>
      </c>
      <c r="Q445">
        <v>1</v>
      </c>
      <c r="R445">
        <v>1</v>
      </c>
      <c r="S445">
        <v>1</v>
      </c>
      <c r="T445" s="1">
        <f>SQRT(POWER(Octane[[#This Row],[angvel_X]],2) + POWER(Octane[[#This Row],[angvel_Y]],2) + POWER(Octane[[#This Row],[angvel_Z]],2))</f>
        <v>1.9825000100882724</v>
      </c>
      <c r="U445" s="1">
        <f>DEGREES(ASIN(MAX(-1,MIN(1,2 * (Octane[[#This Row],[quart_W]]*Octane[[#This Row],[quart_Y]] - Octane[[#This Row],[quart_Z]]*Octane[[#This Row],[quart_X]])))))</f>
        <v>0.55036947475076148</v>
      </c>
      <c r="V445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-35.04995796488403</v>
      </c>
      <c r="W445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89.999464949962018</v>
      </c>
      <c r="X445" s="1">
        <f>IF(Octane[[#This Row],[Yaw]]&gt;V444,(360-ABS(Octane[[#This Row],[Yaw]])-ABS(V444)),ABS(Octane[[#This Row],[Yaw]]-V444))</f>
        <v>0.94693805667329656</v>
      </c>
      <c r="Y445" s="1">
        <f>Octane[[#This Row],[Degree change]]+Y444</f>
        <v>364.2009630439548</v>
      </c>
      <c r="Z445" s="1">
        <f>SQRT(Octane[[#This Row],[vel_X]]*Octane[[#This Row],[vel_X]]+Octane[[#This Row],[vel_Y]]*Octane[[#This Row],[vel_Y]]+Octane[[#This Row],[vel_Z]]*Octane[[#This Row],[vel_Z]])</f>
        <v>2299.9932368204395</v>
      </c>
    </row>
    <row r="446" spans="1:26">
      <c r="A446">
        <v>445</v>
      </c>
      <c r="B446" s="1">
        <v>220.01998900000001</v>
      </c>
      <c r="C446" s="1">
        <v>2112.2299800000001</v>
      </c>
      <c r="D446" s="1">
        <v>17.010000000000002</v>
      </c>
      <c r="E446" s="1">
        <v>-1235.299927</v>
      </c>
      <c r="F446" s="1">
        <v>1940.089966</v>
      </c>
      <c r="G446" s="1">
        <v>8.1199999999999992</v>
      </c>
      <c r="H446" s="1">
        <v>1E-4</v>
      </c>
      <c r="I446" s="1">
        <v>0</v>
      </c>
      <c r="J446" s="1">
        <v>1.9824999999999999</v>
      </c>
      <c r="K446" s="1">
        <v>-4.2750000000000002E-3</v>
      </c>
      <c r="L446" s="1">
        <v>2.1819999999999999E-3</v>
      </c>
      <c r="M446" s="1">
        <v>0.89098100000000002</v>
      </c>
      <c r="N446" s="1">
        <v>0.45401399999999997</v>
      </c>
      <c r="O446">
        <v>1</v>
      </c>
      <c r="P446">
        <v>0</v>
      </c>
      <c r="Q446">
        <v>1</v>
      </c>
      <c r="R446">
        <v>1</v>
      </c>
      <c r="S446">
        <v>1</v>
      </c>
      <c r="T446" s="1">
        <f>SQRT(POWER(Octane[[#This Row],[angvel_X]],2) + POWER(Octane[[#This Row],[angvel_Y]],2) + POWER(Octane[[#This Row],[angvel_Z]],2))</f>
        <v>1.982500002522068</v>
      </c>
      <c r="U446" s="1">
        <f>DEGREES(ASIN(MAX(-1,MIN(1,2 * (Octane[[#This Row],[quart_W]]*Octane[[#This Row],[quart_Y]] - Octane[[#This Row],[quart_Z]]*Octane[[#This Row],[quart_X]])))))</f>
        <v>0.55000235975517875</v>
      </c>
      <c r="V446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-35.996223047918711</v>
      </c>
      <c r="W446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89.999632064846111</v>
      </c>
      <c r="X446" s="1">
        <f>IF(Octane[[#This Row],[Yaw]]&gt;V445,(360-ABS(Octane[[#This Row],[Yaw]])-ABS(V445)),ABS(Octane[[#This Row],[Yaw]]-V445))</f>
        <v>0.94626508303468171</v>
      </c>
      <c r="Y446" s="1">
        <f>Octane[[#This Row],[Degree change]]+Y445</f>
        <v>365.14722812698949</v>
      </c>
      <c r="Z446" s="1">
        <f>SQRT(Octane[[#This Row],[vel_X]]*Octane[[#This Row],[vel_X]]+Octane[[#This Row],[vel_Y]]*Octane[[#This Row],[vel_Y]]+Octane[[#This Row],[vel_Z]]*Octane[[#This Row],[vel_Z]])</f>
        <v>2299.9958522180177</v>
      </c>
    </row>
    <row r="447" spans="1:26">
      <c r="A447">
        <v>446</v>
      </c>
      <c r="B447" s="1">
        <v>209.69000199999999</v>
      </c>
      <c r="C447" s="1">
        <v>2128.4499510000001</v>
      </c>
      <c r="D447" s="1">
        <v>17.010000000000002</v>
      </c>
      <c r="E447" s="1">
        <v>-1267.179932</v>
      </c>
      <c r="F447" s="1">
        <v>1919.4099120000001</v>
      </c>
      <c r="G447" s="1">
        <v>8.1199999999999992</v>
      </c>
      <c r="H447" s="1">
        <v>0</v>
      </c>
      <c r="I447" s="1">
        <v>0</v>
      </c>
      <c r="J447" s="1">
        <v>1.9824999999999999</v>
      </c>
      <c r="K447" s="1">
        <v>-4.2919999999999998E-3</v>
      </c>
      <c r="L447" s="1">
        <v>2.1440000000000001E-3</v>
      </c>
      <c r="M447" s="1">
        <v>0.89470099999999997</v>
      </c>
      <c r="N447" s="1">
        <v>0.44663999999999998</v>
      </c>
      <c r="O447">
        <v>1</v>
      </c>
      <c r="P447">
        <v>0</v>
      </c>
      <c r="Q447">
        <v>1</v>
      </c>
      <c r="R447">
        <v>1</v>
      </c>
      <c r="S447">
        <v>1</v>
      </c>
      <c r="T447" s="1">
        <f>SQRT(POWER(Octane[[#This Row],[angvel_X]],2) + POWER(Octane[[#This Row],[angvel_Y]],2) + POWER(Octane[[#This Row],[angvel_Z]],2))</f>
        <v>1.9824999999999999</v>
      </c>
      <c r="U447" s="1">
        <f>DEGREES(ASIN(MAX(-1,MIN(1,2 * (Octane[[#This Row],[quart_W]]*Octane[[#This Row],[quart_Y]] - Octane[[#This Row],[quart_Z]]*Octane[[#This Row],[quart_X]])))))</f>
        <v>0.54977895654524134</v>
      </c>
      <c r="V447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-36.942729587901795</v>
      </c>
      <c r="W447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89.9998556006542</v>
      </c>
      <c r="X447" s="1">
        <f>IF(Octane[[#This Row],[Yaw]]&gt;V446,(360-ABS(Octane[[#This Row],[Yaw]])-ABS(V446)),ABS(Octane[[#This Row],[Yaw]]-V446))</f>
        <v>0.94650653998308343</v>
      </c>
      <c r="Y447" s="1">
        <f>Octane[[#This Row],[Degree change]]+Y446</f>
        <v>366.09373466697258</v>
      </c>
      <c r="Z447" s="1">
        <f>SQRT(Octane[[#This Row],[vel_X]]*Octane[[#This Row],[vel_X]]+Octane[[#This Row],[vel_Y]]*Octane[[#This Row],[vel_Y]]+Octane[[#This Row],[vel_Z]]*Octane[[#This Row],[vel_Z]])</f>
        <v>2299.9881140448038</v>
      </c>
    </row>
    <row r="448" spans="1:26">
      <c r="A448">
        <v>447</v>
      </c>
      <c r="B448" s="1">
        <v>199.08999600000001</v>
      </c>
      <c r="C448" s="1">
        <v>2144.5</v>
      </c>
      <c r="D448" s="1">
        <v>17.010000000000002</v>
      </c>
      <c r="E448" s="1">
        <v>-1298.719971</v>
      </c>
      <c r="F448" s="1">
        <v>1898.219971</v>
      </c>
      <c r="G448" s="1">
        <v>8.1199999999999992</v>
      </c>
      <c r="H448" s="1">
        <v>0</v>
      </c>
      <c r="I448" s="1">
        <v>0</v>
      </c>
      <c r="J448" s="1">
        <v>1.9824999999999999</v>
      </c>
      <c r="K448" s="1">
        <v>-4.3080000000000002E-3</v>
      </c>
      <c r="L448" s="1">
        <v>2.1069999999999999E-3</v>
      </c>
      <c r="M448" s="1">
        <v>0.89836099999999997</v>
      </c>
      <c r="N448" s="1">
        <v>0.43923200000000001</v>
      </c>
      <c r="O448">
        <v>1</v>
      </c>
      <c r="P448">
        <v>0</v>
      </c>
      <c r="Q448">
        <v>1</v>
      </c>
      <c r="R448">
        <v>1</v>
      </c>
      <c r="S448">
        <v>1</v>
      </c>
      <c r="T448" s="1">
        <f>SQRT(POWER(Octane[[#This Row],[angvel_X]],2) + POWER(Octane[[#This Row],[angvel_Y]],2) + POWER(Octane[[#This Row],[angvel_Z]],2))</f>
        <v>1.9824999999999999</v>
      </c>
      <c r="U448" s="1">
        <f>DEGREES(ASIN(MAX(-1,MIN(1,2 * (Octane[[#This Row],[quart_W]]*Octane[[#This Row],[quart_Y]] - Octane[[#This Row],[quart_Z]]*Octane[[#This Row],[quart_X]])))))</f>
        <v>0.54954382218075104</v>
      </c>
      <c r="V448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-37.889593291142283</v>
      </c>
      <c r="W448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89.999927211416846</v>
      </c>
      <c r="X448" s="1">
        <f>IF(Octane[[#This Row],[Yaw]]&gt;V447,(360-ABS(Octane[[#This Row],[Yaw]])-ABS(V447)),ABS(Octane[[#This Row],[Yaw]]-V447))</f>
        <v>0.94686370324048852</v>
      </c>
      <c r="Y448" s="1">
        <f>Octane[[#This Row],[Degree change]]+Y447</f>
        <v>367.04059837021305</v>
      </c>
      <c r="Z448" s="1">
        <f>SQRT(Octane[[#This Row],[vel_X]]*Octane[[#This Row],[vel_X]]+Octane[[#This Row],[vel_Y]]*Octane[[#This Row],[vel_Y]]+Octane[[#This Row],[vel_Z]]*Octane[[#This Row],[vel_Z]])</f>
        <v>2299.9953382077715</v>
      </c>
    </row>
    <row r="449" spans="1:26">
      <c r="A449">
        <v>448</v>
      </c>
      <c r="B449" s="1">
        <v>188.229996</v>
      </c>
      <c r="C449" s="1">
        <v>2160.3698730000001</v>
      </c>
      <c r="D449" s="1">
        <v>17.010000000000002</v>
      </c>
      <c r="E449" s="1">
        <v>-1329.900024</v>
      </c>
      <c r="F449" s="1">
        <v>1876.5</v>
      </c>
      <c r="G449" s="1">
        <v>8.1199999999999992</v>
      </c>
      <c r="H449" s="1">
        <v>0</v>
      </c>
      <c r="I449" s="1">
        <v>0</v>
      </c>
      <c r="J449" s="1">
        <v>1.9824999999999999</v>
      </c>
      <c r="K449" s="1">
        <v>-4.3239999999999997E-3</v>
      </c>
      <c r="L449" s="1">
        <v>2.0690000000000001E-3</v>
      </c>
      <c r="M449" s="1">
        <v>0.90195700000000001</v>
      </c>
      <c r="N449" s="1">
        <v>0.43179800000000002</v>
      </c>
      <c r="O449">
        <v>1</v>
      </c>
      <c r="P449">
        <v>0</v>
      </c>
      <c r="Q449">
        <v>1</v>
      </c>
      <c r="R449">
        <v>1</v>
      </c>
      <c r="S449">
        <v>1</v>
      </c>
      <c r="T449" s="1">
        <f>SQRT(POWER(Octane[[#This Row],[angvel_X]],2) + POWER(Octane[[#This Row],[angvel_Y]],2) + POWER(Octane[[#This Row],[angvel_Z]],2))</f>
        <v>1.9824999999999999</v>
      </c>
      <c r="U449" s="1">
        <f>DEGREES(ASIN(MAX(-1,MIN(1,2 * (Octane[[#This Row],[quart_W]]*Octane[[#This Row],[quart_Y]] - Octane[[#This Row],[quart_Z]]*Octane[[#This Row],[quart_X]])))))</f>
        <v>0.54929756712037836</v>
      </c>
      <c r="V449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-38.835851486193384</v>
      </c>
      <c r="W449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90.000108353475738</v>
      </c>
      <c r="X449" s="1">
        <f>IF(Octane[[#This Row],[Yaw]]&gt;V448,(360-ABS(Octane[[#This Row],[Yaw]])-ABS(V448)),ABS(Octane[[#This Row],[Yaw]]-V448))</f>
        <v>0.94625819505110087</v>
      </c>
      <c r="Y449" s="1">
        <f>Octane[[#This Row],[Degree change]]+Y448</f>
        <v>367.98685656526413</v>
      </c>
      <c r="Z449" s="1">
        <f>SQRT(Octane[[#This Row],[vel_X]]*Octane[[#This Row],[vel_X]]+Octane[[#This Row],[vel_Y]]*Octane[[#This Row],[vel_Y]]+Octane[[#This Row],[vel_Z]]*Octane[[#This Row],[vel_Z]])</f>
        <v>2299.9896213320617</v>
      </c>
    </row>
    <row r="450" spans="1:26">
      <c r="A450">
        <v>449</v>
      </c>
      <c r="B450" s="1">
        <v>177.09999099999999</v>
      </c>
      <c r="C450" s="1">
        <v>2176.0600589999999</v>
      </c>
      <c r="D450" s="1">
        <v>17.010000000000002</v>
      </c>
      <c r="E450" s="1">
        <v>-1360.719971</v>
      </c>
      <c r="F450" s="1">
        <v>1854.2799070000001</v>
      </c>
      <c r="G450" s="1">
        <v>8.1199999999999992</v>
      </c>
      <c r="H450" s="1">
        <v>0</v>
      </c>
      <c r="I450" s="1">
        <v>0</v>
      </c>
      <c r="J450" s="1">
        <v>1.9824999999999999</v>
      </c>
      <c r="K450" s="1">
        <v>-4.3400000000000001E-3</v>
      </c>
      <c r="L450" s="1">
        <v>2.0309999999999998E-3</v>
      </c>
      <c r="M450" s="1">
        <v>0.90549400000000002</v>
      </c>
      <c r="N450" s="1">
        <v>0.42433199999999999</v>
      </c>
      <c r="O450">
        <v>1</v>
      </c>
      <c r="P450">
        <v>0</v>
      </c>
      <c r="Q450">
        <v>1</v>
      </c>
      <c r="R450">
        <v>1</v>
      </c>
      <c r="S450">
        <v>1</v>
      </c>
      <c r="T450" s="1">
        <f>SQRT(POWER(Octane[[#This Row],[angvel_X]],2) + POWER(Octane[[#This Row],[angvel_Y]],2) + POWER(Octane[[#This Row],[angvel_Z]],2))</f>
        <v>1.9824999999999999</v>
      </c>
      <c r="U450" s="1">
        <f>DEGREES(ASIN(MAX(-1,MIN(1,2 * (Octane[[#This Row],[quart_W]]*Octane[[#This Row],[quart_Y]] - Octane[[#This Row],[quart_Z]]*Octane[[#This Row],[quart_X]])))))</f>
        <v>0.54909245278729524</v>
      </c>
      <c r="V450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-39.782604430960191</v>
      </c>
      <c r="W450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90.000291369981895</v>
      </c>
      <c r="X450" s="1">
        <f>IF(Octane[[#This Row],[Yaw]]&gt;V449,(360-ABS(Octane[[#This Row],[Yaw]])-ABS(V449)),ABS(Octane[[#This Row],[Yaw]]-V449))</f>
        <v>0.94675294476680705</v>
      </c>
      <c r="Y450" s="1">
        <f>Octane[[#This Row],[Degree change]]+Y449</f>
        <v>368.93360951003092</v>
      </c>
      <c r="Z450" s="1">
        <f>SQRT(Octane[[#This Row],[vel_X]]*Octane[[#This Row],[vel_X]]+Octane[[#This Row],[vel_Y]]*Octane[[#This Row],[vel_Y]]+Octane[[#This Row],[vel_Z]]*Octane[[#This Row],[vel_Z]])</f>
        <v>2299.9953798610486</v>
      </c>
    </row>
    <row r="451" spans="1:26">
      <c r="A451">
        <v>450</v>
      </c>
      <c r="B451" s="1">
        <v>165.720001</v>
      </c>
      <c r="C451" s="1">
        <v>2191.570068</v>
      </c>
      <c r="D451" s="1">
        <v>17.010000000000002</v>
      </c>
      <c r="E451" s="1">
        <v>-1391.169922</v>
      </c>
      <c r="F451" s="1">
        <v>1831.5399170000001</v>
      </c>
      <c r="G451" s="1">
        <v>8.1199999999999992</v>
      </c>
      <c r="H451" s="1">
        <v>0</v>
      </c>
      <c r="I451" s="1">
        <v>0</v>
      </c>
      <c r="J451" s="1">
        <v>1.9824999999999999</v>
      </c>
      <c r="K451" s="1">
        <v>-4.3559999999999996E-3</v>
      </c>
      <c r="L451" s="1">
        <v>1.993E-3</v>
      </c>
      <c r="M451" s="1">
        <v>0.908968</v>
      </c>
      <c r="N451" s="1">
        <v>0.41683900000000002</v>
      </c>
      <c r="O451">
        <v>1</v>
      </c>
      <c r="P451">
        <v>0</v>
      </c>
      <c r="Q451">
        <v>1</v>
      </c>
      <c r="R451">
        <v>1</v>
      </c>
      <c r="S451">
        <v>1</v>
      </c>
      <c r="T451" s="1">
        <f>SQRT(POWER(Octane[[#This Row],[angvel_X]],2) + POWER(Octane[[#This Row],[angvel_Y]],2) + POWER(Octane[[#This Row],[angvel_Z]],2))</f>
        <v>1.9824999999999999</v>
      </c>
      <c r="U451" s="1">
        <f>DEGREES(ASIN(MAX(-1,MIN(1,2 * (Octane[[#This Row],[quart_W]]*Octane[[#This Row],[quart_Y]] - Octane[[#This Row],[quart_Z]]*Octane[[#This Row],[quart_X]])))))</f>
        <v>0.54892771791059958</v>
      </c>
      <c r="V451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-40.729070137171931</v>
      </c>
      <c r="W451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90.000478723624497</v>
      </c>
      <c r="X451" s="1">
        <f>IF(Octane[[#This Row],[Yaw]]&gt;V450,(360-ABS(Octane[[#This Row],[Yaw]])-ABS(V450)),ABS(Octane[[#This Row],[Yaw]]-V450))</f>
        <v>0.94646570621173964</v>
      </c>
      <c r="Y451" s="1">
        <f>Octane[[#This Row],[Degree change]]+Y450</f>
        <v>369.88007521624263</v>
      </c>
      <c r="Z451" s="1">
        <f>SQRT(Octane[[#This Row],[vel_X]]*Octane[[#This Row],[vel_X]]+Octane[[#This Row],[vel_Y]]*Octane[[#This Row],[vel_Y]]+Octane[[#This Row],[vel_Z]]*Octane[[#This Row],[vel_Z]])</f>
        <v>2299.9909029911082</v>
      </c>
    </row>
    <row r="452" spans="1:26">
      <c r="A452">
        <v>451</v>
      </c>
      <c r="B452" s="1">
        <v>154.08000200000001</v>
      </c>
      <c r="C452" s="1">
        <v>2206.889893</v>
      </c>
      <c r="D452" s="1">
        <v>17.010000000000002</v>
      </c>
      <c r="E452" s="1">
        <v>-1421.23999</v>
      </c>
      <c r="F452" s="1">
        <v>1808.309937</v>
      </c>
      <c r="G452" s="1">
        <v>8.1199999999999992</v>
      </c>
      <c r="H452" s="1">
        <v>0</v>
      </c>
      <c r="I452" s="1">
        <v>0</v>
      </c>
      <c r="J452" s="1">
        <v>1.9824999999999999</v>
      </c>
      <c r="K452" s="1">
        <v>-4.372E-3</v>
      </c>
      <c r="L452" s="1">
        <v>1.9559999999999998E-3</v>
      </c>
      <c r="M452" s="1">
        <v>0.91237900000000005</v>
      </c>
      <c r="N452" s="1">
        <v>0.40931800000000002</v>
      </c>
      <c r="O452">
        <v>1</v>
      </c>
      <c r="P452">
        <v>0</v>
      </c>
      <c r="Q452">
        <v>1</v>
      </c>
      <c r="R452">
        <v>1</v>
      </c>
      <c r="S452">
        <v>1</v>
      </c>
      <c r="T452" s="1">
        <f>SQRT(POWER(Octane[[#This Row],[angvel_X]],2) + POWER(Octane[[#This Row],[angvel_Y]],2) + POWER(Octane[[#This Row],[angvel_Z]],2))</f>
        <v>1.9824999999999999</v>
      </c>
      <c r="U452" s="1">
        <f>DEGREES(ASIN(MAX(-1,MIN(1,2 * (Octane[[#This Row],[quart_W]]*Octane[[#This Row],[quart_Y]] - Octane[[#This Row],[quart_Z]]*Octane[[#This Row],[quart_X]])))))</f>
        <v>0.54885005117807839</v>
      </c>
      <c r="V452" s="1">
        <f>DEGREES(ATAN2(2*(Octane[[#This Row],[quart_W]]*Octane[[#This Row],[quart_Z]]+Octane[[#This Row],[quart_X]]*Octane[[#This Row],[quart_Y]]),1 - 2*(Octane[[#This Row],[quart_Y]]*Octane[[#This Row],[quart_Y]]+Octane[[#This Row],[quart_Z]]*Octane[[#This Row],[quart_Z]])))</f>
        <v>-41.675380920057485</v>
      </c>
      <c r="W452" s="1">
        <f>DEGREES(ATAN2(2 *(Octane[[#This Row],[quart_W]]*Octane[[#This Row],[quart_X]]+Octane[[#This Row],[quart_Y]]*Octane[[#This Row],[quart_Z]]), 1 - 2*(Octane[[#This Row],[quart_X]]*Octane[[#This Row],[quart_X]]+Octane[[#This Row],[quart_Y]]*Octane[[#This Row],[quart_Y]])))</f>
        <v>90.000564386114007</v>
      </c>
      <c r="X452" s="1">
        <f>IF(Octane[[#This Row],[Yaw]]&gt;V451,(360-ABS(Octane[[#This Row],[Yaw]])-ABS(V451)),ABS(Octane[[#This Row],[Yaw]]-V451))</f>
        <v>0.94631078288555415</v>
      </c>
      <c r="Y452" s="1">
        <f>Octane[[#This Row],[Degree change]]+Y451</f>
        <v>370.82638599912821</v>
      </c>
      <c r="Z452" s="1">
        <f>SQRT(Octane[[#This Row],[vel_X]]*Octane[[#This Row],[vel_X]]+Octane[[#This Row],[vel_Y]]*Octane[[#This Row],[vel_Y]]+Octane[[#This Row],[vel_Z]]*Octane[[#This Row],[vel_Z]])</f>
        <v>2299.9943199556265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452"/>
  <sheetViews>
    <sheetView topLeftCell="A2" workbookViewId="0">
      <selection activeCell="AB46" sqref="AB46"/>
    </sheetView>
  </sheetViews>
  <sheetFormatPr defaultRowHeight="14.5"/>
  <cols>
    <col min="8" max="9" width="11.1796875" customWidth="1"/>
    <col min="10" max="10" width="11" customWidth="1"/>
    <col min="11" max="12" width="10" customWidth="1"/>
    <col min="13" max="13" width="9.81640625" customWidth="1"/>
    <col min="14" max="14" width="10.81640625" customWidth="1"/>
    <col min="16" max="16" width="13.81640625" customWidth="1"/>
    <col min="17" max="17" width="16.54296875" customWidth="1"/>
    <col min="18" max="18" width="16.1796875" customWidth="1"/>
    <col min="19" max="19" width="10.26953125" customWidth="1"/>
    <col min="20" max="20" width="14.26953125" bestFit="1" customWidth="1"/>
    <col min="23" max="23" width="6.7265625" bestFit="1" customWidth="1"/>
    <col min="24" max="24" width="16.54296875" bestFit="1" customWidth="1"/>
    <col min="25" max="25" width="17.1796875" bestFit="1" customWidth="1"/>
  </cols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32</v>
      </c>
      <c r="V1" t="s">
        <v>31</v>
      </c>
      <c r="W1" t="s">
        <v>33</v>
      </c>
      <c r="X1" t="s">
        <v>35</v>
      </c>
      <c r="Y1" s="1" t="s">
        <v>34</v>
      </c>
    </row>
    <row r="2" spans="1:25">
      <c r="A2">
        <v>1</v>
      </c>
      <c r="B2">
        <v>865.169983</v>
      </c>
      <c r="C2">
        <v>1074.369995</v>
      </c>
      <c r="D2">
        <v>17.010000000000002</v>
      </c>
      <c r="E2">
        <v>-1179.3599850000001</v>
      </c>
      <c r="F2">
        <v>1974.589966</v>
      </c>
      <c r="G2">
        <v>8.0299999999999994</v>
      </c>
      <c r="H2" s="1">
        <v>-6.9999999999999999E-4</v>
      </c>
      <c r="I2" s="1">
        <v>-2.9999999999999997E-4</v>
      </c>
      <c r="J2" s="1">
        <v>0</v>
      </c>
      <c r="K2" s="1">
        <v>-4.13E-3</v>
      </c>
      <c r="L2" s="1">
        <v>2.3440000000000002E-3</v>
      </c>
      <c r="M2" s="1">
        <v>0.86969700000000005</v>
      </c>
      <c r="N2" s="1">
        <v>0.493564</v>
      </c>
      <c r="O2">
        <v>0</v>
      </c>
      <c r="P2">
        <v>0</v>
      </c>
      <c r="Q2">
        <v>1</v>
      </c>
      <c r="R2">
        <v>1</v>
      </c>
      <c r="S2">
        <v>1</v>
      </c>
      <c r="T2" s="1">
        <f>SQRT(POWER(Hybrid[[#This Row],[angvel_X]],2) + POWER(Hybrid[[#This Row],[angvel_Y]],2) + POWER(Hybrid[[#This Row],[angvel_Z]],2))</f>
        <v>7.6157731058639085E-4</v>
      </c>
      <c r="U2">
        <f>DEGREES(ASIN(MAX(-1,MIN(1,2 * (Hybrid[[#This Row],[quart_W]]*Hybrid[[#This Row],[quart_Y]] - Hybrid[[#This Row],[quart_Z]]*Hybrid[[#This Row],[quart_X]])))))</f>
        <v>0.54417629402205137</v>
      </c>
      <c r="V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2" t="e">
        <f>IF(Hybrid[[#This Row],[Yaw]]&gt;V1,(360-ABS(Hybrid[[#This Row],[Yaw]])-ABS(V1)),ABS(Hybrid[[#This Row],[Yaw]]-V1))</f>
        <v>#VALUE!</v>
      </c>
    </row>
    <row r="3" spans="1:25">
      <c r="A3">
        <v>2</v>
      </c>
      <c r="B3">
        <v>855.30999799999995</v>
      </c>
      <c r="C3">
        <v>1090.880005</v>
      </c>
      <c r="D3">
        <v>17.010000000000002</v>
      </c>
      <c r="E3">
        <v>-1179.3599850000001</v>
      </c>
      <c r="F3">
        <v>1974.589966</v>
      </c>
      <c r="G3">
        <v>8.0299999999999994</v>
      </c>
      <c r="H3" s="1">
        <v>-6.9999999999999999E-4</v>
      </c>
      <c r="I3" s="1">
        <v>-2.9999999999999997E-4</v>
      </c>
      <c r="J3" s="1">
        <v>0</v>
      </c>
      <c r="K3" s="1">
        <v>-4.13E-3</v>
      </c>
      <c r="L3" s="1">
        <v>2.3440000000000002E-3</v>
      </c>
      <c r="M3" s="1">
        <v>0.86969700000000005</v>
      </c>
      <c r="N3" s="1">
        <v>0.493564</v>
      </c>
      <c r="O3">
        <v>0</v>
      </c>
      <c r="P3">
        <v>0</v>
      </c>
      <c r="Q3">
        <v>1</v>
      </c>
      <c r="R3">
        <v>1</v>
      </c>
      <c r="S3">
        <v>1</v>
      </c>
      <c r="T3" s="1">
        <f>SQRT(POWER(Hybrid[[#This Row],[angvel_X]],2) + POWER(Hybrid[[#This Row],[angvel_Y]],2) + POWER(Hybrid[[#This Row],[angvel_Z]],2))</f>
        <v>7.6157731058639085E-4</v>
      </c>
      <c r="U3">
        <f>DEGREES(ASIN(MAX(-1,MIN(1,2 * (Hybrid[[#This Row],[quart_W]]*Hybrid[[#This Row],[quart_Y]] - Hybrid[[#This Row],[quart_Z]]*Hybrid[[#This Row],[quart_X]])))))</f>
        <v>0.54417629402205137</v>
      </c>
      <c r="V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3">
        <f>IF(Hybrid[[#This Row],[Yaw]]&gt;V2,(360-ABS(Hybrid[[#This Row],[Yaw]])-ABS(V2)),ABS(Hybrid[[#This Row],[Yaw]]-V2))</f>
        <v>0</v>
      </c>
      <c r="Y3">
        <f>Hybrid[[#This Row],[Degree change]]+Y2</f>
        <v>0</v>
      </c>
    </row>
    <row r="4" spans="1:25">
      <c r="A4">
        <v>3</v>
      </c>
      <c r="B4">
        <v>845.44995100000006</v>
      </c>
      <c r="C4">
        <v>1107.3900149999999</v>
      </c>
      <c r="D4">
        <v>17.010000000000002</v>
      </c>
      <c r="E4">
        <v>-1179.3599850000001</v>
      </c>
      <c r="F4">
        <v>1974.589966</v>
      </c>
      <c r="G4">
        <v>8.0299999999999994</v>
      </c>
      <c r="H4" s="1">
        <v>-6.9999999999999999E-4</v>
      </c>
      <c r="I4" s="1">
        <v>-2.9999999999999997E-4</v>
      </c>
      <c r="J4" s="1">
        <v>0</v>
      </c>
      <c r="K4" s="1">
        <v>-4.13E-3</v>
      </c>
      <c r="L4" s="1">
        <v>2.3440000000000002E-3</v>
      </c>
      <c r="M4" s="1">
        <v>0.86969700000000005</v>
      </c>
      <c r="N4" s="1">
        <v>0.493564</v>
      </c>
      <c r="O4">
        <v>0</v>
      </c>
      <c r="P4">
        <v>0</v>
      </c>
      <c r="Q4">
        <v>1</v>
      </c>
      <c r="R4">
        <v>1</v>
      </c>
      <c r="S4">
        <v>1</v>
      </c>
      <c r="T4" s="1">
        <f>SQRT(POWER(Hybrid[[#This Row],[angvel_X]],2) + POWER(Hybrid[[#This Row],[angvel_Y]],2) + POWER(Hybrid[[#This Row],[angvel_Z]],2))</f>
        <v>7.6157731058639085E-4</v>
      </c>
      <c r="U4">
        <f>DEGREES(ASIN(MAX(-1,MIN(1,2 * (Hybrid[[#This Row],[quart_W]]*Hybrid[[#This Row],[quart_Y]] - Hybrid[[#This Row],[quart_Z]]*Hybrid[[#This Row],[quart_X]])))))</f>
        <v>0.54417629402205137</v>
      </c>
      <c r="V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4">
        <f>IF(Hybrid[[#This Row],[Yaw]]&gt;V3,(360-ABS(Hybrid[[#This Row],[Yaw]])-ABS(V3)),ABS(Hybrid[[#This Row],[Yaw]]-V3))</f>
        <v>0</v>
      </c>
      <c r="Y4">
        <f>Hybrid[[#This Row],[Degree change]]+Y3</f>
        <v>0</v>
      </c>
    </row>
    <row r="5" spans="1:25">
      <c r="A5">
        <v>4</v>
      </c>
      <c r="B5">
        <v>835.589966</v>
      </c>
      <c r="C5">
        <v>1123.900024</v>
      </c>
      <c r="D5">
        <v>17.010000000000002</v>
      </c>
      <c r="E5">
        <v>-1179.3599850000001</v>
      </c>
      <c r="F5">
        <v>1974.589966</v>
      </c>
      <c r="G5">
        <v>8.0299999999999994</v>
      </c>
      <c r="H5" s="1">
        <v>-6.9999999999999999E-4</v>
      </c>
      <c r="I5" s="1">
        <v>-2.9999999999999997E-4</v>
      </c>
      <c r="J5" s="1">
        <v>0</v>
      </c>
      <c r="K5" s="1">
        <v>-4.13E-3</v>
      </c>
      <c r="L5" s="1">
        <v>2.3440000000000002E-3</v>
      </c>
      <c r="M5" s="1">
        <v>0.86969700000000005</v>
      </c>
      <c r="N5" s="1">
        <v>0.493564</v>
      </c>
      <c r="O5">
        <v>0</v>
      </c>
      <c r="P5">
        <v>0</v>
      </c>
      <c r="Q5">
        <v>1</v>
      </c>
      <c r="R5">
        <v>1</v>
      </c>
      <c r="S5">
        <v>1</v>
      </c>
      <c r="T5" s="1">
        <f>SQRT(POWER(Hybrid[[#This Row],[angvel_X]],2) + POWER(Hybrid[[#This Row],[angvel_Y]],2) + POWER(Hybrid[[#This Row],[angvel_Z]],2))</f>
        <v>7.6157731058639085E-4</v>
      </c>
      <c r="U5">
        <f>DEGREES(ASIN(MAX(-1,MIN(1,2 * (Hybrid[[#This Row],[quart_W]]*Hybrid[[#This Row],[quart_Y]] - Hybrid[[#This Row],[quart_Z]]*Hybrid[[#This Row],[quart_X]])))))</f>
        <v>0.54417629402205137</v>
      </c>
      <c r="V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5">
        <f>IF(Hybrid[[#This Row],[Yaw]]&gt;V4,(360-ABS(Hybrid[[#This Row],[Yaw]])-ABS(V4)),ABS(Hybrid[[#This Row],[Yaw]]-V4))</f>
        <v>0</v>
      </c>
      <c r="Y5">
        <f>Hybrid[[#This Row],[Degree change]]+Y4</f>
        <v>0</v>
      </c>
    </row>
    <row r="6" spans="1:25">
      <c r="A6">
        <v>5</v>
      </c>
      <c r="B6">
        <v>825.72997999999995</v>
      </c>
      <c r="C6">
        <v>1140.410034</v>
      </c>
      <c r="D6">
        <v>17.010000000000002</v>
      </c>
      <c r="E6">
        <v>-1179.3599850000001</v>
      </c>
      <c r="F6">
        <v>1974.589966</v>
      </c>
      <c r="G6">
        <v>8.0299999999999994</v>
      </c>
      <c r="H6" s="1">
        <v>-6.9999999999999999E-4</v>
      </c>
      <c r="I6" s="1">
        <v>-2.9999999999999997E-4</v>
      </c>
      <c r="J6" s="1">
        <v>0</v>
      </c>
      <c r="K6" s="1">
        <v>-4.13E-3</v>
      </c>
      <c r="L6" s="1">
        <v>2.3440000000000002E-3</v>
      </c>
      <c r="M6" s="1">
        <v>0.86969700000000005</v>
      </c>
      <c r="N6" s="1">
        <v>0.493564</v>
      </c>
      <c r="O6">
        <v>0</v>
      </c>
      <c r="P6">
        <v>0</v>
      </c>
      <c r="Q6">
        <v>1</v>
      </c>
      <c r="R6">
        <v>1</v>
      </c>
      <c r="S6">
        <v>1</v>
      </c>
      <c r="T6" s="1">
        <f>SQRT(POWER(Hybrid[[#This Row],[angvel_X]],2) + POWER(Hybrid[[#This Row],[angvel_Y]],2) + POWER(Hybrid[[#This Row],[angvel_Z]],2))</f>
        <v>7.6157731058639085E-4</v>
      </c>
      <c r="U6">
        <f>DEGREES(ASIN(MAX(-1,MIN(1,2 * (Hybrid[[#This Row],[quart_W]]*Hybrid[[#This Row],[quart_Y]] - Hybrid[[#This Row],[quart_Z]]*Hybrid[[#This Row],[quart_X]])))))</f>
        <v>0.54417629402205137</v>
      </c>
      <c r="V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6">
        <f>IF(Hybrid[[#This Row],[Yaw]]&gt;V5,(360-ABS(Hybrid[[#This Row],[Yaw]])-ABS(V5)),ABS(Hybrid[[#This Row],[Yaw]]-V5))</f>
        <v>0</v>
      </c>
      <c r="Y6">
        <f>Hybrid[[#This Row],[Degree change]]+Y5</f>
        <v>0</v>
      </c>
    </row>
    <row r="7" spans="1:25">
      <c r="A7">
        <v>6</v>
      </c>
      <c r="B7">
        <v>815.86999500000002</v>
      </c>
      <c r="C7">
        <v>1156.919922</v>
      </c>
      <c r="D7">
        <v>17.010000000000002</v>
      </c>
      <c r="E7">
        <v>-1179.3599850000001</v>
      </c>
      <c r="F7">
        <v>1974.589966</v>
      </c>
      <c r="G7">
        <v>8.0299999999999994</v>
      </c>
      <c r="H7" s="1">
        <v>-6.9999999999999999E-4</v>
      </c>
      <c r="I7" s="1">
        <v>-2.9999999999999997E-4</v>
      </c>
      <c r="J7" s="1">
        <v>0</v>
      </c>
      <c r="K7" s="1">
        <v>-4.13E-3</v>
      </c>
      <c r="L7" s="1">
        <v>2.3440000000000002E-3</v>
      </c>
      <c r="M7" s="1">
        <v>0.86969700000000005</v>
      </c>
      <c r="N7" s="1">
        <v>0.493564</v>
      </c>
      <c r="O7">
        <v>0</v>
      </c>
      <c r="P7">
        <v>0</v>
      </c>
      <c r="Q7">
        <v>1</v>
      </c>
      <c r="R7">
        <v>1</v>
      </c>
      <c r="S7">
        <v>1</v>
      </c>
      <c r="T7" s="1">
        <f>SQRT(POWER(Hybrid[[#This Row],[angvel_X]],2) + POWER(Hybrid[[#This Row],[angvel_Y]],2) + POWER(Hybrid[[#This Row],[angvel_Z]],2))</f>
        <v>7.6157731058639085E-4</v>
      </c>
      <c r="U7">
        <f>DEGREES(ASIN(MAX(-1,MIN(1,2 * (Hybrid[[#This Row],[quart_W]]*Hybrid[[#This Row],[quart_Y]] - Hybrid[[#This Row],[quart_Z]]*Hybrid[[#This Row],[quart_X]])))))</f>
        <v>0.54417629402205137</v>
      </c>
      <c r="V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7">
        <f>IF(Hybrid[[#This Row],[Yaw]]&gt;V6,(360-ABS(Hybrid[[#This Row],[Yaw]])-ABS(V6)),ABS(Hybrid[[#This Row],[Yaw]]-V6))</f>
        <v>0</v>
      </c>
      <c r="Y7">
        <f>Hybrid[[#This Row],[Degree change]]+Y6</f>
        <v>0</v>
      </c>
    </row>
    <row r="8" spans="1:25">
      <c r="A8">
        <v>7</v>
      </c>
      <c r="B8">
        <v>806.01000999999997</v>
      </c>
      <c r="C8">
        <v>1173.429932</v>
      </c>
      <c r="D8">
        <v>17.010000000000002</v>
      </c>
      <c r="E8">
        <v>-1179.3599850000001</v>
      </c>
      <c r="F8">
        <v>1974.589966</v>
      </c>
      <c r="G8">
        <v>8.0299999999999994</v>
      </c>
      <c r="H8" s="1">
        <v>-6.9999999999999999E-4</v>
      </c>
      <c r="I8" s="1">
        <v>-2.9999999999999997E-4</v>
      </c>
      <c r="J8" s="1">
        <v>0</v>
      </c>
      <c r="K8" s="1">
        <v>-4.13E-3</v>
      </c>
      <c r="L8" s="1">
        <v>2.3440000000000002E-3</v>
      </c>
      <c r="M8" s="1">
        <v>0.86969700000000005</v>
      </c>
      <c r="N8" s="1">
        <v>0.493564</v>
      </c>
      <c r="O8">
        <v>0</v>
      </c>
      <c r="P8">
        <v>0</v>
      </c>
      <c r="Q8">
        <v>1</v>
      </c>
      <c r="R8">
        <v>1</v>
      </c>
      <c r="S8">
        <v>1</v>
      </c>
      <c r="T8" s="1">
        <f>SQRT(POWER(Hybrid[[#This Row],[angvel_X]],2) + POWER(Hybrid[[#This Row],[angvel_Y]],2) + POWER(Hybrid[[#This Row],[angvel_Z]],2))</f>
        <v>7.6157731058639085E-4</v>
      </c>
      <c r="U8">
        <f>DEGREES(ASIN(MAX(-1,MIN(1,2 * (Hybrid[[#This Row],[quart_W]]*Hybrid[[#This Row],[quart_Y]] - Hybrid[[#This Row],[quart_Z]]*Hybrid[[#This Row],[quart_X]])))))</f>
        <v>0.54417629402205137</v>
      </c>
      <c r="V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8">
        <f>IF(Hybrid[[#This Row],[Yaw]]&gt;V7,(360-ABS(Hybrid[[#This Row],[Yaw]])-ABS(V7)),ABS(Hybrid[[#This Row],[Yaw]]-V7))</f>
        <v>0</v>
      </c>
      <c r="Y8">
        <f>Hybrid[[#This Row],[Degree change]]+Y7</f>
        <v>0</v>
      </c>
    </row>
    <row r="9" spans="1:25">
      <c r="A9">
        <v>8</v>
      </c>
      <c r="B9">
        <v>796.14996299999996</v>
      </c>
      <c r="C9">
        <v>1189.9399410000001</v>
      </c>
      <c r="D9">
        <v>17.010000000000002</v>
      </c>
      <c r="E9">
        <v>-1179.3599850000001</v>
      </c>
      <c r="F9">
        <v>1974.589966</v>
      </c>
      <c r="G9">
        <v>8.0299999999999994</v>
      </c>
      <c r="H9" s="1">
        <v>-6.9999999999999999E-4</v>
      </c>
      <c r="I9" s="1">
        <v>-2.9999999999999997E-4</v>
      </c>
      <c r="J9" s="1">
        <v>0</v>
      </c>
      <c r="K9" s="1">
        <v>-4.13E-3</v>
      </c>
      <c r="L9" s="1">
        <v>2.3440000000000002E-3</v>
      </c>
      <c r="M9" s="1">
        <v>0.86969700000000005</v>
      </c>
      <c r="N9" s="1">
        <v>0.493564</v>
      </c>
      <c r="O9">
        <v>0</v>
      </c>
      <c r="P9">
        <v>0</v>
      </c>
      <c r="Q9">
        <v>1</v>
      </c>
      <c r="R9">
        <v>1</v>
      </c>
      <c r="S9">
        <v>1</v>
      </c>
      <c r="T9" s="1">
        <f>SQRT(POWER(Hybrid[[#This Row],[angvel_X]],2) + POWER(Hybrid[[#This Row],[angvel_Y]],2) + POWER(Hybrid[[#This Row],[angvel_Z]],2))</f>
        <v>7.6157731058639085E-4</v>
      </c>
      <c r="U9">
        <f>DEGREES(ASIN(MAX(-1,MIN(1,2 * (Hybrid[[#This Row],[quart_W]]*Hybrid[[#This Row],[quart_Y]] - Hybrid[[#This Row],[quart_Z]]*Hybrid[[#This Row],[quart_X]])))))</f>
        <v>0.54417629402205137</v>
      </c>
      <c r="V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9">
        <f>IF(Hybrid[[#This Row],[Yaw]]&gt;V8,(360-ABS(Hybrid[[#This Row],[Yaw]])-ABS(V8)),ABS(Hybrid[[#This Row],[Yaw]]-V8))</f>
        <v>0</v>
      </c>
      <c r="Y9">
        <f>Hybrid[[#This Row],[Degree change]]+Y8</f>
        <v>0</v>
      </c>
    </row>
    <row r="10" spans="1:25">
      <c r="A10">
        <v>9</v>
      </c>
      <c r="B10">
        <v>786.28997800000002</v>
      </c>
      <c r="C10">
        <v>1206.4499510000001</v>
      </c>
      <c r="D10">
        <v>17.010000000000002</v>
      </c>
      <c r="E10">
        <v>-1179.3599850000001</v>
      </c>
      <c r="F10">
        <v>1974.589966</v>
      </c>
      <c r="G10">
        <v>8.0299999999999994</v>
      </c>
      <c r="H10" s="1">
        <v>-6.9999999999999999E-4</v>
      </c>
      <c r="I10" s="1">
        <v>-2.9999999999999997E-4</v>
      </c>
      <c r="J10" s="1">
        <v>0</v>
      </c>
      <c r="K10" s="1">
        <v>-4.13E-3</v>
      </c>
      <c r="L10" s="1">
        <v>2.3440000000000002E-3</v>
      </c>
      <c r="M10" s="1">
        <v>0.86969700000000005</v>
      </c>
      <c r="N10" s="1">
        <v>0.493564</v>
      </c>
      <c r="O10">
        <v>0</v>
      </c>
      <c r="P10">
        <v>0</v>
      </c>
      <c r="Q10">
        <v>1</v>
      </c>
      <c r="R10">
        <v>1</v>
      </c>
      <c r="S10">
        <v>1</v>
      </c>
      <c r="T10" s="1">
        <f>SQRT(POWER(Hybrid[[#This Row],[angvel_X]],2) + POWER(Hybrid[[#This Row],[angvel_Y]],2) + POWER(Hybrid[[#This Row],[angvel_Z]],2))</f>
        <v>7.6157731058639085E-4</v>
      </c>
      <c r="U10">
        <f>DEGREES(ASIN(MAX(-1,MIN(1,2 * (Hybrid[[#This Row],[quart_W]]*Hybrid[[#This Row],[quart_Y]] - Hybrid[[#This Row],[quart_Z]]*Hybrid[[#This Row],[quart_X]])))))</f>
        <v>0.54417629402205137</v>
      </c>
      <c r="V1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1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10">
        <f>IF(Hybrid[[#This Row],[Yaw]]&gt;V9,(360-ABS(Hybrid[[#This Row],[Yaw]])-ABS(V9)),ABS(Hybrid[[#This Row],[Yaw]]-V9))</f>
        <v>0</v>
      </c>
      <c r="Y10">
        <f>Hybrid[[#This Row],[Degree change]]+Y9</f>
        <v>0</v>
      </c>
    </row>
    <row r="11" spans="1:25">
      <c r="A11">
        <v>10</v>
      </c>
      <c r="B11">
        <v>776.42999299999997</v>
      </c>
      <c r="C11">
        <v>1222.959961</v>
      </c>
      <c r="D11">
        <v>17.010000000000002</v>
      </c>
      <c r="E11">
        <v>-1179.3599850000001</v>
      </c>
      <c r="F11">
        <v>1974.589966</v>
      </c>
      <c r="G11">
        <v>8.0299999999999994</v>
      </c>
      <c r="H11" s="1">
        <v>-6.9999999999999999E-4</v>
      </c>
      <c r="I11" s="1">
        <v>-2.9999999999999997E-4</v>
      </c>
      <c r="J11" s="1">
        <v>0</v>
      </c>
      <c r="K11" s="1">
        <v>-4.13E-3</v>
      </c>
      <c r="L11" s="1">
        <v>2.3440000000000002E-3</v>
      </c>
      <c r="M11" s="1">
        <v>0.86969700000000005</v>
      </c>
      <c r="N11" s="1">
        <v>0.493564</v>
      </c>
      <c r="O11">
        <v>0</v>
      </c>
      <c r="P11">
        <v>0</v>
      </c>
      <c r="Q11">
        <v>1</v>
      </c>
      <c r="R11">
        <v>1</v>
      </c>
      <c r="S11">
        <v>1</v>
      </c>
      <c r="T11" s="1">
        <f>SQRT(POWER(Hybrid[[#This Row],[angvel_X]],2) + POWER(Hybrid[[#This Row],[angvel_Y]],2) + POWER(Hybrid[[#This Row],[angvel_Z]],2))</f>
        <v>7.6157731058639085E-4</v>
      </c>
      <c r="U11">
        <f>DEGREES(ASIN(MAX(-1,MIN(1,2 * (Hybrid[[#This Row],[quart_W]]*Hybrid[[#This Row],[quart_Y]] - Hybrid[[#This Row],[quart_Z]]*Hybrid[[#This Row],[quart_X]])))))</f>
        <v>0.54417629402205137</v>
      </c>
      <c r="V1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1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11">
        <f>IF(Hybrid[[#This Row],[Yaw]]&gt;V10,(360-ABS(Hybrid[[#This Row],[Yaw]])-ABS(V10)),ABS(Hybrid[[#This Row],[Yaw]]-V10))</f>
        <v>0</v>
      </c>
      <c r="Y11">
        <f>Hybrid[[#This Row],[Degree change]]+Y10</f>
        <v>0</v>
      </c>
    </row>
    <row r="12" spans="1:25">
      <c r="A12">
        <v>11</v>
      </c>
      <c r="B12">
        <v>766.57000700000003</v>
      </c>
      <c r="C12">
        <v>1239.469971</v>
      </c>
      <c r="D12">
        <v>17.010000000000002</v>
      </c>
      <c r="E12">
        <v>-1179.3599850000001</v>
      </c>
      <c r="F12">
        <v>1974.589966</v>
      </c>
      <c r="G12">
        <v>8.0299999999999994</v>
      </c>
      <c r="H12" s="1">
        <v>-6.9999999999999999E-4</v>
      </c>
      <c r="I12" s="1">
        <v>-2.9999999999999997E-4</v>
      </c>
      <c r="J12" s="1">
        <v>0</v>
      </c>
      <c r="K12" s="1">
        <v>-4.13E-3</v>
      </c>
      <c r="L12" s="1">
        <v>2.3440000000000002E-3</v>
      </c>
      <c r="M12" s="1">
        <v>0.86969700000000005</v>
      </c>
      <c r="N12" s="1">
        <v>0.493564</v>
      </c>
      <c r="O12">
        <v>0</v>
      </c>
      <c r="P12">
        <v>0</v>
      </c>
      <c r="Q12">
        <v>1</v>
      </c>
      <c r="R12">
        <v>1</v>
      </c>
      <c r="S12">
        <v>1</v>
      </c>
      <c r="T12" s="1">
        <f>SQRT(POWER(Hybrid[[#This Row],[angvel_X]],2) + POWER(Hybrid[[#This Row],[angvel_Y]],2) + POWER(Hybrid[[#This Row],[angvel_Z]],2))</f>
        <v>7.6157731058639085E-4</v>
      </c>
      <c r="U12">
        <f>DEGREES(ASIN(MAX(-1,MIN(1,2 * (Hybrid[[#This Row],[quart_W]]*Hybrid[[#This Row],[quart_Y]] - Hybrid[[#This Row],[quart_Z]]*Hybrid[[#This Row],[quart_X]])))))</f>
        <v>0.54417629402205137</v>
      </c>
      <c r="V1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1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12">
        <f>IF(Hybrid[[#This Row],[Yaw]]&gt;V11,(360-ABS(Hybrid[[#This Row],[Yaw]])-ABS(V11)),ABS(Hybrid[[#This Row],[Yaw]]-V11))</f>
        <v>0</v>
      </c>
      <c r="Y12">
        <f>Hybrid[[#This Row],[Degree change]]+Y11</f>
        <v>0</v>
      </c>
    </row>
    <row r="13" spans="1:25">
      <c r="A13">
        <v>12</v>
      </c>
      <c r="B13">
        <v>756.70996100000002</v>
      </c>
      <c r="C13">
        <v>1255.9799800000001</v>
      </c>
      <c r="D13">
        <v>17.010000000000002</v>
      </c>
      <c r="E13">
        <v>-1179.3599850000001</v>
      </c>
      <c r="F13">
        <v>1974.589966</v>
      </c>
      <c r="G13">
        <v>8.0299999999999994</v>
      </c>
      <c r="H13" s="1">
        <v>-6.9999999999999999E-4</v>
      </c>
      <c r="I13" s="1">
        <v>-2.9999999999999997E-4</v>
      </c>
      <c r="J13" s="1">
        <v>0</v>
      </c>
      <c r="K13" s="1">
        <v>-4.13E-3</v>
      </c>
      <c r="L13" s="1">
        <v>2.3440000000000002E-3</v>
      </c>
      <c r="M13" s="1">
        <v>0.86969700000000005</v>
      </c>
      <c r="N13" s="1">
        <v>0.493564</v>
      </c>
      <c r="O13">
        <v>0</v>
      </c>
      <c r="P13">
        <v>0</v>
      </c>
      <c r="Q13">
        <v>1</v>
      </c>
      <c r="R13">
        <v>1</v>
      </c>
      <c r="S13">
        <v>1</v>
      </c>
      <c r="T13" s="1">
        <f>SQRT(POWER(Hybrid[[#This Row],[angvel_X]],2) + POWER(Hybrid[[#This Row],[angvel_Y]],2) + POWER(Hybrid[[#This Row],[angvel_Z]],2))</f>
        <v>7.6157731058639085E-4</v>
      </c>
      <c r="U13">
        <f>DEGREES(ASIN(MAX(-1,MIN(1,2 * (Hybrid[[#This Row],[quart_W]]*Hybrid[[#This Row],[quart_Y]] - Hybrid[[#This Row],[quart_Z]]*Hybrid[[#This Row],[quart_X]])))))</f>
        <v>0.54417629402205137</v>
      </c>
      <c r="V1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1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13">
        <f>IF(Hybrid[[#This Row],[Yaw]]&gt;V12,(360-ABS(Hybrid[[#This Row],[Yaw]])-ABS(V12)),ABS(Hybrid[[#This Row],[Yaw]]-V12))</f>
        <v>0</v>
      </c>
      <c r="Y13">
        <f>Hybrid[[#This Row],[Degree change]]+Y12</f>
        <v>0</v>
      </c>
    </row>
    <row r="14" spans="1:25">
      <c r="A14">
        <v>13</v>
      </c>
      <c r="B14">
        <v>746.84997599999997</v>
      </c>
      <c r="C14">
        <v>1272.48999</v>
      </c>
      <c r="D14">
        <v>17.010000000000002</v>
      </c>
      <c r="E14">
        <v>-1179.3599850000001</v>
      </c>
      <c r="F14">
        <v>1974.589966</v>
      </c>
      <c r="G14">
        <v>8.0299999999999994</v>
      </c>
      <c r="H14" s="1">
        <v>-6.9999999999999999E-4</v>
      </c>
      <c r="I14" s="1">
        <v>-2.9999999999999997E-4</v>
      </c>
      <c r="J14" s="1">
        <v>0</v>
      </c>
      <c r="K14" s="1">
        <v>-4.13E-3</v>
      </c>
      <c r="L14" s="1">
        <v>2.3440000000000002E-3</v>
      </c>
      <c r="M14" s="1">
        <v>0.86969700000000005</v>
      </c>
      <c r="N14" s="1">
        <v>0.493564</v>
      </c>
      <c r="O14">
        <v>0</v>
      </c>
      <c r="P14">
        <v>0</v>
      </c>
      <c r="Q14">
        <v>1</v>
      </c>
      <c r="R14">
        <v>1</v>
      </c>
      <c r="S14">
        <v>1</v>
      </c>
      <c r="T14" s="1">
        <f>SQRT(POWER(Hybrid[[#This Row],[angvel_X]],2) + POWER(Hybrid[[#This Row],[angvel_Y]],2) + POWER(Hybrid[[#This Row],[angvel_Z]],2))</f>
        <v>7.6157731058639085E-4</v>
      </c>
      <c r="U14">
        <f>DEGREES(ASIN(MAX(-1,MIN(1,2 * (Hybrid[[#This Row],[quart_W]]*Hybrid[[#This Row],[quart_Y]] - Hybrid[[#This Row],[quart_Z]]*Hybrid[[#This Row],[quart_X]])))))</f>
        <v>0.54417629402205137</v>
      </c>
      <c r="V1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1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14">
        <f>IF(Hybrid[[#This Row],[Yaw]]&gt;V13,(360-ABS(Hybrid[[#This Row],[Yaw]])-ABS(V13)),ABS(Hybrid[[#This Row],[Yaw]]-V13))</f>
        <v>0</v>
      </c>
      <c r="Y14">
        <f>Hybrid[[#This Row],[Degree change]]+Y13</f>
        <v>0</v>
      </c>
    </row>
    <row r="15" spans="1:25">
      <c r="A15">
        <v>14</v>
      </c>
      <c r="B15">
        <v>736.98999000000003</v>
      </c>
      <c r="C15">
        <v>1289</v>
      </c>
      <c r="D15">
        <v>17.010000000000002</v>
      </c>
      <c r="E15">
        <v>-1179.3599850000001</v>
      </c>
      <c r="F15">
        <v>1974.589966</v>
      </c>
      <c r="G15">
        <v>8.0299999999999994</v>
      </c>
      <c r="H15" s="1">
        <v>-6.9999999999999999E-4</v>
      </c>
      <c r="I15" s="1">
        <v>-2.9999999999999997E-4</v>
      </c>
      <c r="J15" s="1">
        <v>0</v>
      </c>
      <c r="K15" s="1">
        <v>-4.13E-3</v>
      </c>
      <c r="L15" s="1">
        <v>2.3440000000000002E-3</v>
      </c>
      <c r="M15" s="1">
        <v>0.86969700000000005</v>
      </c>
      <c r="N15" s="1">
        <v>0.493564</v>
      </c>
      <c r="O15">
        <v>0</v>
      </c>
      <c r="P15">
        <v>0</v>
      </c>
      <c r="Q15">
        <v>1</v>
      </c>
      <c r="R15">
        <v>1</v>
      </c>
      <c r="S15">
        <v>1</v>
      </c>
      <c r="T15" s="1">
        <f>SQRT(POWER(Hybrid[[#This Row],[angvel_X]],2) + POWER(Hybrid[[#This Row],[angvel_Y]],2) + POWER(Hybrid[[#This Row],[angvel_Z]],2))</f>
        <v>7.6157731058639085E-4</v>
      </c>
      <c r="U15">
        <f>DEGREES(ASIN(MAX(-1,MIN(1,2 * (Hybrid[[#This Row],[quart_W]]*Hybrid[[#This Row],[quart_Y]] - Hybrid[[#This Row],[quart_Z]]*Hybrid[[#This Row],[quart_X]])))))</f>
        <v>0.54417629402205137</v>
      </c>
      <c r="V1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1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15">
        <f>IF(Hybrid[[#This Row],[Yaw]]&gt;V14,(360-ABS(Hybrid[[#This Row],[Yaw]])-ABS(V14)),ABS(Hybrid[[#This Row],[Yaw]]-V14))</f>
        <v>0</v>
      </c>
      <c r="Y15">
        <f>Hybrid[[#This Row],[Degree change]]+Y14</f>
        <v>0</v>
      </c>
    </row>
    <row r="16" spans="1:25">
      <c r="A16">
        <v>15</v>
      </c>
      <c r="B16">
        <v>727.13000499999998</v>
      </c>
      <c r="C16">
        <v>1305.51001</v>
      </c>
      <c r="D16">
        <v>17.010000000000002</v>
      </c>
      <c r="E16">
        <v>-1179.3599850000001</v>
      </c>
      <c r="F16">
        <v>1974.589966</v>
      </c>
      <c r="G16">
        <v>8.0299999999999994</v>
      </c>
      <c r="H16" s="1">
        <v>-6.9999999999999999E-4</v>
      </c>
      <c r="I16" s="1">
        <v>-2.9999999999999997E-4</v>
      </c>
      <c r="J16" s="1">
        <v>0</v>
      </c>
      <c r="K16" s="1">
        <v>-4.13E-3</v>
      </c>
      <c r="L16" s="1">
        <v>2.3440000000000002E-3</v>
      </c>
      <c r="M16" s="1">
        <v>0.86969700000000005</v>
      </c>
      <c r="N16" s="1">
        <v>0.493564</v>
      </c>
      <c r="O16">
        <v>0</v>
      </c>
      <c r="P16">
        <v>0</v>
      </c>
      <c r="Q16">
        <v>1</v>
      </c>
      <c r="R16">
        <v>1</v>
      </c>
      <c r="S16">
        <v>1</v>
      </c>
      <c r="T16" s="1">
        <f>SQRT(POWER(Hybrid[[#This Row],[angvel_X]],2) + POWER(Hybrid[[#This Row],[angvel_Y]],2) + POWER(Hybrid[[#This Row],[angvel_Z]],2))</f>
        <v>7.6157731058639085E-4</v>
      </c>
      <c r="U16">
        <f>DEGREES(ASIN(MAX(-1,MIN(1,2 * (Hybrid[[#This Row],[quart_W]]*Hybrid[[#This Row],[quart_Y]] - Hybrid[[#This Row],[quart_Z]]*Hybrid[[#This Row],[quart_X]])))))</f>
        <v>0.54417629402205137</v>
      </c>
      <c r="V1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1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16">
        <f>IF(Hybrid[[#This Row],[Yaw]]&gt;V15,(360-ABS(Hybrid[[#This Row],[Yaw]])-ABS(V15)),ABS(Hybrid[[#This Row],[Yaw]]-V15))</f>
        <v>0</v>
      </c>
      <c r="Y16">
        <f>Hybrid[[#This Row],[Degree change]]+Y15</f>
        <v>0</v>
      </c>
    </row>
    <row r="17" spans="1:25">
      <c r="A17">
        <v>16</v>
      </c>
      <c r="B17">
        <v>717.26995799999997</v>
      </c>
      <c r="C17">
        <v>1322.0200199999999</v>
      </c>
      <c r="D17">
        <v>17.010000000000002</v>
      </c>
      <c r="E17">
        <v>-1179.3599850000001</v>
      </c>
      <c r="F17">
        <v>1974.589966</v>
      </c>
      <c r="G17">
        <v>8.0299999999999994</v>
      </c>
      <c r="H17" s="1">
        <v>-6.9999999999999999E-4</v>
      </c>
      <c r="I17" s="1">
        <v>-2.9999999999999997E-4</v>
      </c>
      <c r="J17" s="1">
        <v>0</v>
      </c>
      <c r="K17" s="1">
        <v>-4.13E-3</v>
      </c>
      <c r="L17" s="1">
        <v>2.3440000000000002E-3</v>
      </c>
      <c r="M17" s="1">
        <v>0.86969700000000005</v>
      </c>
      <c r="N17" s="1">
        <v>0.493564</v>
      </c>
      <c r="O17">
        <v>0</v>
      </c>
      <c r="P17">
        <v>0</v>
      </c>
      <c r="Q17">
        <v>1</v>
      </c>
      <c r="R17">
        <v>1</v>
      </c>
      <c r="S17">
        <v>1</v>
      </c>
      <c r="T17" s="1">
        <f>SQRT(POWER(Hybrid[[#This Row],[angvel_X]],2) + POWER(Hybrid[[#This Row],[angvel_Y]],2) + POWER(Hybrid[[#This Row],[angvel_Z]],2))</f>
        <v>7.6157731058639085E-4</v>
      </c>
      <c r="U17">
        <f>DEGREES(ASIN(MAX(-1,MIN(1,2 * (Hybrid[[#This Row],[quart_W]]*Hybrid[[#This Row],[quart_Y]] - Hybrid[[#This Row],[quart_Z]]*Hybrid[[#This Row],[quart_X]])))))</f>
        <v>0.54417629402205137</v>
      </c>
      <c r="V1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1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17">
        <f>IF(Hybrid[[#This Row],[Yaw]]&gt;V16,(360-ABS(Hybrid[[#This Row],[Yaw]])-ABS(V16)),ABS(Hybrid[[#This Row],[Yaw]]-V16))</f>
        <v>0</v>
      </c>
      <c r="Y17">
        <f>Hybrid[[#This Row],[Degree change]]+Y16</f>
        <v>0</v>
      </c>
    </row>
    <row r="18" spans="1:25">
      <c r="A18">
        <v>17</v>
      </c>
      <c r="B18">
        <v>707.40997300000004</v>
      </c>
      <c r="C18">
        <v>1338.530029</v>
      </c>
      <c r="D18">
        <v>17.010000000000002</v>
      </c>
      <c r="E18">
        <v>-1179.3599850000001</v>
      </c>
      <c r="F18">
        <v>1974.589966</v>
      </c>
      <c r="G18">
        <v>8.0299999999999994</v>
      </c>
      <c r="H18" s="1">
        <v>-6.9999999999999999E-4</v>
      </c>
      <c r="I18" s="1">
        <v>-2.9999999999999997E-4</v>
      </c>
      <c r="J18" s="1">
        <v>0</v>
      </c>
      <c r="K18" s="1">
        <v>-4.13E-3</v>
      </c>
      <c r="L18" s="1">
        <v>2.3440000000000002E-3</v>
      </c>
      <c r="M18" s="1">
        <v>0.86969700000000005</v>
      </c>
      <c r="N18" s="1">
        <v>0.493564</v>
      </c>
      <c r="O18">
        <v>0</v>
      </c>
      <c r="P18">
        <v>0</v>
      </c>
      <c r="Q18">
        <v>1</v>
      </c>
      <c r="R18">
        <v>1</v>
      </c>
      <c r="S18">
        <v>1</v>
      </c>
      <c r="T18" s="1">
        <f>SQRT(POWER(Hybrid[[#This Row],[angvel_X]],2) + POWER(Hybrid[[#This Row],[angvel_Y]],2) + POWER(Hybrid[[#This Row],[angvel_Z]],2))</f>
        <v>7.6157731058639085E-4</v>
      </c>
      <c r="U18">
        <f>DEGREES(ASIN(MAX(-1,MIN(1,2 * (Hybrid[[#This Row],[quart_W]]*Hybrid[[#This Row],[quart_Y]] - Hybrid[[#This Row],[quart_Z]]*Hybrid[[#This Row],[quart_X]])))))</f>
        <v>0.54417629402205137</v>
      </c>
      <c r="V1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1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18">
        <f>IF(Hybrid[[#This Row],[Yaw]]&gt;V17,(360-ABS(Hybrid[[#This Row],[Yaw]])-ABS(V17)),ABS(Hybrid[[#This Row],[Yaw]]-V17))</f>
        <v>0</v>
      </c>
      <c r="Y18">
        <f>Hybrid[[#This Row],[Degree change]]+Y17</f>
        <v>0</v>
      </c>
    </row>
    <row r="19" spans="1:25">
      <c r="A19">
        <v>18</v>
      </c>
      <c r="B19">
        <v>697.54998799999998</v>
      </c>
      <c r="C19">
        <v>1355.0399170000001</v>
      </c>
      <c r="D19">
        <v>17.010000000000002</v>
      </c>
      <c r="E19">
        <v>-1179.3599850000001</v>
      </c>
      <c r="F19">
        <v>1974.589966</v>
      </c>
      <c r="G19">
        <v>8.0299999999999994</v>
      </c>
      <c r="H19" s="1">
        <v>-6.9999999999999999E-4</v>
      </c>
      <c r="I19" s="1">
        <v>-2.9999999999999997E-4</v>
      </c>
      <c r="J19" s="1">
        <v>0</v>
      </c>
      <c r="K19" s="1">
        <v>-4.13E-3</v>
      </c>
      <c r="L19" s="1">
        <v>2.3440000000000002E-3</v>
      </c>
      <c r="M19" s="1">
        <v>0.86969700000000005</v>
      </c>
      <c r="N19" s="1">
        <v>0.493564</v>
      </c>
      <c r="O19">
        <v>0</v>
      </c>
      <c r="P19">
        <v>0</v>
      </c>
      <c r="Q19">
        <v>1</v>
      </c>
      <c r="R19">
        <v>1</v>
      </c>
      <c r="S19">
        <v>1</v>
      </c>
      <c r="T19" s="1">
        <f>SQRT(POWER(Hybrid[[#This Row],[angvel_X]],2) + POWER(Hybrid[[#This Row],[angvel_Y]],2) + POWER(Hybrid[[#This Row],[angvel_Z]],2))</f>
        <v>7.6157731058639085E-4</v>
      </c>
      <c r="U19">
        <f>DEGREES(ASIN(MAX(-1,MIN(1,2 * (Hybrid[[#This Row],[quart_W]]*Hybrid[[#This Row],[quart_Y]] - Hybrid[[#This Row],[quart_Z]]*Hybrid[[#This Row],[quart_X]])))))</f>
        <v>0.54417629402205137</v>
      </c>
      <c r="V1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1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19">
        <f>IF(Hybrid[[#This Row],[Yaw]]&gt;V18,(360-ABS(Hybrid[[#This Row],[Yaw]])-ABS(V18)),ABS(Hybrid[[#This Row],[Yaw]]-V18))</f>
        <v>0</v>
      </c>
      <c r="Y19">
        <f>Hybrid[[#This Row],[Degree change]]+Y18</f>
        <v>0</v>
      </c>
    </row>
    <row r="20" spans="1:25">
      <c r="A20">
        <v>19</v>
      </c>
      <c r="B20">
        <v>687.69000200000005</v>
      </c>
      <c r="C20">
        <v>1371.549927</v>
      </c>
      <c r="D20">
        <v>17.010000000000002</v>
      </c>
      <c r="E20">
        <v>-1179.3599850000001</v>
      </c>
      <c r="F20">
        <v>1974.589966</v>
      </c>
      <c r="G20">
        <v>8.0299999999999994</v>
      </c>
      <c r="H20" s="1">
        <v>-6.9999999999999999E-4</v>
      </c>
      <c r="I20" s="1">
        <v>-2.9999999999999997E-4</v>
      </c>
      <c r="J20" s="1">
        <v>0</v>
      </c>
      <c r="K20" s="1">
        <v>-4.13E-3</v>
      </c>
      <c r="L20" s="1">
        <v>2.3440000000000002E-3</v>
      </c>
      <c r="M20" s="1">
        <v>0.86969700000000005</v>
      </c>
      <c r="N20" s="1">
        <v>0.493564</v>
      </c>
      <c r="O20">
        <v>0</v>
      </c>
      <c r="P20">
        <v>0</v>
      </c>
      <c r="Q20">
        <v>1</v>
      </c>
      <c r="R20">
        <v>1</v>
      </c>
      <c r="S20">
        <v>1</v>
      </c>
      <c r="T20" s="1">
        <f>SQRT(POWER(Hybrid[[#This Row],[angvel_X]],2) + POWER(Hybrid[[#This Row],[angvel_Y]],2) + POWER(Hybrid[[#This Row],[angvel_Z]],2))</f>
        <v>7.6157731058639085E-4</v>
      </c>
      <c r="U20">
        <f>DEGREES(ASIN(MAX(-1,MIN(1,2 * (Hybrid[[#This Row],[quart_W]]*Hybrid[[#This Row],[quart_Y]] - Hybrid[[#This Row],[quart_Z]]*Hybrid[[#This Row],[quart_X]])))))</f>
        <v>0.54417629402205137</v>
      </c>
      <c r="V2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2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20">
        <f>IF(Hybrid[[#This Row],[Yaw]]&gt;V19,(360-ABS(Hybrid[[#This Row],[Yaw]])-ABS(V19)),ABS(Hybrid[[#This Row],[Yaw]]-V19))</f>
        <v>0</v>
      </c>
      <c r="Y20">
        <f>Hybrid[[#This Row],[Degree change]]+Y19</f>
        <v>0</v>
      </c>
    </row>
    <row r="21" spans="1:25">
      <c r="A21">
        <v>20</v>
      </c>
      <c r="B21">
        <v>677.82995600000004</v>
      </c>
      <c r="C21">
        <v>1388.059937</v>
      </c>
      <c r="D21">
        <v>17.010000000000002</v>
      </c>
      <c r="E21">
        <v>-1179.3599850000001</v>
      </c>
      <c r="F21">
        <v>1974.589966</v>
      </c>
      <c r="G21">
        <v>8.0299999999999994</v>
      </c>
      <c r="H21" s="1">
        <v>-6.9999999999999999E-4</v>
      </c>
      <c r="I21" s="1">
        <v>-2.9999999999999997E-4</v>
      </c>
      <c r="J21" s="1">
        <v>0</v>
      </c>
      <c r="K21" s="1">
        <v>-4.13E-3</v>
      </c>
      <c r="L21" s="1">
        <v>2.3440000000000002E-3</v>
      </c>
      <c r="M21" s="1">
        <v>0.86969700000000005</v>
      </c>
      <c r="N21" s="1">
        <v>0.493564</v>
      </c>
      <c r="O21">
        <v>0</v>
      </c>
      <c r="P21">
        <v>0</v>
      </c>
      <c r="Q21">
        <v>1</v>
      </c>
      <c r="R21">
        <v>1</v>
      </c>
      <c r="S21">
        <v>1</v>
      </c>
      <c r="T21" s="1">
        <f>SQRT(POWER(Hybrid[[#This Row],[angvel_X]],2) + POWER(Hybrid[[#This Row],[angvel_Y]],2) + POWER(Hybrid[[#This Row],[angvel_Z]],2))</f>
        <v>7.6157731058639085E-4</v>
      </c>
      <c r="U21">
        <f>DEGREES(ASIN(MAX(-1,MIN(1,2 * (Hybrid[[#This Row],[quart_W]]*Hybrid[[#This Row],[quart_Y]] - Hybrid[[#This Row],[quart_Z]]*Hybrid[[#This Row],[quart_X]])))))</f>
        <v>0.54417629402205137</v>
      </c>
      <c r="V2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2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21">
        <f>IF(Hybrid[[#This Row],[Yaw]]&gt;V20,(360-ABS(Hybrid[[#This Row],[Yaw]])-ABS(V20)),ABS(Hybrid[[#This Row],[Yaw]]-V20))</f>
        <v>0</v>
      </c>
      <c r="Y21">
        <f>Hybrid[[#This Row],[Degree change]]+Y20</f>
        <v>0</v>
      </c>
    </row>
    <row r="22" spans="1:25">
      <c r="A22">
        <v>21</v>
      </c>
      <c r="B22">
        <v>667.96997099999999</v>
      </c>
      <c r="C22">
        <v>1404.5699460000001</v>
      </c>
      <c r="D22">
        <v>17.010000000000002</v>
      </c>
      <c r="E22">
        <v>-1179.3599850000001</v>
      </c>
      <c r="F22">
        <v>1974.589966</v>
      </c>
      <c r="G22">
        <v>8.0299999999999994</v>
      </c>
      <c r="H22" s="1">
        <v>-6.9999999999999999E-4</v>
      </c>
      <c r="I22" s="1">
        <v>-2.9999999999999997E-4</v>
      </c>
      <c r="J22" s="1">
        <v>0</v>
      </c>
      <c r="K22" s="1">
        <v>-4.13E-3</v>
      </c>
      <c r="L22" s="1">
        <v>2.3440000000000002E-3</v>
      </c>
      <c r="M22" s="1">
        <v>0.86969700000000005</v>
      </c>
      <c r="N22" s="1">
        <v>0.493564</v>
      </c>
      <c r="O22">
        <v>0</v>
      </c>
      <c r="P22">
        <v>0</v>
      </c>
      <c r="Q22">
        <v>1</v>
      </c>
      <c r="R22">
        <v>1</v>
      </c>
      <c r="S22">
        <v>1</v>
      </c>
      <c r="T22" s="1">
        <f>SQRT(POWER(Hybrid[[#This Row],[angvel_X]],2) + POWER(Hybrid[[#This Row],[angvel_Y]],2) + POWER(Hybrid[[#This Row],[angvel_Z]],2))</f>
        <v>7.6157731058639085E-4</v>
      </c>
      <c r="U22">
        <f>DEGREES(ASIN(MAX(-1,MIN(1,2 * (Hybrid[[#This Row],[quart_W]]*Hybrid[[#This Row],[quart_Y]] - Hybrid[[#This Row],[quart_Z]]*Hybrid[[#This Row],[quart_X]])))))</f>
        <v>0.54417629402205137</v>
      </c>
      <c r="V2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2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22">
        <f>IF(Hybrid[[#This Row],[Yaw]]&gt;V21,(360-ABS(Hybrid[[#This Row],[Yaw]])-ABS(V21)),ABS(Hybrid[[#This Row],[Yaw]]-V21))</f>
        <v>0</v>
      </c>
      <c r="Y22">
        <f>Hybrid[[#This Row],[Degree change]]+Y21</f>
        <v>0</v>
      </c>
    </row>
    <row r="23" spans="1:25">
      <c r="A23">
        <v>22</v>
      </c>
      <c r="B23">
        <v>658.10998500000005</v>
      </c>
      <c r="C23">
        <v>1421.079956</v>
      </c>
      <c r="D23">
        <v>17.010000000000002</v>
      </c>
      <c r="E23">
        <v>-1179.3599850000001</v>
      </c>
      <c r="F23">
        <v>1974.589966</v>
      </c>
      <c r="G23">
        <v>8.0299999999999994</v>
      </c>
      <c r="H23" s="1">
        <v>-6.9999999999999999E-4</v>
      </c>
      <c r="I23" s="1">
        <v>-2.9999999999999997E-4</v>
      </c>
      <c r="J23" s="1">
        <v>0</v>
      </c>
      <c r="K23" s="1">
        <v>-4.13E-3</v>
      </c>
      <c r="L23" s="1">
        <v>2.3440000000000002E-3</v>
      </c>
      <c r="M23" s="1">
        <v>0.86969700000000005</v>
      </c>
      <c r="N23" s="1">
        <v>0.493564</v>
      </c>
      <c r="O23">
        <v>0</v>
      </c>
      <c r="P23">
        <v>0</v>
      </c>
      <c r="Q23">
        <v>1</v>
      </c>
      <c r="R23">
        <v>1</v>
      </c>
      <c r="S23">
        <v>1</v>
      </c>
      <c r="T23" s="1">
        <f>SQRT(POWER(Hybrid[[#This Row],[angvel_X]],2) + POWER(Hybrid[[#This Row],[angvel_Y]],2) + POWER(Hybrid[[#This Row],[angvel_Z]],2))</f>
        <v>7.6157731058639085E-4</v>
      </c>
      <c r="U23">
        <f>DEGREES(ASIN(MAX(-1,MIN(1,2 * (Hybrid[[#This Row],[quart_W]]*Hybrid[[#This Row],[quart_Y]] - Hybrid[[#This Row],[quart_Z]]*Hybrid[[#This Row],[quart_X]])))))</f>
        <v>0.54417629402205137</v>
      </c>
      <c r="V2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2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23">
        <f>IF(Hybrid[[#This Row],[Yaw]]&gt;V22,(360-ABS(Hybrid[[#This Row],[Yaw]])-ABS(V22)),ABS(Hybrid[[#This Row],[Yaw]]-V22))</f>
        <v>0</v>
      </c>
      <c r="Y23">
        <f>Hybrid[[#This Row],[Degree change]]+Y22</f>
        <v>0</v>
      </c>
    </row>
    <row r="24" spans="1:25">
      <c r="A24">
        <v>23</v>
      </c>
      <c r="B24">
        <v>648.25</v>
      </c>
      <c r="C24">
        <v>1437.589966</v>
      </c>
      <c r="D24">
        <v>17.010000000000002</v>
      </c>
      <c r="E24">
        <v>-1179.3599850000001</v>
      </c>
      <c r="F24">
        <v>1974.589966</v>
      </c>
      <c r="G24">
        <v>8.0299999999999994</v>
      </c>
      <c r="H24" s="1">
        <v>-6.9999999999999999E-4</v>
      </c>
      <c r="I24" s="1">
        <v>-2.9999999999999997E-4</v>
      </c>
      <c r="J24" s="1">
        <v>0</v>
      </c>
      <c r="K24" s="1">
        <v>-4.13E-3</v>
      </c>
      <c r="L24" s="1">
        <v>2.3440000000000002E-3</v>
      </c>
      <c r="M24" s="1">
        <v>0.86969700000000005</v>
      </c>
      <c r="N24" s="1">
        <v>0.493564</v>
      </c>
      <c r="O24">
        <v>0</v>
      </c>
      <c r="P24">
        <v>0</v>
      </c>
      <c r="Q24">
        <v>1</v>
      </c>
      <c r="R24">
        <v>1</v>
      </c>
      <c r="S24">
        <v>1</v>
      </c>
      <c r="T24" s="1">
        <f>SQRT(POWER(Hybrid[[#This Row],[angvel_X]],2) + POWER(Hybrid[[#This Row],[angvel_Y]],2) + POWER(Hybrid[[#This Row],[angvel_Z]],2))</f>
        <v>7.6157731058639085E-4</v>
      </c>
      <c r="U24">
        <f>DEGREES(ASIN(MAX(-1,MIN(1,2 * (Hybrid[[#This Row],[quart_W]]*Hybrid[[#This Row],[quart_Y]] - Hybrid[[#This Row],[quart_Z]]*Hybrid[[#This Row],[quart_X]])))))</f>
        <v>0.54417629402205137</v>
      </c>
      <c r="V2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2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24">
        <f>IF(Hybrid[[#This Row],[Yaw]]&gt;V23,(360-ABS(Hybrid[[#This Row],[Yaw]])-ABS(V23)),ABS(Hybrid[[#This Row],[Yaw]]-V23))</f>
        <v>0</v>
      </c>
      <c r="Y24">
        <f>Hybrid[[#This Row],[Degree change]]+Y23</f>
        <v>0</v>
      </c>
    </row>
    <row r="25" spans="1:25">
      <c r="A25">
        <v>24</v>
      </c>
      <c r="B25">
        <v>638.39001499999995</v>
      </c>
      <c r="C25">
        <v>1454.099976</v>
      </c>
      <c r="D25">
        <v>17.010000000000002</v>
      </c>
      <c r="E25">
        <v>-1179.3599850000001</v>
      </c>
      <c r="F25">
        <v>1974.589966</v>
      </c>
      <c r="G25">
        <v>8.0299999999999994</v>
      </c>
      <c r="H25" s="1">
        <v>-6.9999999999999999E-4</v>
      </c>
      <c r="I25" s="1">
        <v>-2.9999999999999997E-4</v>
      </c>
      <c r="J25" s="1">
        <v>0</v>
      </c>
      <c r="K25" s="1">
        <v>-4.13E-3</v>
      </c>
      <c r="L25" s="1">
        <v>2.3440000000000002E-3</v>
      </c>
      <c r="M25" s="1">
        <v>0.86969700000000005</v>
      </c>
      <c r="N25" s="1">
        <v>0.493564</v>
      </c>
      <c r="O25">
        <v>0</v>
      </c>
      <c r="P25">
        <v>0</v>
      </c>
      <c r="Q25">
        <v>1</v>
      </c>
      <c r="R25">
        <v>1</v>
      </c>
      <c r="S25">
        <v>1</v>
      </c>
      <c r="T25" s="1">
        <f>SQRT(POWER(Hybrid[[#This Row],[angvel_X]],2) + POWER(Hybrid[[#This Row],[angvel_Y]],2) + POWER(Hybrid[[#This Row],[angvel_Z]],2))</f>
        <v>7.6157731058639085E-4</v>
      </c>
      <c r="U25">
        <f>DEGREES(ASIN(MAX(-1,MIN(1,2 * (Hybrid[[#This Row],[quart_W]]*Hybrid[[#This Row],[quart_Y]] - Hybrid[[#This Row],[quart_Z]]*Hybrid[[#This Row],[quart_X]])))))</f>
        <v>0.54417629402205137</v>
      </c>
      <c r="V2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2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25">
        <f>IF(Hybrid[[#This Row],[Yaw]]&gt;V24,(360-ABS(Hybrid[[#This Row],[Yaw]])-ABS(V24)),ABS(Hybrid[[#This Row],[Yaw]]-V24))</f>
        <v>0</v>
      </c>
      <c r="Y25">
        <f>Hybrid[[#This Row],[Degree change]]+Y24</f>
        <v>0</v>
      </c>
    </row>
    <row r="26" spans="1:25">
      <c r="A26">
        <v>25</v>
      </c>
      <c r="B26">
        <v>628.52996800000005</v>
      </c>
      <c r="C26">
        <v>1470.6099850000001</v>
      </c>
      <c r="D26">
        <v>17.010000000000002</v>
      </c>
      <c r="E26">
        <v>-1179.3599850000001</v>
      </c>
      <c r="F26">
        <v>1974.589966</v>
      </c>
      <c r="G26">
        <v>8.0299999999999994</v>
      </c>
      <c r="H26" s="1">
        <v>-6.9999999999999999E-4</v>
      </c>
      <c r="I26" s="1">
        <v>-2.9999999999999997E-4</v>
      </c>
      <c r="J26" s="1">
        <v>0</v>
      </c>
      <c r="K26" s="1">
        <v>-4.13E-3</v>
      </c>
      <c r="L26" s="1">
        <v>2.3440000000000002E-3</v>
      </c>
      <c r="M26" s="1">
        <v>0.86969700000000005</v>
      </c>
      <c r="N26" s="1">
        <v>0.493564</v>
      </c>
      <c r="O26">
        <v>0</v>
      </c>
      <c r="P26">
        <v>0</v>
      </c>
      <c r="Q26">
        <v>1</v>
      </c>
      <c r="R26">
        <v>1</v>
      </c>
      <c r="S26">
        <v>1</v>
      </c>
      <c r="T26" s="1">
        <f>SQRT(POWER(Hybrid[[#This Row],[angvel_X]],2) + POWER(Hybrid[[#This Row],[angvel_Y]],2) + POWER(Hybrid[[#This Row],[angvel_Z]],2))</f>
        <v>7.6157731058639085E-4</v>
      </c>
      <c r="U26">
        <f>DEGREES(ASIN(MAX(-1,MIN(1,2 * (Hybrid[[#This Row],[quart_W]]*Hybrid[[#This Row],[quart_Y]] - Hybrid[[#This Row],[quart_Z]]*Hybrid[[#This Row],[quart_X]])))))</f>
        <v>0.54417629402205137</v>
      </c>
      <c r="V2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2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26">
        <f>IF(Hybrid[[#This Row],[Yaw]]&gt;V25,(360-ABS(Hybrid[[#This Row],[Yaw]])-ABS(V25)),ABS(Hybrid[[#This Row],[Yaw]]-V25))</f>
        <v>0</v>
      </c>
      <c r="Y26">
        <f>Hybrid[[#This Row],[Degree change]]+Y25</f>
        <v>0</v>
      </c>
    </row>
    <row r="27" spans="1:25">
      <c r="A27">
        <v>26</v>
      </c>
      <c r="B27">
        <v>618.669983</v>
      </c>
      <c r="C27">
        <v>1487.119995</v>
      </c>
      <c r="D27">
        <v>17.010000000000002</v>
      </c>
      <c r="E27">
        <v>-1179.3599850000001</v>
      </c>
      <c r="F27">
        <v>1974.589966</v>
      </c>
      <c r="G27">
        <v>8.0299999999999994</v>
      </c>
      <c r="H27" s="1">
        <v>-6.9999999999999999E-4</v>
      </c>
      <c r="I27" s="1">
        <v>-2.9999999999999997E-4</v>
      </c>
      <c r="J27" s="1">
        <v>0</v>
      </c>
      <c r="K27" s="1">
        <v>-4.13E-3</v>
      </c>
      <c r="L27" s="1">
        <v>2.3440000000000002E-3</v>
      </c>
      <c r="M27" s="1">
        <v>0.86969700000000005</v>
      </c>
      <c r="N27" s="1">
        <v>0.493564</v>
      </c>
      <c r="O27">
        <v>0</v>
      </c>
      <c r="P27">
        <v>0</v>
      </c>
      <c r="Q27">
        <v>1</v>
      </c>
      <c r="R27">
        <v>1</v>
      </c>
      <c r="S27">
        <v>1</v>
      </c>
      <c r="T27" s="1">
        <f>SQRT(POWER(Hybrid[[#This Row],[angvel_X]],2) + POWER(Hybrid[[#This Row],[angvel_Y]],2) + POWER(Hybrid[[#This Row],[angvel_Z]],2))</f>
        <v>7.6157731058639085E-4</v>
      </c>
      <c r="U27">
        <f>DEGREES(ASIN(MAX(-1,MIN(1,2 * (Hybrid[[#This Row],[quart_W]]*Hybrid[[#This Row],[quart_Y]] - Hybrid[[#This Row],[quart_Z]]*Hybrid[[#This Row],[quart_X]])))))</f>
        <v>0.54417629402205137</v>
      </c>
      <c r="V2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2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27">
        <f>IF(Hybrid[[#This Row],[Yaw]]&gt;V26,(360-ABS(Hybrid[[#This Row],[Yaw]])-ABS(V26)),ABS(Hybrid[[#This Row],[Yaw]]-V26))</f>
        <v>0</v>
      </c>
      <c r="Y27">
        <f>Hybrid[[#This Row],[Degree change]]+Y26</f>
        <v>0</v>
      </c>
    </row>
    <row r="28" spans="1:25">
      <c r="A28">
        <v>27</v>
      </c>
      <c r="B28">
        <v>608.80999799999995</v>
      </c>
      <c r="C28">
        <v>1503.630005</v>
      </c>
      <c r="D28">
        <v>17.010000000000002</v>
      </c>
      <c r="E28">
        <v>-1179.3599850000001</v>
      </c>
      <c r="F28">
        <v>1974.589966</v>
      </c>
      <c r="G28">
        <v>8.0299999999999994</v>
      </c>
      <c r="H28" s="1">
        <v>-6.9999999999999999E-4</v>
      </c>
      <c r="I28" s="1">
        <v>-2.9999999999999997E-4</v>
      </c>
      <c r="J28" s="1">
        <v>0</v>
      </c>
      <c r="K28" s="1">
        <v>-4.13E-3</v>
      </c>
      <c r="L28" s="1">
        <v>2.3440000000000002E-3</v>
      </c>
      <c r="M28" s="1">
        <v>0.86969700000000005</v>
      </c>
      <c r="N28" s="1">
        <v>0.493564</v>
      </c>
      <c r="O28">
        <v>0</v>
      </c>
      <c r="P28">
        <v>0</v>
      </c>
      <c r="Q28">
        <v>1</v>
      </c>
      <c r="R28">
        <v>1</v>
      </c>
      <c r="S28">
        <v>1</v>
      </c>
      <c r="T28" s="1">
        <f>SQRT(POWER(Hybrid[[#This Row],[angvel_X]],2) + POWER(Hybrid[[#This Row],[angvel_Y]],2) + POWER(Hybrid[[#This Row],[angvel_Z]],2))</f>
        <v>7.6157731058639085E-4</v>
      </c>
      <c r="U28">
        <f>DEGREES(ASIN(MAX(-1,MIN(1,2 * (Hybrid[[#This Row],[quart_W]]*Hybrid[[#This Row],[quart_Y]] - Hybrid[[#This Row],[quart_Z]]*Hybrid[[#This Row],[quart_X]])))))</f>
        <v>0.54417629402205137</v>
      </c>
      <c r="V2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2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28">
        <f>IF(Hybrid[[#This Row],[Yaw]]&gt;V27,(360-ABS(Hybrid[[#This Row],[Yaw]])-ABS(V27)),ABS(Hybrid[[#This Row],[Yaw]]-V27))</f>
        <v>0</v>
      </c>
      <c r="Y28">
        <f>Hybrid[[#This Row],[Degree change]]+Y27</f>
        <v>0</v>
      </c>
    </row>
    <row r="29" spans="1:25">
      <c r="A29">
        <v>28</v>
      </c>
      <c r="B29">
        <v>598.95001200000002</v>
      </c>
      <c r="C29">
        <v>1520.1400149999999</v>
      </c>
      <c r="D29">
        <v>17.010000000000002</v>
      </c>
      <c r="E29">
        <v>-1179.3599850000001</v>
      </c>
      <c r="F29">
        <v>1974.589966</v>
      </c>
      <c r="G29">
        <v>8.0299999999999994</v>
      </c>
      <c r="H29" s="1">
        <v>-6.9999999999999999E-4</v>
      </c>
      <c r="I29" s="1">
        <v>-2.9999999999999997E-4</v>
      </c>
      <c r="J29" s="1">
        <v>0</v>
      </c>
      <c r="K29" s="1">
        <v>-4.13E-3</v>
      </c>
      <c r="L29" s="1">
        <v>2.3440000000000002E-3</v>
      </c>
      <c r="M29" s="1">
        <v>0.86969700000000005</v>
      </c>
      <c r="N29" s="1">
        <v>0.493564</v>
      </c>
      <c r="O29">
        <v>0</v>
      </c>
      <c r="P29">
        <v>0</v>
      </c>
      <c r="Q29">
        <v>1</v>
      </c>
      <c r="R29">
        <v>1</v>
      </c>
      <c r="S29">
        <v>1</v>
      </c>
      <c r="T29" s="1">
        <f>SQRT(POWER(Hybrid[[#This Row],[angvel_X]],2) + POWER(Hybrid[[#This Row],[angvel_Y]],2) + POWER(Hybrid[[#This Row],[angvel_Z]],2))</f>
        <v>7.6157731058639085E-4</v>
      </c>
      <c r="U29">
        <f>DEGREES(ASIN(MAX(-1,MIN(1,2 * (Hybrid[[#This Row],[quart_W]]*Hybrid[[#This Row],[quart_Y]] - Hybrid[[#This Row],[quart_Z]]*Hybrid[[#This Row],[quart_X]])))))</f>
        <v>0.54417629402205137</v>
      </c>
      <c r="V2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2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29">
        <f>IF(Hybrid[[#This Row],[Yaw]]&gt;V28,(360-ABS(Hybrid[[#This Row],[Yaw]])-ABS(V28)),ABS(Hybrid[[#This Row],[Yaw]]-V28))</f>
        <v>0</v>
      </c>
      <c r="Y29">
        <f>Hybrid[[#This Row],[Degree change]]+Y28</f>
        <v>0</v>
      </c>
    </row>
    <row r="30" spans="1:25">
      <c r="A30">
        <v>29</v>
      </c>
      <c r="B30">
        <v>589.089966</v>
      </c>
      <c r="C30">
        <v>1536.650024</v>
      </c>
      <c r="D30">
        <v>17.010000000000002</v>
      </c>
      <c r="E30">
        <v>-1179.3599850000001</v>
      </c>
      <c r="F30">
        <v>1974.589966</v>
      </c>
      <c r="G30">
        <v>8.0299999999999994</v>
      </c>
      <c r="H30" s="1">
        <v>-6.9999999999999999E-4</v>
      </c>
      <c r="I30" s="1">
        <v>-2.9999999999999997E-4</v>
      </c>
      <c r="J30" s="1">
        <v>0</v>
      </c>
      <c r="K30" s="1">
        <v>-4.13E-3</v>
      </c>
      <c r="L30" s="1">
        <v>2.3440000000000002E-3</v>
      </c>
      <c r="M30" s="1">
        <v>0.86969700000000005</v>
      </c>
      <c r="N30" s="1">
        <v>0.493564</v>
      </c>
      <c r="O30">
        <v>0</v>
      </c>
      <c r="P30">
        <v>0</v>
      </c>
      <c r="Q30">
        <v>1</v>
      </c>
      <c r="R30">
        <v>1</v>
      </c>
      <c r="S30">
        <v>1</v>
      </c>
      <c r="T30" s="1">
        <f>SQRT(POWER(Hybrid[[#This Row],[angvel_X]],2) + POWER(Hybrid[[#This Row],[angvel_Y]],2) + POWER(Hybrid[[#This Row],[angvel_Z]],2))</f>
        <v>7.6157731058639085E-4</v>
      </c>
      <c r="U30">
        <f>DEGREES(ASIN(MAX(-1,MIN(1,2 * (Hybrid[[#This Row],[quart_W]]*Hybrid[[#This Row],[quart_Y]] - Hybrid[[#This Row],[quart_Z]]*Hybrid[[#This Row],[quart_X]])))))</f>
        <v>0.54417629402205137</v>
      </c>
      <c r="V3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3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30">
        <f>IF(Hybrid[[#This Row],[Yaw]]&gt;V29,(360-ABS(Hybrid[[#This Row],[Yaw]])-ABS(V29)),ABS(Hybrid[[#This Row],[Yaw]]-V29))</f>
        <v>0</v>
      </c>
      <c r="Y30">
        <f>Hybrid[[#This Row],[Degree change]]+Y29</f>
        <v>0</v>
      </c>
    </row>
    <row r="31" spans="1:25">
      <c r="A31">
        <v>30</v>
      </c>
      <c r="B31">
        <v>579.22997999999995</v>
      </c>
      <c r="C31">
        <v>1553.1599120000001</v>
      </c>
      <c r="D31">
        <v>17.010000000000002</v>
      </c>
      <c r="E31">
        <v>-1179.3599850000001</v>
      </c>
      <c r="F31">
        <v>1974.589966</v>
      </c>
      <c r="G31">
        <v>8.0299999999999994</v>
      </c>
      <c r="H31" s="1">
        <v>-6.9999999999999999E-4</v>
      </c>
      <c r="I31" s="1">
        <v>-2.9999999999999997E-4</v>
      </c>
      <c r="J31" s="1">
        <v>0</v>
      </c>
      <c r="K31" s="1">
        <v>-4.13E-3</v>
      </c>
      <c r="L31" s="1">
        <v>2.3440000000000002E-3</v>
      </c>
      <c r="M31" s="1">
        <v>0.86969700000000005</v>
      </c>
      <c r="N31" s="1">
        <v>0.493564</v>
      </c>
      <c r="O31">
        <v>0</v>
      </c>
      <c r="P31">
        <v>0</v>
      </c>
      <c r="Q31">
        <v>1</v>
      </c>
      <c r="R31">
        <v>1</v>
      </c>
      <c r="S31">
        <v>1</v>
      </c>
      <c r="T31" s="1">
        <f>SQRT(POWER(Hybrid[[#This Row],[angvel_X]],2) + POWER(Hybrid[[#This Row],[angvel_Y]],2) + POWER(Hybrid[[#This Row],[angvel_Z]],2))</f>
        <v>7.6157731058639085E-4</v>
      </c>
      <c r="U31">
        <f>DEGREES(ASIN(MAX(-1,MIN(1,2 * (Hybrid[[#This Row],[quart_W]]*Hybrid[[#This Row],[quart_Y]] - Hybrid[[#This Row],[quart_Z]]*Hybrid[[#This Row],[quart_X]])))))</f>
        <v>0.54417629402205137</v>
      </c>
      <c r="V3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3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31">
        <f>IF(Hybrid[[#This Row],[Yaw]]&gt;V30,(360-ABS(Hybrid[[#This Row],[Yaw]])-ABS(V30)),ABS(Hybrid[[#This Row],[Yaw]]-V30))</f>
        <v>0</v>
      </c>
      <c r="Y31">
        <f>Hybrid[[#This Row],[Degree change]]+Y30</f>
        <v>0</v>
      </c>
    </row>
    <row r="32" spans="1:25">
      <c r="A32">
        <v>31</v>
      </c>
      <c r="B32">
        <v>569.36999500000002</v>
      </c>
      <c r="C32">
        <v>1569.669922</v>
      </c>
      <c r="D32">
        <v>17.010000000000002</v>
      </c>
      <c r="E32">
        <v>-1179.3599850000001</v>
      </c>
      <c r="F32">
        <v>1974.589966</v>
      </c>
      <c r="G32">
        <v>8.0299999999999994</v>
      </c>
      <c r="H32" s="1">
        <v>-6.9999999999999999E-4</v>
      </c>
      <c r="I32" s="1">
        <v>-2.9999999999999997E-4</v>
      </c>
      <c r="J32" s="1">
        <v>0</v>
      </c>
      <c r="K32" s="1">
        <v>-4.13E-3</v>
      </c>
      <c r="L32" s="1">
        <v>2.3440000000000002E-3</v>
      </c>
      <c r="M32" s="1">
        <v>0.86969700000000005</v>
      </c>
      <c r="N32" s="1">
        <v>0.493564</v>
      </c>
      <c r="O32">
        <v>0</v>
      </c>
      <c r="P32">
        <v>0</v>
      </c>
      <c r="Q32">
        <v>1</v>
      </c>
      <c r="R32">
        <v>1</v>
      </c>
      <c r="S32">
        <v>1</v>
      </c>
      <c r="T32" s="1">
        <f>SQRT(POWER(Hybrid[[#This Row],[angvel_X]],2) + POWER(Hybrid[[#This Row],[angvel_Y]],2) + POWER(Hybrid[[#This Row],[angvel_Z]],2))</f>
        <v>7.6157731058639085E-4</v>
      </c>
      <c r="U32">
        <f>DEGREES(ASIN(MAX(-1,MIN(1,2 * (Hybrid[[#This Row],[quart_W]]*Hybrid[[#This Row],[quart_Y]] - Hybrid[[#This Row],[quart_Z]]*Hybrid[[#This Row],[quart_X]])))))</f>
        <v>0.54417629402205137</v>
      </c>
      <c r="V3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3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32">
        <f>IF(Hybrid[[#This Row],[Yaw]]&gt;V31,(360-ABS(Hybrid[[#This Row],[Yaw]])-ABS(V31)),ABS(Hybrid[[#This Row],[Yaw]]-V31))</f>
        <v>0</v>
      </c>
      <c r="Y32">
        <f>Hybrid[[#This Row],[Degree change]]+Y31</f>
        <v>0</v>
      </c>
    </row>
    <row r="33" spans="1:25">
      <c r="A33">
        <v>32</v>
      </c>
      <c r="B33">
        <v>559.51000999999997</v>
      </c>
      <c r="C33">
        <v>1586.179932</v>
      </c>
      <c r="D33">
        <v>17.010000000000002</v>
      </c>
      <c r="E33">
        <v>-1179.3599850000001</v>
      </c>
      <c r="F33">
        <v>1974.589966</v>
      </c>
      <c r="G33">
        <v>8.0299999999999994</v>
      </c>
      <c r="H33" s="1">
        <v>-6.9999999999999999E-4</v>
      </c>
      <c r="I33" s="1">
        <v>-2.9999999999999997E-4</v>
      </c>
      <c r="J33" s="1">
        <v>0</v>
      </c>
      <c r="K33" s="1">
        <v>-4.13E-3</v>
      </c>
      <c r="L33" s="1">
        <v>2.3440000000000002E-3</v>
      </c>
      <c r="M33" s="1">
        <v>0.86969700000000005</v>
      </c>
      <c r="N33" s="1">
        <v>0.493564</v>
      </c>
      <c r="O33">
        <v>0</v>
      </c>
      <c r="P33">
        <v>0</v>
      </c>
      <c r="Q33">
        <v>1</v>
      </c>
      <c r="R33">
        <v>1</v>
      </c>
      <c r="S33">
        <v>1</v>
      </c>
      <c r="T33" s="1">
        <f>SQRT(POWER(Hybrid[[#This Row],[angvel_X]],2) + POWER(Hybrid[[#This Row],[angvel_Y]],2) + POWER(Hybrid[[#This Row],[angvel_Z]],2))</f>
        <v>7.6157731058639085E-4</v>
      </c>
      <c r="U33">
        <f>DEGREES(ASIN(MAX(-1,MIN(1,2 * (Hybrid[[#This Row],[quart_W]]*Hybrid[[#This Row],[quart_Y]] - Hybrid[[#This Row],[quart_Z]]*Hybrid[[#This Row],[quart_X]])))))</f>
        <v>0.54417629402205137</v>
      </c>
      <c r="V3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3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33">
        <f>IF(Hybrid[[#This Row],[Yaw]]&gt;V32,(360-ABS(Hybrid[[#This Row],[Yaw]])-ABS(V32)),ABS(Hybrid[[#This Row],[Yaw]]-V32))</f>
        <v>0</v>
      </c>
      <c r="Y33">
        <f>Hybrid[[#This Row],[Degree change]]+Y32</f>
        <v>0</v>
      </c>
    </row>
    <row r="34" spans="1:25">
      <c r="A34">
        <v>33</v>
      </c>
      <c r="B34">
        <v>549.64996299999996</v>
      </c>
      <c r="C34">
        <v>1602.6899410000001</v>
      </c>
      <c r="D34">
        <v>17.010000000000002</v>
      </c>
      <c r="E34">
        <v>-1179.3599850000001</v>
      </c>
      <c r="F34">
        <v>1974.589966</v>
      </c>
      <c r="G34">
        <v>8.0299999999999994</v>
      </c>
      <c r="H34" s="1">
        <v>-6.9999999999999999E-4</v>
      </c>
      <c r="I34" s="1">
        <v>-2.9999999999999997E-4</v>
      </c>
      <c r="J34" s="1">
        <v>0</v>
      </c>
      <c r="K34" s="1">
        <v>-4.13E-3</v>
      </c>
      <c r="L34" s="1">
        <v>2.3440000000000002E-3</v>
      </c>
      <c r="M34" s="1">
        <v>0.86969700000000005</v>
      </c>
      <c r="N34" s="1">
        <v>0.493564</v>
      </c>
      <c r="O34">
        <v>0</v>
      </c>
      <c r="P34">
        <v>0</v>
      </c>
      <c r="Q34">
        <v>1</v>
      </c>
      <c r="R34">
        <v>1</v>
      </c>
      <c r="S34">
        <v>1</v>
      </c>
      <c r="T34" s="1">
        <f>SQRT(POWER(Hybrid[[#This Row],[angvel_X]],2) + POWER(Hybrid[[#This Row],[angvel_Y]],2) + POWER(Hybrid[[#This Row],[angvel_Z]],2))</f>
        <v>7.6157731058639085E-4</v>
      </c>
      <c r="U34">
        <f>DEGREES(ASIN(MAX(-1,MIN(1,2 * (Hybrid[[#This Row],[quart_W]]*Hybrid[[#This Row],[quart_Y]] - Hybrid[[#This Row],[quart_Z]]*Hybrid[[#This Row],[quart_X]])))))</f>
        <v>0.54417629402205137</v>
      </c>
      <c r="V3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3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34">
        <f>IF(Hybrid[[#This Row],[Yaw]]&gt;V33,(360-ABS(Hybrid[[#This Row],[Yaw]])-ABS(V33)),ABS(Hybrid[[#This Row],[Yaw]]-V33))</f>
        <v>0</v>
      </c>
      <c r="Y34">
        <f>Hybrid[[#This Row],[Degree change]]+Y33</f>
        <v>0</v>
      </c>
    </row>
    <row r="35" spans="1:25">
      <c r="A35">
        <v>34</v>
      </c>
      <c r="B35">
        <v>539.78997800000002</v>
      </c>
      <c r="C35">
        <v>1619.1999510000001</v>
      </c>
      <c r="D35">
        <v>17.010000000000002</v>
      </c>
      <c r="E35">
        <v>-1179.3599850000001</v>
      </c>
      <c r="F35">
        <v>1974.589966</v>
      </c>
      <c r="G35">
        <v>8.0299999999999994</v>
      </c>
      <c r="H35" s="1">
        <v>-6.9999999999999999E-4</v>
      </c>
      <c r="I35" s="1">
        <v>-2.9999999999999997E-4</v>
      </c>
      <c r="J35" s="1">
        <v>0</v>
      </c>
      <c r="K35" s="1">
        <v>-4.13E-3</v>
      </c>
      <c r="L35" s="1">
        <v>2.3440000000000002E-3</v>
      </c>
      <c r="M35" s="1">
        <v>0.86969700000000005</v>
      </c>
      <c r="N35" s="1">
        <v>0.493564</v>
      </c>
      <c r="O35">
        <v>0</v>
      </c>
      <c r="P35">
        <v>0</v>
      </c>
      <c r="Q35">
        <v>1</v>
      </c>
      <c r="R35">
        <v>1</v>
      </c>
      <c r="S35">
        <v>1</v>
      </c>
      <c r="T35" s="1">
        <f>SQRT(POWER(Hybrid[[#This Row],[angvel_X]],2) + POWER(Hybrid[[#This Row],[angvel_Y]],2) + POWER(Hybrid[[#This Row],[angvel_Z]],2))</f>
        <v>7.6157731058639085E-4</v>
      </c>
      <c r="U35">
        <f>DEGREES(ASIN(MAX(-1,MIN(1,2 * (Hybrid[[#This Row],[quart_W]]*Hybrid[[#This Row],[quart_Y]] - Hybrid[[#This Row],[quart_Z]]*Hybrid[[#This Row],[quart_X]])))))</f>
        <v>0.54417629402205137</v>
      </c>
      <c r="V3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3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35">
        <f>IF(Hybrid[[#This Row],[Yaw]]&gt;V34,(360-ABS(Hybrid[[#This Row],[Yaw]])-ABS(V34)),ABS(Hybrid[[#This Row],[Yaw]]-V34))</f>
        <v>0</v>
      </c>
      <c r="Y35">
        <f>Hybrid[[#This Row],[Degree change]]+Y34</f>
        <v>0</v>
      </c>
    </row>
    <row r="36" spans="1:25">
      <c r="A36">
        <v>35</v>
      </c>
      <c r="B36">
        <v>529.92999299999997</v>
      </c>
      <c r="C36">
        <v>1635.709961</v>
      </c>
      <c r="D36">
        <v>17.010000000000002</v>
      </c>
      <c r="E36">
        <v>-1179.3599850000001</v>
      </c>
      <c r="F36">
        <v>1974.589966</v>
      </c>
      <c r="G36">
        <v>8.0299999999999994</v>
      </c>
      <c r="H36" s="1">
        <v>-6.9999999999999999E-4</v>
      </c>
      <c r="I36" s="1">
        <v>-2.9999999999999997E-4</v>
      </c>
      <c r="J36" s="1">
        <v>0</v>
      </c>
      <c r="K36" s="1">
        <v>-4.13E-3</v>
      </c>
      <c r="L36" s="1">
        <v>2.3440000000000002E-3</v>
      </c>
      <c r="M36" s="1">
        <v>0.86969700000000005</v>
      </c>
      <c r="N36" s="1">
        <v>0.493564</v>
      </c>
      <c r="O36">
        <v>0</v>
      </c>
      <c r="P36">
        <v>0</v>
      </c>
      <c r="Q36">
        <v>1</v>
      </c>
      <c r="R36">
        <v>1</v>
      </c>
      <c r="S36">
        <v>1</v>
      </c>
      <c r="T36" s="1">
        <f>SQRT(POWER(Hybrid[[#This Row],[angvel_X]],2) + POWER(Hybrid[[#This Row],[angvel_Y]],2) + POWER(Hybrid[[#This Row],[angvel_Z]],2))</f>
        <v>7.6157731058639085E-4</v>
      </c>
      <c r="U36">
        <f>DEGREES(ASIN(MAX(-1,MIN(1,2 * (Hybrid[[#This Row],[quart_W]]*Hybrid[[#This Row],[quart_Y]] - Hybrid[[#This Row],[quart_Z]]*Hybrid[[#This Row],[quart_X]])))))</f>
        <v>0.54417629402205137</v>
      </c>
      <c r="V3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3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36">
        <f>IF(Hybrid[[#This Row],[Yaw]]&gt;V35,(360-ABS(Hybrid[[#This Row],[Yaw]])-ABS(V35)),ABS(Hybrid[[#This Row],[Yaw]]-V35))</f>
        <v>0</v>
      </c>
      <c r="Y36">
        <f>Hybrid[[#This Row],[Degree change]]+Y35</f>
        <v>0</v>
      </c>
    </row>
    <row r="37" spans="1:25">
      <c r="A37">
        <v>36</v>
      </c>
      <c r="B37">
        <v>520.07000700000003</v>
      </c>
      <c r="C37">
        <v>1652.219971</v>
      </c>
      <c r="D37">
        <v>17.010000000000002</v>
      </c>
      <c r="E37">
        <v>-1179.3599850000001</v>
      </c>
      <c r="F37">
        <v>1974.589966</v>
      </c>
      <c r="G37">
        <v>8.0299999999999994</v>
      </c>
      <c r="H37" s="1">
        <v>-6.9999999999999999E-4</v>
      </c>
      <c r="I37" s="1">
        <v>-2.9999999999999997E-4</v>
      </c>
      <c r="J37" s="1">
        <v>0</v>
      </c>
      <c r="K37" s="1">
        <v>-4.13E-3</v>
      </c>
      <c r="L37" s="1">
        <v>2.3440000000000002E-3</v>
      </c>
      <c r="M37" s="1">
        <v>0.86969700000000005</v>
      </c>
      <c r="N37" s="1">
        <v>0.493564</v>
      </c>
      <c r="O37">
        <v>0</v>
      </c>
      <c r="P37">
        <v>0</v>
      </c>
      <c r="Q37">
        <v>1</v>
      </c>
      <c r="R37">
        <v>1</v>
      </c>
      <c r="S37">
        <v>1</v>
      </c>
      <c r="T37" s="1">
        <f>SQRT(POWER(Hybrid[[#This Row],[angvel_X]],2) + POWER(Hybrid[[#This Row],[angvel_Y]],2) + POWER(Hybrid[[#This Row],[angvel_Z]],2))</f>
        <v>7.6157731058639085E-4</v>
      </c>
      <c r="U37">
        <f>DEGREES(ASIN(MAX(-1,MIN(1,2 * (Hybrid[[#This Row],[quart_W]]*Hybrid[[#This Row],[quart_Y]] - Hybrid[[#This Row],[quart_Z]]*Hybrid[[#This Row],[quart_X]])))))</f>
        <v>0.54417629402205137</v>
      </c>
      <c r="V3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3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37">
        <f>IF(Hybrid[[#This Row],[Yaw]]&gt;V36,(360-ABS(Hybrid[[#This Row],[Yaw]])-ABS(V36)),ABS(Hybrid[[#This Row],[Yaw]]-V36))</f>
        <v>0</v>
      </c>
      <c r="Y37">
        <f>Hybrid[[#This Row],[Degree change]]+Y36</f>
        <v>0</v>
      </c>
    </row>
    <row r="38" spans="1:25">
      <c r="A38">
        <v>37</v>
      </c>
      <c r="B38">
        <v>510.209991</v>
      </c>
      <c r="C38">
        <v>1668.7299800000001</v>
      </c>
      <c r="D38">
        <v>17.010000000000002</v>
      </c>
      <c r="E38">
        <v>-1179.3599850000001</v>
      </c>
      <c r="F38">
        <v>1974.589966</v>
      </c>
      <c r="G38">
        <v>8.0299999999999994</v>
      </c>
      <c r="H38" s="1">
        <v>-6.9999999999999999E-4</v>
      </c>
      <c r="I38" s="1">
        <v>-2.9999999999999997E-4</v>
      </c>
      <c r="J38" s="1">
        <v>0</v>
      </c>
      <c r="K38" s="1">
        <v>-4.13E-3</v>
      </c>
      <c r="L38" s="1">
        <v>2.3440000000000002E-3</v>
      </c>
      <c r="M38" s="1">
        <v>0.86969700000000005</v>
      </c>
      <c r="N38" s="1">
        <v>0.493564</v>
      </c>
      <c r="O38">
        <v>0</v>
      </c>
      <c r="P38">
        <v>0</v>
      </c>
      <c r="Q38">
        <v>1</v>
      </c>
      <c r="R38">
        <v>1</v>
      </c>
      <c r="S38">
        <v>1</v>
      </c>
      <c r="T38" s="1">
        <f>SQRT(POWER(Hybrid[[#This Row],[angvel_X]],2) + POWER(Hybrid[[#This Row],[angvel_Y]],2) + POWER(Hybrid[[#This Row],[angvel_Z]],2))</f>
        <v>7.6157731058639085E-4</v>
      </c>
      <c r="U38">
        <f>DEGREES(ASIN(MAX(-1,MIN(1,2 * (Hybrid[[#This Row],[quart_W]]*Hybrid[[#This Row],[quart_Y]] - Hybrid[[#This Row],[quart_Z]]*Hybrid[[#This Row],[quart_X]])))))</f>
        <v>0.54417629402205137</v>
      </c>
      <c r="V3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3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38">
        <f>IF(Hybrid[[#This Row],[Yaw]]&gt;V37,(360-ABS(Hybrid[[#This Row],[Yaw]])-ABS(V37)),ABS(Hybrid[[#This Row],[Yaw]]-V37))</f>
        <v>0</v>
      </c>
      <c r="Y38">
        <f>Hybrid[[#This Row],[Degree change]]+Y37</f>
        <v>0</v>
      </c>
    </row>
    <row r="39" spans="1:25">
      <c r="A39">
        <v>38</v>
      </c>
      <c r="B39">
        <v>500.34997600000003</v>
      </c>
      <c r="C39">
        <v>1685.23999</v>
      </c>
      <c r="D39">
        <v>17.010000000000002</v>
      </c>
      <c r="E39">
        <v>-1179.3599850000001</v>
      </c>
      <c r="F39">
        <v>1974.589966</v>
      </c>
      <c r="G39">
        <v>8.0299999999999994</v>
      </c>
      <c r="H39" s="1">
        <v>-6.9999999999999999E-4</v>
      </c>
      <c r="I39" s="1">
        <v>-2.9999999999999997E-4</v>
      </c>
      <c r="J39" s="1">
        <v>0</v>
      </c>
      <c r="K39" s="1">
        <v>-4.13E-3</v>
      </c>
      <c r="L39" s="1">
        <v>2.3440000000000002E-3</v>
      </c>
      <c r="M39" s="1">
        <v>0.86969700000000005</v>
      </c>
      <c r="N39" s="1">
        <v>0.493564</v>
      </c>
      <c r="O39">
        <v>0</v>
      </c>
      <c r="P39">
        <v>0</v>
      </c>
      <c r="Q39">
        <v>1</v>
      </c>
      <c r="R39">
        <v>1</v>
      </c>
      <c r="S39">
        <v>1</v>
      </c>
      <c r="T39" s="1">
        <f>SQRT(POWER(Hybrid[[#This Row],[angvel_X]],2) + POWER(Hybrid[[#This Row],[angvel_Y]],2) + POWER(Hybrid[[#This Row],[angvel_Z]],2))</f>
        <v>7.6157731058639085E-4</v>
      </c>
      <c r="U39">
        <f>DEGREES(ASIN(MAX(-1,MIN(1,2 * (Hybrid[[#This Row],[quart_W]]*Hybrid[[#This Row],[quart_Y]] - Hybrid[[#This Row],[quart_Z]]*Hybrid[[#This Row],[quart_X]])))))</f>
        <v>0.54417629402205137</v>
      </c>
      <c r="V3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3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39">
        <f>IF(Hybrid[[#This Row],[Yaw]]&gt;V38,(360-ABS(Hybrid[[#This Row],[Yaw]])-ABS(V38)),ABS(Hybrid[[#This Row],[Yaw]]-V38))</f>
        <v>0</v>
      </c>
      <c r="Y39">
        <f>Hybrid[[#This Row],[Degree change]]+Y38</f>
        <v>0</v>
      </c>
    </row>
    <row r="40" spans="1:25">
      <c r="A40">
        <v>39</v>
      </c>
      <c r="B40">
        <v>490.48998999999998</v>
      </c>
      <c r="C40">
        <v>1701.75</v>
      </c>
      <c r="D40">
        <v>17.010000000000002</v>
      </c>
      <c r="E40">
        <v>-1179.3599850000001</v>
      </c>
      <c r="F40">
        <v>1974.589966</v>
      </c>
      <c r="G40">
        <v>8.0299999999999994</v>
      </c>
      <c r="H40" s="1">
        <v>-6.9999999999999999E-4</v>
      </c>
      <c r="I40" s="1">
        <v>-2.9999999999999997E-4</v>
      </c>
      <c r="J40" s="1">
        <v>0</v>
      </c>
      <c r="K40" s="1">
        <v>-4.13E-3</v>
      </c>
      <c r="L40" s="1">
        <v>2.3440000000000002E-3</v>
      </c>
      <c r="M40" s="1">
        <v>0.86969700000000005</v>
      </c>
      <c r="N40" s="1">
        <v>0.493564</v>
      </c>
      <c r="O40">
        <v>0</v>
      </c>
      <c r="P40">
        <v>0</v>
      </c>
      <c r="Q40">
        <v>1</v>
      </c>
      <c r="R40">
        <v>1</v>
      </c>
      <c r="S40">
        <v>1</v>
      </c>
      <c r="T40" s="1">
        <f>SQRT(POWER(Hybrid[[#This Row],[angvel_X]],2) + POWER(Hybrid[[#This Row],[angvel_Y]],2) + POWER(Hybrid[[#This Row],[angvel_Z]],2))</f>
        <v>7.6157731058639085E-4</v>
      </c>
      <c r="U40">
        <f>DEGREES(ASIN(MAX(-1,MIN(1,2 * (Hybrid[[#This Row],[quart_W]]*Hybrid[[#This Row],[quart_Y]] - Hybrid[[#This Row],[quart_Z]]*Hybrid[[#This Row],[quart_X]])))))</f>
        <v>0.54417629402205137</v>
      </c>
      <c r="V4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4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40">
        <f>IF(Hybrid[[#This Row],[Yaw]]&gt;V39,(360-ABS(Hybrid[[#This Row],[Yaw]])-ABS(V39)),ABS(Hybrid[[#This Row],[Yaw]]-V39))</f>
        <v>0</v>
      </c>
      <c r="Y40">
        <f>Hybrid[[#This Row],[Degree change]]+Y39</f>
        <v>0</v>
      </c>
    </row>
    <row r="41" spans="1:25">
      <c r="A41">
        <v>40</v>
      </c>
      <c r="B41">
        <v>480.629974</v>
      </c>
      <c r="C41">
        <v>1718.26001</v>
      </c>
      <c r="D41">
        <v>17.010000000000002</v>
      </c>
      <c r="E41">
        <v>-1179.3599850000001</v>
      </c>
      <c r="F41">
        <v>1974.589966</v>
      </c>
      <c r="G41">
        <v>8.0299999999999994</v>
      </c>
      <c r="H41" s="1">
        <v>-6.9999999999999999E-4</v>
      </c>
      <c r="I41" s="1">
        <v>-2.9999999999999997E-4</v>
      </c>
      <c r="J41" s="1">
        <v>0</v>
      </c>
      <c r="K41" s="1">
        <v>-4.13E-3</v>
      </c>
      <c r="L41" s="1">
        <v>2.3440000000000002E-3</v>
      </c>
      <c r="M41" s="1">
        <v>0.86969700000000005</v>
      </c>
      <c r="N41" s="1">
        <v>0.493564</v>
      </c>
      <c r="O41">
        <v>0</v>
      </c>
      <c r="P41">
        <v>0</v>
      </c>
      <c r="Q41">
        <v>1</v>
      </c>
      <c r="R41">
        <v>1</v>
      </c>
      <c r="S41">
        <v>1</v>
      </c>
      <c r="T41" s="1">
        <f>SQRT(POWER(Hybrid[[#This Row],[angvel_X]],2) + POWER(Hybrid[[#This Row],[angvel_Y]],2) + POWER(Hybrid[[#This Row],[angvel_Z]],2))</f>
        <v>7.6157731058639085E-4</v>
      </c>
      <c r="U41">
        <f>DEGREES(ASIN(MAX(-1,MIN(1,2 * (Hybrid[[#This Row],[quart_W]]*Hybrid[[#This Row],[quart_Y]] - Hybrid[[#This Row],[quart_Z]]*Hybrid[[#This Row],[quart_X]])))))</f>
        <v>0.54417629402205137</v>
      </c>
      <c r="V4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4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41">
        <f>IF(Hybrid[[#This Row],[Yaw]]&gt;V40,(360-ABS(Hybrid[[#This Row],[Yaw]])-ABS(V40)),ABS(Hybrid[[#This Row],[Yaw]]-V40))</f>
        <v>0</v>
      </c>
      <c r="Y41">
        <f>Hybrid[[#This Row],[Degree change]]+Y40</f>
        <v>0</v>
      </c>
    </row>
    <row r="42" spans="1:25">
      <c r="A42">
        <v>41</v>
      </c>
      <c r="B42">
        <v>470.76998900000001</v>
      </c>
      <c r="C42">
        <v>1734.7700199999999</v>
      </c>
      <c r="D42">
        <v>17.010000000000002</v>
      </c>
      <c r="E42">
        <v>-1179.3599850000001</v>
      </c>
      <c r="F42">
        <v>1974.589966</v>
      </c>
      <c r="G42">
        <v>8.0299999999999994</v>
      </c>
      <c r="H42" s="1">
        <v>-6.9999999999999999E-4</v>
      </c>
      <c r="I42" s="1">
        <v>-2.9999999999999997E-4</v>
      </c>
      <c r="J42" s="1">
        <v>0</v>
      </c>
      <c r="K42" s="1">
        <v>-4.13E-3</v>
      </c>
      <c r="L42" s="1">
        <v>2.3440000000000002E-3</v>
      </c>
      <c r="M42" s="1">
        <v>0.86969700000000005</v>
      </c>
      <c r="N42" s="1">
        <v>0.493564</v>
      </c>
      <c r="O42">
        <v>0</v>
      </c>
      <c r="P42">
        <v>0</v>
      </c>
      <c r="Q42">
        <v>1</v>
      </c>
      <c r="R42">
        <v>1</v>
      </c>
      <c r="S42">
        <v>1</v>
      </c>
      <c r="T42" s="1">
        <f>SQRT(POWER(Hybrid[[#This Row],[angvel_X]],2) + POWER(Hybrid[[#This Row],[angvel_Y]],2) + POWER(Hybrid[[#This Row],[angvel_Z]],2))</f>
        <v>7.6157731058639085E-4</v>
      </c>
      <c r="U42">
        <f>DEGREES(ASIN(MAX(-1,MIN(1,2 * (Hybrid[[#This Row],[quart_W]]*Hybrid[[#This Row],[quart_Y]] - Hybrid[[#This Row],[quart_Z]]*Hybrid[[#This Row],[quart_X]])))))</f>
        <v>0.54417629402205137</v>
      </c>
      <c r="V4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4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42">
        <f>IF(Hybrid[[#This Row],[Yaw]]&gt;V41,(360-ABS(Hybrid[[#This Row],[Yaw]])-ABS(V41)),ABS(Hybrid[[#This Row],[Yaw]]-V41))</f>
        <v>0</v>
      </c>
      <c r="Y42">
        <f>Hybrid[[#This Row],[Degree change]]+Y41</f>
        <v>0</v>
      </c>
    </row>
    <row r="43" spans="1:25">
      <c r="A43">
        <v>42</v>
      </c>
      <c r="B43">
        <v>460.91000400000001</v>
      </c>
      <c r="C43">
        <v>1751.2799070000001</v>
      </c>
      <c r="D43">
        <v>17.010000000000002</v>
      </c>
      <c r="E43">
        <v>-1179.3599850000001</v>
      </c>
      <c r="F43">
        <v>1974.589966</v>
      </c>
      <c r="G43">
        <v>8.0299999999999994</v>
      </c>
      <c r="H43" s="1">
        <v>-6.9999999999999999E-4</v>
      </c>
      <c r="I43" s="1">
        <v>-2.9999999999999997E-4</v>
      </c>
      <c r="J43" s="1">
        <v>0</v>
      </c>
      <c r="K43" s="1">
        <v>-4.13E-3</v>
      </c>
      <c r="L43" s="1">
        <v>2.3440000000000002E-3</v>
      </c>
      <c r="M43" s="1">
        <v>0.86969700000000005</v>
      </c>
      <c r="N43" s="1">
        <v>0.493564</v>
      </c>
      <c r="O43">
        <v>0</v>
      </c>
      <c r="P43">
        <v>0</v>
      </c>
      <c r="Q43">
        <v>1</v>
      </c>
      <c r="R43">
        <v>1</v>
      </c>
      <c r="S43">
        <v>1</v>
      </c>
      <c r="T43" s="1">
        <f>SQRT(POWER(Hybrid[[#This Row],[angvel_X]],2) + POWER(Hybrid[[#This Row],[angvel_Y]],2) + POWER(Hybrid[[#This Row],[angvel_Z]],2))</f>
        <v>7.6157731058639085E-4</v>
      </c>
      <c r="U43">
        <f>DEGREES(ASIN(MAX(-1,MIN(1,2 * (Hybrid[[#This Row],[quart_W]]*Hybrid[[#This Row],[quart_Y]] - Hybrid[[#This Row],[quart_Z]]*Hybrid[[#This Row],[quart_X]])))))</f>
        <v>0.54417629402205137</v>
      </c>
      <c r="V4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4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43">
        <f>IF(Hybrid[[#This Row],[Yaw]]&gt;V42,(360-ABS(Hybrid[[#This Row],[Yaw]])-ABS(V42)),ABS(Hybrid[[#This Row],[Yaw]]-V42))</f>
        <v>0</v>
      </c>
      <c r="Y43">
        <f>Hybrid[[#This Row],[Degree change]]+Y42</f>
        <v>0</v>
      </c>
    </row>
    <row r="44" spans="1:25">
      <c r="A44">
        <v>43</v>
      </c>
      <c r="B44">
        <v>451.04998799999998</v>
      </c>
      <c r="C44">
        <v>1767.7899170000001</v>
      </c>
      <c r="D44">
        <v>17.010000000000002</v>
      </c>
      <c r="E44">
        <v>-1179.3599850000001</v>
      </c>
      <c r="F44">
        <v>1974.589966</v>
      </c>
      <c r="G44">
        <v>8.0299999999999994</v>
      </c>
      <c r="H44" s="1">
        <v>-6.9999999999999999E-4</v>
      </c>
      <c r="I44" s="1">
        <v>-2.9999999999999997E-4</v>
      </c>
      <c r="J44" s="1">
        <v>0</v>
      </c>
      <c r="K44" s="1">
        <v>-4.13E-3</v>
      </c>
      <c r="L44" s="1">
        <v>2.3440000000000002E-3</v>
      </c>
      <c r="M44" s="1">
        <v>0.86969700000000005</v>
      </c>
      <c r="N44" s="1">
        <v>0.493564</v>
      </c>
      <c r="O44">
        <v>0</v>
      </c>
      <c r="P44">
        <v>0</v>
      </c>
      <c r="Q44">
        <v>1</v>
      </c>
      <c r="R44">
        <v>1</v>
      </c>
      <c r="S44">
        <v>1</v>
      </c>
      <c r="T44" s="1">
        <f>SQRT(POWER(Hybrid[[#This Row],[angvel_X]],2) + POWER(Hybrid[[#This Row],[angvel_Y]],2) + POWER(Hybrid[[#This Row],[angvel_Z]],2))</f>
        <v>7.6157731058639085E-4</v>
      </c>
      <c r="U44">
        <f>DEGREES(ASIN(MAX(-1,MIN(1,2 * (Hybrid[[#This Row],[quart_W]]*Hybrid[[#This Row],[quart_Y]] - Hybrid[[#This Row],[quart_Z]]*Hybrid[[#This Row],[quart_X]])))))</f>
        <v>0.54417629402205137</v>
      </c>
      <c r="V4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4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44">
        <f>IF(Hybrid[[#This Row],[Yaw]]&gt;V43,(360-ABS(Hybrid[[#This Row],[Yaw]])-ABS(V43)),ABS(Hybrid[[#This Row],[Yaw]]-V43))</f>
        <v>0</v>
      </c>
      <c r="Y44">
        <f>Hybrid[[#This Row],[Degree change]]+Y43</f>
        <v>0</v>
      </c>
    </row>
    <row r="45" spans="1:25">
      <c r="A45">
        <v>44</v>
      </c>
      <c r="B45">
        <v>441.19000199999999</v>
      </c>
      <c r="C45">
        <v>1784.299927</v>
      </c>
      <c r="D45">
        <v>17.010000000000002</v>
      </c>
      <c r="E45">
        <v>-1179.3599850000001</v>
      </c>
      <c r="F45">
        <v>1974.589966</v>
      </c>
      <c r="G45">
        <v>8.0299999999999994</v>
      </c>
      <c r="H45" s="1">
        <v>-6.9999999999999999E-4</v>
      </c>
      <c r="I45" s="1">
        <v>-2.9999999999999997E-4</v>
      </c>
      <c r="J45" s="1">
        <v>0</v>
      </c>
      <c r="K45" s="1">
        <v>-4.13E-3</v>
      </c>
      <c r="L45" s="1">
        <v>2.3440000000000002E-3</v>
      </c>
      <c r="M45" s="1">
        <v>0.86969700000000005</v>
      </c>
      <c r="N45" s="1">
        <v>0.493564</v>
      </c>
      <c r="O45">
        <v>0</v>
      </c>
      <c r="P45">
        <v>0</v>
      </c>
      <c r="Q45">
        <v>1</v>
      </c>
      <c r="R45">
        <v>1</v>
      </c>
      <c r="S45">
        <v>1</v>
      </c>
      <c r="T45" s="1">
        <f>SQRT(POWER(Hybrid[[#This Row],[angvel_X]],2) + POWER(Hybrid[[#This Row],[angvel_Y]],2) + POWER(Hybrid[[#This Row],[angvel_Z]],2))</f>
        <v>7.6157731058639085E-4</v>
      </c>
      <c r="U45">
        <f>DEGREES(ASIN(MAX(-1,MIN(1,2 * (Hybrid[[#This Row],[quart_W]]*Hybrid[[#This Row],[quart_Y]] - Hybrid[[#This Row],[quart_Z]]*Hybrid[[#This Row],[quart_X]])))))</f>
        <v>0.54417629402205137</v>
      </c>
      <c r="V4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4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45">
        <f>IF(Hybrid[[#This Row],[Yaw]]&gt;V44,(360-ABS(Hybrid[[#This Row],[Yaw]])-ABS(V44)),ABS(Hybrid[[#This Row],[Yaw]]-V44))</f>
        <v>0</v>
      </c>
      <c r="Y45">
        <f>Hybrid[[#This Row],[Degree change]]+Y44</f>
        <v>0</v>
      </c>
    </row>
    <row r="46" spans="1:25">
      <c r="A46">
        <v>45</v>
      </c>
      <c r="B46">
        <v>431.32998700000002</v>
      </c>
      <c r="C46">
        <v>1800.809937</v>
      </c>
      <c r="D46">
        <v>17.010000000000002</v>
      </c>
      <c r="E46">
        <v>-1179.3599850000001</v>
      </c>
      <c r="F46">
        <v>1974.589966</v>
      </c>
      <c r="G46">
        <v>8.0299999999999994</v>
      </c>
      <c r="H46" s="1">
        <v>-6.9999999999999999E-4</v>
      </c>
      <c r="I46" s="1">
        <v>-2.9999999999999997E-4</v>
      </c>
      <c r="J46" s="1">
        <v>0</v>
      </c>
      <c r="K46" s="1">
        <v>-4.13E-3</v>
      </c>
      <c r="L46" s="1">
        <v>2.3440000000000002E-3</v>
      </c>
      <c r="M46" s="1">
        <v>0.86969700000000005</v>
      </c>
      <c r="N46" s="1">
        <v>0.493564</v>
      </c>
      <c r="O46">
        <v>0</v>
      </c>
      <c r="P46">
        <v>0</v>
      </c>
      <c r="Q46">
        <v>1</v>
      </c>
      <c r="R46">
        <v>1</v>
      </c>
      <c r="S46">
        <v>1</v>
      </c>
      <c r="T46" s="1">
        <f>SQRT(POWER(Hybrid[[#This Row],[angvel_X]],2) + POWER(Hybrid[[#This Row],[angvel_Y]],2) + POWER(Hybrid[[#This Row],[angvel_Z]],2))</f>
        <v>7.6157731058639085E-4</v>
      </c>
      <c r="U46">
        <f>DEGREES(ASIN(MAX(-1,MIN(1,2 * (Hybrid[[#This Row],[quart_W]]*Hybrid[[#This Row],[quart_Y]] - Hybrid[[#This Row],[quart_Z]]*Hybrid[[#This Row],[quart_X]])))))</f>
        <v>0.54417629402205137</v>
      </c>
      <c r="V4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4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46">
        <f>IF(Hybrid[[#This Row],[Yaw]]&gt;V45,(360-ABS(Hybrid[[#This Row],[Yaw]])-ABS(V45)),ABS(Hybrid[[#This Row],[Yaw]]-V45))</f>
        <v>0</v>
      </c>
      <c r="Y46">
        <f>Hybrid[[#This Row],[Degree change]]+Y45</f>
        <v>0</v>
      </c>
    </row>
    <row r="47" spans="1:25">
      <c r="A47">
        <v>46</v>
      </c>
      <c r="B47">
        <v>421.47000100000002</v>
      </c>
      <c r="C47">
        <v>1817.3199460000001</v>
      </c>
      <c r="D47">
        <v>17.010000000000002</v>
      </c>
      <c r="E47">
        <v>-1179.3599850000001</v>
      </c>
      <c r="F47">
        <v>1974.589966</v>
      </c>
      <c r="G47">
        <v>8.0299999999999994</v>
      </c>
      <c r="H47" s="1">
        <v>-6.9999999999999999E-4</v>
      </c>
      <c r="I47" s="1">
        <v>-2.9999999999999997E-4</v>
      </c>
      <c r="J47" s="1">
        <v>0</v>
      </c>
      <c r="K47" s="1">
        <v>-4.13E-3</v>
      </c>
      <c r="L47" s="1">
        <v>2.3440000000000002E-3</v>
      </c>
      <c r="M47" s="1">
        <v>0.86969700000000005</v>
      </c>
      <c r="N47" s="1">
        <v>0.493564</v>
      </c>
      <c r="O47">
        <v>0</v>
      </c>
      <c r="P47">
        <v>0</v>
      </c>
      <c r="Q47">
        <v>1</v>
      </c>
      <c r="R47">
        <v>1</v>
      </c>
      <c r="S47">
        <v>1</v>
      </c>
      <c r="T47" s="1">
        <f>SQRT(POWER(Hybrid[[#This Row],[angvel_X]],2) + POWER(Hybrid[[#This Row],[angvel_Y]],2) + POWER(Hybrid[[#This Row],[angvel_Z]],2))</f>
        <v>7.6157731058639085E-4</v>
      </c>
      <c r="U47">
        <f>DEGREES(ASIN(MAX(-1,MIN(1,2 * (Hybrid[[#This Row],[quart_W]]*Hybrid[[#This Row],[quart_Y]] - Hybrid[[#This Row],[quart_Z]]*Hybrid[[#This Row],[quart_X]])))))</f>
        <v>0.54417629402205137</v>
      </c>
      <c r="V4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4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47">
        <f>IF(Hybrid[[#This Row],[Yaw]]&gt;V46,(360-ABS(Hybrid[[#This Row],[Yaw]])-ABS(V46)),ABS(Hybrid[[#This Row],[Yaw]]-V46))</f>
        <v>0</v>
      </c>
      <c r="Y47">
        <f>Hybrid[[#This Row],[Degree change]]+Y46</f>
        <v>0</v>
      </c>
    </row>
    <row r="48" spans="1:25">
      <c r="A48">
        <v>47</v>
      </c>
      <c r="B48">
        <v>411.60998499999999</v>
      </c>
      <c r="C48">
        <v>1833.829956</v>
      </c>
      <c r="D48">
        <v>17.010000000000002</v>
      </c>
      <c r="E48">
        <v>-1179.3599850000001</v>
      </c>
      <c r="F48">
        <v>1974.589966</v>
      </c>
      <c r="G48">
        <v>8.0299999999999994</v>
      </c>
      <c r="H48" s="1">
        <v>-6.9999999999999999E-4</v>
      </c>
      <c r="I48" s="1">
        <v>-2.9999999999999997E-4</v>
      </c>
      <c r="J48" s="1">
        <v>0</v>
      </c>
      <c r="K48" s="1">
        <v>-4.13E-3</v>
      </c>
      <c r="L48" s="1">
        <v>2.3440000000000002E-3</v>
      </c>
      <c r="M48" s="1">
        <v>0.86969700000000005</v>
      </c>
      <c r="N48" s="1">
        <v>0.493564</v>
      </c>
      <c r="O48">
        <v>0</v>
      </c>
      <c r="P48">
        <v>0</v>
      </c>
      <c r="Q48">
        <v>1</v>
      </c>
      <c r="R48">
        <v>1</v>
      </c>
      <c r="S48">
        <v>1</v>
      </c>
      <c r="T48" s="1">
        <f>SQRT(POWER(Hybrid[[#This Row],[angvel_X]],2) + POWER(Hybrid[[#This Row],[angvel_Y]],2) + POWER(Hybrid[[#This Row],[angvel_Z]],2))</f>
        <v>7.6157731058639085E-4</v>
      </c>
      <c r="U48">
        <f>DEGREES(ASIN(MAX(-1,MIN(1,2 * (Hybrid[[#This Row],[quart_W]]*Hybrid[[#This Row],[quart_Y]] - Hybrid[[#This Row],[quart_Z]]*Hybrid[[#This Row],[quart_X]])))))</f>
        <v>0.54417629402205137</v>
      </c>
      <c r="V4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4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48">
        <f>IF(Hybrid[[#This Row],[Yaw]]&gt;V47,(360-ABS(Hybrid[[#This Row],[Yaw]])-ABS(V47)),ABS(Hybrid[[#This Row],[Yaw]]-V47))</f>
        <v>0</v>
      </c>
      <c r="Y48">
        <f>Hybrid[[#This Row],[Degree change]]+Y47</f>
        <v>0</v>
      </c>
    </row>
    <row r="49" spans="1:25">
      <c r="A49">
        <v>48</v>
      </c>
      <c r="B49">
        <v>401.75</v>
      </c>
      <c r="C49">
        <v>1850.339966</v>
      </c>
      <c r="D49">
        <v>17.010000000000002</v>
      </c>
      <c r="E49">
        <v>-1179.3599850000001</v>
      </c>
      <c r="F49">
        <v>1974.589966</v>
      </c>
      <c r="G49">
        <v>8.0299999999999994</v>
      </c>
      <c r="H49" s="1">
        <v>-6.9999999999999999E-4</v>
      </c>
      <c r="I49" s="1">
        <v>-2.9999999999999997E-4</v>
      </c>
      <c r="J49" s="1">
        <v>0</v>
      </c>
      <c r="K49" s="1">
        <v>-4.13E-3</v>
      </c>
      <c r="L49" s="1">
        <v>2.3440000000000002E-3</v>
      </c>
      <c r="M49" s="1">
        <v>0.86969700000000005</v>
      </c>
      <c r="N49" s="1">
        <v>0.493564</v>
      </c>
      <c r="O49">
        <v>0</v>
      </c>
      <c r="P49">
        <v>0</v>
      </c>
      <c r="Q49">
        <v>1</v>
      </c>
      <c r="R49">
        <v>1</v>
      </c>
      <c r="S49">
        <v>1</v>
      </c>
      <c r="T49" s="1">
        <f>SQRT(POWER(Hybrid[[#This Row],[angvel_X]],2) + POWER(Hybrid[[#This Row],[angvel_Y]],2) + POWER(Hybrid[[#This Row],[angvel_Z]],2))</f>
        <v>7.6157731058639085E-4</v>
      </c>
      <c r="U49">
        <f>DEGREES(ASIN(MAX(-1,MIN(1,2 * (Hybrid[[#This Row],[quart_W]]*Hybrid[[#This Row],[quart_Y]] - Hybrid[[#This Row],[quart_Z]]*Hybrid[[#This Row],[quart_X]])))))</f>
        <v>0.54417629402205137</v>
      </c>
      <c r="V4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4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49">
        <f>IF(Hybrid[[#This Row],[Yaw]]&gt;V48,(360-ABS(Hybrid[[#This Row],[Yaw]])-ABS(V48)),ABS(Hybrid[[#This Row],[Yaw]]-V48))</f>
        <v>0</v>
      </c>
      <c r="Y49">
        <f>Hybrid[[#This Row],[Degree change]]+Y48</f>
        <v>0</v>
      </c>
    </row>
    <row r="50" spans="1:25">
      <c r="A50">
        <v>49</v>
      </c>
      <c r="B50">
        <v>391.88998400000003</v>
      </c>
      <c r="C50">
        <v>1866.849976</v>
      </c>
      <c r="D50">
        <v>17.010000000000002</v>
      </c>
      <c r="E50">
        <v>-1179.3599850000001</v>
      </c>
      <c r="F50">
        <v>1974.589966</v>
      </c>
      <c r="G50">
        <v>8.0299999999999994</v>
      </c>
      <c r="H50" s="1">
        <v>-6.9999999999999999E-4</v>
      </c>
      <c r="I50" s="1">
        <v>-2.9999999999999997E-4</v>
      </c>
      <c r="J50" s="1">
        <v>0</v>
      </c>
      <c r="K50" s="1">
        <v>-4.13E-3</v>
      </c>
      <c r="L50" s="1">
        <v>2.3440000000000002E-3</v>
      </c>
      <c r="M50" s="1">
        <v>0.86969700000000005</v>
      </c>
      <c r="N50" s="1">
        <v>0.493564</v>
      </c>
      <c r="O50">
        <v>0</v>
      </c>
      <c r="P50">
        <v>0</v>
      </c>
      <c r="Q50">
        <v>1</v>
      </c>
      <c r="R50">
        <v>1</v>
      </c>
      <c r="S50">
        <v>1</v>
      </c>
      <c r="T50" s="1">
        <f>SQRT(POWER(Hybrid[[#This Row],[angvel_X]],2) + POWER(Hybrid[[#This Row],[angvel_Y]],2) + POWER(Hybrid[[#This Row],[angvel_Z]],2))</f>
        <v>7.6157731058639085E-4</v>
      </c>
      <c r="U50">
        <f>DEGREES(ASIN(MAX(-1,MIN(1,2 * (Hybrid[[#This Row],[quart_W]]*Hybrid[[#This Row],[quart_Y]] - Hybrid[[#This Row],[quart_Z]]*Hybrid[[#This Row],[quart_X]])))))</f>
        <v>0.54417629402205137</v>
      </c>
      <c r="V5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5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50">
        <f>IF(Hybrid[[#This Row],[Yaw]]&gt;V49,(360-ABS(Hybrid[[#This Row],[Yaw]])-ABS(V49)),ABS(Hybrid[[#This Row],[Yaw]]-V49))</f>
        <v>0</v>
      </c>
      <c r="Y50">
        <f>Hybrid[[#This Row],[Degree change]]+Y49</f>
        <v>0</v>
      </c>
    </row>
    <row r="51" spans="1:25">
      <c r="A51">
        <v>50</v>
      </c>
      <c r="B51">
        <v>382.02999899999998</v>
      </c>
      <c r="C51">
        <v>1883.3599850000001</v>
      </c>
      <c r="D51">
        <v>17.010000000000002</v>
      </c>
      <c r="E51">
        <v>-1179.3599850000001</v>
      </c>
      <c r="F51">
        <v>1974.589966</v>
      </c>
      <c r="G51">
        <v>8.0299999999999994</v>
      </c>
      <c r="H51" s="1">
        <v>-6.9999999999999999E-4</v>
      </c>
      <c r="I51" s="1">
        <v>-2.9999999999999997E-4</v>
      </c>
      <c r="J51" s="1">
        <v>0</v>
      </c>
      <c r="K51" s="1">
        <v>-4.13E-3</v>
      </c>
      <c r="L51" s="1">
        <v>2.3440000000000002E-3</v>
      </c>
      <c r="M51" s="1">
        <v>0.86969700000000005</v>
      </c>
      <c r="N51" s="1">
        <v>0.493564</v>
      </c>
      <c r="O51">
        <v>0</v>
      </c>
      <c r="P51">
        <v>0</v>
      </c>
      <c r="Q51">
        <v>1</v>
      </c>
      <c r="R51">
        <v>1</v>
      </c>
      <c r="S51">
        <v>1</v>
      </c>
      <c r="T51" s="1">
        <f>SQRT(POWER(Hybrid[[#This Row],[angvel_X]],2) + POWER(Hybrid[[#This Row],[angvel_Y]],2) + POWER(Hybrid[[#This Row],[angvel_Z]],2))</f>
        <v>7.6157731058639085E-4</v>
      </c>
      <c r="U51">
        <f>DEGREES(ASIN(MAX(-1,MIN(1,2 * (Hybrid[[#This Row],[quart_W]]*Hybrid[[#This Row],[quart_Y]] - Hybrid[[#This Row],[quart_Z]]*Hybrid[[#This Row],[quart_X]])))))</f>
        <v>0.54417629402205137</v>
      </c>
      <c r="V5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5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51">
        <f>IF(Hybrid[[#This Row],[Yaw]]&gt;V50,(360-ABS(Hybrid[[#This Row],[Yaw]])-ABS(V50)),ABS(Hybrid[[#This Row],[Yaw]]-V50))</f>
        <v>0</v>
      </c>
      <c r="Y51">
        <f>Hybrid[[#This Row],[Degree change]]+Y50</f>
        <v>0</v>
      </c>
    </row>
    <row r="52" spans="1:25">
      <c r="A52">
        <v>51</v>
      </c>
      <c r="B52">
        <v>372.169983</v>
      </c>
      <c r="C52">
        <v>1899.869995</v>
      </c>
      <c r="D52">
        <v>17.010000000000002</v>
      </c>
      <c r="E52">
        <v>-1179.3599850000001</v>
      </c>
      <c r="F52">
        <v>1974.589966</v>
      </c>
      <c r="G52">
        <v>8.0299999999999994</v>
      </c>
      <c r="H52" s="1">
        <v>-6.9999999999999999E-4</v>
      </c>
      <c r="I52" s="1">
        <v>-2.9999999999999997E-4</v>
      </c>
      <c r="J52" s="1">
        <v>0</v>
      </c>
      <c r="K52" s="1">
        <v>-4.13E-3</v>
      </c>
      <c r="L52" s="1">
        <v>2.3440000000000002E-3</v>
      </c>
      <c r="M52" s="1">
        <v>0.86969700000000005</v>
      </c>
      <c r="N52" s="1">
        <v>0.493564</v>
      </c>
      <c r="O52">
        <v>1</v>
      </c>
      <c r="P52">
        <v>0</v>
      </c>
      <c r="Q52">
        <v>1</v>
      </c>
      <c r="R52">
        <v>1</v>
      </c>
      <c r="S52">
        <v>1</v>
      </c>
      <c r="T52" s="1">
        <f>SQRT(POWER(Hybrid[[#This Row],[angvel_X]],2) + POWER(Hybrid[[#This Row],[angvel_Y]],2) + POWER(Hybrid[[#This Row],[angvel_Z]],2))</f>
        <v>7.6157731058639085E-4</v>
      </c>
      <c r="U52">
        <f>DEGREES(ASIN(MAX(-1,MIN(1,2 * (Hybrid[[#This Row],[quart_W]]*Hybrid[[#This Row],[quart_Y]] - Hybrid[[#This Row],[quart_Z]]*Hybrid[[#This Row],[quart_X]])))))</f>
        <v>0.54417629402205137</v>
      </c>
      <c r="V5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5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52">
        <f>IF(Hybrid[[#This Row],[Yaw]]&gt;V51,(360-ABS(Hybrid[[#This Row],[Yaw]])-ABS(V51)),ABS(Hybrid[[#This Row],[Yaw]]-V51))</f>
        <v>0</v>
      </c>
      <c r="Y52">
        <f>Hybrid[[#This Row],[Degree change]]+Y51</f>
        <v>0</v>
      </c>
    </row>
    <row r="53" spans="1:25">
      <c r="A53">
        <v>52</v>
      </c>
      <c r="B53">
        <v>362.30999800000001</v>
      </c>
      <c r="C53">
        <v>1916.380005</v>
      </c>
      <c r="D53">
        <v>17.010000000000002</v>
      </c>
      <c r="E53">
        <v>-1188.5399170000001</v>
      </c>
      <c r="F53">
        <v>1969.079956</v>
      </c>
      <c r="G53">
        <v>8.0299999999999994</v>
      </c>
      <c r="H53" s="1">
        <v>-2.0999999999999999E-3</v>
      </c>
      <c r="I53" s="1">
        <v>1.8E-3</v>
      </c>
      <c r="J53" s="1">
        <v>0.27550000000000002</v>
      </c>
      <c r="K53" s="1">
        <v>-4.13E-3</v>
      </c>
      <c r="L53" s="1">
        <v>2.3440000000000002E-3</v>
      </c>
      <c r="M53" s="1">
        <v>0.86969700000000005</v>
      </c>
      <c r="N53" s="1">
        <v>0.493564</v>
      </c>
      <c r="O53">
        <v>1</v>
      </c>
      <c r="P53">
        <v>0</v>
      </c>
      <c r="Q53">
        <v>1</v>
      </c>
      <c r="R53">
        <v>1</v>
      </c>
      <c r="S53">
        <v>1</v>
      </c>
      <c r="T53" s="1">
        <f>SQRT(POWER(Hybrid[[#This Row],[angvel_X]],2) + POWER(Hybrid[[#This Row],[angvel_Y]],2) + POWER(Hybrid[[#This Row],[angvel_Z]],2))</f>
        <v>0.27551388349772871</v>
      </c>
      <c r="U53">
        <f>DEGREES(ASIN(MAX(-1,MIN(1,2 * (Hybrid[[#This Row],[quart_W]]*Hybrid[[#This Row],[quart_Y]] - Hybrid[[#This Row],[quart_Z]]*Hybrid[[#This Row],[quart_X]])))))</f>
        <v>0.54417629402205137</v>
      </c>
      <c r="V5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-30.849129106628727</v>
      </c>
      <c r="W5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89.999982759151521</v>
      </c>
      <c r="X53">
        <f>IF(Hybrid[[#This Row],[Yaw]]&gt;V52,(360-ABS(Hybrid[[#This Row],[Yaw]])-ABS(V52)),ABS(Hybrid[[#This Row],[Yaw]]-V52))</f>
        <v>0</v>
      </c>
      <c r="Y53">
        <f>Hybrid[[#This Row],[Degree change]]+Y52</f>
        <v>0</v>
      </c>
    </row>
    <row r="54" spans="1:25">
      <c r="A54">
        <v>53</v>
      </c>
      <c r="B54">
        <v>352.36999500000002</v>
      </c>
      <c r="C54">
        <v>1932.849976</v>
      </c>
      <c r="D54">
        <v>17.010000000000002</v>
      </c>
      <c r="E54">
        <v>-1196.459961</v>
      </c>
      <c r="F54">
        <v>1964.2799070000001</v>
      </c>
      <c r="G54">
        <v>8.0299999999999994</v>
      </c>
      <c r="H54" s="1">
        <v>-2.8E-3</v>
      </c>
      <c r="I54" s="1">
        <v>2.8999999999999998E-3</v>
      </c>
      <c r="J54" s="1">
        <v>0.49780000000000002</v>
      </c>
      <c r="K54" s="1">
        <v>-4.13E-3</v>
      </c>
      <c r="L54" s="1">
        <v>2.349E-3</v>
      </c>
      <c r="M54" s="1">
        <v>0.87026199999999998</v>
      </c>
      <c r="N54" s="1">
        <v>0.492566</v>
      </c>
      <c r="O54">
        <v>1</v>
      </c>
      <c r="P54">
        <v>0</v>
      </c>
      <c r="Q54">
        <v>1</v>
      </c>
      <c r="R54">
        <v>1</v>
      </c>
      <c r="S54">
        <v>1</v>
      </c>
      <c r="T54" s="1">
        <f>SQRT(POWER(Hybrid[[#This Row],[angvel_X]],2) + POWER(Hybrid[[#This Row],[angvel_Y]],2) + POWER(Hybrid[[#This Row],[angvel_Z]],2))</f>
        <v>0.49781632154842015</v>
      </c>
      <c r="U54">
        <f>DEGREES(ASIN(MAX(-1,MIN(1,2 * (Hybrid[[#This Row],[quart_W]]*Hybrid[[#This Row],[quart_Y]] - Hybrid[[#This Row],[quart_Z]]*Hybrid[[#This Row],[quart_X]])))))</f>
        <v>0.54445785452130557</v>
      </c>
      <c r="V5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-30.980501427415707</v>
      </c>
      <c r="W5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89.998860007973008</v>
      </c>
      <c r="X54">
        <f>IF(Hybrid[[#This Row],[Yaw]]&gt;V53,(360-ABS(Hybrid[[#This Row],[Yaw]])-ABS(V53)),ABS(Hybrid[[#This Row],[Yaw]]-V53))</f>
        <v>0.13137232078697991</v>
      </c>
      <c r="Y54">
        <f>Hybrid[[#This Row],[Degree change]]+Y53</f>
        <v>0.13137232078697991</v>
      </c>
    </row>
    <row r="55" spans="1:25">
      <c r="A55">
        <v>54</v>
      </c>
      <c r="B55">
        <v>342.35998499999999</v>
      </c>
      <c r="C55">
        <v>1949.2799070000001</v>
      </c>
      <c r="D55">
        <v>17.010000000000002</v>
      </c>
      <c r="E55">
        <v>-1204.380005</v>
      </c>
      <c r="F55">
        <v>1959.429932</v>
      </c>
      <c r="G55">
        <v>8.0299999999999994</v>
      </c>
      <c r="H55" s="1">
        <v>-3.0999999999999999E-3</v>
      </c>
      <c r="I55" s="1">
        <v>3.3999999999999998E-3</v>
      </c>
      <c r="J55" s="1">
        <v>0.68759999999999999</v>
      </c>
      <c r="K55" s="1">
        <v>-4.13E-3</v>
      </c>
      <c r="L55" s="1">
        <v>2.3549999999999999E-3</v>
      </c>
      <c r="M55" s="1">
        <v>0.87128300000000003</v>
      </c>
      <c r="N55" s="1">
        <v>0.49075800000000003</v>
      </c>
      <c r="O55">
        <v>1</v>
      </c>
      <c r="P55">
        <v>0</v>
      </c>
      <c r="Q55">
        <v>1</v>
      </c>
      <c r="R55">
        <v>1</v>
      </c>
      <c r="S55">
        <v>1</v>
      </c>
      <c r="T55" s="1">
        <f>SQRT(POWER(Hybrid[[#This Row],[angvel_X]],2) + POWER(Hybrid[[#This Row],[angvel_Y]],2) + POWER(Hybrid[[#This Row],[angvel_Z]],2))</f>
        <v>0.68761539395217153</v>
      </c>
      <c r="U55">
        <f>DEGREES(ASIN(MAX(-1,MIN(1,2 * (Hybrid[[#This Row],[quart_W]]*Hybrid[[#This Row],[quart_Y]] - Hybrid[[#This Row],[quart_Z]]*Hybrid[[#This Row],[quart_X]])))))</f>
        <v>0.54479182218511557</v>
      </c>
      <c r="V5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-31.218461187367787</v>
      </c>
      <c r="W5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89.99713039164412</v>
      </c>
      <c r="X55">
        <f>IF(Hybrid[[#This Row],[Yaw]]&gt;V54,(360-ABS(Hybrid[[#This Row],[Yaw]])-ABS(V54)),ABS(Hybrid[[#This Row],[Yaw]]-V54))</f>
        <v>0.23795975995207996</v>
      </c>
      <c r="Y55">
        <f>Hybrid[[#This Row],[Degree change]]+Y54</f>
        <v>0.36933208073905988</v>
      </c>
    </row>
    <row r="56" spans="1:25">
      <c r="A56">
        <v>55</v>
      </c>
      <c r="B56">
        <v>332.28997800000002</v>
      </c>
      <c r="C56">
        <v>1965.669922</v>
      </c>
      <c r="D56">
        <v>17.010000000000002</v>
      </c>
      <c r="E56">
        <v>-1212.829956</v>
      </c>
      <c r="F56">
        <v>1954.209961</v>
      </c>
      <c r="G56">
        <v>8.0299999999999994</v>
      </c>
      <c r="H56" s="1">
        <v>-3.0999999999999999E-3</v>
      </c>
      <c r="I56" s="1">
        <v>3.3999999999999998E-3</v>
      </c>
      <c r="J56" s="1">
        <v>0.8498</v>
      </c>
      <c r="K56" s="1">
        <v>-4.13E-3</v>
      </c>
      <c r="L56" s="1">
        <v>2.3600000000000001E-3</v>
      </c>
      <c r="M56" s="1">
        <v>0.87268500000000004</v>
      </c>
      <c r="N56" s="1">
        <v>0.488261</v>
      </c>
      <c r="O56">
        <v>1</v>
      </c>
      <c r="P56">
        <v>0</v>
      </c>
      <c r="Q56">
        <v>1</v>
      </c>
      <c r="R56">
        <v>1</v>
      </c>
      <c r="S56">
        <v>1</v>
      </c>
      <c r="T56" s="1">
        <f>SQRT(POWER(Hybrid[[#This Row],[angvel_X]],2) + POWER(Hybrid[[#This Row],[angvel_Y]],2) + POWER(Hybrid[[#This Row],[angvel_Z]],2))</f>
        <v>0.84981245578068576</v>
      </c>
      <c r="U56">
        <f>DEGREES(ASIN(MAX(-1,MIN(1,2 * (Hybrid[[#This Row],[quart_W]]*Hybrid[[#This Row],[quart_Y]] - Hybrid[[#This Row],[quart_Z]]*Hybrid[[#This Row],[quart_X]])))))</f>
        <v>0.54506125402287164</v>
      </c>
      <c r="V5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-31.546649582242669</v>
      </c>
      <c r="W5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89.995070200461413</v>
      </c>
      <c r="X56">
        <f>IF(Hybrid[[#This Row],[Yaw]]&gt;V55,(360-ABS(Hybrid[[#This Row],[Yaw]])-ABS(V55)),ABS(Hybrid[[#This Row],[Yaw]]-V55))</f>
        <v>0.32818839487488205</v>
      </c>
      <c r="Y56">
        <f>Hybrid[[#This Row],[Degree change]]+Y55</f>
        <v>0.69752047561394193</v>
      </c>
    </row>
    <row r="57" spans="1:25">
      <c r="A57">
        <v>56</v>
      </c>
      <c r="B57">
        <v>322.14999399999999</v>
      </c>
      <c r="C57">
        <v>1982.01001</v>
      </c>
      <c r="D57">
        <v>17.010000000000002</v>
      </c>
      <c r="E57">
        <v>-1222.150024</v>
      </c>
      <c r="F57">
        <v>1948.3999020000001</v>
      </c>
      <c r="G57">
        <v>8.0299999999999994</v>
      </c>
      <c r="H57" s="1">
        <v>-2.8999999999999998E-3</v>
      </c>
      <c r="I57" s="1">
        <v>3.0999999999999999E-3</v>
      </c>
      <c r="J57" s="1">
        <v>0.98880000000000001</v>
      </c>
      <c r="K57" s="1">
        <v>-4.13E-3</v>
      </c>
      <c r="L57" s="1">
        <v>2.366E-3</v>
      </c>
      <c r="M57" s="1">
        <v>0.87440700000000005</v>
      </c>
      <c r="N57" s="1">
        <v>0.48516900000000002</v>
      </c>
      <c r="O57">
        <v>1</v>
      </c>
      <c r="P57">
        <v>0</v>
      </c>
      <c r="Q57">
        <v>1</v>
      </c>
      <c r="R57">
        <v>1</v>
      </c>
      <c r="S57">
        <v>1</v>
      </c>
      <c r="T57" s="1">
        <f>SQRT(POWER(Hybrid[[#This Row],[angvel_X]],2) + POWER(Hybrid[[#This Row],[angvel_Y]],2) + POWER(Hybrid[[#This Row],[angvel_Z]],2))</f>
        <v>0.98880911201303157</v>
      </c>
      <c r="U57">
        <f>DEGREES(ASIN(MAX(-1,MIN(1,2 * (Hybrid[[#This Row],[quart_W]]*Hybrid[[#This Row],[quart_Y]] - Hybrid[[#This Row],[quart_Z]]*Hybrid[[#This Row],[quart_X]])))))</f>
        <v>0.5453736165655485</v>
      </c>
      <c r="V5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-31.952161328310581</v>
      </c>
      <c r="W5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89.992539867041373</v>
      </c>
      <c r="X57">
        <f>IF(Hybrid[[#This Row],[Yaw]]&gt;V56,(360-ABS(Hybrid[[#This Row],[Yaw]])-ABS(V56)),ABS(Hybrid[[#This Row],[Yaw]]-V56))</f>
        <v>0.40551174606791207</v>
      </c>
      <c r="Y57">
        <f>Hybrid[[#This Row],[Degree change]]+Y56</f>
        <v>1.103032221681854</v>
      </c>
    </row>
    <row r="58" spans="1:25">
      <c r="A58">
        <v>57</v>
      </c>
      <c r="B58">
        <v>311.92999300000002</v>
      </c>
      <c r="C58">
        <v>1998.309937</v>
      </c>
      <c r="D58">
        <v>17.010000000000002</v>
      </c>
      <c r="E58">
        <v>-1232.559937</v>
      </c>
      <c r="F58">
        <v>1941.829956</v>
      </c>
      <c r="G58">
        <v>8.0299999999999994</v>
      </c>
      <c r="H58" s="1">
        <v>-2.5000000000000001E-3</v>
      </c>
      <c r="I58" s="1">
        <v>2.5999999999999999E-3</v>
      </c>
      <c r="J58" s="1">
        <v>1.1083000000000001</v>
      </c>
      <c r="K58" s="1">
        <v>-4.1349999999999998E-3</v>
      </c>
      <c r="L58" s="1">
        <v>2.366E-3</v>
      </c>
      <c r="M58" s="1">
        <v>0.87639999999999996</v>
      </c>
      <c r="N58" s="1">
        <v>0.48155999999999999</v>
      </c>
      <c r="O58">
        <v>1</v>
      </c>
      <c r="P58">
        <v>0</v>
      </c>
      <c r="Q58">
        <v>1</v>
      </c>
      <c r="R58">
        <v>1</v>
      </c>
      <c r="S58">
        <v>1</v>
      </c>
      <c r="T58" s="1">
        <f>SQRT(POWER(Hybrid[[#This Row],[angvel_X]],2) + POWER(Hybrid[[#This Row],[angvel_Y]],2) + POWER(Hybrid[[#This Row],[angvel_Z]],2))</f>
        <v>1.1083058693339127</v>
      </c>
      <c r="U58">
        <f>DEGREES(ASIN(MAX(-1,MIN(1,2 * (Hybrid[[#This Row],[quart_W]]*Hybrid[[#This Row],[quart_Y]] - Hybrid[[#This Row],[quart_Z]]*Hybrid[[#This Row],[quart_X]])))))</f>
        <v>0.54584050620573965</v>
      </c>
      <c r="V5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-32.424630169887642</v>
      </c>
      <c r="W5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89.990567334426004</v>
      </c>
      <c r="X58">
        <f>IF(Hybrid[[#This Row],[Yaw]]&gt;V57,(360-ABS(Hybrid[[#This Row],[Yaw]])-ABS(V57)),ABS(Hybrid[[#This Row],[Yaw]]-V57))</f>
        <v>0.47246884157706148</v>
      </c>
      <c r="Y58">
        <f>Hybrid[[#This Row],[Degree change]]+Y57</f>
        <v>1.5755010632589155</v>
      </c>
    </row>
    <row r="59" spans="1:25">
      <c r="A59">
        <v>58</v>
      </c>
      <c r="B59">
        <v>301.61999500000002</v>
      </c>
      <c r="C59">
        <v>2014.549927</v>
      </c>
      <c r="D59">
        <v>17.010000000000002</v>
      </c>
      <c r="E59">
        <v>-1244.1899410000001</v>
      </c>
      <c r="F59">
        <v>1934.3999020000001</v>
      </c>
      <c r="G59">
        <v>8.0399999999999991</v>
      </c>
      <c r="H59" s="1">
        <v>-2.0999999999999999E-3</v>
      </c>
      <c r="I59" s="1">
        <v>2E-3</v>
      </c>
      <c r="J59" s="1">
        <v>1.2114</v>
      </c>
      <c r="K59" s="1">
        <v>-4.1409999999999997E-3</v>
      </c>
      <c r="L59" s="1">
        <v>2.3600000000000001E-3</v>
      </c>
      <c r="M59" s="1">
        <v>0.87861400000000001</v>
      </c>
      <c r="N59" s="1">
        <v>0.47750900000000002</v>
      </c>
      <c r="O59">
        <v>1</v>
      </c>
      <c r="P59">
        <v>0</v>
      </c>
      <c r="Q59">
        <v>1</v>
      </c>
      <c r="R59">
        <v>1</v>
      </c>
      <c r="S59">
        <v>1</v>
      </c>
      <c r="T59" s="1">
        <f>SQRT(POWER(Hybrid[[#This Row],[angvel_X]],2) + POWER(Hybrid[[#This Row],[angvel_Y]],2) + POWER(Hybrid[[#This Row],[angvel_Z]],2))</f>
        <v>1.2114034711853849</v>
      </c>
      <c r="U59">
        <f>DEGREES(ASIN(MAX(-1,MIN(1,2 * (Hybrid[[#This Row],[quart_W]]*Hybrid[[#This Row],[quart_Y]] - Hybrid[[#This Row],[quart_Z]]*Hybrid[[#This Row],[quart_X]])))))</f>
        <v>0.54606704727199495</v>
      </c>
      <c r="V5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-32.953681160701862</v>
      </c>
      <c r="W5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89.988979885700914</v>
      </c>
      <c r="X59">
        <f>IF(Hybrid[[#This Row],[Yaw]]&gt;V58,(360-ABS(Hybrid[[#This Row],[Yaw]])-ABS(V58)),ABS(Hybrid[[#This Row],[Yaw]]-V58))</f>
        <v>0.5290509908142198</v>
      </c>
      <c r="Y59">
        <f>Hybrid[[#This Row],[Degree change]]+Y58</f>
        <v>2.1045520540731353</v>
      </c>
    </row>
    <row r="60" spans="1:25">
      <c r="A60">
        <v>59</v>
      </c>
      <c r="B60">
        <v>291.209991</v>
      </c>
      <c r="C60">
        <v>2030.7299800000001</v>
      </c>
      <c r="D60">
        <v>17.010000000000002</v>
      </c>
      <c r="E60">
        <v>-1257.079956</v>
      </c>
      <c r="F60">
        <v>1926.0399170000001</v>
      </c>
      <c r="G60">
        <v>8.0399999999999991</v>
      </c>
      <c r="H60" s="1">
        <v>-1.6000000000000001E-3</v>
      </c>
      <c r="I60" s="1">
        <v>1.2999999999999999E-3</v>
      </c>
      <c r="J60" s="1">
        <v>1.3007</v>
      </c>
      <c r="K60" s="1">
        <v>-4.1510000000000002E-3</v>
      </c>
      <c r="L60" s="1">
        <v>2.349E-3</v>
      </c>
      <c r="M60" s="1">
        <v>0.88101200000000002</v>
      </c>
      <c r="N60" s="1">
        <v>0.47306900000000002</v>
      </c>
      <c r="O60">
        <v>1</v>
      </c>
      <c r="P60">
        <v>0</v>
      </c>
      <c r="Q60">
        <v>1</v>
      </c>
      <c r="R60">
        <v>1</v>
      </c>
      <c r="S60">
        <v>1</v>
      </c>
      <c r="T60" s="1">
        <f>SQRT(POWER(Hybrid[[#This Row],[angvel_X]],2) + POWER(Hybrid[[#This Row],[angvel_Y]],2) + POWER(Hybrid[[#This Row],[angvel_Z]],2))</f>
        <v>1.3007016337346546</v>
      </c>
      <c r="U60">
        <f>DEGREES(ASIN(MAX(-1,MIN(1,2 * (Hybrid[[#This Row],[quart_W]]*Hybrid[[#This Row],[quart_Y]] - Hybrid[[#This Row],[quart_Z]]*Hybrid[[#This Row],[quart_X]])))))</f>
        <v>0.54641749323846578</v>
      </c>
      <c r="V6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-33.53189867115217</v>
      </c>
      <c r="W6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89.987877063245563</v>
      </c>
      <c r="X60">
        <f>IF(Hybrid[[#This Row],[Yaw]]&gt;V59,(360-ABS(Hybrid[[#This Row],[Yaw]])-ABS(V59)),ABS(Hybrid[[#This Row],[Yaw]]-V59))</f>
        <v>0.57821751045030823</v>
      </c>
      <c r="Y60">
        <f>Hybrid[[#This Row],[Degree change]]+Y59</f>
        <v>2.6827695645234435</v>
      </c>
    </row>
    <row r="61" spans="1:25">
      <c r="A61">
        <v>60</v>
      </c>
      <c r="B61">
        <v>280.69998199999998</v>
      </c>
      <c r="C61">
        <v>2046.839966</v>
      </c>
      <c r="D61">
        <v>17.010000000000002</v>
      </c>
      <c r="E61">
        <v>-1271.23999</v>
      </c>
      <c r="F61">
        <v>1916.7299800000001</v>
      </c>
      <c r="G61">
        <v>8.0399999999999991</v>
      </c>
      <c r="H61" s="1">
        <v>-1.1000000000000001E-3</v>
      </c>
      <c r="I61" s="1">
        <v>6.9999999999999999E-4</v>
      </c>
      <c r="J61" s="1">
        <v>1.3784000000000001</v>
      </c>
      <c r="K61" s="1">
        <v>-4.1619999999999999E-3</v>
      </c>
      <c r="L61" s="1">
        <v>2.333E-3</v>
      </c>
      <c r="M61" s="1">
        <v>0.88356199999999996</v>
      </c>
      <c r="N61" s="1">
        <v>0.46828900000000001</v>
      </c>
      <c r="O61">
        <v>1</v>
      </c>
      <c r="P61">
        <v>0</v>
      </c>
      <c r="Q61">
        <v>1</v>
      </c>
      <c r="R61">
        <v>1</v>
      </c>
      <c r="S61">
        <v>1</v>
      </c>
      <c r="T61" s="1">
        <f>SQRT(POWER(Hybrid[[#This Row],[angvel_X]],2) + POWER(Hybrid[[#This Row],[angvel_Y]],2) + POWER(Hybrid[[#This Row],[angvel_Z]],2))</f>
        <v>1.3784006166568556</v>
      </c>
      <c r="U61">
        <f>DEGREES(ASIN(MAX(-1,MIN(1,2 * (Hybrid[[#This Row],[quart_W]]*Hybrid[[#This Row],[quart_Y]] - Hybrid[[#This Row],[quart_Z]]*Hybrid[[#This Row],[quart_X]])))))</f>
        <v>0.54659894439212153</v>
      </c>
      <c r="V6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-34.152726740265557</v>
      </c>
      <c r="W6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89.987127192111231</v>
      </c>
      <c r="X61">
        <f>IF(Hybrid[[#This Row],[Yaw]]&gt;V60,(360-ABS(Hybrid[[#This Row],[Yaw]])-ABS(V60)),ABS(Hybrid[[#This Row],[Yaw]]-V60))</f>
        <v>0.6208280691133865</v>
      </c>
      <c r="Y61">
        <f>Hybrid[[#This Row],[Degree change]]+Y60</f>
        <v>3.30359763363683</v>
      </c>
    </row>
    <row r="62" spans="1:25">
      <c r="A62">
        <v>61</v>
      </c>
      <c r="B62">
        <v>270.07000699999998</v>
      </c>
      <c r="C62">
        <v>2062.8698730000001</v>
      </c>
      <c r="D62">
        <v>17.010000000000002</v>
      </c>
      <c r="E62">
        <v>-1286.619995</v>
      </c>
      <c r="F62">
        <v>1906.4399410000001</v>
      </c>
      <c r="G62">
        <v>8.0500000000000007</v>
      </c>
      <c r="H62" s="1">
        <v>-5.9999999999999995E-4</v>
      </c>
      <c r="I62" s="1">
        <v>1E-4</v>
      </c>
      <c r="J62" s="1">
        <v>1.4462999999999999</v>
      </c>
      <c r="K62" s="1">
        <v>-4.1729999999999996E-3</v>
      </c>
      <c r="L62" s="1">
        <v>2.317E-3</v>
      </c>
      <c r="M62" s="1">
        <v>0.88623700000000005</v>
      </c>
      <c r="N62" s="1">
        <v>0.46320699999999998</v>
      </c>
      <c r="O62">
        <v>1</v>
      </c>
      <c r="P62">
        <v>0</v>
      </c>
      <c r="Q62">
        <v>1</v>
      </c>
      <c r="R62">
        <v>1</v>
      </c>
      <c r="S62">
        <v>1</v>
      </c>
      <c r="T62" s="1">
        <f>SQRT(POWER(Hybrid[[#This Row],[angvel_X]],2) + POWER(Hybrid[[#This Row],[angvel_Y]],2) + POWER(Hybrid[[#This Row],[angvel_Z]],2))</f>
        <v>1.4463001279125989</v>
      </c>
      <c r="U62">
        <f>DEGREES(ASIN(MAX(-1,MIN(1,2 * (Hybrid[[#This Row],[quart_W]]*Hybrid[[#This Row],[quart_Y]] - Hybrid[[#This Row],[quart_Z]]*Hybrid[[#This Row],[quart_X]])))))</f>
        <v>0.54678394243611173</v>
      </c>
      <c r="V6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-34.810859705014664</v>
      </c>
      <c r="W6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89.986197010794385</v>
      </c>
      <c r="X62">
        <f>IF(Hybrid[[#This Row],[Yaw]]&gt;V61,(360-ABS(Hybrid[[#This Row],[Yaw]])-ABS(V61)),ABS(Hybrid[[#This Row],[Yaw]]-V61))</f>
        <v>0.65813296474910743</v>
      </c>
      <c r="Y62">
        <f>Hybrid[[#This Row],[Degree change]]+Y61</f>
        <v>3.9617305983859374</v>
      </c>
    </row>
    <row r="63" spans="1:25">
      <c r="A63">
        <v>62</v>
      </c>
      <c r="B63">
        <v>259.30999800000001</v>
      </c>
      <c r="C63">
        <v>2078.8100589999999</v>
      </c>
      <c r="D63">
        <v>17.010000000000002</v>
      </c>
      <c r="E63">
        <v>-1303.1599120000001</v>
      </c>
      <c r="F63">
        <v>1895.169922</v>
      </c>
      <c r="G63">
        <v>8.0500000000000007</v>
      </c>
      <c r="H63" s="1">
        <v>-2.0000000000000001E-4</v>
      </c>
      <c r="I63" s="1">
        <v>-2.9999999999999997E-4</v>
      </c>
      <c r="J63" s="1">
        <v>1.5059</v>
      </c>
      <c r="K63" s="1">
        <v>-4.189E-3</v>
      </c>
      <c r="L63" s="1">
        <v>2.2950000000000002E-3</v>
      </c>
      <c r="M63" s="1">
        <v>0.88901399999999997</v>
      </c>
      <c r="N63" s="1">
        <v>0.45785500000000001</v>
      </c>
      <c r="O63">
        <v>1</v>
      </c>
      <c r="P63">
        <v>0</v>
      </c>
      <c r="Q63">
        <v>1</v>
      </c>
      <c r="R63">
        <v>1</v>
      </c>
      <c r="S63">
        <v>1</v>
      </c>
      <c r="T63" s="1">
        <f>SQRT(POWER(Hybrid[[#This Row],[angvel_X]],2) + POWER(Hybrid[[#This Row],[angvel_Y]],2) + POWER(Hybrid[[#This Row],[angvel_Z]],2))</f>
        <v>1.5059000431635561</v>
      </c>
      <c r="U63">
        <f>DEGREES(ASIN(MAX(-1,MIN(1,2 * (Hybrid[[#This Row],[quart_W]]*Hybrid[[#This Row],[quart_Y]] - Hybrid[[#This Row],[quart_Z]]*Hybrid[[#This Row],[quart_X]])))))</f>
        <v>0.54716660985144516</v>
      </c>
      <c r="V6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-35.501824794004172</v>
      </c>
      <c r="W6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89.985981084698494</v>
      </c>
      <c r="X63">
        <f>IF(Hybrid[[#This Row],[Yaw]]&gt;V62,(360-ABS(Hybrid[[#This Row],[Yaw]])-ABS(V62)),ABS(Hybrid[[#This Row],[Yaw]]-V62))</f>
        <v>0.69096508898950759</v>
      </c>
      <c r="Y63">
        <f>Hybrid[[#This Row],[Degree change]]+Y62</f>
        <v>4.652695687375445</v>
      </c>
    </row>
    <row r="64" spans="1:25">
      <c r="A64">
        <v>63</v>
      </c>
      <c r="B64">
        <v>248.409988</v>
      </c>
      <c r="C64">
        <v>2094.6599120000001</v>
      </c>
      <c r="D64">
        <v>17.010000000000002</v>
      </c>
      <c r="E64">
        <v>-1320.780029</v>
      </c>
      <c r="F64">
        <v>1882.929932</v>
      </c>
      <c r="G64">
        <v>8.0599989999999995</v>
      </c>
      <c r="H64" s="1">
        <v>1E-4</v>
      </c>
      <c r="I64" s="1">
        <v>-6.9999999999999999E-4</v>
      </c>
      <c r="J64" s="1">
        <v>1.5584</v>
      </c>
      <c r="K64" s="1">
        <v>-4.2050000000000004E-3</v>
      </c>
      <c r="L64" s="1">
        <v>2.2690000000000002E-3</v>
      </c>
      <c r="M64" s="1">
        <v>0.89187000000000005</v>
      </c>
      <c r="N64" s="1">
        <v>0.452266</v>
      </c>
      <c r="O64">
        <v>1</v>
      </c>
      <c r="P64">
        <v>0</v>
      </c>
      <c r="Q64">
        <v>1</v>
      </c>
      <c r="R64">
        <v>1</v>
      </c>
      <c r="S64">
        <v>1</v>
      </c>
      <c r="T64" s="1">
        <f>SQRT(POWER(Hybrid[[#This Row],[angvel_X]],2) + POWER(Hybrid[[#This Row],[angvel_Y]],2) + POWER(Hybrid[[#This Row],[angvel_Z]],2))</f>
        <v>1.5584001604209363</v>
      </c>
      <c r="U64">
        <f>DEGREES(ASIN(MAX(-1,MIN(1,2 * (Hybrid[[#This Row],[quart_W]]*Hybrid[[#This Row],[quart_Y]] - Hybrid[[#This Row],[quart_Z]]*Hybrid[[#This Row],[quart_X]])))))</f>
        <v>0.54735546913711408</v>
      </c>
      <c r="V6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-36.221040153763973</v>
      </c>
      <c r="W6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89.986033573598263</v>
      </c>
      <c r="X64">
        <f>IF(Hybrid[[#This Row],[Yaw]]&gt;V63,(360-ABS(Hybrid[[#This Row],[Yaw]])-ABS(V63)),ABS(Hybrid[[#This Row],[Yaw]]-V63))</f>
        <v>0.71921535975980078</v>
      </c>
      <c r="Y64">
        <f>Hybrid[[#This Row],[Degree change]]+Y63</f>
        <v>5.3719110471352458</v>
      </c>
    </row>
    <row r="65" spans="1:25">
      <c r="A65">
        <v>64</v>
      </c>
      <c r="B65">
        <v>237.36000100000001</v>
      </c>
      <c r="C65">
        <v>2110.4099120000001</v>
      </c>
      <c r="D65">
        <v>17.010000000000002</v>
      </c>
      <c r="E65">
        <v>-1339.400024</v>
      </c>
      <c r="F65">
        <v>1869.73999</v>
      </c>
      <c r="G65">
        <v>8.0599989999999995</v>
      </c>
      <c r="H65" s="1">
        <v>4.0000000000000002E-4</v>
      </c>
      <c r="I65" s="1">
        <v>-1E-3</v>
      </c>
      <c r="J65" s="1">
        <v>1.6048</v>
      </c>
      <c r="K65" s="1">
        <v>-4.2209999999999999E-3</v>
      </c>
      <c r="L65" s="1">
        <v>2.2420000000000001E-3</v>
      </c>
      <c r="M65" s="1">
        <v>0.894787</v>
      </c>
      <c r="N65" s="1">
        <v>0.446467</v>
      </c>
      <c r="O65">
        <v>1</v>
      </c>
      <c r="P65">
        <v>0</v>
      </c>
      <c r="Q65">
        <v>1</v>
      </c>
      <c r="R65">
        <v>1</v>
      </c>
      <c r="S65">
        <v>1</v>
      </c>
      <c r="T65" s="1">
        <f>SQRT(POWER(Hybrid[[#This Row],[angvel_X]],2) + POWER(Hybrid[[#This Row],[angvel_Y]],2) + POWER(Hybrid[[#This Row],[angvel_Z]],2))</f>
        <v>1.604800361415712</v>
      </c>
      <c r="U65">
        <f>DEGREES(ASIN(MAX(-1,MIN(1,2 * (Hybrid[[#This Row],[quart_W]]*Hybrid[[#This Row],[quart_Y]] - Hybrid[[#This Row],[quart_Z]]*Hybrid[[#This Row],[quart_X]])))))</f>
        <v>0.54751247097907996</v>
      </c>
      <c r="V6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-36.964898419376333</v>
      </c>
      <c r="W6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89.986067866667128</v>
      </c>
      <c r="X65">
        <f>IF(Hybrid[[#This Row],[Yaw]]&gt;V64,(360-ABS(Hybrid[[#This Row],[Yaw]])-ABS(V64)),ABS(Hybrid[[#This Row],[Yaw]]-V64))</f>
        <v>0.74385826561236001</v>
      </c>
      <c r="Y65">
        <f>Hybrid[[#This Row],[Degree change]]+Y64</f>
        <v>6.1157693127476058</v>
      </c>
    </row>
    <row r="66" spans="1:25">
      <c r="A66">
        <v>65</v>
      </c>
      <c r="B66">
        <v>226.159988</v>
      </c>
      <c r="C66">
        <v>2126.0500489999999</v>
      </c>
      <c r="D66">
        <v>17.010000000000002</v>
      </c>
      <c r="E66">
        <v>-1358.9099120000001</v>
      </c>
      <c r="F66">
        <v>1855.599976</v>
      </c>
      <c r="G66">
        <v>8.07</v>
      </c>
      <c r="H66" s="1">
        <v>5.9999999999999995E-4</v>
      </c>
      <c r="I66" s="1">
        <v>-1.1999999999999999E-3</v>
      </c>
      <c r="J66" s="1">
        <v>1.6458999999999999</v>
      </c>
      <c r="K66" s="1">
        <v>-4.2379999999999996E-3</v>
      </c>
      <c r="L66" s="1">
        <v>2.209E-3</v>
      </c>
      <c r="M66" s="1">
        <v>0.89775300000000002</v>
      </c>
      <c r="N66" s="1">
        <v>0.440473</v>
      </c>
      <c r="O66">
        <v>1</v>
      </c>
      <c r="P66">
        <v>0</v>
      </c>
      <c r="Q66">
        <v>1</v>
      </c>
      <c r="R66">
        <v>1</v>
      </c>
      <c r="S66">
        <v>1</v>
      </c>
      <c r="T66" s="1">
        <f>SQRT(POWER(Hybrid[[#This Row],[angvel_X]],2) + POWER(Hybrid[[#This Row],[angvel_Y]],2) + POWER(Hybrid[[#This Row],[angvel_Z]],2))</f>
        <v>1.6459005468132029</v>
      </c>
      <c r="U66">
        <f>DEGREES(ASIN(MAX(-1,MIN(1,2 * (Hybrid[[#This Row],[quart_W]]*Hybrid[[#This Row],[quart_Y]] - Hybrid[[#This Row],[quart_Z]]*Hybrid[[#This Row],[quart_X]])))))</f>
        <v>0.54749036869600243</v>
      </c>
      <c r="V6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-37.731274947270741</v>
      </c>
      <c r="W6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89.986659580847231</v>
      </c>
      <c r="X66">
        <f>IF(Hybrid[[#This Row],[Yaw]]&gt;V65,(360-ABS(Hybrid[[#This Row],[Yaw]])-ABS(V65)),ABS(Hybrid[[#This Row],[Yaw]]-V65))</f>
        <v>0.76637652789440835</v>
      </c>
      <c r="Y66">
        <f>Hybrid[[#This Row],[Degree change]]+Y65</f>
        <v>6.8821458406420142</v>
      </c>
    </row>
    <row r="67" spans="1:25">
      <c r="A67">
        <v>66</v>
      </c>
      <c r="B67">
        <v>214.78999300000001</v>
      </c>
      <c r="C67">
        <v>2141.570068</v>
      </c>
      <c r="D67">
        <v>17.010000000000002</v>
      </c>
      <c r="E67">
        <v>-1379.2299800000001</v>
      </c>
      <c r="F67">
        <v>1840.549927</v>
      </c>
      <c r="G67">
        <v>8.07</v>
      </c>
      <c r="H67" s="1">
        <v>8.0000000000000004E-4</v>
      </c>
      <c r="I67" s="1">
        <v>-1.4E-3</v>
      </c>
      <c r="J67" s="1">
        <v>1.6825000000000001</v>
      </c>
      <c r="K67" s="1">
        <v>-4.254E-3</v>
      </c>
      <c r="L67" s="1">
        <v>2.1770000000000001E-3</v>
      </c>
      <c r="M67" s="1">
        <v>0.900752</v>
      </c>
      <c r="N67" s="1">
        <v>0.434307</v>
      </c>
      <c r="O67">
        <v>1</v>
      </c>
      <c r="P67">
        <v>0</v>
      </c>
      <c r="Q67">
        <v>1</v>
      </c>
      <c r="R67">
        <v>1</v>
      </c>
      <c r="S67">
        <v>1</v>
      </c>
      <c r="T67" s="1">
        <f>SQRT(POWER(Hybrid[[#This Row],[angvel_X]],2) + POWER(Hybrid[[#This Row],[angvel_Y]],2) + POWER(Hybrid[[#This Row],[angvel_Z]],2))</f>
        <v>1.6825007726595553</v>
      </c>
      <c r="U67">
        <f>DEGREES(ASIN(MAX(-1,MIN(1,2 * (Hybrid[[#This Row],[quart_W]]*Hybrid[[#This Row],[quart_Y]] - Hybrid[[#This Row],[quart_Z]]*Hybrid[[#This Row],[quart_X]])))))</f>
        <v>0.54744490539895141</v>
      </c>
      <c r="V6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-38.516989361461569</v>
      </c>
      <c r="W6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89.987005282457787</v>
      </c>
      <c r="X67">
        <f>IF(Hybrid[[#This Row],[Yaw]]&gt;V66,(360-ABS(Hybrid[[#This Row],[Yaw]])-ABS(V66)),ABS(Hybrid[[#This Row],[Yaw]]-V66))</f>
        <v>0.78571441419082788</v>
      </c>
      <c r="Y67">
        <f>Hybrid[[#This Row],[Degree change]]+Y66</f>
        <v>7.6678602548328421</v>
      </c>
    </row>
    <row r="68" spans="1:25">
      <c r="A68">
        <v>67</v>
      </c>
      <c r="B68">
        <v>203.25</v>
      </c>
      <c r="C68">
        <v>2156.959961</v>
      </c>
      <c r="D68">
        <v>17.010000000000002</v>
      </c>
      <c r="E68">
        <v>-1400.2700199999999</v>
      </c>
      <c r="F68">
        <v>1824.599976</v>
      </c>
      <c r="G68">
        <v>8.07</v>
      </c>
      <c r="H68" s="1">
        <v>8.9999999999999998E-4</v>
      </c>
      <c r="I68" s="1">
        <v>-1.5E-3</v>
      </c>
      <c r="J68" s="1">
        <v>1.7152000000000001</v>
      </c>
      <c r="K68" s="1">
        <v>-4.2750000000000002E-3</v>
      </c>
      <c r="L68" s="1">
        <v>2.1389999999999998E-3</v>
      </c>
      <c r="M68" s="1">
        <v>0.90377300000000005</v>
      </c>
      <c r="N68" s="1">
        <v>0.42798399999999998</v>
      </c>
      <c r="O68">
        <v>1</v>
      </c>
      <c r="P68">
        <v>0</v>
      </c>
      <c r="Q68">
        <v>1</v>
      </c>
      <c r="R68">
        <v>1</v>
      </c>
      <c r="S68">
        <v>1</v>
      </c>
      <c r="T68" s="1">
        <f>SQRT(POWER(Hybrid[[#This Row],[angvel_X]],2) + POWER(Hybrid[[#This Row],[angvel_Y]],2) + POWER(Hybrid[[#This Row],[angvel_Z]],2))</f>
        <v>1.7152008920240218</v>
      </c>
      <c r="U68">
        <f>DEGREES(ASIN(MAX(-1,MIN(1,2 * (Hybrid[[#This Row],[quart_W]]*Hybrid[[#This Row],[quart_Y]] - Hybrid[[#This Row],[quart_Z]]*Hybrid[[#This Row],[quart_X]])))))</f>
        <v>0.54765140927630518</v>
      </c>
      <c r="V6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-39.319975093854161</v>
      </c>
      <c r="W6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89.988134780009105</v>
      </c>
      <c r="X68">
        <f>IF(Hybrid[[#This Row],[Yaw]]&gt;V67,(360-ABS(Hybrid[[#This Row],[Yaw]])-ABS(V67)),ABS(Hybrid[[#This Row],[Yaw]]-V67))</f>
        <v>0.80298573239259241</v>
      </c>
      <c r="Y68">
        <f>Hybrid[[#This Row],[Degree change]]+Y67</f>
        <v>8.4708459872254345</v>
      </c>
    </row>
    <row r="69" spans="1:25">
      <c r="A69">
        <v>68</v>
      </c>
      <c r="B69">
        <v>191.53999300000001</v>
      </c>
      <c r="C69">
        <v>2172.219971</v>
      </c>
      <c r="D69">
        <v>17.010000000000002</v>
      </c>
      <c r="E69">
        <v>-1421.929932</v>
      </c>
      <c r="F69">
        <v>1807.7700199999999</v>
      </c>
      <c r="G69">
        <v>8.07</v>
      </c>
      <c r="H69" s="1">
        <v>1E-3</v>
      </c>
      <c r="I69" s="1">
        <v>-1.6000000000000001E-3</v>
      </c>
      <c r="J69" s="1">
        <v>1.7444999999999999</v>
      </c>
      <c r="K69" s="1">
        <v>-4.2969999999999996E-3</v>
      </c>
      <c r="L69" s="1">
        <v>2.101E-3</v>
      </c>
      <c r="M69" s="1">
        <v>0.90680799999999995</v>
      </c>
      <c r="N69" s="1">
        <v>0.421516</v>
      </c>
      <c r="O69">
        <v>1</v>
      </c>
      <c r="P69">
        <v>0</v>
      </c>
      <c r="Q69">
        <v>1</v>
      </c>
      <c r="R69">
        <v>1</v>
      </c>
      <c r="S69">
        <v>1</v>
      </c>
      <c r="T69" s="1">
        <f>SQRT(POWER(Hybrid[[#This Row],[angvel_X]],2) + POWER(Hybrid[[#This Row],[angvel_Y]],2) + POWER(Hybrid[[#This Row],[angvel_Z]],2))</f>
        <v>1.7445010203493718</v>
      </c>
      <c r="U69">
        <f>DEGREES(ASIN(MAX(-1,MIN(1,2 * (Hybrid[[#This Row],[quart_W]]*Hybrid[[#This Row],[quart_Y]] - Hybrid[[#This Row],[quart_Z]]*Hybrid[[#This Row],[quart_X]])))))</f>
        <v>0.54800342095679011</v>
      </c>
      <c r="V6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-40.138725553993346</v>
      </c>
      <c r="W6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89.98923370432172</v>
      </c>
      <c r="X69">
        <f>IF(Hybrid[[#This Row],[Yaw]]&gt;V68,(360-ABS(Hybrid[[#This Row],[Yaw]])-ABS(V68)),ABS(Hybrid[[#This Row],[Yaw]]-V68))</f>
        <v>0.81875046013918507</v>
      </c>
      <c r="Y69">
        <f>Hybrid[[#This Row],[Degree change]]+Y68</f>
        <v>9.2895964473646195</v>
      </c>
    </row>
    <row r="70" spans="1:25">
      <c r="A70">
        <v>69</v>
      </c>
      <c r="B70">
        <v>179.64999399999999</v>
      </c>
      <c r="C70">
        <v>2187.3398440000001</v>
      </c>
      <c r="D70">
        <v>17.010000000000002</v>
      </c>
      <c r="E70">
        <v>-1444.119995</v>
      </c>
      <c r="F70">
        <v>1790.089966</v>
      </c>
      <c r="G70">
        <v>8.07</v>
      </c>
      <c r="H70" s="1">
        <v>1.1000000000000001E-3</v>
      </c>
      <c r="I70" s="1">
        <v>-1.6000000000000001E-3</v>
      </c>
      <c r="J70" s="1">
        <v>1.7706999999999999</v>
      </c>
      <c r="K70" s="1">
        <v>-4.3189999999999999E-3</v>
      </c>
      <c r="L70" s="1">
        <v>2.0639999999999999E-3</v>
      </c>
      <c r="M70" s="1">
        <v>0.90984900000000002</v>
      </c>
      <c r="N70" s="1">
        <v>0.41491299999999998</v>
      </c>
      <c r="O70">
        <v>1</v>
      </c>
      <c r="P70">
        <v>0</v>
      </c>
      <c r="Q70">
        <v>1</v>
      </c>
      <c r="R70">
        <v>1</v>
      </c>
      <c r="S70">
        <v>1</v>
      </c>
      <c r="T70" s="1">
        <f>SQRT(POWER(Hybrid[[#This Row],[angvel_X]],2) + POWER(Hybrid[[#This Row],[angvel_Y]],2) + POWER(Hybrid[[#This Row],[angvel_Z]],2))</f>
        <v>1.7707010645504226</v>
      </c>
      <c r="U70">
        <f>DEGREES(ASIN(MAX(-1,MIN(1,2 * (Hybrid[[#This Row],[quart_W]]*Hybrid[[#This Row],[quart_Y]] - Hybrid[[#This Row],[quart_Z]]*Hybrid[[#This Row],[quart_X]])))))</f>
        <v>0.54844566962262997</v>
      </c>
      <c r="V7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-40.9718362628658</v>
      </c>
      <c r="W7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89.990153946516187</v>
      </c>
      <c r="X70">
        <f>IF(Hybrid[[#This Row],[Yaw]]&gt;V69,(360-ABS(Hybrid[[#This Row],[Yaw]])-ABS(V69)),ABS(Hybrid[[#This Row],[Yaw]]-V69))</f>
        <v>0.83311070887245364</v>
      </c>
      <c r="Y70">
        <f>Hybrid[[#This Row],[Degree change]]+Y69</f>
        <v>10.122707156237073</v>
      </c>
    </row>
    <row r="71" spans="1:25">
      <c r="A71">
        <v>70</v>
      </c>
      <c r="B71">
        <v>167.56999200000001</v>
      </c>
      <c r="C71">
        <v>2202.3100589999999</v>
      </c>
      <c r="D71">
        <v>17.010000000000002</v>
      </c>
      <c r="E71">
        <v>-1466.7700199999999</v>
      </c>
      <c r="F71">
        <v>1771.579956</v>
      </c>
      <c r="G71">
        <v>8.07</v>
      </c>
      <c r="H71" s="1">
        <v>1.1000000000000001E-3</v>
      </c>
      <c r="I71" s="1">
        <v>-1.5E-3</v>
      </c>
      <c r="J71" s="1">
        <v>1.7943</v>
      </c>
      <c r="K71" s="1">
        <v>-4.3400000000000001E-3</v>
      </c>
      <c r="L71" s="1">
        <v>2.026E-3</v>
      </c>
      <c r="M71" s="1">
        <v>0.91288400000000003</v>
      </c>
      <c r="N71" s="1">
        <v>0.40819100000000003</v>
      </c>
      <c r="O71">
        <v>1</v>
      </c>
      <c r="P71">
        <v>0</v>
      </c>
      <c r="Q71">
        <v>1</v>
      </c>
      <c r="R71">
        <v>1</v>
      </c>
      <c r="S71">
        <v>1</v>
      </c>
      <c r="T71" s="1">
        <f>SQRT(POWER(Hybrid[[#This Row],[angvel_X]],2) + POWER(Hybrid[[#This Row],[angvel_Y]],2) + POWER(Hybrid[[#This Row],[angvel_Z]],2))</f>
        <v>1.7943009641640391</v>
      </c>
      <c r="U71">
        <f>DEGREES(ASIN(MAX(-1,MIN(1,2 * (Hybrid[[#This Row],[quart_W]]*Hybrid[[#This Row],[quart_Y]] - Hybrid[[#This Row],[quart_Z]]*Hybrid[[#This Row],[quart_X]])))))</f>
        <v>0.54877722833935372</v>
      </c>
      <c r="V7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-41.816963521047249</v>
      </c>
      <c r="W7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89.991066714773964</v>
      </c>
      <c r="X71">
        <f>IF(Hybrid[[#This Row],[Yaw]]&gt;V70,(360-ABS(Hybrid[[#This Row],[Yaw]])-ABS(V70)),ABS(Hybrid[[#This Row],[Yaw]]-V70))</f>
        <v>0.84512725818144929</v>
      </c>
      <c r="Y71">
        <f>Hybrid[[#This Row],[Degree change]]+Y70</f>
        <v>10.967834414418522</v>
      </c>
    </row>
    <row r="72" spans="1:25">
      <c r="A72">
        <v>71</v>
      </c>
      <c r="B72">
        <v>155.300003</v>
      </c>
      <c r="C72">
        <v>2217.1198730000001</v>
      </c>
      <c r="D72">
        <v>17.010000000000002</v>
      </c>
      <c r="E72">
        <v>-1489.799927</v>
      </c>
      <c r="F72">
        <v>1752.26001</v>
      </c>
      <c r="G72">
        <v>8.07</v>
      </c>
      <c r="H72" s="1">
        <v>1.1000000000000001E-3</v>
      </c>
      <c r="I72" s="1">
        <v>-1.4E-3</v>
      </c>
      <c r="J72" s="1">
        <v>1.8156000000000001</v>
      </c>
      <c r="K72" s="1">
        <v>-4.3559999999999996E-3</v>
      </c>
      <c r="L72" s="1">
        <v>1.9880000000000002E-3</v>
      </c>
      <c r="M72" s="1">
        <v>0.91591</v>
      </c>
      <c r="N72" s="1">
        <v>0.40135500000000002</v>
      </c>
      <c r="O72">
        <v>1</v>
      </c>
      <c r="P72">
        <v>0</v>
      </c>
      <c r="Q72">
        <v>1</v>
      </c>
      <c r="R72">
        <v>1</v>
      </c>
      <c r="S72">
        <v>1</v>
      </c>
      <c r="T72" s="1">
        <f>SQRT(POWER(Hybrid[[#This Row],[angvel_X]],2) + POWER(Hybrid[[#This Row],[angvel_Y]],2) + POWER(Hybrid[[#This Row],[angvel_Z]],2))</f>
        <v>1.8156008729894355</v>
      </c>
      <c r="U72">
        <f>DEGREES(ASIN(MAX(-1,MIN(1,2 * (Hybrid[[#This Row],[quart_W]]*Hybrid[[#This Row],[quart_Y]] - Hybrid[[#This Row],[quart_Z]]*Hybrid[[#This Row],[quart_X]])))))</f>
        <v>0.54862666806566029</v>
      </c>
      <c r="V7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-42.673629957282756</v>
      </c>
      <c r="W7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89.991688671328603</v>
      </c>
      <c r="X72">
        <f>IF(Hybrid[[#This Row],[Yaw]]&gt;V71,(360-ABS(Hybrid[[#This Row],[Yaw]])-ABS(V71)),ABS(Hybrid[[#This Row],[Yaw]]-V71))</f>
        <v>0.85666643623550698</v>
      </c>
      <c r="Y72">
        <f>Hybrid[[#This Row],[Degree change]]+Y71</f>
        <v>11.824500850654029</v>
      </c>
    </row>
    <row r="73" spans="1:25">
      <c r="A73">
        <v>72</v>
      </c>
      <c r="B73">
        <v>142.83999600000001</v>
      </c>
      <c r="C73">
        <v>2231.7700199999999</v>
      </c>
      <c r="D73">
        <v>17.010000000000002</v>
      </c>
      <c r="E73">
        <v>-1513.130005</v>
      </c>
      <c r="F73">
        <v>1732.1499020000001</v>
      </c>
      <c r="G73">
        <v>8.08</v>
      </c>
      <c r="H73" s="1">
        <v>1.1000000000000001E-3</v>
      </c>
      <c r="I73" s="1">
        <v>-1.2999999999999999E-3</v>
      </c>
      <c r="J73" s="1">
        <v>1.8348</v>
      </c>
      <c r="K73" s="1">
        <v>-4.372E-3</v>
      </c>
      <c r="L73" s="1">
        <v>1.9499999999999999E-3</v>
      </c>
      <c r="M73" s="1">
        <v>0.91891900000000004</v>
      </c>
      <c r="N73" s="1">
        <v>0.39441799999999999</v>
      </c>
      <c r="O73">
        <v>1</v>
      </c>
      <c r="P73">
        <v>0</v>
      </c>
      <c r="Q73">
        <v>1</v>
      </c>
      <c r="R73">
        <v>1</v>
      </c>
      <c r="S73">
        <v>1</v>
      </c>
      <c r="T73" s="1">
        <f>SQRT(POWER(Hybrid[[#This Row],[angvel_X]],2) + POWER(Hybrid[[#This Row],[angvel_Y]],2) + POWER(Hybrid[[#This Row],[angvel_Z]],2))</f>
        <v>1.8348007902766992</v>
      </c>
      <c r="U73">
        <f>DEGREES(ASIN(MAX(-1,MIN(1,2 * (Hybrid[[#This Row],[quart_W]]*Hybrid[[#This Row],[quart_Y]] - Hybrid[[#This Row],[quart_Z]]*Hybrid[[#This Row],[quart_X]])))))</f>
        <v>0.54851565446730932</v>
      </c>
      <c r="V7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-43.540151076509254</v>
      </c>
      <c r="W7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89.992265110176092</v>
      </c>
      <c r="X73">
        <f>IF(Hybrid[[#This Row],[Yaw]]&gt;V72,(360-ABS(Hybrid[[#This Row],[Yaw]])-ABS(V72)),ABS(Hybrid[[#This Row],[Yaw]]-V72))</f>
        <v>0.86652111922649766</v>
      </c>
      <c r="Y73">
        <f>Hybrid[[#This Row],[Degree change]]+Y72</f>
        <v>12.691021969880527</v>
      </c>
    </row>
    <row r="74" spans="1:25">
      <c r="A74">
        <v>73</v>
      </c>
      <c r="B74">
        <v>130.179993</v>
      </c>
      <c r="C74">
        <v>2246.25</v>
      </c>
      <c r="D74">
        <v>17.010000000000002</v>
      </c>
      <c r="E74">
        <v>-1536.6999510000001</v>
      </c>
      <c r="F74">
        <v>1711.2799070000001</v>
      </c>
      <c r="G74">
        <v>8.08</v>
      </c>
      <c r="H74" s="1">
        <v>1.1000000000000001E-3</v>
      </c>
      <c r="I74" s="1">
        <v>-1.1999999999999999E-3</v>
      </c>
      <c r="J74" s="1">
        <v>1.8521000000000001</v>
      </c>
      <c r="K74" s="1">
        <v>-4.3889999999999997E-3</v>
      </c>
      <c r="L74" s="1">
        <v>1.9120000000000001E-3</v>
      </c>
      <c r="M74" s="1">
        <v>0.921906</v>
      </c>
      <c r="N74" s="1">
        <v>0.38738299999999998</v>
      </c>
      <c r="O74">
        <v>1</v>
      </c>
      <c r="P74">
        <v>0</v>
      </c>
      <c r="Q74">
        <v>1</v>
      </c>
      <c r="R74">
        <v>1</v>
      </c>
      <c r="S74">
        <v>1</v>
      </c>
      <c r="T74" s="1">
        <f>SQRT(POWER(Hybrid[[#This Row],[angvel_X]],2) + POWER(Hybrid[[#This Row],[angvel_Y]],2) + POWER(Hybrid[[#This Row],[angvel_Z]],2))</f>
        <v>1.8521007154039977</v>
      </c>
      <c r="U74">
        <f>DEGREES(ASIN(MAX(-1,MIN(1,2 * (Hybrid[[#This Row],[quart_W]]*Hybrid[[#This Row],[quart_Y]] - Hybrid[[#This Row],[quart_Z]]*Hybrid[[#This Row],[quart_X]])))))</f>
        <v>0.54854920405880614</v>
      </c>
      <c r="V7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-44.415909777081758</v>
      </c>
      <c r="W7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89.992842250504012</v>
      </c>
      <c r="X74">
        <f>IF(Hybrid[[#This Row],[Yaw]]&gt;V73,(360-ABS(Hybrid[[#This Row],[Yaw]])-ABS(V73)),ABS(Hybrid[[#This Row],[Yaw]]-V73))</f>
        <v>0.87575870057250427</v>
      </c>
      <c r="Y74">
        <f>Hybrid[[#This Row],[Degree change]]+Y73</f>
        <v>13.566780670453031</v>
      </c>
    </row>
    <row r="75" spans="1:25">
      <c r="A75">
        <v>74</v>
      </c>
      <c r="B75">
        <v>117.329994</v>
      </c>
      <c r="C75">
        <v>2260.5600589999999</v>
      </c>
      <c r="D75">
        <v>17.010000000000002</v>
      </c>
      <c r="E75">
        <v>-1560.429932</v>
      </c>
      <c r="F75">
        <v>1689.6599120000001</v>
      </c>
      <c r="G75">
        <v>8.08</v>
      </c>
      <c r="H75" s="1">
        <v>1.1000000000000001E-3</v>
      </c>
      <c r="I75" s="1">
        <v>-1.1000000000000001E-3</v>
      </c>
      <c r="J75" s="1">
        <v>1.8677999999999999</v>
      </c>
      <c r="K75" s="1">
        <v>-4.4050000000000001E-3</v>
      </c>
      <c r="L75" s="1">
        <v>1.8749999999999999E-3</v>
      </c>
      <c r="M75" s="1">
        <v>0.92486900000000005</v>
      </c>
      <c r="N75" s="1">
        <v>0.38025599999999998</v>
      </c>
      <c r="O75">
        <v>1</v>
      </c>
      <c r="P75">
        <v>0</v>
      </c>
      <c r="Q75">
        <v>1</v>
      </c>
      <c r="R75">
        <v>1</v>
      </c>
      <c r="S75">
        <v>1</v>
      </c>
      <c r="T75" s="1">
        <f>SQRT(POWER(Hybrid[[#This Row],[angvel_X]],2) + POWER(Hybrid[[#This Row],[angvel_Y]],2) + POWER(Hybrid[[#This Row],[angvel_Z]],2))</f>
        <v>1.8678006478208533</v>
      </c>
      <c r="U75">
        <f>DEGREES(ASIN(MAX(-1,MIN(1,2 * (Hybrid[[#This Row],[quart_W]]*Hybrid[[#This Row],[quart_Y]] - Hybrid[[#This Row],[quart_Z]]*Hybrid[[#This Row],[quart_X]])))))</f>
        <v>0.54856137595910237</v>
      </c>
      <c r="V7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-45.300424493540639</v>
      </c>
      <c r="W7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89.993227134196971</v>
      </c>
      <c r="X75">
        <f>IF(Hybrid[[#This Row],[Yaw]]&gt;V74,(360-ABS(Hybrid[[#This Row],[Yaw]])-ABS(V74)),ABS(Hybrid[[#This Row],[Yaw]]-V74))</f>
        <v>0.88451471645888091</v>
      </c>
      <c r="Y75">
        <f>Hybrid[[#This Row],[Degree change]]+Y74</f>
        <v>14.451295386911912</v>
      </c>
    </row>
    <row r="76" spans="1:25">
      <c r="A76">
        <v>75</v>
      </c>
      <c r="B76">
        <v>104.279999</v>
      </c>
      <c r="C76">
        <v>2274.6899410000001</v>
      </c>
      <c r="D76">
        <v>17.010000000000002</v>
      </c>
      <c r="E76">
        <v>-1584.2799070000001</v>
      </c>
      <c r="F76">
        <v>1667.3199460000001</v>
      </c>
      <c r="G76">
        <v>8.08</v>
      </c>
      <c r="H76" s="1">
        <v>1.1000000000000001E-3</v>
      </c>
      <c r="I76" s="1">
        <v>-1E-3</v>
      </c>
      <c r="J76" s="1">
        <v>1.8819999999999999</v>
      </c>
      <c r="K76" s="1">
        <v>-4.4209999999999996E-3</v>
      </c>
      <c r="L76" s="1">
        <v>1.8370000000000001E-3</v>
      </c>
      <c r="M76" s="1">
        <v>0.92779900000000004</v>
      </c>
      <c r="N76" s="1">
        <v>0.37304900000000002</v>
      </c>
      <c r="O76">
        <v>1</v>
      </c>
      <c r="P76">
        <v>0</v>
      </c>
      <c r="Q76">
        <v>1</v>
      </c>
      <c r="R76">
        <v>1</v>
      </c>
      <c r="S76">
        <v>1</v>
      </c>
      <c r="T76" s="1">
        <f>SQRT(POWER(Hybrid[[#This Row],[angvel_X]],2) + POWER(Hybrid[[#This Row],[angvel_Y]],2) + POWER(Hybrid[[#This Row],[angvel_Z]],2))</f>
        <v>1.8820005871412473</v>
      </c>
      <c r="U76">
        <f>DEGREES(ASIN(MAX(-1,MIN(1,2 * (Hybrid[[#This Row],[quart_W]]*Hybrid[[#This Row],[quart_Y]] - Hybrid[[#This Row],[quart_Z]]*Hybrid[[#This Row],[quart_X]])))))</f>
        <v>0.54856853218617951</v>
      </c>
      <c r="V7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-46.191907697899097</v>
      </c>
      <c r="W7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89.993683752177063</v>
      </c>
      <c r="X76">
        <f>IF(Hybrid[[#This Row],[Yaw]]&gt;V75,(360-ABS(Hybrid[[#This Row],[Yaw]])-ABS(V75)),ABS(Hybrid[[#This Row],[Yaw]]-V75))</f>
        <v>0.89148320435845818</v>
      </c>
      <c r="Y76">
        <f>Hybrid[[#This Row],[Degree change]]+Y75</f>
        <v>15.34277859127037</v>
      </c>
    </row>
    <row r="77" spans="1:25">
      <c r="A77">
        <v>76</v>
      </c>
      <c r="B77">
        <v>91.029999000000004</v>
      </c>
      <c r="C77">
        <v>2288.6298830000001</v>
      </c>
      <c r="D77">
        <v>17.010000000000002</v>
      </c>
      <c r="E77">
        <v>-1608.1899410000001</v>
      </c>
      <c r="F77">
        <v>1644.2799070000001</v>
      </c>
      <c r="G77">
        <v>8.08</v>
      </c>
      <c r="H77" s="1">
        <v>1E-3</v>
      </c>
      <c r="I77" s="1">
        <v>-8.9999999999999998E-4</v>
      </c>
      <c r="J77" s="1">
        <v>1.8949</v>
      </c>
      <c r="K77" s="1">
        <v>-4.437E-3</v>
      </c>
      <c r="L77" s="1">
        <v>1.794E-3</v>
      </c>
      <c r="M77" s="1">
        <v>0.930697</v>
      </c>
      <c r="N77" s="1">
        <v>0.36575999999999997</v>
      </c>
      <c r="O77">
        <v>1</v>
      </c>
      <c r="P77">
        <v>0</v>
      </c>
      <c r="Q77">
        <v>1</v>
      </c>
      <c r="R77">
        <v>1</v>
      </c>
      <c r="S77">
        <v>1</v>
      </c>
      <c r="T77" s="1">
        <f>SQRT(POWER(Hybrid[[#This Row],[angvel_X]],2) + POWER(Hybrid[[#This Row],[angvel_Y]],2) + POWER(Hybrid[[#This Row],[angvel_Z]],2))</f>
        <v>1.8949004775977023</v>
      </c>
      <c r="U77">
        <f>DEGREES(ASIN(MAX(-1,MIN(1,2 * (Hybrid[[#This Row],[quart_W]]*Hybrid[[#This Row],[quart_Y]] - Hybrid[[#This Row],[quart_Z]]*Hybrid[[#This Row],[quart_X]])))))</f>
        <v>0.54840645069841043</v>
      </c>
      <c r="V7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-47.090797751059227</v>
      </c>
      <c r="W7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89.994637637391691</v>
      </c>
      <c r="X77">
        <f>IF(Hybrid[[#This Row],[Yaw]]&gt;V76,(360-ABS(Hybrid[[#This Row],[Yaw]])-ABS(V76)),ABS(Hybrid[[#This Row],[Yaw]]-V76))</f>
        <v>0.89889005316013026</v>
      </c>
      <c r="Y77">
        <f>Hybrid[[#This Row],[Degree change]]+Y76</f>
        <v>16.241668644430501</v>
      </c>
    </row>
    <row r="78" spans="1:25">
      <c r="A78">
        <v>77</v>
      </c>
      <c r="B78">
        <v>77.580001999999993</v>
      </c>
      <c r="C78">
        <v>2302.3798830000001</v>
      </c>
      <c r="D78">
        <v>17.010000000000002</v>
      </c>
      <c r="E78">
        <v>-1632.099976</v>
      </c>
      <c r="F78">
        <v>1620.5399170000001</v>
      </c>
      <c r="G78">
        <v>8.08</v>
      </c>
      <c r="H78" s="1">
        <v>8.9999999999999998E-4</v>
      </c>
      <c r="I78" s="1">
        <v>-8.0000000000000004E-4</v>
      </c>
      <c r="J78" s="1">
        <v>1.9067000000000001</v>
      </c>
      <c r="K78" s="1">
        <v>-4.4530000000000004E-3</v>
      </c>
      <c r="L78" s="1">
        <v>1.756E-3</v>
      </c>
      <c r="M78" s="1">
        <v>0.93355500000000002</v>
      </c>
      <c r="N78" s="1">
        <v>0.358402</v>
      </c>
      <c r="O78">
        <v>1</v>
      </c>
      <c r="P78">
        <v>0</v>
      </c>
      <c r="Q78">
        <v>1</v>
      </c>
      <c r="R78">
        <v>1</v>
      </c>
      <c r="S78">
        <v>1</v>
      </c>
      <c r="T78" s="1">
        <f>SQRT(POWER(Hybrid[[#This Row],[angvel_X]],2) + POWER(Hybrid[[#This Row],[angvel_Y]],2) + POWER(Hybrid[[#This Row],[angvel_Z]],2))</f>
        <v>1.90670038023807</v>
      </c>
      <c r="U78">
        <f>DEGREES(ASIN(MAX(-1,MIN(1,2 * (Hybrid[[#This Row],[quart_W]]*Hybrid[[#This Row],[quart_Y]] - Hybrid[[#This Row],[quart_Z]]*Hybrid[[#This Row],[quart_X]])))))</f>
        <v>0.54849793310198014</v>
      </c>
      <c r="V7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-47.995330866421668</v>
      </c>
      <c r="W7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89.995031257184721</v>
      </c>
      <c r="X78">
        <f>IF(Hybrid[[#This Row],[Yaw]]&gt;V77,(360-ABS(Hybrid[[#This Row],[Yaw]])-ABS(V77)),ABS(Hybrid[[#This Row],[Yaw]]-V77))</f>
        <v>0.9045331153624403</v>
      </c>
      <c r="Y78">
        <f>Hybrid[[#This Row],[Degree change]]+Y77</f>
        <v>17.146201759792941</v>
      </c>
    </row>
    <row r="79" spans="1:25">
      <c r="A79">
        <v>78</v>
      </c>
      <c r="B79">
        <v>63.93</v>
      </c>
      <c r="C79">
        <v>2315.929932</v>
      </c>
      <c r="D79">
        <v>17.010000000000002</v>
      </c>
      <c r="E79">
        <v>-1655.959961</v>
      </c>
      <c r="F79">
        <v>1596.150024</v>
      </c>
      <c r="G79">
        <v>8.08</v>
      </c>
      <c r="H79" s="1">
        <v>8.0000000000000004E-4</v>
      </c>
      <c r="I79" s="1">
        <v>-6.9999999999999999E-4</v>
      </c>
      <c r="J79" s="1">
        <v>1.9174</v>
      </c>
      <c r="K79" s="1">
        <v>-4.47E-3</v>
      </c>
      <c r="L79" s="1">
        <v>1.7179999999999999E-3</v>
      </c>
      <c r="M79" s="1">
        <v>0.93637300000000001</v>
      </c>
      <c r="N79" s="1">
        <v>0.35097299999999998</v>
      </c>
      <c r="O79">
        <v>1</v>
      </c>
      <c r="P79">
        <v>0</v>
      </c>
      <c r="Q79">
        <v>1</v>
      </c>
      <c r="R79">
        <v>1</v>
      </c>
      <c r="S79">
        <v>1</v>
      </c>
      <c r="T79" s="1">
        <f>SQRT(POWER(Hybrid[[#This Row],[angvel_X]],2) + POWER(Hybrid[[#This Row],[angvel_Y]],2) + POWER(Hybrid[[#This Row],[angvel_Z]],2))</f>
        <v>1.9174002946698427</v>
      </c>
      <c r="U79">
        <f>DEGREES(ASIN(MAX(-1,MIN(1,2 * (Hybrid[[#This Row],[quart_W]]*Hybrid[[#This Row],[quart_Y]] - Hybrid[[#This Row],[quart_Z]]*Hybrid[[#This Row],[quart_X]])))))</f>
        <v>0.54873682127318701</v>
      </c>
      <c r="V7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-48.90581299174729</v>
      </c>
      <c r="W7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89.995434519740414</v>
      </c>
      <c r="X79">
        <f>IF(Hybrid[[#This Row],[Yaw]]&gt;V78,(360-ABS(Hybrid[[#This Row],[Yaw]])-ABS(V78)),ABS(Hybrid[[#This Row],[Yaw]]-V78))</f>
        <v>0.91048212532562189</v>
      </c>
      <c r="Y79">
        <f>Hybrid[[#This Row],[Degree change]]+Y78</f>
        <v>18.056683885118563</v>
      </c>
    </row>
    <row r="80" spans="1:25">
      <c r="A80">
        <v>79</v>
      </c>
      <c r="B80">
        <v>50.079998000000003</v>
      </c>
      <c r="C80">
        <v>2329.280029</v>
      </c>
      <c r="D80">
        <v>17.010000000000002</v>
      </c>
      <c r="E80">
        <v>-1679.73999</v>
      </c>
      <c r="F80">
        <v>1571.1099850000001</v>
      </c>
      <c r="G80">
        <v>8.08</v>
      </c>
      <c r="H80" s="1">
        <v>8.0000000000000004E-4</v>
      </c>
      <c r="I80" s="1">
        <v>-5.9999999999999995E-4</v>
      </c>
      <c r="J80" s="1">
        <v>1.9271</v>
      </c>
      <c r="K80" s="1">
        <v>-4.4860000000000004E-3</v>
      </c>
      <c r="L80" s="1">
        <v>1.6800000000000001E-3</v>
      </c>
      <c r="M80" s="1">
        <v>0.93914799999999998</v>
      </c>
      <c r="N80" s="1">
        <v>0.34348000000000001</v>
      </c>
      <c r="O80">
        <v>1</v>
      </c>
      <c r="P80">
        <v>0</v>
      </c>
      <c r="Q80">
        <v>1</v>
      </c>
      <c r="R80">
        <v>1</v>
      </c>
      <c r="S80">
        <v>1</v>
      </c>
      <c r="T80" s="1">
        <f>SQRT(POWER(Hybrid[[#This Row],[angvel_X]],2) + POWER(Hybrid[[#This Row],[angvel_Y]],2) + POWER(Hybrid[[#This Row],[angvel_Z]],2))</f>
        <v>1.9271002594571982</v>
      </c>
      <c r="U80">
        <f>DEGREES(ASIN(MAX(-1,MIN(1,2 * (Hybrid[[#This Row],[quart_W]]*Hybrid[[#This Row],[quart_Y]] - Hybrid[[#This Row],[quart_Z]]*Hybrid[[#This Row],[quart_X]])))))</f>
        <v>0.54890933577879786</v>
      </c>
      <c r="V8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-49.821490103001629</v>
      </c>
      <c r="W8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89.995769388013869</v>
      </c>
      <c r="X80">
        <f>IF(Hybrid[[#This Row],[Yaw]]&gt;V79,(360-ABS(Hybrid[[#This Row],[Yaw]])-ABS(V79)),ABS(Hybrid[[#This Row],[Yaw]]-V79))</f>
        <v>0.91567711125433959</v>
      </c>
      <c r="Y80">
        <f>Hybrid[[#This Row],[Degree change]]+Y79</f>
        <v>18.972360996372903</v>
      </c>
    </row>
    <row r="81" spans="1:25">
      <c r="A81">
        <v>80</v>
      </c>
      <c r="B81">
        <v>36.029998999999997</v>
      </c>
      <c r="C81">
        <v>2342.419922</v>
      </c>
      <c r="D81">
        <v>17.010000000000002</v>
      </c>
      <c r="E81">
        <v>-1703.3900149999999</v>
      </c>
      <c r="F81">
        <v>1545.4399410000001</v>
      </c>
      <c r="G81">
        <v>8.08</v>
      </c>
      <c r="H81" s="1">
        <v>8.0000000000000004E-4</v>
      </c>
      <c r="I81" s="1">
        <v>-5.0000000000000001E-4</v>
      </c>
      <c r="J81" s="1">
        <v>1.9359999999999999</v>
      </c>
      <c r="K81" s="1">
        <v>-4.5019999999999999E-3</v>
      </c>
      <c r="L81" s="1">
        <v>1.6429999999999999E-3</v>
      </c>
      <c r="M81" s="1">
        <v>0.94187600000000005</v>
      </c>
      <c r="N81" s="1">
        <v>0.33592699999999998</v>
      </c>
      <c r="O81">
        <v>1</v>
      </c>
      <c r="P81">
        <v>0</v>
      </c>
      <c r="Q81">
        <v>1</v>
      </c>
      <c r="R81">
        <v>1</v>
      </c>
      <c r="S81">
        <v>1</v>
      </c>
      <c r="T81" s="1">
        <f>SQRT(POWER(Hybrid[[#This Row],[angvel_X]],2) + POWER(Hybrid[[#This Row],[angvel_Y]],2) + POWER(Hybrid[[#This Row],[angvel_Z]],2))</f>
        <v>1.9360002298553582</v>
      </c>
      <c r="U81">
        <f>DEGREES(ASIN(MAX(-1,MIN(1,2 * (Hybrid[[#This Row],[quart_W]]*Hybrid[[#This Row],[quart_Y]] - Hybrid[[#This Row],[quart_Z]]*Hybrid[[#This Row],[quart_X]])))))</f>
        <v>0.54916024379796713</v>
      </c>
      <c r="V8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-50.741731512928993</v>
      </c>
      <c r="W8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89.995970900161396</v>
      </c>
      <c r="X81">
        <f>IF(Hybrid[[#This Row],[Yaw]]&gt;V80,(360-ABS(Hybrid[[#This Row],[Yaw]])-ABS(V80)),ABS(Hybrid[[#This Row],[Yaw]]-V80))</f>
        <v>0.92024140992736392</v>
      </c>
      <c r="Y81">
        <f>Hybrid[[#This Row],[Degree change]]+Y80</f>
        <v>19.892602406300266</v>
      </c>
    </row>
    <row r="82" spans="1:25">
      <c r="A82">
        <v>81</v>
      </c>
      <c r="B82">
        <v>21.779999</v>
      </c>
      <c r="C82">
        <v>2355.3398440000001</v>
      </c>
      <c r="D82">
        <v>17.010000000000002</v>
      </c>
      <c r="E82">
        <v>-1726.869995</v>
      </c>
      <c r="F82">
        <v>1519.1599120000001</v>
      </c>
      <c r="G82">
        <v>8.08</v>
      </c>
      <c r="H82" s="1">
        <v>8.0000000000000004E-4</v>
      </c>
      <c r="I82" s="1">
        <v>-4.0000000000000002E-4</v>
      </c>
      <c r="J82" s="1">
        <v>1.9440999999999999</v>
      </c>
      <c r="K82" s="1">
        <v>-4.5180000000000003E-3</v>
      </c>
      <c r="L82" s="1">
        <v>1.6050000000000001E-3</v>
      </c>
      <c r="M82" s="1">
        <v>0.944554</v>
      </c>
      <c r="N82" s="1">
        <v>0.32832</v>
      </c>
      <c r="O82">
        <v>1</v>
      </c>
      <c r="P82">
        <v>0</v>
      </c>
      <c r="Q82">
        <v>1</v>
      </c>
      <c r="R82">
        <v>1</v>
      </c>
      <c r="S82">
        <v>1</v>
      </c>
      <c r="T82" s="1">
        <f>SQRT(POWER(Hybrid[[#This Row],[angvel_X]],2) + POWER(Hybrid[[#This Row],[angvel_Y]],2) + POWER(Hybrid[[#This Row],[angvel_Z]],2))</f>
        <v>1.944100205750722</v>
      </c>
      <c r="U82">
        <f>DEGREES(ASIN(MAX(-1,MIN(1,2 * (Hybrid[[#This Row],[quart_W]]*Hybrid[[#This Row],[quart_Y]] - Hybrid[[#This Row],[quart_Z]]*Hybrid[[#This Row],[quart_X]])))))</f>
        <v>0.54941175621133653</v>
      </c>
      <c r="V8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-51.665843588382309</v>
      </c>
      <c r="W8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89.996257335221188</v>
      </c>
      <c r="X82">
        <f>IF(Hybrid[[#This Row],[Yaw]]&gt;V81,(360-ABS(Hybrid[[#This Row],[Yaw]])-ABS(V81)),ABS(Hybrid[[#This Row],[Yaw]]-V81))</f>
        <v>0.92411207545331564</v>
      </c>
      <c r="Y82">
        <f>Hybrid[[#This Row],[Degree change]]+Y81</f>
        <v>20.816714481753582</v>
      </c>
    </row>
    <row r="83" spans="1:25">
      <c r="A83">
        <v>82</v>
      </c>
      <c r="B83">
        <v>7.34</v>
      </c>
      <c r="C83">
        <v>2368.040039</v>
      </c>
      <c r="D83">
        <v>17.010000000000002</v>
      </c>
      <c r="E83">
        <v>-1750.1400149999999</v>
      </c>
      <c r="F83">
        <v>1492.2899170000001</v>
      </c>
      <c r="G83">
        <v>8.08</v>
      </c>
      <c r="H83" s="1">
        <v>8.0000000000000004E-4</v>
      </c>
      <c r="I83" s="1">
        <v>-2.9999999999999997E-4</v>
      </c>
      <c r="J83" s="1">
        <v>1.9515</v>
      </c>
      <c r="K83" s="1">
        <v>-4.529E-3</v>
      </c>
      <c r="L83" s="1">
        <v>1.567E-3</v>
      </c>
      <c r="M83" s="1">
        <v>0.94718199999999997</v>
      </c>
      <c r="N83" s="1">
        <v>0.32066</v>
      </c>
      <c r="O83">
        <v>1</v>
      </c>
      <c r="P83">
        <v>0</v>
      </c>
      <c r="Q83">
        <v>1</v>
      </c>
      <c r="R83">
        <v>1</v>
      </c>
      <c r="S83">
        <v>1</v>
      </c>
      <c r="T83" s="1">
        <f>SQRT(POWER(Hybrid[[#This Row],[angvel_X]],2) + POWER(Hybrid[[#This Row],[angvel_Y]],2) + POWER(Hybrid[[#This Row],[angvel_Z]],2))</f>
        <v>1.9515001870356046</v>
      </c>
      <c r="U83">
        <f>DEGREES(ASIN(MAX(-1,MIN(1,2 * (Hybrid[[#This Row],[quart_W]]*Hybrid[[#This Row],[quart_Y]] - Hybrid[[#This Row],[quart_Z]]*Hybrid[[#This Row],[quart_X]])))))</f>
        <v>0.54916112447454968</v>
      </c>
      <c r="V8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-52.593860191559891</v>
      </c>
      <c r="W8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89.99633690636982</v>
      </c>
      <c r="X83">
        <f>IF(Hybrid[[#This Row],[Yaw]]&gt;V82,(360-ABS(Hybrid[[#This Row],[Yaw]])-ABS(V82)),ABS(Hybrid[[#This Row],[Yaw]]-V82))</f>
        <v>0.92801660317758206</v>
      </c>
      <c r="Y83">
        <f>Hybrid[[#This Row],[Degree change]]+Y82</f>
        <v>21.744731084931164</v>
      </c>
    </row>
    <row r="84" spans="1:25">
      <c r="A84">
        <v>83</v>
      </c>
      <c r="B84">
        <v>-7.3</v>
      </c>
      <c r="C84">
        <v>2380.5200199999999</v>
      </c>
      <c r="D84">
        <v>17.010000000000002</v>
      </c>
      <c r="E84">
        <v>-1773.169922</v>
      </c>
      <c r="F84">
        <v>1464.839966</v>
      </c>
      <c r="G84">
        <v>8.08</v>
      </c>
      <c r="H84" s="1">
        <v>8.0000000000000004E-4</v>
      </c>
      <c r="I84" s="1">
        <v>-2.0000000000000001E-4</v>
      </c>
      <c r="J84" s="1">
        <v>1.9581999999999999</v>
      </c>
      <c r="K84" s="1">
        <v>-4.5399999999999998E-3</v>
      </c>
      <c r="L84" s="1">
        <v>1.529E-3</v>
      </c>
      <c r="M84" s="1">
        <v>0.94975900000000002</v>
      </c>
      <c r="N84" s="1">
        <v>0.31294499999999997</v>
      </c>
      <c r="O84">
        <v>1</v>
      </c>
      <c r="P84">
        <v>0</v>
      </c>
      <c r="Q84">
        <v>1</v>
      </c>
      <c r="R84">
        <v>1</v>
      </c>
      <c r="S84">
        <v>1</v>
      </c>
      <c r="T84" s="1">
        <f>SQRT(POWER(Hybrid[[#This Row],[angvel_X]],2) + POWER(Hybrid[[#This Row],[angvel_Y]],2) + POWER(Hybrid[[#This Row],[angvel_Z]],2))</f>
        <v>1.958200173628835</v>
      </c>
      <c r="U84">
        <f>DEGREES(ASIN(MAX(-1,MIN(1,2 * (Hybrid[[#This Row],[quart_W]]*Hybrid[[#This Row],[quart_Y]] - Hybrid[[#This Row],[quart_Z]]*Hybrid[[#This Row],[quart_X]])))))</f>
        <v>0.54894766119491856</v>
      </c>
      <c r="V8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-53.525967455481926</v>
      </c>
      <c r="W8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89.996400375146592</v>
      </c>
      <c r="X84">
        <f>IF(Hybrid[[#This Row],[Yaw]]&gt;V83,(360-ABS(Hybrid[[#This Row],[Yaw]])-ABS(V83)),ABS(Hybrid[[#This Row],[Yaw]]-V83))</f>
        <v>0.93210726392203469</v>
      </c>
      <c r="Y84">
        <f>Hybrid[[#This Row],[Degree change]]+Y83</f>
        <v>22.676838348853199</v>
      </c>
    </row>
    <row r="85" spans="1:25">
      <c r="A85">
        <v>84</v>
      </c>
      <c r="B85">
        <v>-22.129999000000002</v>
      </c>
      <c r="C85">
        <v>2392.7700199999999</v>
      </c>
      <c r="D85">
        <v>17.010000000000002</v>
      </c>
      <c r="E85">
        <v>-1795.9399410000001</v>
      </c>
      <c r="F85">
        <v>1436.839966</v>
      </c>
      <c r="G85">
        <v>8.08</v>
      </c>
      <c r="H85" s="1">
        <v>8.0000000000000004E-4</v>
      </c>
      <c r="I85" s="1">
        <v>-2.0000000000000001E-4</v>
      </c>
      <c r="J85" s="1">
        <v>1.9642999999999999</v>
      </c>
      <c r="K85" s="1">
        <v>-4.5510000000000004E-3</v>
      </c>
      <c r="L85" s="1">
        <v>1.4859999999999999E-3</v>
      </c>
      <c r="M85" s="1">
        <v>0.95228000000000002</v>
      </c>
      <c r="N85" s="1">
        <v>0.30518699999999999</v>
      </c>
      <c r="O85">
        <v>1</v>
      </c>
      <c r="P85">
        <v>0</v>
      </c>
      <c r="Q85">
        <v>1</v>
      </c>
      <c r="R85">
        <v>1</v>
      </c>
      <c r="S85">
        <v>1</v>
      </c>
      <c r="T85" s="1">
        <f>SQRT(POWER(Hybrid[[#This Row],[angvel_X]],2) + POWER(Hybrid[[#This Row],[angvel_Y]],2) + POWER(Hybrid[[#This Row],[angvel_Z]],2))</f>
        <v>1.9643001730896426</v>
      </c>
      <c r="U85">
        <f>DEGREES(ASIN(MAX(-1,MIN(1,2 * (Hybrid[[#This Row],[quart_W]]*Hybrid[[#This Row],[quart_Y]] - Hybrid[[#This Row],[quart_Z]]*Hybrid[[#This Row],[quart_X]])))))</f>
        <v>0.54859646745096013</v>
      </c>
      <c r="V8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-54.460724118433106</v>
      </c>
      <c r="W8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89.996999621340748</v>
      </c>
      <c r="X85">
        <f>IF(Hybrid[[#This Row],[Yaw]]&gt;V84,(360-ABS(Hybrid[[#This Row],[Yaw]])-ABS(V84)),ABS(Hybrid[[#This Row],[Yaw]]-V84))</f>
        <v>0.93475666295118032</v>
      </c>
      <c r="Y85">
        <f>Hybrid[[#This Row],[Degree change]]+Y84</f>
        <v>23.611595011804379</v>
      </c>
    </row>
    <row r="86" spans="1:25">
      <c r="A86">
        <v>85</v>
      </c>
      <c r="B86">
        <v>-37.149997999999997</v>
      </c>
      <c r="C86">
        <v>2404.780029</v>
      </c>
      <c r="D86">
        <v>17.010000000000002</v>
      </c>
      <c r="E86">
        <v>-1818.4099120000001</v>
      </c>
      <c r="F86">
        <v>1408.2899170000001</v>
      </c>
      <c r="G86">
        <v>8.08</v>
      </c>
      <c r="H86" s="1">
        <v>6.9999999999999999E-4</v>
      </c>
      <c r="I86" s="1">
        <v>-2.0000000000000001E-4</v>
      </c>
      <c r="J86" s="1">
        <v>1.9699</v>
      </c>
      <c r="K86" s="1">
        <v>-4.561E-3</v>
      </c>
      <c r="L86" s="1">
        <v>1.4430000000000001E-3</v>
      </c>
      <c r="M86" s="1">
        <v>0.95474700000000001</v>
      </c>
      <c r="N86" s="1">
        <v>0.29738100000000001</v>
      </c>
      <c r="O86">
        <v>1</v>
      </c>
      <c r="P86">
        <v>0</v>
      </c>
      <c r="Q86">
        <v>1</v>
      </c>
      <c r="R86">
        <v>1</v>
      </c>
      <c r="S86">
        <v>1</v>
      </c>
      <c r="T86" s="1">
        <f>SQRT(POWER(Hybrid[[#This Row],[angvel_X]],2) + POWER(Hybrid[[#This Row],[angvel_Y]],2) + POWER(Hybrid[[#This Row],[angvel_Z]],2))</f>
        <v>1.9699001345245906</v>
      </c>
      <c r="U86">
        <f>DEGREES(ASIN(MAX(-1,MIN(1,2 * (Hybrid[[#This Row],[quart_W]]*Hybrid[[#This Row],[quart_Y]] - Hybrid[[#This Row],[quart_Z]]*Hybrid[[#This Row],[quart_X]])))))</f>
        <v>0.54818250802635604</v>
      </c>
      <c r="V8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-55.398877022107008</v>
      </c>
      <c r="W8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89.997553910590227</v>
      </c>
      <c r="X86">
        <f>IF(Hybrid[[#This Row],[Yaw]]&gt;V85,(360-ABS(Hybrid[[#This Row],[Yaw]])-ABS(V85)),ABS(Hybrid[[#This Row],[Yaw]]-V85))</f>
        <v>0.93815290367390247</v>
      </c>
      <c r="Y86">
        <f>Hybrid[[#This Row],[Degree change]]+Y85</f>
        <v>24.549747915478282</v>
      </c>
    </row>
    <row r="87" spans="1:25">
      <c r="A87">
        <v>86</v>
      </c>
      <c r="B87">
        <v>-52.360000999999997</v>
      </c>
      <c r="C87">
        <v>2416.5600589999999</v>
      </c>
      <c r="D87">
        <v>17.010000000000002</v>
      </c>
      <c r="E87">
        <v>-1840.559937</v>
      </c>
      <c r="F87">
        <v>1379.219971</v>
      </c>
      <c r="G87">
        <v>8.08</v>
      </c>
      <c r="H87" s="1">
        <v>5.9999999999999995E-4</v>
      </c>
      <c r="I87" s="1">
        <v>-2.0000000000000001E-4</v>
      </c>
      <c r="J87" s="1">
        <v>1.9750000000000001</v>
      </c>
      <c r="K87" s="1">
        <v>-4.5719999999999997E-3</v>
      </c>
      <c r="L87" s="1">
        <v>1.4E-3</v>
      </c>
      <c r="M87" s="1">
        <v>0.95715499999999998</v>
      </c>
      <c r="N87" s="1">
        <v>0.28953699999999999</v>
      </c>
      <c r="O87">
        <v>1</v>
      </c>
      <c r="P87">
        <v>0</v>
      </c>
      <c r="Q87">
        <v>1</v>
      </c>
      <c r="R87">
        <v>1</v>
      </c>
      <c r="S87">
        <v>1</v>
      </c>
      <c r="T87" s="1">
        <f>SQRT(POWER(Hybrid[[#This Row],[angvel_X]],2) + POWER(Hybrid[[#This Row],[angvel_Y]],2) + POWER(Hybrid[[#This Row],[angvel_Z]],2))</f>
        <v>1.9750001012658203</v>
      </c>
      <c r="U87">
        <f>DEGREES(ASIN(MAX(-1,MIN(1,2 * (Hybrid[[#This Row],[quart_W]]*Hybrid[[#This Row],[quart_Y]] - Hybrid[[#This Row],[quart_Z]]*Hybrid[[#This Row],[quart_X]])))))</f>
        <v>0.54792381835253523</v>
      </c>
      <c r="V8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-56.339146165868527</v>
      </c>
      <c r="W8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89.998137362421616</v>
      </c>
      <c r="X87">
        <f>IF(Hybrid[[#This Row],[Yaw]]&gt;V86,(360-ABS(Hybrid[[#This Row],[Yaw]])-ABS(V86)),ABS(Hybrid[[#This Row],[Yaw]]-V86))</f>
        <v>0.94026914376151893</v>
      </c>
      <c r="Y87">
        <f>Hybrid[[#This Row],[Degree change]]+Y86</f>
        <v>25.490017059239801</v>
      </c>
    </row>
    <row r="88" spans="1:25">
      <c r="A88">
        <v>87</v>
      </c>
      <c r="B88">
        <v>-67.760002</v>
      </c>
      <c r="C88">
        <v>2428.0898440000001</v>
      </c>
      <c r="D88">
        <v>17.010000000000002</v>
      </c>
      <c r="E88">
        <v>-1862.3599850000001</v>
      </c>
      <c r="F88">
        <v>1349.6400149999999</v>
      </c>
      <c r="G88">
        <v>8.08</v>
      </c>
      <c r="H88" s="1">
        <v>5.0000000000000001E-4</v>
      </c>
      <c r="I88" s="1">
        <v>-2.0000000000000001E-4</v>
      </c>
      <c r="J88" s="1">
        <v>1.9797</v>
      </c>
      <c r="K88" s="1">
        <v>-4.5830000000000003E-3</v>
      </c>
      <c r="L88" s="1">
        <v>1.3619999999999999E-3</v>
      </c>
      <c r="M88" s="1">
        <v>0.95950500000000005</v>
      </c>
      <c r="N88" s="1">
        <v>0.28165000000000001</v>
      </c>
      <c r="O88">
        <v>1</v>
      </c>
      <c r="P88">
        <v>0</v>
      </c>
      <c r="Q88">
        <v>1</v>
      </c>
      <c r="R88">
        <v>1</v>
      </c>
      <c r="S88">
        <v>1</v>
      </c>
      <c r="T88" s="1">
        <f>SQRT(POWER(Hybrid[[#This Row],[angvel_X]],2) + POWER(Hybrid[[#This Row],[angvel_Y]],2) + POWER(Hybrid[[#This Row],[angvel_Z]],2))</f>
        <v>1.9797000732434193</v>
      </c>
      <c r="U88">
        <f>DEGREES(ASIN(MAX(-1,MIN(1,2 * (Hybrid[[#This Row],[quart_W]]*Hybrid[[#This Row],[quart_Y]] - Hybrid[[#This Row],[quart_Z]]*Hybrid[[#This Row],[quart_X]])))))</f>
        <v>0.54787273740255504</v>
      </c>
      <c r="V8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-57.282183781323695</v>
      </c>
      <c r="W8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89.998161425014715</v>
      </c>
      <c r="X88">
        <f>IF(Hybrid[[#This Row],[Yaw]]&gt;V87,(360-ABS(Hybrid[[#This Row],[Yaw]])-ABS(V87)),ABS(Hybrid[[#This Row],[Yaw]]-V87))</f>
        <v>0.94303761545516807</v>
      </c>
      <c r="Y88">
        <f>Hybrid[[#This Row],[Degree change]]+Y87</f>
        <v>26.433054674694969</v>
      </c>
    </row>
    <row r="89" spans="1:25">
      <c r="A89">
        <v>88</v>
      </c>
      <c r="B89">
        <v>-83.339995999999999</v>
      </c>
      <c r="C89">
        <v>2439.3698730000001</v>
      </c>
      <c r="D89">
        <v>17.010000000000002</v>
      </c>
      <c r="E89">
        <v>-1883.7899170000001</v>
      </c>
      <c r="F89">
        <v>1319.559937</v>
      </c>
      <c r="G89">
        <v>8.08</v>
      </c>
      <c r="H89" s="1">
        <v>4.0000000000000002E-4</v>
      </c>
      <c r="I89" s="1">
        <v>-2.0000000000000001E-4</v>
      </c>
      <c r="J89" s="1">
        <v>1.984</v>
      </c>
      <c r="K89" s="1">
        <v>-4.594E-3</v>
      </c>
      <c r="L89" s="1">
        <v>1.3240000000000001E-3</v>
      </c>
      <c r="M89" s="1">
        <v>0.96179599999999998</v>
      </c>
      <c r="N89" s="1">
        <v>0.273725</v>
      </c>
      <c r="O89">
        <v>1</v>
      </c>
      <c r="P89">
        <v>0</v>
      </c>
      <c r="Q89">
        <v>1</v>
      </c>
      <c r="R89">
        <v>1</v>
      </c>
      <c r="S89">
        <v>1</v>
      </c>
      <c r="T89" s="1">
        <f>SQRT(POWER(Hybrid[[#This Row],[angvel_X]],2) + POWER(Hybrid[[#This Row],[angvel_Y]],2) + POWER(Hybrid[[#This Row],[angvel_Z]],2))</f>
        <v>1.9840000504032251</v>
      </c>
      <c r="U89">
        <f>DEGREES(ASIN(MAX(-1,MIN(1,2 * (Hybrid[[#This Row],[quart_W]]*Hybrid[[#This Row],[quart_Y]] - Hybrid[[#This Row],[quart_Z]]*Hybrid[[#This Row],[quart_X]])))))</f>
        <v>0.547859445205363</v>
      </c>
      <c r="V8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-58.227531938699556</v>
      </c>
      <c r="W8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89.998175016886634</v>
      </c>
      <c r="X89">
        <f>IF(Hybrid[[#This Row],[Yaw]]&gt;V88,(360-ABS(Hybrid[[#This Row],[Yaw]])-ABS(V88)),ABS(Hybrid[[#This Row],[Yaw]]-V88))</f>
        <v>0.94534815737586086</v>
      </c>
      <c r="Y89">
        <f>Hybrid[[#This Row],[Degree change]]+Y88</f>
        <v>27.378402832070829</v>
      </c>
    </row>
    <row r="90" spans="1:25">
      <c r="A90">
        <v>89</v>
      </c>
      <c r="B90">
        <v>-99.099997999999999</v>
      </c>
      <c r="C90">
        <v>2450.3999020000001</v>
      </c>
      <c r="D90">
        <v>17.010000000000002</v>
      </c>
      <c r="E90">
        <v>-1904.829956</v>
      </c>
      <c r="F90">
        <v>1289.01001</v>
      </c>
      <c r="G90">
        <v>8.08</v>
      </c>
      <c r="H90" s="1">
        <v>2.9999999999999997E-4</v>
      </c>
      <c r="I90" s="1">
        <v>-2.0000000000000001E-4</v>
      </c>
      <c r="J90" s="1">
        <v>1.9879</v>
      </c>
      <c r="K90" s="1">
        <v>-4.6039999999999996E-3</v>
      </c>
      <c r="L90" s="1">
        <v>1.2869999999999999E-3</v>
      </c>
      <c r="M90" s="1">
        <v>0.96402699999999997</v>
      </c>
      <c r="N90" s="1">
        <v>0.265762</v>
      </c>
      <c r="O90">
        <v>1</v>
      </c>
      <c r="P90">
        <v>0</v>
      </c>
      <c r="Q90">
        <v>1</v>
      </c>
      <c r="R90">
        <v>1</v>
      </c>
      <c r="S90">
        <v>1</v>
      </c>
      <c r="T90" s="1">
        <f>SQRT(POWER(Hybrid[[#This Row],[angvel_X]],2) + POWER(Hybrid[[#This Row],[angvel_Y]],2) + POWER(Hybrid[[#This Row],[angvel_Z]],2))</f>
        <v>1.9879000326978216</v>
      </c>
      <c r="U90">
        <f>DEGREES(ASIN(MAX(-1,MIN(1,2 * (Hybrid[[#This Row],[quart_W]]*Hybrid[[#This Row],[quart_Y]] - Hybrid[[#This Row],[quart_Z]]*Hybrid[[#This Row],[quart_X]])))))</f>
        <v>0.54780366842298867</v>
      </c>
      <c r="V9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-59.175192502899627</v>
      </c>
      <c r="W9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89.998036441070894</v>
      </c>
      <c r="X90">
        <f>IF(Hybrid[[#This Row],[Yaw]]&gt;V89,(360-ABS(Hybrid[[#This Row],[Yaw]])-ABS(V89)),ABS(Hybrid[[#This Row],[Yaw]]-V89))</f>
        <v>0.94766056420007061</v>
      </c>
      <c r="Y90">
        <f>Hybrid[[#This Row],[Degree change]]+Y89</f>
        <v>28.3260633962709</v>
      </c>
    </row>
    <row r="91" spans="1:25">
      <c r="A91">
        <v>90</v>
      </c>
      <c r="B91">
        <v>-115.029999</v>
      </c>
      <c r="C91">
        <v>2461.179932</v>
      </c>
      <c r="D91">
        <v>17.010000000000002</v>
      </c>
      <c r="E91">
        <v>-1925.4499510000001</v>
      </c>
      <c r="F91">
        <v>1257.98999</v>
      </c>
      <c r="G91">
        <v>8.09</v>
      </c>
      <c r="H91" s="1">
        <v>2.9999999999999997E-4</v>
      </c>
      <c r="I91" s="1">
        <v>-2.0000000000000001E-4</v>
      </c>
      <c r="J91" s="1">
        <v>1.9915</v>
      </c>
      <c r="K91" s="1">
        <v>-4.6150000000000002E-3</v>
      </c>
      <c r="L91" s="1">
        <v>1.2489999999999999E-3</v>
      </c>
      <c r="M91" s="1">
        <v>0.96619500000000003</v>
      </c>
      <c r="N91" s="1">
        <v>0.25776700000000002</v>
      </c>
      <c r="O91">
        <v>1</v>
      </c>
      <c r="P91">
        <v>0</v>
      </c>
      <c r="Q91">
        <v>1</v>
      </c>
      <c r="R91">
        <v>1</v>
      </c>
      <c r="S91">
        <v>1</v>
      </c>
      <c r="T91" s="1">
        <f>SQRT(POWER(Hybrid[[#This Row],[angvel_X]],2) + POWER(Hybrid[[#This Row],[angvel_Y]],2) + POWER(Hybrid[[#This Row],[angvel_Z]],2))</f>
        <v>1.9915000326387144</v>
      </c>
      <c r="U91">
        <f>DEGREES(ASIN(MAX(-1,MIN(1,2 * (Hybrid[[#This Row],[quart_W]]*Hybrid[[#This Row],[quart_Y]] - Hybrid[[#This Row],[quart_Z]]*Hybrid[[#This Row],[quart_X]])))))</f>
        <v>0.54786382096949293</v>
      </c>
      <c r="V9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-60.124426496934262</v>
      </c>
      <c r="W9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89.998030900410527</v>
      </c>
      <c r="X91">
        <f>IF(Hybrid[[#This Row],[Yaw]]&gt;V90,(360-ABS(Hybrid[[#This Row],[Yaw]])-ABS(V90)),ABS(Hybrid[[#This Row],[Yaw]]-V90))</f>
        <v>0.94923399403463549</v>
      </c>
      <c r="Y91">
        <f>Hybrid[[#This Row],[Degree change]]+Y90</f>
        <v>29.275297390305536</v>
      </c>
    </row>
    <row r="92" spans="1:25">
      <c r="A92">
        <v>91</v>
      </c>
      <c r="B92">
        <v>-131.13999899999999</v>
      </c>
      <c r="C92">
        <v>2471.6999510000001</v>
      </c>
      <c r="D92">
        <v>17.010000000000002</v>
      </c>
      <c r="E92">
        <v>-1945.6499020000001</v>
      </c>
      <c r="F92">
        <v>1226.5200199999999</v>
      </c>
      <c r="G92">
        <v>8.09</v>
      </c>
      <c r="H92" s="1">
        <v>2.9999999999999997E-4</v>
      </c>
      <c r="I92" s="1">
        <v>-2.0000000000000001E-4</v>
      </c>
      <c r="J92" s="1">
        <v>1.9947999999999999</v>
      </c>
      <c r="K92" s="1">
        <v>-4.6259999999999999E-3</v>
      </c>
      <c r="L92" s="1">
        <v>1.2110000000000001E-3</v>
      </c>
      <c r="M92" s="1">
        <v>0.96830099999999997</v>
      </c>
      <c r="N92" s="1">
        <v>0.24973999999999999</v>
      </c>
      <c r="O92">
        <v>1</v>
      </c>
      <c r="P92">
        <v>0</v>
      </c>
      <c r="Q92">
        <v>1</v>
      </c>
      <c r="R92">
        <v>1</v>
      </c>
      <c r="S92">
        <v>1</v>
      </c>
      <c r="T92" s="1">
        <f>SQRT(POWER(Hybrid[[#This Row],[angvel_X]],2) + POWER(Hybrid[[#This Row],[angvel_Y]],2) + POWER(Hybrid[[#This Row],[angvel_Z]],2))</f>
        <v>1.9948000325847199</v>
      </c>
      <c r="U92">
        <f>DEGREES(ASIN(MAX(-1,MIN(1,2 * (Hybrid[[#This Row],[quart_W]]*Hybrid[[#This Row],[quart_Y]] - Hybrid[[#This Row],[quart_Z]]*Hybrid[[#This Row],[quart_X]])))))</f>
        <v>0.54796176204040559</v>
      </c>
      <c r="V9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-61.07540687850635</v>
      </c>
      <c r="W9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89.998015725355515</v>
      </c>
      <c r="X92">
        <f>IF(Hybrid[[#This Row],[Yaw]]&gt;V91,(360-ABS(Hybrid[[#This Row],[Yaw]])-ABS(V91)),ABS(Hybrid[[#This Row],[Yaw]]-V91))</f>
        <v>0.9509803815720872</v>
      </c>
      <c r="Y92">
        <f>Hybrid[[#This Row],[Degree change]]+Y91</f>
        <v>30.226277771877623</v>
      </c>
    </row>
    <row r="93" spans="1:25">
      <c r="A93">
        <v>92</v>
      </c>
      <c r="B93">
        <v>-147.41000399999999</v>
      </c>
      <c r="C93">
        <v>2481.9499510000001</v>
      </c>
      <c r="D93">
        <v>17.010000000000002</v>
      </c>
      <c r="E93">
        <v>-1965.3999020000001</v>
      </c>
      <c r="F93">
        <v>1194.619995</v>
      </c>
      <c r="G93">
        <v>8.09</v>
      </c>
      <c r="H93" s="1">
        <v>2.9999999999999997E-4</v>
      </c>
      <c r="I93" s="1">
        <v>-2.0000000000000001E-4</v>
      </c>
      <c r="J93" s="1">
        <v>1.9978</v>
      </c>
      <c r="K93" s="1">
        <v>-4.6369999999999996E-3</v>
      </c>
      <c r="L93" s="1">
        <v>1.173E-3</v>
      </c>
      <c r="M93" s="1">
        <v>0.97034299999999996</v>
      </c>
      <c r="N93" s="1">
        <v>0.24168500000000001</v>
      </c>
      <c r="O93">
        <v>1</v>
      </c>
      <c r="P93">
        <v>0</v>
      </c>
      <c r="Q93">
        <v>1</v>
      </c>
      <c r="R93">
        <v>1</v>
      </c>
      <c r="S93">
        <v>1</v>
      </c>
      <c r="T93" s="1">
        <f>SQRT(POWER(Hybrid[[#This Row],[angvel_X]],2) + POWER(Hybrid[[#This Row],[angvel_Y]],2) + POWER(Hybrid[[#This Row],[angvel_Z]],2))</f>
        <v>1.9978000325357892</v>
      </c>
      <c r="U93">
        <f>DEGREES(ASIN(MAX(-1,MIN(1,2 * (Hybrid[[#This Row],[quart_W]]*Hybrid[[#This Row],[quart_Y]] - Hybrid[[#This Row],[quart_Z]]*Hybrid[[#This Row],[quart_X]])))))</f>
        <v>0.5480971501391092</v>
      </c>
      <c r="V9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-62.027661793918185</v>
      </c>
      <c r="W9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89.997992379306311</v>
      </c>
      <c r="X93">
        <f>IF(Hybrid[[#This Row],[Yaw]]&gt;V92,(360-ABS(Hybrid[[#This Row],[Yaw]])-ABS(V92)),ABS(Hybrid[[#This Row],[Yaw]]-V92))</f>
        <v>0.95225491541183516</v>
      </c>
      <c r="Y93">
        <f>Hybrid[[#This Row],[Degree change]]+Y92</f>
        <v>31.178532687289458</v>
      </c>
    </row>
    <row r="94" spans="1:25">
      <c r="A94">
        <v>93</v>
      </c>
      <c r="B94">
        <v>-163.84999099999999</v>
      </c>
      <c r="C94">
        <v>2491.9399410000001</v>
      </c>
      <c r="D94">
        <v>17.010000000000002</v>
      </c>
      <c r="E94">
        <v>-1984.679932</v>
      </c>
      <c r="F94">
        <v>1162.299927</v>
      </c>
      <c r="G94">
        <v>8.09</v>
      </c>
      <c r="H94" s="1">
        <v>2.9999999999999997E-4</v>
      </c>
      <c r="I94" s="1">
        <v>-2.0000000000000001E-4</v>
      </c>
      <c r="J94" s="1">
        <v>2.0005000000000002</v>
      </c>
      <c r="K94" s="1">
        <v>-4.6480000000000002E-3</v>
      </c>
      <c r="L94" s="1">
        <v>1.1360000000000001E-3</v>
      </c>
      <c r="M94" s="1">
        <v>0.97232099999999999</v>
      </c>
      <c r="N94" s="1">
        <v>0.233598</v>
      </c>
      <c r="O94">
        <v>1</v>
      </c>
      <c r="P94">
        <v>0</v>
      </c>
      <c r="Q94">
        <v>1</v>
      </c>
      <c r="R94">
        <v>1</v>
      </c>
      <c r="S94">
        <v>1</v>
      </c>
      <c r="T94" s="1">
        <f>SQRT(POWER(Hybrid[[#This Row],[angvel_X]],2) + POWER(Hybrid[[#This Row],[angvel_Y]],2) + POWER(Hybrid[[#This Row],[angvel_Z]],2))</f>
        <v>2.0005000324918769</v>
      </c>
      <c r="U94">
        <f>DEGREES(ASIN(MAX(-1,MIN(1,2 * (Hybrid[[#This Row],[quart_W]]*Hybrid[[#This Row],[quart_Y]] - Hybrid[[#This Row],[quart_Z]]*Hybrid[[#This Row],[quart_X]])))))</f>
        <v>0.54829635834786872</v>
      </c>
      <c r="V9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-62.981669077318095</v>
      </c>
      <c r="W9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89.997846364801944</v>
      </c>
      <c r="X94">
        <f>IF(Hybrid[[#This Row],[Yaw]]&gt;V93,(360-ABS(Hybrid[[#This Row],[Yaw]])-ABS(V93)),ABS(Hybrid[[#This Row],[Yaw]]-V93))</f>
        <v>0.95400728339991048</v>
      </c>
      <c r="Y94">
        <f>Hybrid[[#This Row],[Degree change]]+Y93</f>
        <v>32.132539970689365</v>
      </c>
    </row>
    <row r="95" spans="1:25">
      <c r="A95">
        <v>94</v>
      </c>
      <c r="B95">
        <v>-180.449997</v>
      </c>
      <c r="C95">
        <v>2501.6599120000001</v>
      </c>
      <c r="D95">
        <v>17.010000000000002</v>
      </c>
      <c r="E95">
        <v>-2003.48999</v>
      </c>
      <c r="F95">
        <v>1129.579956</v>
      </c>
      <c r="G95">
        <v>8.09</v>
      </c>
      <c r="H95" s="1">
        <v>2.9999999999999997E-4</v>
      </c>
      <c r="I95" s="1">
        <v>-2.0000000000000001E-4</v>
      </c>
      <c r="J95" s="1">
        <v>2.0030000000000001</v>
      </c>
      <c r="K95" s="1">
        <v>-4.6579999999999998E-3</v>
      </c>
      <c r="L95" s="1">
        <v>1.098E-3</v>
      </c>
      <c r="M95" s="1">
        <v>0.97423499999999996</v>
      </c>
      <c r="N95" s="1">
        <v>0.22548399999999999</v>
      </c>
      <c r="O95">
        <v>1</v>
      </c>
      <c r="P95">
        <v>0</v>
      </c>
      <c r="Q95">
        <v>1</v>
      </c>
      <c r="R95">
        <v>1</v>
      </c>
      <c r="S95">
        <v>1</v>
      </c>
      <c r="T95" s="1">
        <f>SQRT(POWER(Hybrid[[#This Row],[angvel_X]],2) + POWER(Hybrid[[#This Row],[angvel_Y]],2) + POWER(Hybrid[[#This Row],[angvel_Z]],2))</f>
        <v>2.0030000324513231</v>
      </c>
      <c r="U95">
        <f>DEGREES(ASIN(MAX(-1,MIN(1,2 * (Hybrid[[#This Row],[quart_W]]*Hybrid[[#This Row],[quart_Y]] - Hybrid[[#This Row],[quart_Z]]*Hybrid[[#This Row],[quart_X]])))))</f>
        <v>0.54839407802482176</v>
      </c>
      <c r="V9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-63.937016714871213</v>
      </c>
      <c r="W9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89.997776184993981</v>
      </c>
      <c r="X95">
        <f>IF(Hybrid[[#This Row],[Yaw]]&gt;V94,(360-ABS(Hybrid[[#This Row],[Yaw]])-ABS(V94)),ABS(Hybrid[[#This Row],[Yaw]]-V94))</f>
        <v>0.95534763755311758</v>
      </c>
      <c r="Y95">
        <f>Hybrid[[#This Row],[Degree change]]+Y94</f>
        <v>33.087887608242482</v>
      </c>
    </row>
    <row r="96" spans="1:25">
      <c r="A96">
        <v>95</v>
      </c>
      <c r="B96">
        <v>-197.209991</v>
      </c>
      <c r="C96">
        <v>2511.0998540000001</v>
      </c>
      <c r="D96">
        <v>17.010000000000002</v>
      </c>
      <c r="E96">
        <v>-2021.799927</v>
      </c>
      <c r="F96">
        <v>1096.459961</v>
      </c>
      <c r="G96">
        <v>8.09</v>
      </c>
      <c r="H96" s="1">
        <v>2.9999999999999997E-4</v>
      </c>
      <c r="I96" s="1">
        <v>-1E-4</v>
      </c>
      <c r="J96" s="1">
        <v>2.0053000000000001</v>
      </c>
      <c r="K96" s="1">
        <v>-4.6690000000000004E-3</v>
      </c>
      <c r="L96" s="1">
        <v>1.06E-3</v>
      </c>
      <c r="M96" s="1">
        <v>0.97608300000000003</v>
      </c>
      <c r="N96" s="1">
        <v>0.21734400000000001</v>
      </c>
      <c r="O96">
        <v>1</v>
      </c>
      <c r="P96">
        <v>0</v>
      </c>
      <c r="Q96">
        <v>1</v>
      </c>
      <c r="R96">
        <v>1</v>
      </c>
      <c r="S96">
        <v>1</v>
      </c>
      <c r="T96" s="1">
        <f>SQRT(POWER(Hybrid[[#This Row],[angvel_X]],2) + POWER(Hybrid[[#This Row],[angvel_Y]],2) + POWER(Hybrid[[#This Row],[angvel_Z]],2))</f>
        <v>2.0053000249339252</v>
      </c>
      <c r="U96">
        <f>DEGREES(ASIN(MAX(-1,MIN(1,2 * (Hybrid[[#This Row],[quart_W]]*Hybrid[[#This Row],[quart_Y]] - Hybrid[[#This Row],[quart_Z]]*Hybrid[[#This Row],[quart_X]])))))</f>
        <v>0.54864024400626399</v>
      </c>
      <c r="V9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-64.89353260124112</v>
      </c>
      <c r="W9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89.997723093803415</v>
      </c>
      <c r="X96">
        <f>IF(Hybrid[[#This Row],[Yaw]]&gt;V95,(360-ABS(Hybrid[[#This Row],[Yaw]])-ABS(V95)),ABS(Hybrid[[#This Row],[Yaw]]-V95))</f>
        <v>0.95651588636990681</v>
      </c>
      <c r="Y96">
        <f>Hybrid[[#This Row],[Degree change]]+Y95</f>
        <v>34.044403494612389</v>
      </c>
    </row>
    <row r="97" spans="1:25">
      <c r="A97">
        <v>96</v>
      </c>
      <c r="B97">
        <v>-214.11999499999999</v>
      </c>
      <c r="C97">
        <v>2520.2700199999999</v>
      </c>
      <c r="D97">
        <v>17.010000000000002</v>
      </c>
      <c r="E97">
        <v>-2039.6099850000001</v>
      </c>
      <c r="F97">
        <v>1062.969971</v>
      </c>
      <c r="G97">
        <v>8.09</v>
      </c>
      <c r="H97" s="1">
        <v>2.9999999999999997E-4</v>
      </c>
      <c r="I97" s="1">
        <v>-1E-4</v>
      </c>
      <c r="J97" s="1">
        <v>2.0074000000000001</v>
      </c>
      <c r="K97" s="1">
        <v>-4.6800000000000001E-3</v>
      </c>
      <c r="L97" s="1">
        <v>1.0219999999999999E-3</v>
      </c>
      <c r="M97" s="1">
        <v>0.97786499999999998</v>
      </c>
      <c r="N97" s="1">
        <v>0.20918100000000001</v>
      </c>
      <c r="O97">
        <v>1</v>
      </c>
      <c r="P97">
        <v>0</v>
      </c>
      <c r="Q97">
        <v>1</v>
      </c>
      <c r="R97">
        <v>1</v>
      </c>
      <c r="S97">
        <v>1</v>
      </c>
      <c r="T97" s="1">
        <f>SQRT(POWER(Hybrid[[#This Row],[angvel_X]],2) + POWER(Hybrid[[#This Row],[angvel_Y]],2) + POWER(Hybrid[[#This Row],[angvel_Z]],2))</f>
        <v>2.0074000249078412</v>
      </c>
      <c r="U97">
        <f>DEGREES(ASIN(MAX(-1,MIN(1,2 * (Hybrid[[#This Row],[quart_W]]*Hybrid[[#This Row],[quart_Y]] - Hybrid[[#This Row],[quart_Z]]*Hybrid[[#This Row],[quart_X]])))))</f>
        <v>0.54892387284355704</v>
      </c>
      <c r="V9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-65.850993367983961</v>
      </c>
      <c r="W9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89.997660970072701</v>
      </c>
      <c r="X97">
        <f>IF(Hybrid[[#This Row],[Yaw]]&gt;V96,(360-ABS(Hybrid[[#This Row],[Yaw]])-ABS(V96)),ABS(Hybrid[[#This Row],[Yaw]]-V96))</f>
        <v>0.95746076674284097</v>
      </c>
      <c r="Y97">
        <f>Hybrid[[#This Row],[Degree change]]+Y96</f>
        <v>35.00186426135523</v>
      </c>
    </row>
    <row r="98" spans="1:25">
      <c r="A98">
        <v>97</v>
      </c>
      <c r="B98">
        <v>-231.179993</v>
      </c>
      <c r="C98">
        <v>2529.1599120000001</v>
      </c>
      <c r="D98">
        <v>17.010000000000002</v>
      </c>
      <c r="E98">
        <v>-2056.8999020000001</v>
      </c>
      <c r="F98">
        <v>1029.1099850000001</v>
      </c>
      <c r="G98">
        <v>8.09</v>
      </c>
      <c r="H98" s="1">
        <v>2.9999999999999997E-4</v>
      </c>
      <c r="I98" s="1">
        <v>0</v>
      </c>
      <c r="J98" s="1">
        <v>2.0093000000000001</v>
      </c>
      <c r="K98" s="1">
        <v>-4.6909999999999999E-3</v>
      </c>
      <c r="L98" s="1">
        <v>9.8499999999999998E-4</v>
      </c>
      <c r="M98" s="1">
        <v>0.97958000000000001</v>
      </c>
      <c r="N98" s="1">
        <v>0.20099700000000001</v>
      </c>
      <c r="O98">
        <v>1</v>
      </c>
      <c r="P98">
        <v>0</v>
      </c>
      <c r="Q98">
        <v>1</v>
      </c>
      <c r="R98">
        <v>1</v>
      </c>
      <c r="S98">
        <v>1</v>
      </c>
      <c r="T98" s="1">
        <f>SQRT(POWER(Hybrid[[#This Row],[angvel_X]],2) + POWER(Hybrid[[#This Row],[angvel_Y]],2) + POWER(Hybrid[[#This Row],[angvel_Z]],2))</f>
        <v>2.0093000223958595</v>
      </c>
      <c r="U98">
        <f>DEGREES(ASIN(MAX(-1,MIN(1,2 * (Hybrid[[#This Row],[quart_W]]*Hybrid[[#This Row],[quart_Y]] - Hybrid[[#This Row],[quart_Z]]*Hybrid[[#This Row],[quart_X]])))))</f>
        <v>0.54926773699382436</v>
      </c>
      <c r="V9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-66.809199409814653</v>
      </c>
      <c r="W9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89.997477795737524</v>
      </c>
      <c r="X98">
        <f>IF(Hybrid[[#This Row],[Yaw]]&gt;V97,(360-ABS(Hybrid[[#This Row],[Yaw]])-ABS(V97)),ABS(Hybrid[[#This Row],[Yaw]]-V97))</f>
        <v>0.95820604183069236</v>
      </c>
      <c r="Y98">
        <f>Hybrid[[#This Row],[Degree change]]+Y97</f>
        <v>35.960070303185923</v>
      </c>
    </row>
    <row r="99" spans="1:25">
      <c r="A99">
        <v>98</v>
      </c>
      <c r="B99">
        <v>-248.37998999999999</v>
      </c>
      <c r="C99">
        <v>2537.76001</v>
      </c>
      <c r="D99">
        <v>17.010000000000002</v>
      </c>
      <c r="E99">
        <v>-2073.6599120000001</v>
      </c>
      <c r="F99">
        <v>994.90997300000004</v>
      </c>
      <c r="G99">
        <v>8.09</v>
      </c>
      <c r="H99" s="1">
        <v>4.0000000000000002E-4</v>
      </c>
      <c r="I99" s="1">
        <v>0</v>
      </c>
      <c r="J99" s="1">
        <v>2.0110999999999999</v>
      </c>
      <c r="K99" s="1">
        <v>-4.6959999999999997E-3</v>
      </c>
      <c r="L99" s="1">
        <v>9.41E-4</v>
      </c>
      <c r="M99" s="1">
        <v>0.98122799999999999</v>
      </c>
      <c r="N99" s="1">
        <v>0.19279199999999999</v>
      </c>
      <c r="O99">
        <v>1</v>
      </c>
      <c r="P99">
        <v>0</v>
      </c>
      <c r="Q99">
        <v>1</v>
      </c>
      <c r="R99">
        <v>1</v>
      </c>
      <c r="S99">
        <v>1</v>
      </c>
      <c r="T99" s="1">
        <f>SQRT(POWER(Hybrid[[#This Row],[angvel_X]],2) + POWER(Hybrid[[#This Row],[angvel_Y]],2) + POWER(Hybrid[[#This Row],[angvel_Z]],2))</f>
        <v>2.0111000397792247</v>
      </c>
      <c r="U99">
        <f>DEGREES(ASIN(MAX(-1,MIN(1,2 * (Hybrid[[#This Row],[quart_W]]*Hybrid[[#This Row],[quart_Y]] - Hybrid[[#This Row],[quart_Z]]*Hybrid[[#This Row],[quart_X]])))))</f>
        <v>0.54881761615352831</v>
      </c>
      <c r="V9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-67.768220003078326</v>
      </c>
      <c r="W9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89.997939054644931</v>
      </c>
      <c r="X99">
        <f>IF(Hybrid[[#This Row],[Yaw]]&gt;V98,(360-ABS(Hybrid[[#This Row],[Yaw]])-ABS(V98)),ABS(Hybrid[[#This Row],[Yaw]]-V98))</f>
        <v>0.9590205932636735</v>
      </c>
      <c r="Y99">
        <f>Hybrid[[#This Row],[Degree change]]+Y98</f>
        <v>36.919090896449596</v>
      </c>
    </row>
    <row r="100" spans="1:25">
      <c r="A100">
        <v>99</v>
      </c>
      <c r="B100">
        <v>-265.72000100000002</v>
      </c>
      <c r="C100">
        <v>2546.0798340000001</v>
      </c>
      <c r="D100">
        <v>17.010000000000002</v>
      </c>
      <c r="E100">
        <v>-2089.8798830000001</v>
      </c>
      <c r="F100">
        <v>960.36999500000002</v>
      </c>
      <c r="G100">
        <v>8.09</v>
      </c>
      <c r="H100" s="1">
        <v>4.0000000000000002E-4</v>
      </c>
      <c r="I100" s="1">
        <v>0</v>
      </c>
      <c r="J100" s="1">
        <v>2.0127000000000002</v>
      </c>
      <c r="K100" s="1">
        <v>-4.7019999999999996E-3</v>
      </c>
      <c r="L100" s="1">
        <v>8.9800000000000004E-4</v>
      </c>
      <c r="M100" s="1">
        <v>0.98280900000000004</v>
      </c>
      <c r="N100" s="1">
        <v>0.18456500000000001</v>
      </c>
      <c r="O100">
        <v>1</v>
      </c>
      <c r="P100">
        <v>0</v>
      </c>
      <c r="Q100">
        <v>1</v>
      </c>
      <c r="R100">
        <v>1</v>
      </c>
      <c r="S100">
        <v>1</v>
      </c>
      <c r="T100" s="1">
        <f>SQRT(POWER(Hybrid[[#This Row],[angvel_X]],2) + POWER(Hybrid[[#This Row],[angvel_Y]],2) + POWER(Hybrid[[#This Row],[angvel_Z]],2))</f>
        <v>2.0127000397476027</v>
      </c>
      <c r="U100">
        <f>DEGREES(ASIN(MAX(-1,MIN(1,2 * (Hybrid[[#This Row],[quart_W]]*Hybrid[[#This Row],[quart_Y]] - Hybrid[[#This Row],[quart_Z]]*Hybrid[[#This Row],[quart_X]])))))</f>
        <v>0.54854754905166159</v>
      </c>
      <c r="V10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-68.728239101611493</v>
      </c>
      <c r="W10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89.998311089159628</v>
      </c>
      <c r="X100">
        <f>IF(Hybrid[[#This Row],[Yaw]]&gt;V99,(360-ABS(Hybrid[[#This Row],[Yaw]])-ABS(V99)),ABS(Hybrid[[#This Row],[Yaw]]-V99))</f>
        <v>0.96001909853316647</v>
      </c>
      <c r="Y100">
        <f>Hybrid[[#This Row],[Degree change]]+Y99</f>
        <v>37.879109994982763</v>
      </c>
    </row>
    <row r="101" spans="1:25">
      <c r="A101">
        <v>100</v>
      </c>
      <c r="B101">
        <v>-283.19998199999998</v>
      </c>
      <c r="C101">
        <v>2554.1098630000001</v>
      </c>
      <c r="D101">
        <v>17.010000000000002</v>
      </c>
      <c r="E101">
        <v>-2105.5500489999999</v>
      </c>
      <c r="F101">
        <v>925.51000999999997</v>
      </c>
      <c r="G101">
        <v>8.09</v>
      </c>
      <c r="H101" s="1">
        <v>4.0000000000000002E-4</v>
      </c>
      <c r="I101" s="1">
        <v>0</v>
      </c>
      <c r="J101" s="1">
        <v>2.0142000000000002</v>
      </c>
      <c r="K101" s="1">
        <v>-4.7070000000000002E-3</v>
      </c>
      <c r="L101" s="1">
        <v>8.5499999999999997E-4</v>
      </c>
      <c r="M101" s="1">
        <v>0.98432200000000003</v>
      </c>
      <c r="N101" s="1">
        <v>0.176316</v>
      </c>
      <c r="O101">
        <v>1</v>
      </c>
      <c r="P101">
        <v>0</v>
      </c>
      <c r="Q101">
        <v>1</v>
      </c>
      <c r="R101">
        <v>1</v>
      </c>
      <c r="S101">
        <v>1</v>
      </c>
      <c r="T101" s="1">
        <f>SQRT(POWER(Hybrid[[#This Row],[angvel_X]],2) + POWER(Hybrid[[#This Row],[angvel_Y]],2) + POWER(Hybrid[[#This Row],[angvel_Z]],2))</f>
        <v>2.014200039718002</v>
      </c>
      <c r="U101">
        <f>DEGREES(ASIN(MAX(-1,MIN(1,2 * (Hybrid[[#This Row],[quart_W]]*Hybrid[[#This Row],[quart_Y]] - Hybrid[[#This Row],[quart_Z]]*Hybrid[[#This Row],[quart_X]])))))</f>
        <v>0.54820909265139695</v>
      </c>
      <c r="V10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-69.689271521455225</v>
      </c>
      <c r="W10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89.998661979399174</v>
      </c>
      <c r="X101">
        <f>IF(Hybrid[[#This Row],[Yaw]]&gt;V100,(360-ABS(Hybrid[[#This Row],[Yaw]])-ABS(V100)),ABS(Hybrid[[#This Row],[Yaw]]-V100))</f>
        <v>0.96103241984373255</v>
      </c>
      <c r="Y101">
        <f>Hybrid[[#This Row],[Degree change]]+Y100</f>
        <v>38.840142414826495</v>
      </c>
    </row>
    <row r="102" spans="1:25">
      <c r="A102">
        <v>101</v>
      </c>
      <c r="B102">
        <v>-300.80999800000001</v>
      </c>
      <c r="C102">
        <v>2561.8498540000001</v>
      </c>
      <c r="D102">
        <v>17.010000000000002</v>
      </c>
      <c r="E102">
        <v>-2120.6599120000001</v>
      </c>
      <c r="F102">
        <v>890.339966</v>
      </c>
      <c r="G102">
        <v>8.09</v>
      </c>
      <c r="H102" s="1">
        <v>2.9999999999999997E-4</v>
      </c>
      <c r="I102" s="1">
        <v>0</v>
      </c>
      <c r="J102" s="1">
        <v>2.0156000000000001</v>
      </c>
      <c r="K102" s="1">
        <v>-4.712E-3</v>
      </c>
      <c r="L102" s="1">
        <v>8.12E-4</v>
      </c>
      <c r="M102" s="1">
        <v>0.98576699999999995</v>
      </c>
      <c r="N102" s="1">
        <v>0.16805100000000001</v>
      </c>
      <c r="O102">
        <v>1</v>
      </c>
      <c r="P102">
        <v>0</v>
      </c>
      <c r="Q102">
        <v>1</v>
      </c>
      <c r="R102">
        <v>1</v>
      </c>
      <c r="S102">
        <v>1</v>
      </c>
      <c r="T102" s="1">
        <f>SQRT(POWER(Hybrid[[#This Row],[angvel_X]],2) + POWER(Hybrid[[#This Row],[angvel_Y]],2) + POWER(Hybrid[[#This Row],[angvel_Z]],2))</f>
        <v>2.0156000223258581</v>
      </c>
      <c r="U102">
        <f>DEGREES(ASIN(MAX(-1,MIN(1,2 * (Hybrid[[#This Row],[quart_W]]*Hybrid[[#This Row],[quart_Y]] - Hybrid[[#This Row],[quart_Z]]*Hybrid[[#This Row],[quart_X]])))))</f>
        <v>0.54791545920363005</v>
      </c>
      <c r="V10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-70.6507593051779</v>
      </c>
      <c r="W10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89.999016015502974</v>
      </c>
      <c r="X102">
        <f>IF(Hybrid[[#This Row],[Yaw]]&gt;V101,(360-ABS(Hybrid[[#This Row],[Yaw]])-ABS(V101)),ABS(Hybrid[[#This Row],[Yaw]]-V101))</f>
        <v>0.96148778372267429</v>
      </c>
      <c r="Y102">
        <f>Hybrid[[#This Row],[Degree change]]+Y101</f>
        <v>39.801630198549169</v>
      </c>
    </row>
    <row r="103" spans="1:25">
      <c r="A103">
        <v>102</v>
      </c>
      <c r="B103">
        <v>-318.54998799999998</v>
      </c>
      <c r="C103">
        <v>2569.290039</v>
      </c>
      <c r="D103">
        <v>17.010000000000002</v>
      </c>
      <c r="E103">
        <v>-2135.1999510000001</v>
      </c>
      <c r="F103">
        <v>854.88000499999998</v>
      </c>
      <c r="G103">
        <v>8.09</v>
      </c>
      <c r="H103" s="1">
        <v>2.0000000000000001E-4</v>
      </c>
      <c r="I103" s="1">
        <v>0</v>
      </c>
      <c r="J103" s="1">
        <v>2.0167999999999999</v>
      </c>
      <c r="K103" s="1">
        <v>-4.718E-3</v>
      </c>
      <c r="L103" s="1">
        <v>7.6900000000000004E-4</v>
      </c>
      <c r="M103" s="1">
        <v>0.98714400000000002</v>
      </c>
      <c r="N103" s="1">
        <v>0.15976499999999999</v>
      </c>
      <c r="O103">
        <v>1</v>
      </c>
      <c r="P103">
        <v>0</v>
      </c>
      <c r="Q103">
        <v>1</v>
      </c>
      <c r="R103">
        <v>1</v>
      </c>
      <c r="S103">
        <v>1</v>
      </c>
      <c r="T103" s="1">
        <f>SQRT(POWER(Hybrid[[#This Row],[angvel_X]],2) + POWER(Hybrid[[#This Row],[angvel_Y]],2) + POWER(Hybrid[[#This Row],[angvel_Z]],2))</f>
        <v>2.0168000099166994</v>
      </c>
      <c r="U103">
        <f>DEGREES(ASIN(MAX(-1,MIN(1,2 * (Hybrid[[#This Row],[quart_W]]*Hybrid[[#This Row],[quart_Y]] - Hybrid[[#This Row],[quart_Z]]*Hybrid[[#This Row],[quart_X]])))))</f>
        <v>0.54777945125496141</v>
      </c>
      <c r="V10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-71.613305406625059</v>
      </c>
      <c r="W10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89.999387770512072</v>
      </c>
      <c r="X103">
        <f>IF(Hybrid[[#This Row],[Yaw]]&gt;V102,(360-ABS(Hybrid[[#This Row],[Yaw]])-ABS(V102)),ABS(Hybrid[[#This Row],[Yaw]]-V102))</f>
        <v>0.96254610144715969</v>
      </c>
      <c r="Y103">
        <f>Hybrid[[#This Row],[Degree change]]+Y102</f>
        <v>40.764176299996329</v>
      </c>
    </row>
    <row r="104" spans="1:25">
      <c r="A104">
        <v>103</v>
      </c>
      <c r="B104">
        <v>-336.41000400000001</v>
      </c>
      <c r="C104">
        <v>2576.4399410000001</v>
      </c>
      <c r="D104">
        <v>17.010000000000002</v>
      </c>
      <c r="E104">
        <v>-2149.169922</v>
      </c>
      <c r="F104">
        <v>819.13000499999998</v>
      </c>
      <c r="G104">
        <v>8.09</v>
      </c>
      <c r="H104" s="1">
        <v>1E-4</v>
      </c>
      <c r="I104" s="1">
        <v>0</v>
      </c>
      <c r="J104" s="1">
        <v>2.0179</v>
      </c>
      <c r="K104" s="1">
        <v>-4.7229999999999998E-3</v>
      </c>
      <c r="L104" s="1">
        <v>7.3099999999999999E-4</v>
      </c>
      <c r="M104" s="1">
        <v>0.98845099999999997</v>
      </c>
      <c r="N104" s="1">
        <v>0.15146200000000001</v>
      </c>
      <c r="O104">
        <v>1</v>
      </c>
      <c r="P104">
        <v>0</v>
      </c>
      <c r="Q104">
        <v>1</v>
      </c>
      <c r="R104">
        <v>1</v>
      </c>
      <c r="S104">
        <v>1</v>
      </c>
      <c r="T104" s="1">
        <f>SQRT(POWER(Hybrid[[#This Row],[angvel_X]],2) + POWER(Hybrid[[#This Row],[angvel_Y]],2) + POWER(Hybrid[[#This Row],[angvel_Z]],2))</f>
        <v>2.0179000024778233</v>
      </c>
      <c r="U104">
        <f>DEGREES(ASIN(MAX(-1,MIN(1,2 * (Hybrid[[#This Row],[quart_W]]*Hybrid[[#This Row],[quart_Y]] - Hybrid[[#This Row],[quart_Z]]*Hybrid[[#This Row],[quart_X]])))))</f>
        <v>0.54766120088476711</v>
      </c>
      <c r="V10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-72.576454173386608</v>
      </c>
      <c r="W10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89.999174598828361</v>
      </c>
      <c r="X104">
        <f>IF(Hybrid[[#This Row],[Yaw]]&gt;V103,(360-ABS(Hybrid[[#This Row],[Yaw]])-ABS(V103)),ABS(Hybrid[[#This Row],[Yaw]]-V103))</f>
        <v>0.96314876676154881</v>
      </c>
      <c r="Y104">
        <f>Hybrid[[#This Row],[Degree change]]+Y103</f>
        <v>41.727325066757878</v>
      </c>
    </row>
    <row r="105" spans="1:25">
      <c r="A105">
        <v>104</v>
      </c>
      <c r="B105">
        <v>-354.38998400000003</v>
      </c>
      <c r="C105">
        <v>2583.290039</v>
      </c>
      <c r="D105">
        <v>17.010000000000002</v>
      </c>
      <c r="E105">
        <v>-2162.5500489999999</v>
      </c>
      <c r="F105">
        <v>783.10998500000005</v>
      </c>
      <c r="G105">
        <v>8.09</v>
      </c>
      <c r="H105" s="1">
        <v>1E-4</v>
      </c>
      <c r="I105" s="1">
        <v>0</v>
      </c>
      <c r="J105" s="1">
        <v>2.0188999999999999</v>
      </c>
      <c r="K105" s="1">
        <v>-4.7289999999999997E-3</v>
      </c>
      <c r="L105" s="1">
        <v>6.9300000000000004E-4</v>
      </c>
      <c r="M105" s="1">
        <v>0.98968999999999996</v>
      </c>
      <c r="N105" s="1">
        <v>0.143149</v>
      </c>
      <c r="O105">
        <v>1</v>
      </c>
      <c r="P105">
        <v>0</v>
      </c>
      <c r="Q105">
        <v>1</v>
      </c>
      <c r="R105">
        <v>1</v>
      </c>
      <c r="S105">
        <v>1</v>
      </c>
      <c r="T105" s="1">
        <f>SQRT(POWER(Hybrid[[#This Row],[angvel_X]],2) + POWER(Hybrid[[#This Row],[angvel_Y]],2) + POWER(Hybrid[[#This Row],[angvel_Z]],2))</f>
        <v>2.0189000024765962</v>
      </c>
      <c r="U105">
        <f>DEGREES(ASIN(MAX(-1,MIN(1,2 * (Hybrid[[#This Row],[quart_W]]*Hybrid[[#This Row],[quart_Y]] - Hybrid[[#This Row],[quart_Z]]*Hybrid[[#This Row],[quart_X]])))))</f>
        <v>0.54769253989930877</v>
      </c>
      <c r="V10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-73.539621522155016</v>
      </c>
      <c r="W10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89.99897968182367</v>
      </c>
      <c r="X105">
        <f>IF(Hybrid[[#This Row],[Yaw]]&gt;V104,(360-ABS(Hybrid[[#This Row],[Yaw]])-ABS(V104)),ABS(Hybrid[[#This Row],[Yaw]]-V104))</f>
        <v>0.96316734876840826</v>
      </c>
      <c r="Y105">
        <f>Hybrid[[#This Row],[Degree change]]+Y104</f>
        <v>42.690492415526286</v>
      </c>
    </row>
    <row r="106" spans="1:25">
      <c r="A106">
        <v>105</v>
      </c>
      <c r="B106">
        <v>-372.47998000000001</v>
      </c>
      <c r="C106">
        <v>2589.8398440000001</v>
      </c>
      <c r="D106">
        <v>17.010000000000002</v>
      </c>
      <c r="E106">
        <v>-2175.3498540000001</v>
      </c>
      <c r="F106">
        <v>746.839966</v>
      </c>
      <c r="G106">
        <v>8.09</v>
      </c>
      <c r="H106" s="1">
        <v>1E-4</v>
      </c>
      <c r="I106" s="1">
        <v>0</v>
      </c>
      <c r="J106" s="1">
        <v>2.0198999999999998</v>
      </c>
      <c r="K106" s="1">
        <v>-4.7340000000000004E-3</v>
      </c>
      <c r="L106" s="1">
        <v>6.5499999999999998E-4</v>
      </c>
      <c r="M106" s="1">
        <v>0.99085900000000005</v>
      </c>
      <c r="N106" s="1">
        <v>0.13481899999999999</v>
      </c>
      <c r="O106">
        <v>1</v>
      </c>
      <c r="P106">
        <v>0</v>
      </c>
      <c r="Q106">
        <v>1</v>
      </c>
      <c r="R106">
        <v>1</v>
      </c>
      <c r="S106">
        <v>1</v>
      </c>
      <c r="T106" s="1">
        <f>SQRT(POWER(Hybrid[[#This Row],[angvel_X]],2) + POWER(Hybrid[[#This Row],[angvel_Y]],2) + POWER(Hybrid[[#This Row],[angvel_Z]],2))</f>
        <v>2.0199000024753699</v>
      </c>
      <c r="U106">
        <f>DEGREES(ASIN(MAX(-1,MIN(1,2 * (Hybrid[[#This Row],[quart_W]]*Hybrid[[#This Row],[quart_Y]] - Hybrid[[#This Row],[quart_Z]]*Hybrid[[#This Row],[quart_X]])))))</f>
        <v>0.54764517521072298</v>
      </c>
      <c r="V10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-74.50353345724217</v>
      </c>
      <c r="W10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89.998764703976477</v>
      </c>
      <c r="X106">
        <f>IF(Hybrid[[#This Row],[Yaw]]&gt;V105,(360-ABS(Hybrid[[#This Row],[Yaw]])-ABS(V105)),ABS(Hybrid[[#This Row],[Yaw]]-V105))</f>
        <v>0.96391193508715389</v>
      </c>
      <c r="Y106">
        <f>Hybrid[[#This Row],[Degree change]]+Y105</f>
        <v>43.65440435061344</v>
      </c>
    </row>
    <row r="107" spans="1:25">
      <c r="A107">
        <v>106</v>
      </c>
      <c r="B107">
        <v>-390.669983</v>
      </c>
      <c r="C107">
        <v>2596.0798340000001</v>
      </c>
      <c r="D107">
        <v>17.010000000000002</v>
      </c>
      <c r="E107">
        <v>-2187.540039</v>
      </c>
      <c r="F107">
        <v>710.32000700000003</v>
      </c>
      <c r="G107">
        <v>8.09</v>
      </c>
      <c r="H107" s="1">
        <v>1E-4</v>
      </c>
      <c r="I107" s="1">
        <v>0</v>
      </c>
      <c r="J107" s="1">
        <v>2.0207999999999999</v>
      </c>
      <c r="K107" s="1">
        <v>-4.7390000000000002E-3</v>
      </c>
      <c r="L107" s="1">
        <v>6.1799999999999995E-4</v>
      </c>
      <c r="M107" s="1">
        <v>0.99195800000000001</v>
      </c>
      <c r="N107" s="1">
        <v>0.126473</v>
      </c>
      <c r="O107">
        <v>1</v>
      </c>
      <c r="P107">
        <v>0</v>
      </c>
      <c r="Q107">
        <v>1</v>
      </c>
      <c r="R107">
        <v>1</v>
      </c>
      <c r="S107">
        <v>1</v>
      </c>
      <c r="T107" s="1">
        <f>SQRT(POWER(Hybrid[[#This Row],[angvel_X]],2) + POWER(Hybrid[[#This Row],[angvel_Y]],2) + POWER(Hybrid[[#This Row],[angvel_Z]],2))</f>
        <v>2.0208000024742674</v>
      </c>
      <c r="U107">
        <f>DEGREES(ASIN(MAX(-1,MIN(1,2 * (Hybrid[[#This Row],[quart_W]]*Hybrid[[#This Row],[quart_Y]] - Hybrid[[#This Row],[quart_Z]]*Hybrid[[#This Row],[quart_X]])))))</f>
        <v>0.54764704600338088</v>
      </c>
      <c r="V10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-75.46816225407575</v>
      </c>
      <c r="W10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89.998432946487114</v>
      </c>
      <c r="X107">
        <f>IF(Hybrid[[#This Row],[Yaw]]&gt;V106,(360-ABS(Hybrid[[#This Row],[Yaw]])-ABS(V106)),ABS(Hybrid[[#This Row],[Yaw]]-V106))</f>
        <v>0.96462879683357983</v>
      </c>
      <c r="Y107">
        <f>Hybrid[[#This Row],[Degree change]]+Y106</f>
        <v>44.61903314744702</v>
      </c>
    </row>
    <row r="108" spans="1:25">
      <c r="A108">
        <v>107</v>
      </c>
      <c r="B108">
        <v>-408.97000100000002</v>
      </c>
      <c r="C108">
        <v>2602.0200199999999</v>
      </c>
      <c r="D108">
        <v>17.010000000000002</v>
      </c>
      <c r="E108">
        <v>-2199.139893</v>
      </c>
      <c r="F108">
        <v>673.57000700000003</v>
      </c>
      <c r="G108">
        <v>8.09</v>
      </c>
      <c r="H108" s="1">
        <v>1E-4</v>
      </c>
      <c r="I108" s="1">
        <v>0</v>
      </c>
      <c r="J108" s="1">
        <v>2.0215999999999998</v>
      </c>
      <c r="K108" s="1">
        <v>-4.7450000000000001E-3</v>
      </c>
      <c r="L108" s="1">
        <v>5.8E-4</v>
      </c>
      <c r="M108" s="1">
        <v>0.99298799999999998</v>
      </c>
      <c r="N108" s="1">
        <v>0.118117</v>
      </c>
      <c r="O108">
        <v>1</v>
      </c>
      <c r="P108">
        <v>0</v>
      </c>
      <c r="Q108">
        <v>1</v>
      </c>
      <c r="R108">
        <v>1</v>
      </c>
      <c r="S108">
        <v>1</v>
      </c>
      <c r="T108" s="1">
        <f>SQRT(POWER(Hybrid[[#This Row],[angvel_X]],2) + POWER(Hybrid[[#This Row],[angvel_Y]],2) + POWER(Hybrid[[#This Row],[angvel_Z]],2))</f>
        <v>2.0216000024732881</v>
      </c>
      <c r="U108">
        <f>DEGREES(ASIN(MAX(-1,MIN(1,2 * (Hybrid[[#This Row],[quart_W]]*Hybrid[[#This Row],[quart_Y]] - Hybrid[[#This Row],[quart_Z]]*Hybrid[[#This Row],[quart_X]])))))</f>
        <v>0.54778303160266928</v>
      </c>
      <c r="V10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-76.432962082735685</v>
      </c>
      <c r="W10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89.99822743107805</v>
      </c>
      <c r="X108">
        <f>IF(Hybrid[[#This Row],[Yaw]]&gt;V107,(360-ABS(Hybrid[[#This Row],[Yaw]])-ABS(V107)),ABS(Hybrid[[#This Row],[Yaw]]-V107))</f>
        <v>0.96479982865993463</v>
      </c>
      <c r="Y108">
        <f>Hybrid[[#This Row],[Degree change]]+Y107</f>
        <v>45.583832976106955</v>
      </c>
    </row>
    <row r="109" spans="1:25">
      <c r="A109">
        <v>108</v>
      </c>
      <c r="B109">
        <v>-427.35998499999999</v>
      </c>
      <c r="C109">
        <v>2607.6499020000001</v>
      </c>
      <c r="D109">
        <v>17.010000000000002</v>
      </c>
      <c r="E109">
        <v>-2210.1198730000001</v>
      </c>
      <c r="F109">
        <v>636.59997599999997</v>
      </c>
      <c r="G109">
        <v>8.09</v>
      </c>
      <c r="H109" s="1">
        <v>1E-4</v>
      </c>
      <c r="I109" s="1">
        <v>0</v>
      </c>
      <c r="J109" s="1">
        <v>2.0223</v>
      </c>
      <c r="K109" s="1">
        <v>-4.7499999999999999E-3</v>
      </c>
      <c r="L109" s="1">
        <v>5.4199999999999995E-4</v>
      </c>
      <c r="M109" s="1">
        <v>0.99394800000000005</v>
      </c>
      <c r="N109" s="1">
        <v>0.109749</v>
      </c>
      <c r="O109">
        <v>1</v>
      </c>
      <c r="P109">
        <v>0</v>
      </c>
      <c r="Q109">
        <v>1</v>
      </c>
      <c r="R109">
        <v>1</v>
      </c>
      <c r="S109">
        <v>1</v>
      </c>
      <c r="T109" s="1">
        <f>SQRT(POWER(Hybrid[[#This Row],[angvel_X]],2) + POWER(Hybrid[[#This Row],[angvel_Y]],2) + POWER(Hybrid[[#This Row],[angvel_Z]],2))</f>
        <v>2.0223000024724325</v>
      </c>
      <c r="U109">
        <f>DEGREES(ASIN(MAX(-1,MIN(1,2 * (Hybrid[[#This Row],[quart_W]]*Hybrid[[#This Row],[quart_Y]] - Hybrid[[#This Row],[quart_Z]]*Hybrid[[#This Row],[quart_X]])))))</f>
        <v>0.54784044895260386</v>
      </c>
      <c r="V10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-77.398177623895208</v>
      </c>
      <c r="W10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89.998004632998729</v>
      </c>
      <c r="X109">
        <f>IF(Hybrid[[#This Row],[Yaw]]&gt;V108,(360-ABS(Hybrid[[#This Row],[Yaw]])-ABS(V108)),ABS(Hybrid[[#This Row],[Yaw]]-V108))</f>
        <v>0.96521554115952313</v>
      </c>
      <c r="Y109">
        <f>Hybrid[[#This Row],[Degree change]]+Y108</f>
        <v>46.549048517266478</v>
      </c>
    </row>
    <row r="110" spans="1:25">
      <c r="A110">
        <v>109</v>
      </c>
      <c r="B110">
        <v>-445.83999599999999</v>
      </c>
      <c r="C110">
        <v>2612.969971</v>
      </c>
      <c r="D110">
        <v>17.010000000000002</v>
      </c>
      <c r="E110">
        <v>-2220.5</v>
      </c>
      <c r="F110">
        <v>599.419983</v>
      </c>
      <c r="G110">
        <v>8.09</v>
      </c>
      <c r="H110" s="1">
        <v>2.0000000000000001E-4</v>
      </c>
      <c r="I110" s="1">
        <v>0</v>
      </c>
      <c r="J110" s="1">
        <v>2.0230000000000001</v>
      </c>
      <c r="K110" s="1">
        <v>-4.7559999999999998E-3</v>
      </c>
      <c r="L110" s="1">
        <v>5.04E-4</v>
      </c>
      <c r="M110" s="1">
        <v>0.99483699999999997</v>
      </c>
      <c r="N110" s="1">
        <v>0.101371</v>
      </c>
      <c r="O110">
        <v>1</v>
      </c>
      <c r="P110">
        <v>0</v>
      </c>
      <c r="Q110">
        <v>1</v>
      </c>
      <c r="R110">
        <v>1</v>
      </c>
      <c r="S110">
        <v>1</v>
      </c>
      <c r="T110" s="1">
        <f>SQRT(POWER(Hybrid[[#This Row],[angvel_X]],2) + POWER(Hybrid[[#This Row],[angvel_Y]],2) + POWER(Hybrid[[#This Row],[angvel_Z]],2))</f>
        <v>2.0230000098863075</v>
      </c>
      <c r="U110">
        <f>DEGREES(ASIN(MAX(-1,MIN(1,2 * (Hybrid[[#This Row],[quart_W]]*Hybrid[[#This Row],[quart_Y]] - Hybrid[[#This Row],[quart_Z]]*Hybrid[[#This Row],[quart_X]])))))</f>
        <v>0.5480465854462413</v>
      </c>
      <c r="V11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-78.363621801614357</v>
      </c>
      <c r="W11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89.99779087482861</v>
      </c>
      <c r="X110">
        <f>IF(Hybrid[[#This Row],[Yaw]]&gt;V109,(360-ABS(Hybrid[[#This Row],[Yaw]])-ABS(V109)),ABS(Hybrid[[#This Row],[Yaw]]-V109))</f>
        <v>0.96544417771914937</v>
      </c>
      <c r="Y110">
        <f>Hybrid[[#This Row],[Degree change]]+Y109</f>
        <v>47.514492694985627</v>
      </c>
    </row>
    <row r="111" spans="1:25">
      <c r="A111">
        <v>110</v>
      </c>
      <c r="B111">
        <v>-464.41000400000001</v>
      </c>
      <c r="C111">
        <v>2617.9799800000001</v>
      </c>
      <c r="D111">
        <v>17.010000000000002</v>
      </c>
      <c r="E111">
        <v>-2230.25</v>
      </c>
      <c r="F111">
        <v>562.04998799999998</v>
      </c>
      <c r="G111">
        <v>8.09</v>
      </c>
      <c r="H111" s="1">
        <v>2.9999999999999997E-4</v>
      </c>
      <c r="I111" s="1">
        <v>0</v>
      </c>
      <c r="J111" s="1">
        <v>2.0236000000000001</v>
      </c>
      <c r="K111" s="1">
        <v>-4.7609999999999996E-3</v>
      </c>
      <c r="L111" s="1">
        <v>4.6099999999999998E-4</v>
      </c>
      <c r="M111" s="1">
        <v>0.99565599999999999</v>
      </c>
      <c r="N111" s="1">
        <v>9.2981999999999995E-2</v>
      </c>
      <c r="O111">
        <v>1</v>
      </c>
      <c r="P111">
        <v>0</v>
      </c>
      <c r="Q111">
        <v>1</v>
      </c>
      <c r="R111">
        <v>1</v>
      </c>
      <c r="S111">
        <v>1</v>
      </c>
      <c r="T111" s="1">
        <f>SQRT(POWER(Hybrid[[#This Row],[angvel_X]],2) + POWER(Hybrid[[#This Row],[angvel_Y]],2) + POWER(Hybrid[[#This Row],[angvel_Z]],2))</f>
        <v>2.0236000222375963</v>
      </c>
      <c r="U111">
        <f>DEGREES(ASIN(MAX(-1,MIN(1,2 * (Hybrid[[#This Row],[quart_W]]*Hybrid[[#This Row],[quart_Y]] - Hybrid[[#This Row],[quart_Z]]*Hybrid[[#This Row],[quart_X]])))))</f>
        <v>0.54812074814189493</v>
      </c>
      <c r="V11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-79.32951142611256</v>
      </c>
      <c r="W11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89.99813091308144</v>
      </c>
      <c r="X111">
        <f>IF(Hybrid[[#This Row],[Yaw]]&gt;V110,(360-ABS(Hybrid[[#This Row],[Yaw]])-ABS(V110)),ABS(Hybrid[[#This Row],[Yaw]]-V110))</f>
        <v>0.96588962449820315</v>
      </c>
      <c r="Y111">
        <f>Hybrid[[#This Row],[Degree change]]+Y110</f>
        <v>48.48038231948383</v>
      </c>
    </row>
    <row r="112" spans="1:25">
      <c r="A112">
        <v>111</v>
      </c>
      <c r="B112">
        <v>-483.05999800000001</v>
      </c>
      <c r="C112">
        <v>2622.679932</v>
      </c>
      <c r="D112">
        <v>17.010000000000002</v>
      </c>
      <c r="E112">
        <v>-2239.3798830000001</v>
      </c>
      <c r="F112">
        <v>524.48999000000003</v>
      </c>
      <c r="G112">
        <v>8.09</v>
      </c>
      <c r="H112" s="1">
        <v>2.9999999999999997E-4</v>
      </c>
      <c r="I112" s="1">
        <v>0</v>
      </c>
      <c r="J112" s="1">
        <v>2.0242</v>
      </c>
      <c r="K112" s="1">
        <v>-4.7660000000000003E-3</v>
      </c>
      <c r="L112" s="1">
        <v>4.1800000000000002E-4</v>
      </c>
      <c r="M112" s="1">
        <v>0.99640499999999999</v>
      </c>
      <c r="N112" s="1">
        <v>8.4583000000000005E-2</v>
      </c>
      <c r="O112">
        <v>1</v>
      </c>
      <c r="P112">
        <v>0</v>
      </c>
      <c r="Q112">
        <v>1</v>
      </c>
      <c r="R112">
        <v>1</v>
      </c>
      <c r="S112">
        <v>1</v>
      </c>
      <c r="T112" s="1">
        <f>SQRT(POWER(Hybrid[[#This Row],[angvel_X]],2) + POWER(Hybrid[[#This Row],[angvel_Y]],2) + POWER(Hybrid[[#This Row],[angvel_Z]],2))</f>
        <v>2.0242000222310046</v>
      </c>
      <c r="U112">
        <f>DEGREES(ASIN(MAX(-1,MIN(1,2 * (Hybrid[[#This Row],[quart_W]]*Hybrid[[#This Row],[quart_Y]] - Hybrid[[#This Row],[quart_Z]]*Hybrid[[#This Row],[quart_X]])))))</f>
        <v>0.54823981490879947</v>
      </c>
      <c r="V11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-80.295805067743174</v>
      </c>
      <c r="W11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89.998467300735385</v>
      </c>
      <c r="X112">
        <f>IF(Hybrid[[#This Row],[Yaw]]&gt;V111,(360-ABS(Hybrid[[#This Row],[Yaw]])-ABS(V111)),ABS(Hybrid[[#This Row],[Yaw]]-V111))</f>
        <v>0.96629364163061382</v>
      </c>
      <c r="Y112">
        <f>Hybrid[[#This Row],[Degree change]]+Y111</f>
        <v>49.446675961114444</v>
      </c>
    </row>
    <row r="113" spans="1:25">
      <c r="A113">
        <v>112</v>
      </c>
      <c r="B113">
        <v>-501.78997800000002</v>
      </c>
      <c r="C113">
        <v>2627.0600589999999</v>
      </c>
      <c r="D113">
        <v>17.010000000000002</v>
      </c>
      <c r="E113">
        <v>-2247.8798830000001</v>
      </c>
      <c r="F113">
        <v>486.75997899999999</v>
      </c>
      <c r="G113">
        <v>8.09</v>
      </c>
      <c r="H113" s="1">
        <v>2.9999999999999997E-4</v>
      </c>
      <c r="I113" s="1">
        <v>0</v>
      </c>
      <c r="J113" s="1">
        <v>2.0247000000000002</v>
      </c>
      <c r="K113" s="1">
        <v>-4.7720000000000002E-3</v>
      </c>
      <c r="L113" s="1">
        <v>3.7500000000000001E-4</v>
      </c>
      <c r="M113" s="1">
        <v>0.99708300000000005</v>
      </c>
      <c r="N113" s="1">
        <v>7.6177999999999996E-2</v>
      </c>
      <c r="O113">
        <v>1</v>
      </c>
      <c r="P113">
        <v>0</v>
      </c>
      <c r="Q113">
        <v>1</v>
      </c>
      <c r="R113">
        <v>1</v>
      </c>
      <c r="S113">
        <v>1</v>
      </c>
      <c r="T113" s="1">
        <f>SQRT(POWER(Hybrid[[#This Row],[angvel_X]],2) + POWER(Hybrid[[#This Row],[angvel_Y]],2) + POWER(Hybrid[[#This Row],[angvel_Z]],2))</f>
        <v>2.0247000222255149</v>
      </c>
      <c r="U113">
        <f>DEGREES(ASIN(MAX(-1,MIN(1,2 * (Hybrid[[#This Row],[quart_W]]*Hybrid[[#This Row],[quart_Y]] - Hybrid[[#This Row],[quart_Z]]*Hybrid[[#This Row],[quart_X]])))))</f>
        <v>0.54851770093714947</v>
      </c>
      <c r="V11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-81.262091281216485</v>
      </c>
      <c r="W11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89.998809945471322</v>
      </c>
      <c r="X113">
        <f>IF(Hybrid[[#This Row],[Yaw]]&gt;V112,(360-ABS(Hybrid[[#This Row],[Yaw]])-ABS(V112)),ABS(Hybrid[[#This Row],[Yaw]]-V112))</f>
        <v>0.96628621347331034</v>
      </c>
      <c r="Y113">
        <f>Hybrid[[#This Row],[Degree change]]+Y112</f>
        <v>50.412962174587754</v>
      </c>
    </row>
    <row r="114" spans="1:25">
      <c r="A114">
        <v>113</v>
      </c>
      <c r="B114">
        <v>-520.589966</v>
      </c>
      <c r="C114">
        <v>2631.1298830000001</v>
      </c>
      <c r="D114">
        <v>17.010000000000002</v>
      </c>
      <c r="E114">
        <v>-2255.75</v>
      </c>
      <c r="F114">
        <v>448.88000499999998</v>
      </c>
      <c r="G114">
        <v>8.09</v>
      </c>
      <c r="H114" s="1">
        <v>2.9999999999999997E-4</v>
      </c>
      <c r="I114" s="1">
        <v>0</v>
      </c>
      <c r="J114" s="1">
        <v>2.0251999999999999</v>
      </c>
      <c r="K114" s="1">
        <v>-4.777E-3</v>
      </c>
      <c r="L114" s="1">
        <v>3.3199999999999999E-4</v>
      </c>
      <c r="M114" s="1">
        <v>0.99768999999999997</v>
      </c>
      <c r="N114" s="1">
        <v>6.7762000000000003E-2</v>
      </c>
      <c r="O114">
        <v>1</v>
      </c>
      <c r="P114">
        <v>0</v>
      </c>
      <c r="Q114">
        <v>1</v>
      </c>
      <c r="R114">
        <v>1</v>
      </c>
      <c r="S114">
        <v>1</v>
      </c>
      <c r="T114" s="1">
        <f>SQRT(POWER(Hybrid[[#This Row],[angvel_X]],2) + POWER(Hybrid[[#This Row],[angvel_Y]],2) + POWER(Hybrid[[#This Row],[angvel_Z]],2))</f>
        <v>2.0252000222200275</v>
      </c>
      <c r="U114">
        <f>DEGREES(ASIN(MAX(-1,MIN(1,2 * (Hybrid[[#This Row],[quart_W]]*Hybrid[[#This Row],[quart_Y]] - Hybrid[[#This Row],[quart_Z]]*Hybrid[[#This Row],[quart_X]])))))</f>
        <v>0.54872572715557355</v>
      </c>
      <c r="V11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-82.229006465926645</v>
      </c>
      <c r="W11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89.999136626912616</v>
      </c>
      <c r="X114">
        <f>IF(Hybrid[[#This Row],[Yaw]]&gt;V113,(360-ABS(Hybrid[[#This Row],[Yaw]])-ABS(V113)),ABS(Hybrid[[#This Row],[Yaw]]-V113))</f>
        <v>0.96691518471016025</v>
      </c>
      <c r="Y114">
        <f>Hybrid[[#This Row],[Degree change]]+Y113</f>
        <v>51.379877359297915</v>
      </c>
    </row>
    <row r="115" spans="1:25">
      <c r="A115">
        <v>114</v>
      </c>
      <c r="B115">
        <v>-539.45996100000002</v>
      </c>
      <c r="C115">
        <v>2634.8798830000001</v>
      </c>
      <c r="D115">
        <v>17.010000000000002</v>
      </c>
      <c r="E115">
        <v>-2262.98999</v>
      </c>
      <c r="F115">
        <v>410.84997600000003</v>
      </c>
      <c r="G115">
        <v>8.09</v>
      </c>
      <c r="H115" s="1">
        <v>2.0000000000000001E-4</v>
      </c>
      <c r="I115" s="1">
        <v>0</v>
      </c>
      <c r="J115" s="1">
        <v>2.0255999999999998</v>
      </c>
      <c r="K115" s="1">
        <v>-4.777E-3</v>
      </c>
      <c r="L115" s="1">
        <v>2.8899999999999998E-4</v>
      </c>
      <c r="M115" s="1">
        <v>0.99822599999999995</v>
      </c>
      <c r="N115" s="1">
        <v>5.9339999999999997E-2</v>
      </c>
      <c r="O115">
        <v>1</v>
      </c>
      <c r="P115">
        <v>0</v>
      </c>
      <c r="Q115">
        <v>1</v>
      </c>
      <c r="R115">
        <v>1</v>
      </c>
      <c r="S115">
        <v>1</v>
      </c>
      <c r="T115" s="1">
        <f>SQRT(POWER(Hybrid[[#This Row],[angvel_X]],2) + POWER(Hybrid[[#This Row],[angvel_Y]],2) + POWER(Hybrid[[#This Row],[angvel_Z]],2))</f>
        <v>2.0256000098736173</v>
      </c>
      <c r="U115">
        <f>DEGREES(ASIN(MAX(-1,MIN(1,2 * (Hybrid[[#This Row],[quart_W]]*Hybrid[[#This Row],[quart_Y]] - Hybrid[[#This Row],[quart_Z]]*Hybrid[[#This Row],[quart_X]])))))</f>
        <v>0.54840631696393505</v>
      </c>
      <c r="V11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-83.196057362775761</v>
      </c>
      <c r="W11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89.999424708666353</v>
      </c>
      <c r="X115">
        <f>IF(Hybrid[[#This Row],[Yaw]]&gt;V114,(360-ABS(Hybrid[[#This Row],[Yaw]])-ABS(V114)),ABS(Hybrid[[#This Row],[Yaw]]-V114))</f>
        <v>0.96705089684911627</v>
      </c>
      <c r="Y115">
        <f>Hybrid[[#This Row],[Degree change]]+Y114</f>
        <v>52.346928256147031</v>
      </c>
    </row>
    <row r="116" spans="1:25">
      <c r="A116">
        <v>115</v>
      </c>
      <c r="B116">
        <v>-558.39001499999995</v>
      </c>
      <c r="C116">
        <v>2638.3100589999999</v>
      </c>
      <c r="D116">
        <v>17.010000000000002</v>
      </c>
      <c r="E116">
        <v>-2269.5798340000001</v>
      </c>
      <c r="F116">
        <v>372.69000199999999</v>
      </c>
      <c r="G116">
        <v>8.09</v>
      </c>
      <c r="H116" s="1">
        <v>1E-4</v>
      </c>
      <c r="I116" s="1">
        <v>0</v>
      </c>
      <c r="J116" s="1">
        <v>2.0259999999999998</v>
      </c>
      <c r="K116" s="1">
        <v>-4.777E-3</v>
      </c>
      <c r="L116" s="1">
        <v>2.4499999999999999E-4</v>
      </c>
      <c r="M116" s="1">
        <v>0.99869200000000002</v>
      </c>
      <c r="N116" s="1">
        <v>5.0914000000000001E-2</v>
      </c>
      <c r="O116">
        <v>1</v>
      </c>
      <c r="P116">
        <v>0</v>
      </c>
      <c r="Q116">
        <v>1</v>
      </c>
      <c r="R116">
        <v>1</v>
      </c>
      <c r="S116">
        <v>1</v>
      </c>
      <c r="T116" s="1">
        <f>SQRT(POWER(Hybrid[[#This Row],[angvel_X]],2) + POWER(Hybrid[[#This Row],[angvel_Y]],2) + POWER(Hybrid[[#This Row],[angvel_Z]],2))</f>
        <v>2.0260000024679168</v>
      </c>
      <c r="U116">
        <f>DEGREES(ASIN(MAX(-1,MIN(1,2 * (Hybrid[[#This Row],[quart_W]]*Hybrid[[#This Row],[quart_Y]] - Hybrid[[#This Row],[quart_Z]]*Hybrid[[#This Row],[quart_X]])))))</f>
        <v>0.54812564096699046</v>
      </c>
      <c r="V11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-84.163102962566725</v>
      </c>
      <c r="W11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89.999832303393291</v>
      </c>
      <c r="X116">
        <f>IF(Hybrid[[#This Row],[Yaw]]&gt;V115,(360-ABS(Hybrid[[#This Row],[Yaw]])-ABS(V115)),ABS(Hybrid[[#This Row],[Yaw]]-V115))</f>
        <v>0.96704559979096416</v>
      </c>
      <c r="Y116">
        <f>Hybrid[[#This Row],[Degree change]]+Y115</f>
        <v>53.313973855937995</v>
      </c>
    </row>
    <row r="117" spans="1:25">
      <c r="A117">
        <v>116</v>
      </c>
      <c r="B117">
        <v>-577.36999500000002</v>
      </c>
      <c r="C117">
        <v>2641.419922</v>
      </c>
      <c r="D117">
        <v>17.010000000000002</v>
      </c>
      <c r="E117">
        <v>-2275.540039</v>
      </c>
      <c r="F117">
        <v>334.41000400000001</v>
      </c>
      <c r="G117">
        <v>8.09</v>
      </c>
      <c r="H117" s="1">
        <v>0</v>
      </c>
      <c r="I117" s="1">
        <v>0</v>
      </c>
      <c r="J117" s="1">
        <v>2.0264000000000002</v>
      </c>
      <c r="K117" s="1">
        <v>-4.777E-3</v>
      </c>
      <c r="L117" s="1">
        <v>2.02E-4</v>
      </c>
      <c r="M117" s="1">
        <v>0.99908600000000003</v>
      </c>
      <c r="N117" s="1">
        <v>4.2480999999999998E-2</v>
      </c>
      <c r="O117">
        <v>1</v>
      </c>
      <c r="P117">
        <v>0</v>
      </c>
      <c r="Q117">
        <v>1</v>
      </c>
      <c r="R117">
        <v>1</v>
      </c>
      <c r="S117">
        <v>1</v>
      </c>
      <c r="T117" s="1">
        <f>SQRT(POWER(Hybrid[[#This Row],[angvel_X]],2) + POWER(Hybrid[[#This Row],[angvel_Y]],2) + POWER(Hybrid[[#This Row],[angvel_Z]],2))</f>
        <v>2.0264000000000002</v>
      </c>
      <c r="U117">
        <f>DEGREES(ASIN(MAX(-1,MIN(1,2 * (Hybrid[[#This Row],[quart_W]]*Hybrid[[#This Row],[quart_Y]] - Hybrid[[#This Row],[quart_Z]]*Hybrid[[#This Row],[quart_X]])))))</f>
        <v>0.54789522920156053</v>
      </c>
      <c r="V11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-85.13051675412747</v>
      </c>
      <c r="W11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90.000127931854976</v>
      </c>
      <c r="X117">
        <f>IF(Hybrid[[#This Row],[Yaw]]&gt;V116,(360-ABS(Hybrid[[#This Row],[Yaw]])-ABS(V116)),ABS(Hybrid[[#This Row],[Yaw]]-V116))</f>
        <v>0.96741379156074458</v>
      </c>
      <c r="Y117">
        <f>Hybrid[[#This Row],[Degree change]]+Y116</f>
        <v>54.28138764749874</v>
      </c>
    </row>
    <row r="118" spans="1:25">
      <c r="A118">
        <v>117</v>
      </c>
      <c r="B118">
        <v>-596.39996299999996</v>
      </c>
      <c r="C118">
        <v>2644.209961</v>
      </c>
      <c r="D118">
        <v>17.010000000000002</v>
      </c>
      <c r="E118">
        <v>-2280.8498540000001</v>
      </c>
      <c r="F118">
        <v>296.01998900000001</v>
      </c>
      <c r="G118">
        <v>8.09</v>
      </c>
      <c r="H118" s="1">
        <v>0</v>
      </c>
      <c r="I118" s="1">
        <v>0</v>
      </c>
      <c r="J118" s="1">
        <v>2.0266999999999999</v>
      </c>
      <c r="K118" s="1">
        <v>-4.777E-3</v>
      </c>
      <c r="L118" s="1">
        <v>1.65E-4</v>
      </c>
      <c r="M118" s="1">
        <v>0.99940899999999999</v>
      </c>
      <c r="N118" s="1">
        <v>3.4043999999999998E-2</v>
      </c>
      <c r="O118">
        <v>1</v>
      </c>
      <c r="P118">
        <v>0</v>
      </c>
      <c r="Q118">
        <v>1</v>
      </c>
      <c r="R118">
        <v>1</v>
      </c>
      <c r="S118">
        <v>1</v>
      </c>
      <c r="T118" s="1">
        <f>SQRT(POWER(Hybrid[[#This Row],[angvel_X]],2) + POWER(Hybrid[[#This Row],[angvel_Y]],2) + POWER(Hybrid[[#This Row],[angvel_Z]],2))</f>
        <v>2.0266999999999999</v>
      </c>
      <c r="U118">
        <f>DEGREES(ASIN(MAX(-1,MIN(1,2 * (Hybrid[[#This Row],[quart_W]]*Hybrid[[#This Row],[quart_Y]] - Hybrid[[#This Row],[quart_Z]]*Hybrid[[#This Row],[quart_X]])))))</f>
        <v>0.54773239506026172</v>
      </c>
      <c r="V11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-86.098048769122997</v>
      </c>
      <c r="W11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89.999739372852005</v>
      </c>
      <c r="X118">
        <f>IF(Hybrid[[#This Row],[Yaw]]&gt;V117,(360-ABS(Hybrid[[#This Row],[Yaw]])-ABS(V117)),ABS(Hybrid[[#This Row],[Yaw]]-V117))</f>
        <v>0.96753201499552688</v>
      </c>
      <c r="Y118">
        <f>Hybrid[[#This Row],[Degree change]]+Y117</f>
        <v>55.248919662494266</v>
      </c>
    </row>
    <row r="119" spans="1:25">
      <c r="A119">
        <v>118</v>
      </c>
      <c r="B119">
        <v>-615.47997999999995</v>
      </c>
      <c r="C119">
        <v>2646.679932</v>
      </c>
      <c r="D119">
        <v>17.010000000000002</v>
      </c>
      <c r="E119">
        <v>-2285.5200199999999</v>
      </c>
      <c r="F119">
        <v>257.52999899999998</v>
      </c>
      <c r="G119">
        <v>8.09</v>
      </c>
      <c r="H119" s="1">
        <v>0</v>
      </c>
      <c r="I119" s="1">
        <v>0</v>
      </c>
      <c r="J119" s="1">
        <v>2.0270000000000001</v>
      </c>
      <c r="K119" s="1">
        <v>-4.777E-3</v>
      </c>
      <c r="L119" s="1">
        <v>1.27E-4</v>
      </c>
      <c r="M119" s="1">
        <v>0.99966100000000002</v>
      </c>
      <c r="N119" s="1">
        <v>2.5600999999999999E-2</v>
      </c>
      <c r="O119">
        <v>1</v>
      </c>
      <c r="P119">
        <v>0</v>
      </c>
      <c r="Q119">
        <v>1</v>
      </c>
      <c r="R119">
        <v>1</v>
      </c>
      <c r="S119">
        <v>1</v>
      </c>
      <c r="T119" s="1">
        <f>SQRT(POWER(Hybrid[[#This Row],[angvel_X]],2) + POWER(Hybrid[[#This Row],[angvel_Y]],2) + POWER(Hybrid[[#This Row],[angvel_Z]],2))</f>
        <v>2.0270000000000001</v>
      </c>
      <c r="U119">
        <f>DEGREES(ASIN(MAX(-1,MIN(1,2 * (Hybrid[[#This Row],[quart_W]]*Hybrid[[#This Row],[quart_Y]] - Hybrid[[#This Row],[quart_Z]]*Hybrid[[#This Row],[quart_X]])))))</f>
        <v>0.54759921880249829</v>
      </c>
      <c r="V11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-87.065991581454213</v>
      </c>
      <c r="W11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89.999465867786412</v>
      </c>
      <c r="X119">
        <f>IF(Hybrid[[#This Row],[Yaw]]&gt;V118,(360-ABS(Hybrid[[#This Row],[Yaw]])-ABS(V118)),ABS(Hybrid[[#This Row],[Yaw]]-V118))</f>
        <v>0.96794281233121637</v>
      </c>
      <c r="Y119">
        <f>Hybrid[[#This Row],[Degree change]]+Y118</f>
        <v>56.216862474825483</v>
      </c>
    </row>
    <row r="120" spans="1:25">
      <c r="A120">
        <v>119</v>
      </c>
      <c r="B120">
        <v>-634.589966</v>
      </c>
      <c r="C120">
        <v>2648.8298340000001</v>
      </c>
      <c r="D120">
        <v>17.010000000000002</v>
      </c>
      <c r="E120">
        <v>-2289.530029</v>
      </c>
      <c r="F120">
        <v>218.949997</v>
      </c>
      <c r="G120">
        <v>8.09</v>
      </c>
      <c r="H120" s="1">
        <v>0</v>
      </c>
      <c r="I120" s="1">
        <v>0</v>
      </c>
      <c r="J120" s="1">
        <v>2.0272999999999999</v>
      </c>
      <c r="K120" s="1">
        <v>-4.777E-3</v>
      </c>
      <c r="L120" s="1">
        <v>8.8999999999999995E-5</v>
      </c>
      <c r="M120" s="1">
        <v>0.99984099999999998</v>
      </c>
      <c r="N120" s="1">
        <v>1.7158E-2</v>
      </c>
      <c r="O120">
        <v>1</v>
      </c>
      <c r="P120">
        <v>0</v>
      </c>
      <c r="Q120">
        <v>1</v>
      </c>
      <c r="R120">
        <v>1</v>
      </c>
      <c r="S120">
        <v>1</v>
      </c>
      <c r="T120" s="1">
        <f>SQRT(POWER(Hybrid[[#This Row],[angvel_X]],2) + POWER(Hybrid[[#This Row],[angvel_Y]],2) + POWER(Hybrid[[#This Row],[angvel_Z]],2))</f>
        <v>2.0272999999999999</v>
      </c>
      <c r="U120">
        <f>DEGREES(ASIN(MAX(-1,MIN(1,2 * (Hybrid[[#This Row],[quart_W]]*Hybrid[[#This Row],[quart_Y]] - Hybrid[[#This Row],[quart_Z]]*Hybrid[[#This Row],[quart_X]])))))</f>
        <v>0.54750016076258867</v>
      </c>
      <c r="V12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-88.033720732869284</v>
      </c>
      <c r="W12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89.999195291822275</v>
      </c>
      <c r="X120">
        <f>IF(Hybrid[[#This Row],[Yaw]]&gt;V119,(360-ABS(Hybrid[[#This Row],[Yaw]])-ABS(V119)),ABS(Hybrid[[#This Row],[Yaw]]-V119))</f>
        <v>0.96772915141507099</v>
      </c>
      <c r="Y120">
        <f>Hybrid[[#This Row],[Degree change]]+Y119</f>
        <v>57.184591626240554</v>
      </c>
    </row>
    <row r="121" spans="1:25">
      <c r="A121">
        <v>120</v>
      </c>
      <c r="B121">
        <v>-653.73999000000003</v>
      </c>
      <c r="C121">
        <v>2650.6599120000001</v>
      </c>
      <c r="D121">
        <v>17.010000000000002</v>
      </c>
      <c r="E121">
        <v>-2292.8999020000001</v>
      </c>
      <c r="F121">
        <v>180.300003</v>
      </c>
      <c r="G121">
        <v>8.09</v>
      </c>
      <c r="H121" s="1">
        <v>0</v>
      </c>
      <c r="I121" s="1">
        <v>0</v>
      </c>
      <c r="J121" s="1">
        <v>2.0276000000000001</v>
      </c>
      <c r="K121" s="1">
        <v>-4.777E-3</v>
      </c>
      <c r="L121" s="1">
        <v>5.1E-5</v>
      </c>
      <c r="M121" s="1">
        <v>0.99995100000000003</v>
      </c>
      <c r="N121" s="1">
        <v>8.7100000000000007E-3</v>
      </c>
      <c r="O121">
        <v>1</v>
      </c>
      <c r="P121">
        <v>0</v>
      </c>
      <c r="Q121">
        <v>1</v>
      </c>
      <c r="R121">
        <v>1</v>
      </c>
      <c r="S121">
        <v>1</v>
      </c>
      <c r="T121" s="1">
        <f>SQRT(POWER(Hybrid[[#This Row],[angvel_X]],2) + POWER(Hybrid[[#This Row],[angvel_Y]],2) + POWER(Hybrid[[#This Row],[angvel_Z]],2))</f>
        <v>2.0276000000000001</v>
      </c>
      <c r="U121">
        <f>DEGREES(ASIN(MAX(-1,MIN(1,2 * (Hybrid[[#This Row],[quart_W]]*Hybrid[[#This Row],[quart_Y]] - Hybrid[[#This Row],[quart_Z]]*Hybrid[[#This Row],[quart_X]])))))</f>
        <v>0.54743628657438881</v>
      </c>
      <c r="V12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-89.001889682437834</v>
      </c>
      <c r="W12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89.99892395551116</v>
      </c>
      <c r="X121">
        <f>IF(Hybrid[[#This Row],[Yaw]]&gt;V120,(360-ABS(Hybrid[[#This Row],[Yaw]])-ABS(V120)),ABS(Hybrid[[#This Row],[Yaw]]-V120))</f>
        <v>0.96816894956855037</v>
      </c>
      <c r="Y121">
        <f>Hybrid[[#This Row],[Degree change]]+Y120</f>
        <v>58.152760575809104</v>
      </c>
    </row>
    <row r="122" spans="1:25">
      <c r="A122">
        <v>121</v>
      </c>
      <c r="B122">
        <v>-672.919983</v>
      </c>
      <c r="C122">
        <v>2652.1599120000001</v>
      </c>
      <c r="D122">
        <v>17.010000000000002</v>
      </c>
      <c r="E122">
        <v>-2295.6198730000001</v>
      </c>
      <c r="F122">
        <v>141.58999600000001</v>
      </c>
      <c r="G122">
        <v>8.09</v>
      </c>
      <c r="H122" s="1">
        <v>0</v>
      </c>
      <c r="I122" s="1">
        <v>0</v>
      </c>
      <c r="J122" s="1">
        <v>2.0278</v>
      </c>
      <c r="K122" s="1">
        <v>-4.777E-3</v>
      </c>
      <c r="L122" s="1">
        <v>1.2999999999999999E-5</v>
      </c>
      <c r="M122" s="1">
        <v>0.99998799999999999</v>
      </c>
      <c r="N122" s="1">
        <v>2.6200000000000003E-4</v>
      </c>
      <c r="O122">
        <v>1</v>
      </c>
      <c r="P122">
        <v>0</v>
      </c>
      <c r="Q122">
        <v>1</v>
      </c>
      <c r="R122">
        <v>1</v>
      </c>
      <c r="S122">
        <v>1</v>
      </c>
      <c r="T122" s="1">
        <f>SQRT(POWER(Hybrid[[#This Row],[angvel_X]],2) + POWER(Hybrid[[#This Row],[angvel_Y]],2) + POWER(Hybrid[[#This Row],[angvel_Z]],2))</f>
        <v>2.0278</v>
      </c>
      <c r="U122">
        <f>DEGREES(ASIN(MAX(-1,MIN(1,2 * (Hybrid[[#This Row],[quart_W]]*Hybrid[[#This Row],[quart_Y]] - Hybrid[[#This Row],[quart_Z]]*Hybrid[[#This Row],[quart_X]])))))</f>
        <v>0.54740602671915028</v>
      </c>
      <c r="V12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-89.969983050012686</v>
      </c>
      <c r="W12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89.99865368597959</v>
      </c>
      <c r="X122">
        <f>IF(Hybrid[[#This Row],[Yaw]]&gt;V121,(360-ABS(Hybrid[[#This Row],[Yaw]])-ABS(V121)),ABS(Hybrid[[#This Row],[Yaw]]-V121))</f>
        <v>0.96809336757485198</v>
      </c>
      <c r="Y122">
        <f>Hybrid[[#This Row],[Degree change]]+Y121</f>
        <v>59.120853943383956</v>
      </c>
    </row>
    <row r="123" spans="1:25">
      <c r="A123">
        <v>122</v>
      </c>
      <c r="B123">
        <v>-692.11999500000002</v>
      </c>
      <c r="C123">
        <v>2653.3398440000001</v>
      </c>
      <c r="D123">
        <v>17.010000000000002</v>
      </c>
      <c r="E123">
        <v>-2297.679932</v>
      </c>
      <c r="F123">
        <v>102.829994</v>
      </c>
      <c r="G123">
        <v>8.09</v>
      </c>
      <c r="H123" s="1">
        <v>1E-4</v>
      </c>
      <c r="I123" s="1">
        <v>0</v>
      </c>
      <c r="J123" s="1">
        <v>2.028</v>
      </c>
      <c r="K123" s="1">
        <v>-4.777E-3</v>
      </c>
      <c r="L123" s="1">
        <v>-2.4000000000000001E-5</v>
      </c>
      <c r="M123" s="1">
        <v>0.99995500000000004</v>
      </c>
      <c r="N123" s="1">
        <v>-8.1869999999999998E-3</v>
      </c>
      <c r="O123">
        <v>1</v>
      </c>
      <c r="P123">
        <v>0</v>
      </c>
      <c r="Q123">
        <v>1</v>
      </c>
      <c r="R123">
        <v>1</v>
      </c>
      <c r="S123">
        <v>1</v>
      </c>
      <c r="T123" s="1">
        <f>SQRT(POWER(Hybrid[[#This Row],[angvel_X]],2) + POWER(Hybrid[[#This Row],[angvel_Y]],2) + POWER(Hybrid[[#This Row],[angvel_Z]],2))</f>
        <v>2.0280000024654834</v>
      </c>
      <c r="U123">
        <f>DEGREES(ASIN(MAX(-1,MIN(1,2 * (Hybrid[[#This Row],[quart_W]]*Hybrid[[#This Row],[quart_Y]] - Hybrid[[#This Row],[quart_Z]]*Hybrid[[#This Row],[quart_X]])))))</f>
        <v>0.54741008814395631</v>
      </c>
      <c r="V12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-90.938190763614557</v>
      </c>
      <c r="W12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89.998268399082122</v>
      </c>
      <c r="X123">
        <f>IF(Hybrid[[#This Row],[Yaw]]&gt;V122,(360-ABS(Hybrid[[#This Row],[Yaw]])-ABS(V122)),ABS(Hybrid[[#This Row],[Yaw]]-V122))</f>
        <v>0.96820771360187052</v>
      </c>
      <c r="Y123">
        <f>Hybrid[[#This Row],[Degree change]]+Y122</f>
        <v>60.089061656985827</v>
      </c>
    </row>
    <row r="124" spans="1:25">
      <c r="A124">
        <v>123</v>
      </c>
      <c r="B124">
        <v>-711.339966</v>
      </c>
      <c r="C124">
        <v>2654.1999510000001</v>
      </c>
      <c r="D124">
        <v>17.010000000000002</v>
      </c>
      <c r="E124">
        <v>-2299.0898440000001</v>
      </c>
      <c r="F124">
        <v>64.029999000000004</v>
      </c>
      <c r="G124">
        <v>8.09</v>
      </c>
      <c r="H124" s="1">
        <v>2.0000000000000001E-4</v>
      </c>
      <c r="I124" s="1">
        <v>0</v>
      </c>
      <c r="J124" s="1">
        <v>2.0282</v>
      </c>
      <c r="K124" s="1">
        <v>-4.777E-3</v>
      </c>
      <c r="L124" s="1">
        <v>-6.7000000000000002E-5</v>
      </c>
      <c r="M124" s="1">
        <v>0.99985000000000002</v>
      </c>
      <c r="N124" s="1">
        <v>-1.6635E-2</v>
      </c>
      <c r="O124">
        <v>1</v>
      </c>
      <c r="P124">
        <v>0</v>
      </c>
      <c r="Q124">
        <v>1</v>
      </c>
      <c r="R124">
        <v>1</v>
      </c>
      <c r="S124">
        <v>1</v>
      </c>
      <c r="T124" s="1">
        <f>SQRT(POWER(Hybrid[[#This Row],[angvel_X]],2) + POWER(Hybrid[[#This Row],[angvel_Y]],2) + POWER(Hybrid[[#This Row],[angvel_Z]],2))</f>
        <v>2.0282000098609605</v>
      </c>
      <c r="U124">
        <f>DEGREES(ASIN(MAX(-1,MIN(1,2 * (Hybrid[[#This Row],[quart_W]]*Hybrid[[#This Row],[quart_Y]] - Hybrid[[#This Row],[quart_Z]]*Hybrid[[#This Row],[quart_X]])))))</f>
        <v>0.54745781449815478</v>
      </c>
      <c r="V12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-91.90634832906251</v>
      </c>
      <c r="W12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89.998570354047104</v>
      </c>
      <c r="X124">
        <f>IF(Hybrid[[#This Row],[Yaw]]&gt;V123,(360-ABS(Hybrid[[#This Row],[Yaw]])-ABS(V123)),ABS(Hybrid[[#This Row],[Yaw]]-V123))</f>
        <v>0.96815756544795306</v>
      </c>
      <c r="Y124">
        <f>Hybrid[[#This Row],[Degree change]]+Y123</f>
        <v>61.05721922243378</v>
      </c>
    </row>
    <row r="125" spans="1:25">
      <c r="A125">
        <v>124</v>
      </c>
      <c r="B125">
        <v>-730.57000700000003</v>
      </c>
      <c r="C125">
        <v>2654.7299800000001</v>
      </c>
      <c r="D125">
        <v>17.010000000000002</v>
      </c>
      <c r="E125">
        <v>-2299.8398440000001</v>
      </c>
      <c r="F125">
        <v>25.209999</v>
      </c>
      <c r="G125">
        <v>8.09</v>
      </c>
      <c r="H125" s="1">
        <v>2.0000000000000001E-4</v>
      </c>
      <c r="I125" s="1">
        <v>0</v>
      </c>
      <c r="J125" s="1">
        <v>2.0284</v>
      </c>
      <c r="K125" s="1">
        <v>-4.777E-3</v>
      </c>
      <c r="L125" s="1">
        <v>-1.11E-4</v>
      </c>
      <c r="M125" s="1">
        <v>0.99967399999999995</v>
      </c>
      <c r="N125" s="1">
        <v>-2.5083000000000001E-2</v>
      </c>
      <c r="O125">
        <v>1</v>
      </c>
      <c r="P125">
        <v>0</v>
      </c>
      <c r="Q125">
        <v>1</v>
      </c>
      <c r="R125">
        <v>1</v>
      </c>
      <c r="S125">
        <v>1</v>
      </c>
      <c r="T125" s="1">
        <f>SQRT(POWER(Hybrid[[#This Row],[angvel_X]],2) + POWER(Hybrid[[#This Row],[angvel_Y]],2) + POWER(Hybrid[[#This Row],[angvel_Z]],2))</f>
        <v>2.0284000098599879</v>
      </c>
      <c r="U125">
        <f>DEGREES(ASIN(MAX(-1,MIN(1,2 * (Hybrid[[#This Row],[quart_W]]*Hybrid[[#This Row],[quart_Y]] - Hybrid[[#This Row],[quart_Z]]*Hybrid[[#This Row],[quart_X]])))))</f>
        <v>0.54755280561181319</v>
      </c>
      <c r="V12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-92.874638821814528</v>
      </c>
      <c r="W12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89.998984938631466</v>
      </c>
      <c r="X125">
        <f>IF(Hybrid[[#This Row],[Yaw]]&gt;V124,(360-ABS(Hybrid[[#This Row],[Yaw]])-ABS(V124)),ABS(Hybrid[[#This Row],[Yaw]]-V124))</f>
        <v>0.96829049275201839</v>
      </c>
      <c r="Y125">
        <f>Hybrid[[#This Row],[Degree change]]+Y124</f>
        <v>62.025509715185798</v>
      </c>
    </row>
    <row r="126" spans="1:25">
      <c r="A126">
        <v>125</v>
      </c>
      <c r="B126">
        <v>-749.79998799999998</v>
      </c>
      <c r="C126">
        <v>2654.9399410000001</v>
      </c>
      <c r="D126">
        <v>17.010000000000002</v>
      </c>
      <c r="E126">
        <v>-2299.9399410000001</v>
      </c>
      <c r="F126">
        <v>-13.62</v>
      </c>
      <c r="G126">
        <v>8.09</v>
      </c>
      <c r="H126" s="1">
        <v>2.0000000000000001E-4</v>
      </c>
      <c r="I126" s="1">
        <v>0</v>
      </c>
      <c r="J126" s="1">
        <v>2.0286</v>
      </c>
      <c r="K126" s="1">
        <v>-4.777E-3</v>
      </c>
      <c r="L126" s="1">
        <v>-1.54E-4</v>
      </c>
      <c r="M126" s="1">
        <v>0.99942600000000004</v>
      </c>
      <c r="N126" s="1">
        <v>-3.3530999999999998E-2</v>
      </c>
      <c r="O126">
        <v>1</v>
      </c>
      <c r="P126">
        <v>0</v>
      </c>
      <c r="Q126">
        <v>1</v>
      </c>
      <c r="R126">
        <v>1</v>
      </c>
      <c r="S126">
        <v>1</v>
      </c>
      <c r="T126" s="1">
        <f>SQRT(POWER(Hybrid[[#This Row],[angvel_X]],2) + POWER(Hybrid[[#This Row],[angvel_Y]],2) + POWER(Hybrid[[#This Row],[angvel_Z]],2))</f>
        <v>2.0286000098590158</v>
      </c>
      <c r="U126">
        <f>DEGREES(ASIN(MAX(-1,MIN(1,2 * (Hybrid[[#This Row],[quart_W]]*Hybrid[[#This Row],[quart_Y]] - Hybrid[[#This Row],[quart_Z]]*Hybrid[[#This Row],[quart_X]])))))</f>
        <v>0.547689733309212</v>
      </c>
      <c r="V12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-93.843140164389084</v>
      </c>
      <c r="W12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89.999281938433242</v>
      </c>
      <c r="X126">
        <f>IF(Hybrid[[#This Row],[Yaw]]&gt;V125,(360-ABS(Hybrid[[#This Row],[Yaw]])-ABS(V125)),ABS(Hybrid[[#This Row],[Yaw]]-V125))</f>
        <v>0.96850134257455522</v>
      </c>
      <c r="Y126">
        <f>Hybrid[[#This Row],[Degree change]]+Y125</f>
        <v>62.994011057760353</v>
      </c>
    </row>
    <row r="127" spans="1:25">
      <c r="A127">
        <v>126</v>
      </c>
      <c r="B127">
        <v>-769.02996800000005</v>
      </c>
      <c r="C127">
        <v>2654.8198240000002</v>
      </c>
      <c r="D127">
        <v>17.010000000000002</v>
      </c>
      <c r="E127">
        <v>-2299.3798830000001</v>
      </c>
      <c r="F127">
        <v>-52.449997000000003</v>
      </c>
      <c r="G127">
        <v>8.09</v>
      </c>
      <c r="H127" s="1">
        <v>2.0000000000000001E-4</v>
      </c>
      <c r="I127" s="1">
        <v>0</v>
      </c>
      <c r="J127" s="1">
        <v>2.0287999999999999</v>
      </c>
      <c r="K127" s="1">
        <v>-4.777E-3</v>
      </c>
      <c r="L127" s="1">
        <v>-1.9699999999999999E-4</v>
      </c>
      <c r="M127" s="1">
        <v>0.99910699999999997</v>
      </c>
      <c r="N127" s="1">
        <v>-4.1980000000000003E-2</v>
      </c>
      <c r="O127">
        <v>1</v>
      </c>
      <c r="P127">
        <v>0</v>
      </c>
      <c r="Q127">
        <v>1</v>
      </c>
      <c r="R127">
        <v>1</v>
      </c>
      <c r="S127">
        <v>1</v>
      </c>
      <c r="T127" s="1">
        <f>SQRT(POWER(Hybrid[[#This Row],[angvel_X]],2) + POWER(Hybrid[[#This Row],[angvel_Y]],2) + POWER(Hybrid[[#This Row],[angvel_Z]],2))</f>
        <v>2.0288000098580441</v>
      </c>
      <c r="U127">
        <f>DEGREES(ASIN(MAX(-1,MIN(1,2 * (Hybrid[[#This Row],[quart_W]]*Hybrid[[#This Row],[quart_Y]] - Hybrid[[#This Row],[quart_Z]]*Hybrid[[#This Row],[quart_X]])))))</f>
        <v>0.54787107391543421</v>
      </c>
      <c r="V12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-94.812024961793441</v>
      </c>
      <c r="W12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89.999574343830659</v>
      </c>
      <c r="X127">
        <f>IF(Hybrid[[#This Row],[Yaw]]&gt;V126,(360-ABS(Hybrid[[#This Row],[Yaw]])-ABS(V126)),ABS(Hybrid[[#This Row],[Yaw]]-V126))</f>
        <v>0.96888479740435685</v>
      </c>
      <c r="Y127">
        <f>Hybrid[[#This Row],[Degree change]]+Y126</f>
        <v>63.96289585516471</v>
      </c>
    </row>
    <row r="128" spans="1:25">
      <c r="A128">
        <v>127</v>
      </c>
      <c r="B128">
        <v>-788.26000999999997</v>
      </c>
      <c r="C128">
        <v>2654.3798830000001</v>
      </c>
      <c r="D128">
        <v>17.010000000000002</v>
      </c>
      <c r="E128">
        <v>-2298.169922</v>
      </c>
      <c r="F128">
        <v>-91.279999000000004</v>
      </c>
      <c r="G128">
        <v>8.09</v>
      </c>
      <c r="H128" s="1">
        <v>1E-4</v>
      </c>
      <c r="I128" s="1">
        <v>0</v>
      </c>
      <c r="J128" s="1">
        <v>2.0289000000000001</v>
      </c>
      <c r="K128" s="1">
        <v>-4.777E-3</v>
      </c>
      <c r="L128" s="1">
        <v>-2.4000000000000001E-4</v>
      </c>
      <c r="M128" s="1">
        <v>0.99871600000000005</v>
      </c>
      <c r="N128" s="1">
        <v>-5.0423000000000003E-2</v>
      </c>
      <c r="O128">
        <v>1</v>
      </c>
      <c r="P128">
        <v>0</v>
      </c>
      <c r="Q128">
        <v>1</v>
      </c>
      <c r="R128">
        <v>1</v>
      </c>
      <c r="S128">
        <v>1</v>
      </c>
      <c r="T128" s="1">
        <f>SQRT(POWER(Hybrid[[#This Row],[angvel_X]],2) + POWER(Hybrid[[#This Row],[angvel_Y]],2) + POWER(Hybrid[[#This Row],[angvel_Z]],2))</f>
        <v>2.0289000024643897</v>
      </c>
      <c r="U128">
        <f>DEGREES(ASIN(MAX(-1,MIN(1,2 * (Hybrid[[#This Row],[quart_W]]*Hybrid[[#This Row],[quart_Y]] - Hybrid[[#This Row],[quart_Z]]*Hybrid[[#This Row],[quart_X]])))))</f>
        <v>0.5480961022659484</v>
      </c>
      <c r="V12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-95.780576860701004</v>
      </c>
      <c r="W12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89.999864909736871</v>
      </c>
      <c r="X128">
        <f>IF(Hybrid[[#This Row],[Yaw]]&gt;V127,(360-ABS(Hybrid[[#This Row],[Yaw]])-ABS(V127)),ABS(Hybrid[[#This Row],[Yaw]]-V127))</f>
        <v>0.96855189890756321</v>
      </c>
      <c r="Y128">
        <f>Hybrid[[#This Row],[Degree change]]+Y127</f>
        <v>64.931447754072281</v>
      </c>
    </row>
    <row r="129" spans="1:25">
      <c r="A129">
        <v>128</v>
      </c>
      <c r="B129">
        <v>-807.47997999999995</v>
      </c>
      <c r="C129">
        <v>2653.6098630000001</v>
      </c>
      <c r="D129">
        <v>17.010000000000002</v>
      </c>
      <c r="E129">
        <v>-2296.3000489999999</v>
      </c>
      <c r="F129">
        <v>-130.08000200000001</v>
      </c>
      <c r="G129">
        <v>8.09</v>
      </c>
      <c r="H129" s="1">
        <v>0</v>
      </c>
      <c r="I129" s="1">
        <v>0</v>
      </c>
      <c r="J129" s="1">
        <v>2.0289999999999999</v>
      </c>
      <c r="K129" s="1">
        <v>-4.777E-3</v>
      </c>
      <c r="L129" s="1">
        <v>-2.8299999999999999E-4</v>
      </c>
      <c r="M129" s="1">
        <v>0.99825399999999997</v>
      </c>
      <c r="N129" s="1">
        <v>-5.8866000000000002E-2</v>
      </c>
      <c r="O129">
        <v>1</v>
      </c>
      <c r="P129">
        <v>0</v>
      </c>
      <c r="Q129">
        <v>1</v>
      </c>
      <c r="R129">
        <v>1</v>
      </c>
      <c r="S129">
        <v>1</v>
      </c>
      <c r="T129" s="1">
        <f>SQRT(POWER(Hybrid[[#This Row],[angvel_X]],2) + POWER(Hybrid[[#This Row],[angvel_Y]],2) + POWER(Hybrid[[#This Row],[angvel_Z]],2))</f>
        <v>2.0289999999999999</v>
      </c>
      <c r="U129">
        <f>DEGREES(ASIN(MAX(-1,MIN(1,2 * (Hybrid[[#This Row],[quart_W]]*Hybrid[[#This Row],[quart_Y]] - Hybrid[[#This Row],[quart_Z]]*Hybrid[[#This Row],[quart_X]])))))</f>
        <v>0.54836547168208105</v>
      </c>
      <c r="V12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-96.749533795330976</v>
      </c>
      <c r="W12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90.000149319640187</v>
      </c>
      <c r="X129">
        <f>IF(Hybrid[[#This Row],[Yaw]]&gt;V128,(360-ABS(Hybrid[[#This Row],[Yaw]])-ABS(V128)),ABS(Hybrid[[#This Row],[Yaw]]-V128))</f>
        <v>0.96895693462997201</v>
      </c>
      <c r="Y129">
        <f>Hybrid[[#This Row],[Degree change]]+Y128</f>
        <v>65.900404688702253</v>
      </c>
    </row>
    <row r="130" spans="1:25">
      <c r="A130">
        <v>129</v>
      </c>
      <c r="B130">
        <v>-826.67999299999997</v>
      </c>
      <c r="C130">
        <v>2652.5200199999999</v>
      </c>
      <c r="D130">
        <v>17.010000000000002</v>
      </c>
      <c r="E130">
        <v>-2293.7700199999999</v>
      </c>
      <c r="F130">
        <v>-168.84999099999999</v>
      </c>
      <c r="G130">
        <v>8.09</v>
      </c>
      <c r="H130" s="1">
        <v>0</v>
      </c>
      <c r="I130" s="1">
        <v>0</v>
      </c>
      <c r="J130" s="1">
        <v>2.0291000000000001</v>
      </c>
      <c r="K130" s="1">
        <v>-4.777E-3</v>
      </c>
      <c r="L130" s="1">
        <v>-3.21E-4</v>
      </c>
      <c r="M130" s="1">
        <v>0.99772099999999997</v>
      </c>
      <c r="N130" s="1">
        <v>-6.7303000000000002E-2</v>
      </c>
      <c r="O130">
        <v>1</v>
      </c>
      <c r="P130">
        <v>0</v>
      </c>
      <c r="Q130">
        <v>1</v>
      </c>
      <c r="R130">
        <v>1</v>
      </c>
      <c r="S130">
        <v>1</v>
      </c>
      <c r="T130" s="1">
        <f>SQRT(POWER(Hybrid[[#This Row],[angvel_X]],2) + POWER(Hybrid[[#This Row],[angvel_Y]],2) + POWER(Hybrid[[#This Row],[angvel_Z]],2))</f>
        <v>2.0291000000000001</v>
      </c>
      <c r="U130">
        <f>DEGREES(ASIN(MAX(-1,MIN(1,2 * (Hybrid[[#This Row],[quart_W]]*Hybrid[[#This Row],[quart_Y]] - Hybrid[[#This Row],[quart_Z]]*Hybrid[[#This Row],[quart_X]])))))</f>
        <v>0.54864039447187918</v>
      </c>
      <c r="V13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-97.718281499995669</v>
      </c>
      <c r="W13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89.999858130291756</v>
      </c>
      <c r="X130">
        <f>IF(Hybrid[[#This Row],[Yaw]]&gt;V129,(360-ABS(Hybrid[[#This Row],[Yaw]])-ABS(V129)),ABS(Hybrid[[#This Row],[Yaw]]-V129))</f>
        <v>0.96874770466469329</v>
      </c>
      <c r="Y130">
        <f>Hybrid[[#This Row],[Degree change]]+Y129</f>
        <v>66.869152393366946</v>
      </c>
    </row>
    <row r="131" spans="1:25">
      <c r="A131">
        <v>130</v>
      </c>
      <c r="B131">
        <v>-845.85998500000005</v>
      </c>
      <c r="C131">
        <v>2651.0998540000001</v>
      </c>
      <c r="D131">
        <v>17.010000000000002</v>
      </c>
      <c r="E131">
        <v>-2290.5898440000001</v>
      </c>
      <c r="F131">
        <v>-207.58000200000001</v>
      </c>
      <c r="G131">
        <v>8.09</v>
      </c>
      <c r="H131" s="1">
        <v>0</v>
      </c>
      <c r="I131" s="1">
        <v>0</v>
      </c>
      <c r="J131" s="1">
        <v>2.0291999999999999</v>
      </c>
      <c r="K131" s="1">
        <v>-4.7720000000000002E-3</v>
      </c>
      <c r="L131" s="1">
        <v>-3.59E-4</v>
      </c>
      <c r="M131" s="1">
        <v>0.997116</v>
      </c>
      <c r="N131" s="1">
        <v>-7.5734999999999997E-2</v>
      </c>
      <c r="O131">
        <v>1</v>
      </c>
      <c r="P131">
        <v>0</v>
      </c>
      <c r="Q131">
        <v>1</v>
      </c>
      <c r="R131">
        <v>1</v>
      </c>
      <c r="S131">
        <v>1</v>
      </c>
      <c r="T131" s="1">
        <f>SQRT(POWER(Hybrid[[#This Row],[angvel_X]],2) + POWER(Hybrid[[#This Row],[angvel_Y]],2) + POWER(Hybrid[[#This Row],[angvel_Z]],2))</f>
        <v>2.0291999999999999</v>
      </c>
      <c r="U131">
        <f>DEGREES(ASIN(MAX(-1,MIN(1,2 * (Hybrid[[#This Row],[quart_W]]*Hybrid[[#This Row],[quart_Y]] - Hybrid[[#This Row],[quart_Z]]*Hybrid[[#This Row],[quart_X]])))))</f>
        <v>0.54837784595996597</v>
      </c>
      <c r="V13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-98.687024085065445</v>
      </c>
      <c r="W13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89.99960546886058</v>
      </c>
      <c r="X131">
        <f>IF(Hybrid[[#This Row],[Yaw]]&gt;V130,(360-ABS(Hybrid[[#This Row],[Yaw]])-ABS(V130)),ABS(Hybrid[[#This Row],[Yaw]]-V130))</f>
        <v>0.9687425850697764</v>
      </c>
      <c r="Y131">
        <f>Hybrid[[#This Row],[Degree change]]+Y130</f>
        <v>67.837894978436722</v>
      </c>
    </row>
    <row r="132" spans="1:25">
      <c r="A132">
        <v>131</v>
      </c>
      <c r="B132">
        <v>-865.01995799999997</v>
      </c>
      <c r="C132">
        <v>2649.3598630000001</v>
      </c>
      <c r="D132">
        <v>17.010000000000002</v>
      </c>
      <c r="E132">
        <v>-2286.76001</v>
      </c>
      <c r="F132">
        <v>-246.259995</v>
      </c>
      <c r="G132">
        <v>8.09</v>
      </c>
      <c r="H132" s="1">
        <v>0</v>
      </c>
      <c r="I132" s="1">
        <v>0</v>
      </c>
      <c r="J132" s="1">
        <v>2.0293000000000001</v>
      </c>
      <c r="K132" s="1">
        <v>-4.7660000000000003E-3</v>
      </c>
      <c r="L132" s="1">
        <v>-3.97E-4</v>
      </c>
      <c r="M132" s="1">
        <v>0.99644100000000002</v>
      </c>
      <c r="N132" s="1">
        <v>-8.4162000000000001E-2</v>
      </c>
      <c r="O132">
        <v>1</v>
      </c>
      <c r="P132">
        <v>0</v>
      </c>
      <c r="Q132">
        <v>1</v>
      </c>
      <c r="R132">
        <v>1</v>
      </c>
      <c r="S132">
        <v>1</v>
      </c>
      <c r="T132" s="1">
        <f>SQRT(POWER(Hybrid[[#This Row],[angvel_X]],2) + POWER(Hybrid[[#This Row],[angvel_Y]],2) + POWER(Hybrid[[#This Row],[angvel_Z]],2))</f>
        <v>2.0293000000000001</v>
      </c>
      <c r="U132">
        <f>DEGREES(ASIN(MAX(-1,MIN(1,2 * (Hybrid[[#This Row],[quart_W]]*Hybrid[[#This Row],[quart_Y]] - Hybrid[[#This Row],[quart_Z]]*Hybrid[[#This Row],[quart_X]])))))</f>
        <v>0.54803677183456367</v>
      </c>
      <c r="V13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-99.655779098818286</v>
      </c>
      <c r="W13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89.999366392567097</v>
      </c>
      <c r="X132">
        <f>IF(Hybrid[[#This Row],[Yaw]]&gt;V131,(360-ABS(Hybrid[[#This Row],[Yaw]])-ABS(V131)),ABS(Hybrid[[#This Row],[Yaw]]-V131))</f>
        <v>0.96875501375284045</v>
      </c>
      <c r="Y132">
        <f>Hybrid[[#This Row],[Degree change]]+Y131</f>
        <v>68.806649992189563</v>
      </c>
    </row>
    <row r="133" spans="1:25">
      <c r="A133">
        <v>132</v>
      </c>
      <c r="B133">
        <v>-884.13995399999999</v>
      </c>
      <c r="C133">
        <v>2647.3000489999999</v>
      </c>
      <c r="D133">
        <v>17.010000000000002</v>
      </c>
      <c r="E133">
        <v>-2282.2700199999999</v>
      </c>
      <c r="F133">
        <v>-284.86999500000002</v>
      </c>
      <c r="G133">
        <v>8.09</v>
      </c>
      <c r="H133" s="1">
        <v>0</v>
      </c>
      <c r="I133" s="1">
        <v>0</v>
      </c>
      <c r="J133" s="1">
        <v>2.0293999999999999</v>
      </c>
      <c r="K133" s="1">
        <v>-4.7609999999999996E-3</v>
      </c>
      <c r="L133" s="1">
        <v>-4.3399999999999998E-4</v>
      </c>
      <c r="M133" s="1">
        <v>0.99569300000000005</v>
      </c>
      <c r="N133" s="1">
        <v>-9.2582999999999999E-2</v>
      </c>
      <c r="O133">
        <v>1</v>
      </c>
      <c r="P133">
        <v>0</v>
      </c>
      <c r="Q133">
        <v>1</v>
      </c>
      <c r="R133">
        <v>1</v>
      </c>
      <c r="S133">
        <v>1</v>
      </c>
      <c r="T133" s="1">
        <f>SQRT(POWER(Hybrid[[#This Row],[angvel_X]],2) + POWER(Hybrid[[#This Row],[angvel_Y]],2) + POWER(Hybrid[[#This Row],[angvel_Z]],2))</f>
        <v>2.0293999999999999</v>
      </c>
      <c r="U133">
        <f>DEGREES(ASIN(MAX(-1,MIN(1,2 * (Hybrid[[#This Row],[quart_W]]*Hybrid[[#This Row],[quart_Y]] - Hybrid[[#This Row],[quart_Z]]*Hybrid[[#This Row],[quart_X]])))))</f>
        <v>0.54783339402996545</v>
      </c>
      <c r="V13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-100.62458755773791</v>
      </c>
      <c r="W13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89.999007946870478</v>
      </c>
      <c r="X133">
        <f>IF(Hybrid[[#This Row],[Yaw]]&gt;V132,(360-ABS(Hybrid[[#This Row],[Yaw]])-ABS(V132)),ABS(Hybrid[[#This Row],[Yaw]]-V132))</f>
        <v>0.96880845891962508</v>
      </c>
      <c r="Y133">
        <f>Hybrid[[#This Row],[Degree change]]+Y132</f>
        <v>69.775458451109188</v>
      </c>
    </row>
    <row r="134" spans="1:25">
      <c r="A134">
        <v>133</v>
      </c>
      <c r="B134">
        <v>-903.22997999999995</v>
      </c>
      <c r="C134">
        <v>2644.9099120000001</v>
      </c>
      <c r="D134">
        <v>17.010000000000002</v>
      </c>
      <c r="E134">
        <v>-2277.1298830000001</v>
      </c>
      <c r="F134">
        <v>-323.39999399999999</v>
      </c>
      <c r="G134">
        <v>8.09</v>
      </c>
      <c r="H134" s="1">
        <v>0</v>
      </c>
      <c r="I134" s="1">
        <v>0</v>
      </c>
      <c r="J134" s="1">
        <v>2.0295000000000001</v>
      </c>
      <c r="K134" s="1">
        <v>-4.7559999999999998E-3</v>
      </c>
      <c r="L134" s="1">
        <v>-4.7199999999999998E-4</v>
      </c>
      <c r="M134" s="1">
        <v>0.99487499999999995</v>
      </c>
      <c r="N134" s="1">
        <v>-0.10099900000000001</v>
      </c>
      <c r="O134">
        <v>1</v>
      </c>
      <c r="P134">
        <v>0</v>
      </c>
      <c r="Q134">
        <v>1</v>
      </c>
      <c r="R134">
        <v>1</v>
      </c>
      <c r="S134">
        <v>1</v>
      </c>
      <c r="T134" s="1">
        <f>SQRT(POWER(Hybrid[[#This Row],[angvel_X]],2) + POWER(Hybrid[[#This Row],[angvel_Y]],2) + POWER(Hybrid[[#This Row],[angvel_Z]],2))</f>
        <v>2.0295000000000001</v>
      </c>
      <c r="U134">
        <f>DEGREES(ASIN(MAX(-1,MIN(1,2 * (Hybrid[[#This Row],[quart_W]]*Hybrid[[#This Row],[quart_Y]] - Hybrid[[#This Row],[quart_Z]]*Hybrid[[#This Row],[quart_X]])))))</f>
        <v>0.54767543758829795</v>
      </c>
      <c r="V13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-101.59354085575391</v>
      </c>
      <c r="W13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89.998765764563544</v>
      </c>
      <c r="X134">
        <f>IF(Hybrid[[#This Row],[Yaw]]&gt;V133,(360-ABS(Hybrid[[#This Row],[Yaw]])-ABS(V133)),ABS(Hybrid[[#This Row],[Yaw]]-V133))</f>
        <v>0.96895329801600383</v>
      </c>
      <c r="Y134">
        <f>Hybrid[[#This Row],[Degree change]]+Y133</f>
        <v>70.744411749125192</v>
      </c>
    </row>
    <row r="135" spans="1:25">
      <c r="A135">
        <v>134</v>
      </c>
      <c r="B135">
        <v>-922.26995799999997</v>
      </c>
      <c r="C135">
        <v>2642.1999510000001</v>
      </c>
      <c r="D135">
        <v>17.010000000000002</v>
      </c>
      <c r="E135">
        <v>-2271.3398440000001</v>
      </c>
      <c r="F135">
        <v>-361.83999599999999</v>
      </c>
      <c r="G135">
        <v>8.09</v>
      </c>
      <c r="H135" s="1">
        <v>1E-4</v>
      </c>
      <c r="I135" s="1">
        <v>0</v>
      </c>
      <c r="J135" s="1">
        <v>2.0295999999999998</v>
      </c>
      <c r="K135" s="1">
        <v>-4.7499999999999999E-3</v>
      </c>
      <c r="L135" s="1">
        <v>-5.1000000000000004E-4</v>
      </c>
      <c r="M135" s="1">
        <v>0.99398500000000001</v>
      </c>
      <c r="N135" s="1">
        <v>-0.10940999999999999</v>
      </c>
      <c r="O135">
        <v>1</v>
      </c>
      <c r="P135">
        <v>0</v>
      </c>
      <c r="Q135">
        <v>1</v>
      </c>
      <c r="R135">
        <v>1</v>
      </c>
      <c r="S135">
        <v>1</v>
      </c>
      <c r="T135" s="1">
        <f>SQRT(POWER(Hybrid[[#This Row],[angvel_X]],2) + POWER(Hybrid[[#This Row],[angvel_Y]],2) + POWER(Hybrid[[#This Row],[angvel_Z]],2))</f>
        <v>2.0296000024635394</v>
      </c>
      <c r="U135">
        <f>DEGREES(ASIN(MAX(-1,MIN(1,2 * (Hybrid[[#This Row],[quart_W]]*Hybrid[[#This Row],[quart_Y]] - Hybrid[[#This Row],[quart_Z]]*Hybrid[[#This Row],[quart_X]])))))</f>
        <v>0.54743831642732599</v>
      </c>
      <c r="V13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-102.56277091752341</v>
      </c>
      <c r="W13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89.998537154788764</v>
      </c>
      <c r="X135">
        <f>IF(Hybrid[[#This Row],[Yaw]]&gt;V134,(360-ABS(Hybrid[[#This Row],[Yaw]])-ABS(V134)),ABS(Hybrid[[#This Row],[Yaw]]-V134))</f>
        <v>0.969230061769494</v>
      </c>
      <c r="Y135">
        <f>Hybrid[[#This Row],[Degree change]]+Y134</f>
        <v>71.713641810894686</v>
      </c>
    </row>
    <row r="136" spans="1:25">
      <c r="A136">
        <v>135</v>
      </c>
      <c r="B136">
        <v>-941.25994900000001</v>
      </c>
      <c r="C136">
        <v>2639.169922</v>
      </c>
      <c r="D136">
        <v>17.010000000000002</v>
      </c>
      <c r="E136">
        <v>-2264.8999020000001</v>
      </c>
      <c r="F136">
        <v>-400.19000199999999</v>
      </c>
      <c r="G136">
        <v>8.09</v>
      </c>
      <c r="H136" s="1">
        <v>1E-4</v>
      </c>
      <c r="I136" s="1">
        <v>0</v>
      </c>
      <c r="J136" s="1">
        <v>2.0297000000000001</v>
      </c>
      <c r="K136" s="1">
        <v>-4.7450000000000001E-3</v>
      </c>
      <c r="L136" s="1">
        <v>-5.53E-4</v>
      </c>
      <c r="M136" s="1">
        <v>0.99302500000000005</v>
      </c>
      <c r="N136" s="1">
        <v>-0.117809</v>
      </c>
      <c r="O136">
        <v>1</v>
      </c>
      <c r="P136">
        <v>0</v>
      </c>
      <c r="Q136">
        <v>1</v>
      </c>
      <c r="R136">
        <v>1</v>
      </c>
      <c r="S136">
        <v>1</v>
      </c>
      <c r="T136" s="1">
        <f>SQRT(POWER(Hybrid[[#This Row],[angvel_X]],2) + POWER(Hybrid[[#This Row],[angvel_Y]],2) + POWER(Hybrid[[#This Row],[angvel_Z]],2))</f>
        <v>2.0297000024634184</v>
      </c>
      <c r="U136">
        <f>DEGREES(ASIN(MAX(-1,MIN(1,2 * (Hybrid[[#This Row],[quart_W]]*Hybrid[[#This Row],[quart_Y]] - Hybrid[[#This Row],[quart_Z]]*Hybrid[[#This Row],[quart_X]])))))</f>
        <v>0.54741816481107064</v>
      </c>
      <c r="V13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-103.53149289898113</v>
      </c>
      <c r="W13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89.998869974811342</v>
      </c>
      <c r="X136">
        <f>IF(Hybrid[[#This Row],[Yaw]]&gt;V135,(360-ABS(Hybrid[[#This Row],[Yaw]])-ABS(V135)),ABS(Hybrid[[#This Row],[Yaw]]-V135))</f>
        <v>0.96872198145771904</v>
      </c>
      <c r="Y136">
        <f>Hybrid[[#This Row],[Degree change]]+Y135</f>
        <v>72.682363792352405</v>
      </c>
    </row>
    <row r="137" spans="1:25">
      <c r="A137">
        <v>136</v>
      </c>
      <c r="B137">
        <v>-960.19995100000006</v>
      </c>
      <c r="C137">
        <v>2635.8198240000002</v>
      </c>
      <c r="D137">
        <v>17.010000000000002</v>
      </c>
      <c r="E137">
        <v>-2257.8100589999999</v>
      </c>
      <c r="F137">
        <v>-438.419983</v>
      </c>
      <c r="G137">
        <v>8.09</v>
      </c>
      <c r="H137" s="1">
        <v>1E-4</v>
      </c>
      <c r="I137" s="1">
        <v>0</v>
      </c>
      <c r="J137" s="1">
        <v>2.0297999999999998</v>
      </c>
      <c r="K137" s="1">
        <v>-4.7390000000000002E-3</v>
      </c>
      <c r="L137" s="1">
        <v>-5.9599999999999996E-4</v>
      </c>
      <c r="M137" s="1">
        <v>0.99199300000000001</v>
      </c>
      <c r="N137" s="1">
        <v>-0.12620400000000001</v>
      </c>
      <c r="O137">
        <v>1</v>
      </c>
      <c r="P137">
        <v>0</v>
      </c>
      <c r="Q137">
        <v>1</v>
      </c>
      <c r="R137">
        <v>1</v>
      </c>
      <c r="S137">
        <v>1</v>
      </c>
      <c r="T137" s="1">
        <f>SQRT(POWER(Hybrid[[#This Row],[angvel_X]],2) + POWER(Hybrid[[#This Row],[angvel_Y]],2) + POWER(Hybrid[[#This Row],[angvel_Z]],2))</f>
        <v>2.0298000024632969</v>
      </c>
      <c r="U137">
        <f>DEGREES(ASIN(MAX(-1,MIN(1,2 * (Hybrid[[#This Row],[quart_W]]*Hybrid[[#This Row],[quart_Y]] - Hybrid[[#This Row],[quart_Z]]*Hybrid[[#This Row],[quart_X]])))))</f>
        <v>0.54732882618609502</v>
      </c>
      <c r="V13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-104.50074307297719</v>
      </c>
      <c r="W13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89.999214676464931</v>
      </c>
      <c r="X137">
        <f>IF(Hybrid[[#This Row],[Yaw]]&gt;V136,(360-ABS(Hybrid[[#This Row],[Yaw]])-ABS(V136)),ABS(Hybrid[[#This Row],[Yaw]]-V136))</f>
        <v>0.96925017399605906</v>
      </c>
      <c r="Y137">
        <f>Hybrid[[#This Row],[Degree change]]+Y136</f>
        <v>73.651613966348464</v>
      </c>
    </row>
    <row r="138" spans="1:25">
      <c r="A138">
        <v>137</v>
      </c>
      <c r="B138">
        <v>-979.07995600000004</v>
      </c>
      <c r="C138">
        <v>2632.1499020000001</v>
      </c>
      <c r="D138">
        <v>17.010000000000002</v>
      </c>
      <c r="E138">
        <v>-2250.070068</v>
      </c>
      <c r="F138">
        <v>-476.52999899999998</v>
      </c>
      <c r="G138">
        <v>8.09</v>
      </c>
      <c r="H138" s="1">
        <v>1E-4</v>
      </c>
      <c r="I138" s="1">
        <v>0</v>
      </c>
      <c r="J138" s="1">
        <v>2.0299</v>
      </c>
      <c r="K138" s="1">
        <v>-4.7340000000000004E-3</v>
      </c>
      <c r="L138" s="1">
        <v>-6.3400000000000001E-4</v>
      </c>
      <c r="M138" s="1">
        <v>0.99089000000000005</v>
      </c>
      <c r="N138" s="1">
        <v>-0.13458700000000001</v>
      </c>
      <c r="O138">
        <v>1</v>
      </c>
      <c r="P138">
        <v>0</v>
      </c>
      <c r="Q138">
        <v>1</v>
      </c>
      <c r="R138">
        <v>1</v>
      </c>
      <c r="S138">
        <v>1</v>
      </c>
      <c r="T138" s="1">
        <f>SQRT(POWER(Hybrid[[#This Row],[angvel_X]],2) + POWER(Hybrid[[#This Row],[angvel_Y]],2) + POWER(Hybrid[[#This Row],[angvel_Z]],2))</f>
        <v>2.0299000024631755</v>
      </c>
      <c r="U138">
        <f>DEGREES(ASIN(MAX(-1,MIN(1,2 * (Hybrid[[#This Row],[quart_W]]*Hybrid[[#This Row],[quart_Y]] - Hybrid[[#This Row],[quart_Z]]*Hybrid[[#This Row],[quart_X]])))))</f>
        <v>0.54732069061635236</v>
      </c>
      <c r="V13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-105.46967231289582</v>
      </c>
      <c r="W13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89.998978874094135</v>
      </c>
      <c r="X138">
        <f>IF(Hybrid[[#This Row],[Yaw]]&gt;V137,(360-ABS(Hybrid[[#This Row],[Yaw]])-ABS(V137)),ABS(Hybrid[[#This Row],[Yaw]]-V137))</f>
        <v>0.96892923991863711</v>
      </c>
      <c r="Y138">
        <f>Hybrid[[#This Row],[Degree change]]+Y137</f>
        <v>74.620543206267101</v>
      </c>
    </row>
    <row r="139" spans="1:25">
      <c r="A139">
        <v>138</v>
      </c>
      <c r="B139">
        <v>-997.89996299999996</v>
      </c>
      <c r="C139">
        <v>2628.1599120000001</v>
      </c>
      <c r="D139">
        <v>17.010000000000002</v>
      </c>
      <c r="E139">
        <v>-2241.6899410000001</v>
      </c>
      <c r="F139">
        <v>-514.51000999999997</v>
      </c>
      <c r="G139">
        <v>8.09</v>
      </c>
      <c r="H139" s="1">
        <v>1E-4</v>
      </c>
      <c r="I139" s="1">
        <v>0</v>
      </c>
      <c r="J139" s="1">
        <v>2.0299</v>
      </c>
      <c r="K139" s="1">
        <v>-4.7289999999999997E-3</v>
      </c>
      <c r="L139" s="1">
        <v>-6.7199999999999996E-4</v>
      </c>
      <c r="M139" s="1">
        <v>0.98971600000000004</v>
      </c>
      <c r="N139" s="1">
        <v>-0.14296500000000001</v>
      </c>
      <c r="O139">
        <v>1</v>
      </c>
      <c r="P139">
        <v>0</v>
      </c>
      <c r="Q139">
        <v>1</v>
      </c>
      <c r="R139">
        <v>1</v>
      </c>
      <c r="S139">
        <v>1</v>
      </c>
      <c r="T139" s="1">
        <f>SQRT(POWER(Hybrid[[#This Row],[angvel_X]],2) + POWER(Hybrid[[#This Row],[angvel_Y]],2) + POWER(Hybrid[[#This Row],[angvel_Z]],2))</f>
        <v>2.0299000024631755</v>
      </c>
      <c r="U139">
        <f>DEGREES(ASIN(MAX(-1,MIN(1,2 * (Hybrid[[#This Row],[quart_W]]*Hybrid[[#This Row],[quart_Y]] - Hybrid[[#This Row],[quart_Z]]*Hybrid[[#This Row],[quart_X]])))))</f>
        <v>0.5473479676313634</v>
      </c>
      <c r="V13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-106.43911455283255</v>
      </c>
      <c r="W13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89.998740313944865</v>
      </c>
      <c r="X139">
        <f>IF(Hybrid[[#This Row],[Yaw]]&gt;V138,(360-ABS(Hybrid[[#This Row],[Yaw]])-ABS(V138)),ABS(Hybrid[[#This Row],[Yaw]]-V138))</f>
        <v>0.96944223993672551</v>
      </c>
      <c r="Y139">
        <f>Hybrid[[#This Row],[Degree change]]+Y138</f>
        <v>75.589985446203826</v>
      </c>
    </row>
    <row r="140" spans="1:25">
      <c r="A140">
        <v>139</v>
      </c>
      <c r="B140">
        <v>-1016.649963</v>
      </c>
      <c r="C140">
        <v>2623.8498540000001</v>
      </c>
      <c r="D140">
        <v>17.010000000000002</v>
      </c>
      <c r="E140">
        <v>-2232.669922</v>
      </c>
      <c r="F140">
        <v>-552.339966</v>
      </c>
      <c r="G140">
        <v>8.09</v>
      </c>
      <c r="H140" s="1">
        <v>1E-4</v>
      </c>
      <c r="I140" s="1">
        <v>0</v>
      </c>
      <c r="J140" s="1">
        <v>2.0299</v>
      </c>
      <c r="K140" s="1">
        <v>-4.7229999999999998E-3</v>
      </c>
      <c r="L140" s="1">
        <v>-7.0899999999999999E-4</v>
      </c>
      <c r="M140" s="1">
        <v>0.98847099999999999</v>
      </c>
      <c r="N140" s="1">
        <v>-0.151333</v>
      </c>
      <c r="O140">
        <v>1</v>
      </c>
      <c r="P140">
        <v>0</v>
      </c>
      <c r="Q140">
        <v>1</v>
      </c>
      <c r="R140">
        <v>1</v>
      </c>
      <c r="S140">
        <v>1</v>
      </c>
      <c r="T140" s="1">
        <f>SQRT(POWER(Hybrid[[#This Row],[angvel_X]],2) + POWER(Hybrid[[#This Row],[angvel_Y]],2) + POWER(Hybrid[[#This Row],[angvel_Z]],2))</f>
        <v>2.0299000024631755</v>
      </c>
      <c r="U140">
        <f>DEGREES(ASIN(MAX(-1,MIN(1,2 * (Hybrid[[#This Row],[quart_W]]*Hybrid[[#This Row],[quart_Y]] - Hybrid[[#This Row],[quart_Z]]*Hybrid[[#This Row],[quart_X]])))))</f>
        <v>0.54727968926107484</v>
      </c>
      <c r="V14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-107.40859065655333</v>
      </c>
      <c r="W14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89.998404833355636</v>
      </c>
      <c r="X140">
        <f>IF(Hybrid[[#This Row],[Yaw]]&gt;V139,(360-ABS(Hybrid[[#This Row],[Yaw]])-ABS(V139)),ABS(Hybrid[[#This Row],[Yaw]]-V139))</f>
        <v>0.96947610372077975</v>
      </c>
      <c r="Y140">
        <f>Hybrid[[#This Row],[Degree change]]+Y139</f>
        <v>76.559461549924606</v>
      </c>
    </row>
    <row r="141" spans="1:25">
      <c r="A141">
        <v>140</v>
      </c>
      <c r="B141">
        <v>-1035.3199460000001</v>
      </c>
      <c r="C141">
        <v>2619.2299800000001</v>
      </c>
      <c r="D141">
        <v>17.010000000000002</v>
      </c>
      <c r="E141">
        <v>-2223.01001</v>
      </c>
      <c r="F141">
        <v>-590.01995799999997</v>
      </c>
      <c r="G141">
        <v>8.09</v>
      </c>
      <c r="H141" s="1">
        <v>2.0000000000000001E-4</v>
      </c>
      <c r="I141" s="1">
        <v>0</v>
      </c>
      <c r="J141" s="1">
        <v>2.0299999999999998</v>
      </c>
      <c r="K141" s="1">
        <v>-4.718E-3</v>
      </c>
      <c r="L141" s="1">
        <v>-7.4700000000000005E-4</v>
      </c>
      <c r="M141" s="1">
        <v>0.98715600000000003</v>
      </c>
      <c r="N141" s="1">
        <v>-0.159689</v>
      </c>
      <c r="O141">
        <v>1</v>
      </c>
      <c r="P141">
        <v>0</v>
      </c>
      <c r="Q141">
        <v>1</v>
      </c>
      <c r="R141">
        <v>1</v>
      </c>
      <c r="S141">
        <v>1</v>
      </c>
      <c r="T141" s="1">
        <f>SQRT(POWER(Hybrid[[#This Row],[angvel_X]],2) + POWER(Hybrid[[#This Row],[angvel_Y]],2) + POWER(Hybrid[[#This Row],[angvel_Z]],2))</f>
        <v>2.0300000098522162</v>
      </c>
      <c r="U141">
        <f>DEGREES(ASIN(MAX(-1,MIN(1,2 * (Hybrid[[#This Row],[quart_W]]*Hybrid[[#This Row],[quart_Y]] - Hybrid[[#This Row],[quart_Z]]*Hybrid[[#This Row],[quart_X]])))))</f>
        <v>0.54737664513385198</v>
      </c>
      <c r="V14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-108.37790061150882</v>
      </c>
      <c r="W14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89.998165629723118</v>
      </c>
      <c r="X141">
        <f>IF(Hybrid[[#This Row],[Yaw]]&gt;V140,(360-ABS(Hybrid[[#This Row],[Yaw]])-ABS(V140)),ABS(Hybrid[[#This Row],[Yaw]]-V140))</f>
        <v>0.96930995495549155</v>
      </c>
      <c r="Y141">
        <f>Hybrid[[#This Row],[Degree change]]+Y140</f>
        <v>77.528771504880098</v>
      </c>
    </row>
    <row r="142" spans="1:25">
      <c r="A142">
        <v>141</v>
      </c>
      <c r="B142">
        <v>-1053.910034</v>
      </c>
      <c r="C142">
        <v>2614.290039</v>
      </c>
      <c r="D142">
        <v>17.010000000000002</v>
      </c>
      <c r="E142">
        <v>-2212.719971</v>
      </c>
      <c r="F142">
        <v>-627.52996800000005</v>
      </c>
      <c r="G142">
        <v>8.09</v>
      </c>
      <c r="H142" s="1">
        <v>2.9999999999999997E-4</v>
      </c>
      <c r="I142" s="1">
        <v>0</v>
      </c>
      <c r="J142" s="1">
        <v>2.0299999999999998</v>
      </c>
      <c r="K142" s="1">
        <v>-4.712E-3</v>
      </c>
      <c r="L142" s="1">
        <v>-7.9000000000000001E-4</v>
      </c>
      <c r="M142" s="1">
        <v>0.98576900000000001</v>
      </c>
      <c r="N142" s="1">
        <v>-0.16803499999999999</v>
      </c>
      <c r="O142">
        <v>1</v>
      </c>
      <c r="P142">
        <v>0</v>
      </c>
      <c r="Q142">
        <v>1</v>
      </c>
      <c r="R142">
        <v>1</v>
      </c>
      <c r="S142">
        <v>1</v>
      </c>
      <c r="T142" s="1">
        <f>SQRT(POWER(Hybrid[[#This Row],[angvel_X]],2) + POWER(Hybrid[[#This Row],[angvel_Y]],2) + POWER(Hybrid[[#This Row],[angvel_Z]],2))</f>
        <v>2.0300000221674872</v>
      </c>
      <c r="U142">
        <f>DEGREES(ASIN(MAX(-1,MIN(1,2 * (Hybrid[[#This Row],[quart_W]]*Hybrid[[#This Row],[quart_Y]] - Hybrid[[#This Row],[quart_Z]]*Hybrid[[#This Row],[quart_X]])))))</f>
        <v>0.54749141232897613</v>
      </c>
      <c r="V14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-109.34743450118809</v>
      </c>
      <c r="W14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89.998507559008559</v>
      </c>
      <c r="X142">
        <f>IF(Hybrid[[#This Row],[Yaw]]&gt;V141,(360-ABS(Hybrid[[#This Row],[Yaw]])-ABS(V141)),ABS(Hybrid[[#This Row],[Yaw]]-V141))</f>
        <v>0.96953388967926912</v>
      </c>
      <c r="Y142">
        <f>Hybrid[[#This Row],[Degree change]]+Y141</f>
        <v>78.498305394559367</v>
      </c>
    </row>
    <row r="143" spans="1:25">
      <c r="A143">
        <v>142</v>
      </c>
      <c r="B143">
        <v>-1072.410034</v>
      </c>
      <c r="C143">
        <v>2609.040039</v>
      </c>
      <c r="D143">
        <v>17.010000000000002</v>
      </c>
      <c r="E143">
        <v>-2201.790039</v>
      </c>
      <c r="F143">
        <v>-664.85998500000005</v>
      </c>
      <c r="G143">
        <v>8.09</v>
      </c>
      <c r="H143" s="1">
        <v>2.9999999999999997E-4</v>
      </c>
      <c r="I143" s="1">
        <v>0</v>
      </c>
      <c r="J143" s="1">
        <v>2.0299999999999998</v>
      </c>
      <c r="K143" s="1">
        <v>-4.7070000000000002E-3</v>
      </c>
      <c r="L143" s="1">
        <v>-8.3299999999999997E-4</v>
      </c>
      <c r="M143" s="1">
        <v>0.98431299999999999</v>
      </c>
      <c r="N143" s="1">
        <v>-0.17636499999999999</v>
      </c>
      <c r="O143">
        <v>1</v>
      </c>
      <c r="P143">
        <v>0</v>
      </c>
      <c r="Q143">
        <v>1</v>
      </c>
      <c r="R143">
        <v>1</v>
      </c>
      <c r="S143">
        <v>1</v>
      </c>
      <c r="T143" s="1">
        <f>SQRT(POWER(Hybrid[[#This Row],[angvel_X]],2) + POWER(Hybrid[[#This Row],[angvel_Y]],2) + POWER(Hybrid[[#This Row],[angvel_Z]],2))</f>
        <v>2.0300000221674872</v>
      </c>
      <c r="U143">
        <f>DEGREES(ASIN(MAX(-1,MIN(1,2 * (Hybrid[[#This Row],[quart_W]]*Hybrid[[#This Row],[quart_Y]] - Hybrid[[#This Row],[quart_Z]]*Hybrid[[#This Row],[quart_X]])))))</f>
        <v>0.54776439999715754</v>
      </c>
      <c r="V14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-110.31645882157154</v>
      </c>
      <c r="W14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89.998829127176478</v>
      </c>
      <c r="X143">
        <f>IF(Hybrid[[#This Row],[Yaw]]&gt;V142,(360-ABS(Hybrid[[#This Row],[Yaw]])-ABS(V142)),ABS(Hybrid[[#This Row],[Yaw]]-V142))</f>
        <v>0.9690243203834541</v>
      </c>
      <c r="Y143">
        <f>Hybrid[[#This Row],[Degree change]]+Y142</f>
        <v>79.467329714942821</v>
      </c>
    </row>
    <row r="144" spans="1:25">
      <c r="A144">
        <v>143</v>
      </c>
      <c r="B144">
        <v>-1090.8199460000001</v>
      </c>
      <c r="C144">
        <v>2603.4799800000001</v>
      </c>
      <c r="D144">
        <v>17.010000000000002</v>
      </c>
      <c r="E144">
        <v>-2190.2299800000001</v>
      </c>
      <c r="F144">
        <v>-702</v>
      </c>
      <c r="G144">
        <v>8.09</v>
      </c>
      <c r="H144" s="1">
        <v>2.9999999999999997E-4</v>
      </c>
      <c r="I144" s="1">
        <v>0</v>
      </c>
      <c r="J144" s="1">
        <v>2.0301</v>
      </c>
      <c r="K144" s="1">
        <v>-4.7019999999999996E-3</v>
      </c>
      <c r="L144" s="1">
        <v>-8.7699999999999996E-4</v>
      </c>
      <c r="M144" s="1">
        <v>0.98278600000000005</v>
      </c>
      <c r="N144" s="1">
        <v>-0.18468300000000001</v>
      </c>
      <c r="O144">
        <v>1</v>
      </c>
      <c r="P144">
        <v>0</v>
      </c>
      <c r="Q144">
        <v>1</v>
      </c>
      <c r="R144">
        <v>1</v>
      </c>
      <c r="S144">
        <v>1</v>
      </c>
      <c r="T144" s="1">
        <f>SQRT(POWER(Hybrid[[#This Row],[angvel_X]],2) + POWER(Hybrid[[#This Row],[angvel_Y]],2) + POWER(Hybrid[[#This Row],[angvel_Z]],2))</f>
        <v>2.0301000221663954</v>
      </c>
      <c r="U144">
        <f>DEGREES(ASIN(MAX(-1,MIN(1,2 * (Hybrid[[#This Row],[quart_W]]*Hybrid[[#This Row],[quart_Y]] - Hybrid[[#This Row],[quart_Z]]*Hybrid[[#This Row],[quart_X]])))))</f>
        <v>0.54810285327817587</v>
      </c>
      <c r="V14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-111.28558346713687</v>
      </c>
      <c r="W14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89.999257854605105</v>
      </c>
      <c r="X144">
        <f>IF(Hybrid[[#This Row],[Yaw]]&gt;V143,(360-ABS(Hybrid[[#This Row],[Yaw]])-ABS(V143)),ABS(Hybrid[[#This Row],[Yaw]]-V143))</f>
        <v>0.96912464556532996</v>
      </c>
      <c r="Y144">
        <f>Hybrid[[#This Row],[Degree change]]+Y143</f>
        <v>80.436454360508151</v>
      </c>
    </row>
    <row r="145" spans="1:25">
      <c r="A145">
        <v>144</v>
      </c>
      <c r="B145">
        <v>-1109.1400149999999</v>
      </c>
      <c r="C145">
        <v>2597.6098630000001</v>
      </c>
      <c r="D145">
        <v>17.010000000000002</v>
      </c>
      <c r="E145">
        <v>-2178.040039</v>
      </c>
      <c r="F145">
        <v>-738.95001200000002</v>
      </c>
      <c r="G145">
        <v>8.09</v>
      </c>
      <c r="H145" s="1">
        <v>2.0000000000000001E-4</v>
      </c>
      <c r="I145" s="1">
        <v>0</v>
      </c>
      <c r="J145" s="1">
        <v>2.0301</v>
      </c>
      <c r="K145" s="1">
        <v>-4.6959999999999997E-3</v>
      </c>
      <c r="L145" s="1">
        <v>-9.2000000000000003E-4</v>
      </c>
      <c r="M145" s="1">
        <v>0.98118899999999998</v>
      </c>
      <c r="N145" s="1">
        <v>-0.192991</v>
      </c>
      <c r="O145">
        <v>1</v>
      </c>
      <c r="P145">
        <v>0</v>
      </c>
      <c r="Q145">
        <v>1</v>
      </c>
      <c r="R145">
        <v>1</v>
      </c>
      <c r="S145">
        <v>1</v>
      </c>
      <c r="T145" s="1">
        <f>SQRT(POWER(Hybrid[[#This Row],[angvel_X]],2) + POWER(Hybrid[[#This Row],[angvel_Y]],2) + POWER(Hybrid[[#This Row],[angvel_Z]],2))</f>
        <v>2.0301000098517314</v>
      </c>
      <c r="U145">
        <f>DEGREES(ASIN(MAX(-1,MIN(1,2 * (Hybrid[[#This Row],[quart_W]]*Hybrid[[#This Row],[quart_Y]] - Hybrid[[#This Row],[quart_Z]]*Hybrid[[#This Row],[quart_X]])))))</f>
        <v>0.5483536485002678</v>
      </c>
      <c r="V14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-112.25502532869865</v>
      </c>
      <c r="W14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89.999588384770178</v>
      </c>
      <c r="X145">
        <f>IF(Hybrid[[#This Row],[Yaw]]&gt;V144,(360-ABS(Hybrid[[#This Row],[Yaw]])-ABS(V144)),ABS(Hybrid[[#This Row],[Yaw]]-V144))</f>
        <v>0.96944186156177636</v>
      </c>
      <c r="Y145">
        <f>Hybrid[[#This Row],[Degree change]]+Y144</f>
        <v>81.405896222069927</v>
      </c>
    </row>
    <row r="146" spans="1:25">
      <c r="A146">
        <v>145</v>
      </c>
      <c r="B146">
        <v>-1127.349976</v>
      </c>
      <c r="C146">
        <v>2591.429932</v>
      </c>
      <c r="D146">
        <v>17.010000000000002</v>
      </c>
      <c r="E146">
        <v>-2165.2299800000001</v>
      </c>
      <c r="F146">
        <v>-775.69000200000005</v>
      </c>
      <c r="G146">
        <v>8.09</v>
      </c>
      <c r="H146" s="1">
        <v>1E-4</v>
      </c>
      <c r="I146" s="1">
        <v>0</v>
      </c>
      <c r="J146" s="1">
        <v>2.0301</v>
      </c>
      <c r="K146" s="1">
        <v>-4.6909999999999999E-3</v>
      </c>
      <c r="L146" s="1">
        <v>-9.6299999999999999E-4</v>
      </c>
      <c r="M146" s="1">
        <v>0.97952099999999998</v>
      </c>
      <c r="N146" s="1">
        <v>-0.20128299999999999</v>
      </c>
      <c r="O146">
        <v>1</v>
      </c>
      <c r="P146">
        <v>0</v>
      </c>
      <c r="Q146">
        <v>1</v>
      </c>
      <c r="R146">
        <v>1</v>
      </c>
      <c r="S146">
        <v>1</v>
      </c>
      <c r="T146" s="1">
        <f>SQRT(POWER(Hybrid[[#This Row],[angvel_X]],2) + POWER(Hybrid[[#This Row],[angvel_Y]],2) + POWER(Hybrid[[#This Row],[angvel_Z]],2))</f>
        <v>2.0301000024629325</v>
      </c>
      <c r="U146">
        <f>DEGREES(ASIN(MAX(-1,MIN(1,2 * (Hybrid[[#This Row],[quart_W]]*Hybrid[[#This Row],[quart_Y]] - Hybrid[[#This Row],[quart_Z]]*Hybrid[[#This Row],[quart_X]])))))</f>
        <v>0.54876084259912949</v>
      </c>
      <c r="V14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-113.22428992236412</v>
      </c>
      <c r="W14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89.999892298475274</v>
      </c>
      <c r="X146">
        <f>IF(Hybrid[[#This Row],[Yaw]]&gt;V145,(360-ABS(Hybrid[[#This Row],[Yaw]])-ABS(V145)),ABS(Hybrid[[#This Row],[Yaw]]-V145))</f>
        <v>0.96926459366547135</v>
      </c>
      <c r="Y146">
        <f>Hybrid[[#This Row],[Degree change]]+Y145</f>
        <v>82.375160815735399</v>
      </c>
    </row>
    <row r="147" spans="1:25">
      <c r="A147">
        <v>146</v>
      </c>
      <c r="B147">
        <v>-1145.459961</v>
      </c>
      <c r="C147">
        <v>2584.9399410000001</v>
      </c>
      <c r="D147">
        <v>17.010000000000002</v>
      </c>
      <c r="E147">
        <v>-2151.8000489999999</v>
      </c>
      <c r="F147">
        <v>-812.20001200000002</v>
      </c>
      <c r="G147">
        <v>8.09</v>
      </c>
      <c r="H147" s="1">
        <v>0</v>
      </c>
      <c r="I147" s="1">
        <v>0</v>
      </c>
      <c r="J147" s="1">
        <v>2.0301999999999998</v>
      </c>
      <c r="K147" s="1">
        <v>-4.6800000000000001E-3</v>
      </c>
      <c r="L147" s="1">
        <v>-1.0009999999999999E-3</v>
      </c>
      <c r="M147" s="1">
        <v>0.97778399999999999</v>
      </c>
      <c r="N147" s="1">
        <v>-0.209559</v>
      </c>
      <c r="O147">
        <v>1</v>
      </c>
      <c r="P147">
        <v>0</v>
      </c>
      <c r="Q147">
        <v>1</v>
      </c>
      <c r="R147">
        <v>1</v>
      </c>
      <c r="S147">
        <v>1</v>
      </c>
      <c r="T147" s="1">
        <f>SQRT(POWER(Hybrid[[#This Row],[angvel_X]],2) + POWER(Hybrid[[#This Row],[angvel_Y]],2) + POWER(Hybrid[[#This Row],[angvel_Z]],2))</f>
        <v>2.0301999999999998</v>
      </c>
      <c r="U147">
        <f>DEGREES(ASIN(MAX(-1,MIN(1,2 * (Hybrid[[#This Row],[quart_W]]*Hybrid[[#This Row],[quart_Y]] - Hybrid[[#This Row],[quart_Z]]*Hybrid[[#This Row],[quart_X]])))))</f>
        <v>0.54842039140015608</v>
      </c>
      <c r="V14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-114.19332229874622</v>
      </c>
      <c r="W14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89.999773747395352</v>
      </c>
      <c r="X147">
        <f>IF(Hybrid[[#This Row],[Yaw]]&gt;V146,(360-ABS(Hybrid[[#This Row],[Yaw]])-ABS(V146)),ABS(Hybrid[[#This Row],[Yaw]]-V146))</f>
        <v>0.96903237638210271</v>
      </c>
      <c r="Y147">
        <f>Hybrid[[#This Row],[Degree change]]+Y146</f>
        <v>83.344193192117501</v>
      </c>
    </row>
    <row r="148" spans="1:25">
      <c r="A148">
        <v>147</v>
      </c>
      <c r="B148">
        <v>-1163.4499510000001</v>
      </c>
      <c r="C148">
        <v>2578.139893</v>
      </c>
      <c r="D148">
        <v>17.010000000000002</v>
      </c>
      <c r="E148">
        <v>-2137.75</v>
      </c>
      <c r="F148">
        <v>-848.47997999999995</v>
      </c>
      <c r="G148">
        <v>8.09</v>
      </c>
      <c r="H148" s="1">
        <v>0</v>
      </c>
      <c r="I148" s="1">
        <v>0</v>
      </c>
      <c r="J148" s="1">
        <v>2.0301999999999998</v>
      </c>
      <c r="K148" s="1">
        <v>-4.6690000000000004E-3</v>
      </c>
      <c r="L148" s="1">
        <v>-1.039E-3</v>
      </c>
      <c r="M148" s="1">
        <v>0.97597599999999995</v>
      </c>
      <c r="N148" s="1">
        <v>-0.21782399999999999</v>
      </c>
      <c r="O148">
        <v>1</v>
      </c>
      <c r="P148">
        <v>0</v>
      </c>
      <c r="Q148">
        <v>1</v>
      </c>
      <c r="R148">
        <v>1</v>
      </c>
      <c r="S148">
        <v>1</v>
      </c>
      <c r="T148" s="1">
        <f>SQRT(POWER(Hybrid[[#This Row],[angvel_X]],2) + POWER(Hybrid[[#This Row],[angvel_Y]],2) + POWER(Hybrid[[#This Row],[angvel_Z]],2))</f>
        <v>2.0301999999999998</v>
      </c>
      <c r="U148">
        <f>DEGREES(ASIN(MAX(-1,MIN(1,2 * (Hybrid[[#This Row],[quart_W]]*Hybrid[[#This Row],[quart_Y]] - Hybrid[[#This Row],[quart_Z]]*Hybrid[[#This Row],[quart_X]])))))</f>
        <v>0.54811709960888766</v>
      </c>
      <c r="V14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-115.16283545731913</v>
      </c>
      <c r="W14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89.999658364928379</v>
      </c>
      <c r="X148">
        <f>IF(Hybrid[[#This Row],[Yaw]]&gt;V147,(360-ABS(Hybrid[[#This Row],[Yaw]])-ABS(V147)),ABS(Hybrid[[#This Row],[Yaw]]-V147))</f>
        <v>0.96951315857290865</v>
      </c>
      <c r="Y148">
        <f>Hybrid[[#This Row],[Degree change]]+Y147</f>
        <v>84.31370635069041</v>
      </c>
    </row>
    <row r="149" spans="1:25">
      <c r="A149">
        <v>148</v>
      </c>
      <c r="B149">
        <v>-1181.329956</v>
      </c>
      <c r="C149">
        <v>2571.040039</v>
      </c>
      <c r="D149">
        <v>17.010000000000002</v>
      </c>
      <c r="E149">
        <v>-2123.0898440000001</v>
      </c>
      <c r="F149">
        <v>-884.51995799999997</v>
      </c>
      <c r="G149">
        <v>8.09</v>
      </c>
      <c r="H149" s="1">
        <v>0</v>
      </c>
      <c r="I149" s="1">
        <v>0</v>
      </c>
      <c r="J149" s="1">
        <v>2.0301999999999998</v>
      </c>
      <c r="K149" s="1">
        <v>-4.6579999999999998E-3</v>
      </c>
      <c r="L149" s="1">
        <v>-1.0759999999999999E-3</v>
      </c>
      <c r="M149" s="1">
        <v>0.97409900000000005</v>
      </c>
      <c r="N149" s="1">
        <v>-0.226072</v>
      </c>
      <c r="O149">
        <v>1</v>
      </c>
      <c r="P149">
        <v>0</v>
      </c>
      <c r="Q149">
        <v>1</v>
      </c>
      <c r="R149">
        <v>1</v>
      </c>
      <c r="S149">
        <v>1</v>
      </c>
      <c r="T149" s="1">
        <f>SQRT(POWER(Hybrid[[#This Row],[angvel_X]],2) + POWER(Hybrid[[#This Row],[angvel_Y]],2) + POWER(Hybrid[[#This Row],[angvel_Z]],2))</f>
        <v>2.0301999999999998</v>
      </c>
      <c r="U149">
        <f>DEGREES(ASIN(MAX(-1,MIN(1,2 * (Hybrid[[#This Row],[quart_W]]*Hybrid[[#This Row],[quart_Y]] - Hybrid[[#This Row],[quart_Z]]*Hybrid[[#This Row],[quart_X]])))))</f>
        <v>0.54782551194765339</v>
      </c>
      <c r="V14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-116.13214359950418</v>
      </c>
      <c r="W14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89.999437002895775</v>
      </c>
      <c r="X149">
        <f>IF(Hybrid[[#This Row],[Yaw]]&gt;V148,(360-ABS(Hybrid[[#This Row],[Yaw]])-ABS(V148)),ABS(Hybrid[[#This Row],[Yaw]]-V148))</f>
        <v>0.96930814218504224</v>
      </c>
      <c r="Y149">
        <f>Hybrid[[#This Row],[Degree change]]+Y148</f>
        <v>85.283014492875452</v>
      </c>
    </row>
    <row r="150" spans="1:25">
      <c r="A150">
        <v>149</v>
      </c>
      <c r="B150">
        <v>-1199.079956</v>
      </c>
      <c r="C150">
        <v>2563.639893</v>
      </c>
      <c r="D150">
        <v>17.010000000000002</v>
      </c>
      <c r="E150">
        <v>-2107.8298340000001</v>
      </c>
      <c r="F150">
        <v>-920.30999799999995</v>
      </c>
      <c r="G150">
        <v>8.09</v>
      </c>
      <c r="H150" s="1">
        <v>0</v>
      </c>
      <c r="I150" s="1">
        <v>0</v>
      </c>
      <c r="J150" s="1">
        <v>2.0301999999999998</v>
      </c>
      <c r="K150" s="1">
        <v>-4.6480000000000002E-3</v>
      </c>
      <c r="L150" s="1">
        <v>-1.114E-3</v>
      </c>
      <c r="M150" s="1">
        <v>0.97215099999999999</v>
      </c>
      <c r="N150" s="1">
        <v>-0.23430500000000001</v>
      </c>
      <c r="O150">
        <v>1</v>
      </c>
      <c r="P150">
        <v>0</v>
      </c>
      <c r="Q150">
        <v>1</v>
      </c>
      <c r="R150">
        <v>1</v>
      </c>
      <c r="S150">
        <v>1</v>
      </c>
      <c r="T150" s="1">
        <f>SQRT(POWER(Hybrid[[#This Row],[angvel_X]],2) + POWER(Hybrid[[#This Row],[angvel_Y]],2) + POWER(Hybrid[[#This Row],[angvel_Z]],2))</f>
        <v>2.0301999999999998</v>
      </c>
      <c r="U150">
        <f>DEGREES(ASIN(MAX(-1,MIN(1,2 * (Hybrid[[#This Row],[quart_W]]*Hybrid[[#This Row],[quart_Y]] - Hybrid[[#This Row],[quart_Z]]*Hybrid[[#This Row],[quart_X]])))))</f>
        <v>0.54770713391572079</v>
      </c>
      <c r="V15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-117.10166585379091</v>
      </c>
      <c r="W15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89.999304004846195</v>
      </c>
      <c r="X150">
        <f>IF(Hybrid[[#This Row],[Yaw]]&gt;V149,(360-ABS(Hybrid[[#This Row],[Yaw]])-ABS(V149)),ABS(Hybrid[[#This Row],[Yaw]]-V149))</f>
        <v>0.96952225428672989</v>
      </c>
      <c r="Y150">
        <f>Hybrid[[#This Row],[Degree change]]+Y149</f>
        <v>86.252536747162182</v>
      </c>
    </row>
    <row r="151" spans="1:25">
      <c r="A151">
        <v>150</v>
      </c>
      <c r="B151">
        <v>-1216.709961</v>
      </c>
      <c r="C151">
        <v>2555.9399410000001</v>
      </c>
      <c r="D151">
        <v>17.010000000000002</v>
      </c>
      <c r="E151">
        <v>-2091.959961</v>
      </c>
      <c r="F151">
        <v>-955.82995600000004</v>
      </c>
      <c r="G151">
        <v>8.09</v>
      </c>
      <c r="H151" s="1">
        <v>0</v>
      </c>
      <c r="I151" s="1">
        <v>0</v>
      </c>
      <c r="J151" s="1">
        <v>2.0301999999999998</v>
      </c>
      <c r="K151" s="1">
        <v>-4.6369999999999996E-3</v>
      </c>
      <c r="L151" s="1">
        <v>-1.152E-3</v>
      </c>
      <c r="M151" s="1">
        <v>0.97013400000000005</v>
      </c>
      <c r="N151" s="1">
        <v>-0.24252099999999999</v>
      </c>
      <c r="O151">
        <v>1</v>
      </c>
      <c r="P151">
        <v>0</v>
      </c>
      <c r="Q151">
        <v>1</v>
      </c>
      <c r="R151">
        <v>1</v>
      </c>
      <c r="S151">
        <v>1</v>
      </c>
      <c r="T151" s="1">
        <f>SQRT(POWER(Hybrid[[#This Row],[angvel_X]],2) + POWER(Hybrid[[#This Row],[angvel_Y]],2) + POWER(Hybrid[[#This Row],[angvel_Z]],2))</f>
        <v>2.0301999999999998</v>
      </c>
      <c r="U151">
        <f>DEGREES(ASIN(MAX(-1,MIN(1,2 * (Hybrid[[#This Row],[quart_W]]*Hybrid[[#This Row],[quart_Y]] - Hybrid[[#This Row],[quart_Z]]*Hybrid[[#This Row],[quart_X]])))))</f>
        <v>0.5475148327043502</v>
      </c>
      <c r="V15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-118.07112154259568</v>
      </c>
      <c r="W15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89.999200629051273</v>
      </c>
      <c r="X151">
        <f>IF(Hybrid[[#This Row],[Yaw]]&gt;V150,(360-ABS(Hybrid[[#This Row],[Yaw]])-ABS(V150)),ABS(Hybrid[[#This Row],[Yaw]]-V150))</f>
        <v>0.9694556888047714</v>
      </c>
      <c r="Y151">
        <f>Hybrid[[#This Row],[Degree change]]+Y150</f>
        <v>87.221992435966953</v>
      </c>
    </row>
    <row r="152" spans="1:25">
      <c r="A152">
        <v>151</v>
      </c>
      <c r="B152">
        <v>-1234.1999510000001</v>
      </c>
      <c r="C152">
        <v>2547.9399410000001</v>
      </c>
      <c r="D152">
        <v>17.010000000000002</v>
      </c>
      <c r="E152">
        <v>-2075.48999</v>
      </c>
      <c r="F152">
        <v>-991.07995600000004</v>
      </c>
      <c r="G152">
        <v>8.09</v>
      </c>
      <c r="H152" s="1">
        <v>0</v>
      </c>
      <c r="I152" s="1">
        <v>0</v>
      </c>
      <c r="J152" s="1">
        <v>2.0301999999999998</v>
      </c>
      <c r="K152" s="1">
        <v>-4.6259999999999999E-3</v>
      </c>
      <c r="L152" s="1">
        <v>-1.1900000000000001E-3</v>
      </c>
      <c r="M152" s="1">
        <v>0.96804699999999999</v>
      </c>
      <c r="N152" s="1">
        <v>-0.25072100000000003</v>
      </c>
      <c r="O152">
        <v>1</v>
      </c>
      <c r="P152">
        <v>0</v>
      </c>
      <c r="Q152">
        <v>1</v>
      </c>
      <c r="R152">
        <v>1</v>
      </c>
      <c r="S152">
        <v>1</v>
      </c>
      <c r="T152" s="1">
        <f>SQRT(POWER(Hybrid[[#This Row],[angvel_X]],2) + POWER(Hybrid[[#This Row],[angvel_Y]],2) + POWER(Hybrid[[#This Row],[angvel_Z]],2))</f>
        <v>2.0301999999999998</v>
      </c>
      <c r="U152">
        <f>DEGREES(ASIN(MAX(-1,MIN(1,2 * (Hybrid[[#This Row],[quart_W]]*Hybrid[[#This Row],[quart_Y]] - Hybrid[[#This Row],[quart_Z]]*Hybrid[[#This Row],[quart_X]])))))</f>
        <v>0.54735988203023567</v>
      </c>
      <c r="V15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-119.04075546834244</v>
      </c>
      <c r="W15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89.999099336168541</v>
      </c>
      <c r="X152">
        <f>IF(Hybrid[[#This Row],[Yaw]]&gt;V151,(360-ABS(Hybrid[[#This Row],[Yaw]])-ABS(V151)),ABS(Hybrid[[#This Row],[Yaw]]-V151))</f>
        <v>0.96963392574676277</v>
      </c>
      <c r="Y152">
        <f>Hybrid[[#This Row],[Degree change]]+Y151</f>
        <v>88.191626361713716</v>
      </c>
    </row>
    <row r="153" spans="1:25">
      <c r="A153">
        <v>152</v>
      </c>
      <c r="B153">
        <v>-1251.559937</v>
      </c>
      <c r="C153">
        <v>2539.6499020000001</v>
      </c>
      <c r="D153">
        <v>17.010000000000002</v>
      </c>
      <c r="E153">
        <v>-2058.429932</v>
      </c>
      <c r="F153">
        <v>-1026.049927</v>
      </c>
      <c r="G153">
        <v>8.09</v>
      </c>
      <c r="H153" s="1">
        <v>0</v>
      </c>
      <c r="I153" s="1">
        <v>0</v>
      </c>
      <c r="J153" s="1">
        <v>2.0301999999999998</v>
      </c>
      <c r="K153" s="1">
        <v>-4.6150000000000002E-3</v>
      </c>
      <c r="L153" s="1">
        <v>-1.227E-3</v>
      </c>
      <c r="M153" s="1">
        <v>0.96589199999999997</v>
      </c>
      <c r="N153" s="1">
        <v>-0.25890000000000002</v>
      </c>
      <c r="O153">
        <v>1</v>
      </c>
      <c r="P153">
        <v>0</v>
      </c>
      <c r="Q153">
        <v>1</v>
      </c>
      <c r="R153">
        <v>1</v>
      </c>
      <c r="S153">
        <v>1</v>
      </c>
      <c r="T153" s="1">
        <f>SQRT(POWER(Hybrid[[#This Row],[angvel_X]],2) + POWER(Hybrid[[#This Row],[angvel_Y]],2) + POWER(Hybrid[[#This Row],[angvel_Z]],2))</f>
        <v>2.0301999999999998</v>
      </c>
      <c r="U153">
        <f>DEGREES(ASIN(MAX(-1,MIN(1,2 * (Hybrid[[#This Row],[quart_W]]*Hybrid[[#This Row],[quart_Y]] - Hybrid[[#This Row],[quart_Z]]*Hybrid[[#This Row],[quart_X]])))))</f>
        <v>0.5472130225807541</v>
      </c>
      <c r="V15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-120.00998736857137</v>
      </c>
      <c r="W15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89.998891388863669</v>
      </c>
      <c r="X153">
        <f>IF(Hybrid[[#This Row],[Yaw]]&gt;V152,(360-ABS(Hybrid[[#This Row],[Yaw]])-ABS(V152)),ABS(Hybrid[[#This Row],[Yaw]]-V152))</f>
        <v>0.9692319002289338</v>
      </c>
      <c r="Y153">
        <f>Hybrid[[#This Row],[Degree change]]+Y152</f>
        <v>89.16085826194265</v>
      </c>
    </row>
    <row r="154" spans="1:25">
      <c r="A154">
        <v>153</v>
      </c>
      <c r="B154">
        <v>-1268.7700199999999</v>
      </c>
      <c r="C154">
        <v>2531.0698240000002</v>
      </c>
      <c r="D154">
        <v>17.010000000000002</v>
      </c>
      <c r="E154">
        <v>-2040.7799070000001</v>
      </c>
      <c r="F154">
        <v>-1060.7299800000001</v>
      </c>
      <c r="G154">
        <v>8.09</v>
      </c>
      <c r="H154" s="1">
        <v>1E-4</v>
      </c>
      <c r="I154" s="1">
        <v>0</v>
      </c>
      <c r="J154" s="1">
        <v>2.0301999999999998</v>
      </c>
      <c r="K154" s="1">
        <v>-4.6039999999999996E-3</v>
      </c>
      <c r="L154" s="1">
        <v>-1.2650000000000001E-3</v>
      </c>
      <c r="M154" s="1">
        <v>0.96366700000000005</v>
      </c>
      <c r="N154" s="1">
        <v>-0.26706200000000002</v>
      </c>
      <c r="O154">
        <v>1</v>
      </c>
      <c r="P154">
        <v>0</v>
      </c>
      <c r="Q154">
        <v>1</v>
      </c>
      <c r="R154">
        <v>1</v>
      </c>
      <c r="S154">
        <v>1</v>
      </c>
      <c r="T154" s="1">
        <f>SQRT(POWER(Hybrid[[#This Row],[angvel_X]],2) + POWER(Hybrid[[#This Row],[angvel_Y]],2) + POWER(Hybrid[[#This Row],[angvel_Z]],2))</f>
        <v>2.0302000024628115</v>
      </c>
      <c r="U154">
        <f>DEGREES(ASIN(MAX(-1,MIN(1,2 * (Hybrid[[#This Row],[quart_W]]*Hybrid[[#This Row],[quart_Y]] - Hybrid[[#This Row],[quart_Z]]*Hybrid[[#This Row],[quart_X]])))))</f>
        <v>0.54713216515220986</v>
      </c>
      <c r="V15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-120.97943980671167</v>
      </c>
      <c r="W15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89.998795049998051</v>
      </c>
      <c r="X154">
        <f>IF(Hybrid[[#This Row],[Yaw]]&gt;V153,(360-ABS(Hybrid[[#This Row],[Yaw]])-ABS(V153)),ABS(Hybrid[[#This Row],[Yaw]]-V153))</f>
        <v>0.96945243814029425</v>
      </c>
      <c r="Y154">
        <f>Hybrid[[#This Row],[Degree change]]+Y153</f>
        <v>90.130310700082944</v>
      </c>
    </row>
    <row r="155" spans="1:25">
      <c r="A155">
        <v>154</v>
      </c>
      <c r="B155">
        <v>-1285.839966</v>
      </c>
      <c r="C155">
        <v>2522.1899410000001</v>
      </c>
      <c r="D155">
        <v>17.010000000000002</v>
      </c>
      <c r="E155">
        <v>-2022.5399170000001</v>
      </c>
      <c r="F155">
        <v>-1095.099976</v>
      </c>
      <c r="G155">
        <v>8.09</v>
      </c>
      <c r="H155" s="1">
        <v>1E-4</v>
      </c>
      <c r="I155" s="1">
        <v>0</v>
      </c>
      <c r="J155" s="1">
        <v>2.0301999999999998</v>
      </c>
      <c r="K155" s="1">
        <v>-4.594E-3</v>
      </c>
      <c r="L155" s="1">
        <v>-1.3029999999999999E-3</v>
      </c>
      <c r="M155" s="1">
        <v>0.96137399999999995</v>
      </c>
      <c r="N155" s="1">
        <v>-0.27520299999999998</v>
      </c>
      <c r="O155">
        <v>1</v>
      </c>
      <c r="P155">
        <v>0</v>
      </c>
      <c r="Q155">
        <v>1</v>
      </c>
      <c r="R155">
        <v>1</v>
      </c>
      <c r="S155">
        <v>1</v>
      </c>
      <c r="T155" s="1">
        <f>SQRT(POWER(Hybrid[[#This Row],[angvel_X]],2) + POWER(Hybrid[[#This Row],[angvel_Y]],2) + POWER(Hybrid[[#This Row],[angvel_Z]],2))</f>
        <v>2.0302000024628115</v>
      </c>
      <c r="U155">
        <f>DEGREES(ASIN(MAX(-1,MIN(1,2 * (Hybrid[[#This Row],[quart_W]]*Hybrid[[#This Row],[quart_Y]] - Hybrid[[#This Row],[quart_Z]]*Hybrid[[#This Row],[quart_X]])))))</f>
        <v>0.54719924632820405</v>
      </c>
      <c r="V15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-121.94862950050297</v>
      </c>
      <c r="W15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89.998669272334809</v>
      </c>
      <c r="X155">
        <f>IF(Hybrid[[#This Row],[Yaw]]&gt;V154,(360-ABS(Hybrid[[#This Row],[Yaw]])-ABS(V154)),ABS(Hybrid[[#This Row],[Yaw]]-V154))</f>
        <v>0.96918969379130715</v>
      </c>
      <c r="Y155">
        <f>Hybrid[[#This Row],[Degree change]]+Y154</f>
        <v>91.099500393874251</v>
      </c>
    </row>
    <row r="156" spans="1:25">
      <c r="A156">
        <v>155</v>
      </c>
      <c r="B156">
        <v>-1302.75</v>
      </c>
      <c r="C156">
        <v>2513.030029</v>
      </c>
      <c r="D156">
        <v>17.010000000000002</v>
      </c>
      <c r="E156">
        <v>-2003.719971</v>
      </c>
      <c r="F156">
        <v>-1129.160034</v>
      </c>
      <c r="G156">
        <v>8.09</v>
      </c>
      <c r="H156" s="1">
        <v>2.0000000000000001E-4</v>
      </c>
      <c r="I156" s="1">
        <v>0</v>
      </c>
      <c r="J156" s="1">
        <v>2.0301999999999998</v>
      </c>
      <c r="K156" s="1">
        <v>-4.5830000000000003E-3</v>
      </c>
      <c r="L156" s="1">
        <v>-1.341E-3</v>
      </c>
      <c r="M156" s="1">
        <v>0.95901099999999995</v>
      </c>
      <c r="N156" s="1">
        <v>-0.28332800000000002</v>
      </c>
      <c r="O156">
        <v>1</v>
      </c>
      <c r="P156">
        <v>0</v>
      </c>
      <c r="Q156">
        <v>1</v>
      </c>
      <c r="R156">
        <v>1</v>
      </c>
      <c r="S156">
        <v>1</v>
      </c>
      <c r="T156" s="1">
        <f>SQRT(POWER(Hybrid[[#This Row],[angvel_X]],2) + POWER(Hybrid[[#This Row],[angvel_Y]],2) + POWER(Hybrid[[#This Row],[angvel_Z]],2))</f>
        <v>2.0302000098512458</v>
      </c>
      <c r="U156">
        <f>DEGREES(ASIN(MAX(-1,MIN(1,2 * (Hybrid[[#This Row],[quart_W]]*Hybrid[[#This Row],[quart_Y]] - Hybrid[[#This Row],[quart_Z]]*Hybrid[[#This Row],[quart_X]])))))</f>
        <v>0.54719335559505999</v>
      </c>
      <c r="V15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-122.9182713278844</v>
      </c>
      <c r="W15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89.998572299046785</v>
      </c>
      <c r="X156">
        <f>IF(Hybrid[[#This Row],[Yaw]]&gt;V155,(360-ABS(Hybrid[[#This Row],[Yaw]])-ABS(V155)),ABS(Hybrid[[#This Row],[Yaw]]-V155))</f>
        <v>0.96964182738142313</v>
      </c>
      <c r="Y156">
        <f>Hybrid[[#This Row],[Degree change]]+Y155</f>
        <v>92.069142221255674</v>
      </c>
    </row>
    <row r="157" spans="1:25">
      <c r="A157">
        <v>156</v>
      </c>
      <c r="B157">
        <v>-1319.51001</v>
      </c>
      <c r="C157">
        <v>2503.5798340000001</v>
      </c>
      <c r="D157">
        <v>17.010000000000002</v>
      </c>
      <c r="E157">
        <v>-1984.329956</v>
      </c>
      <c r="F157">
        <v>-1162.900024</v>
      </c>
      <c r="G157">
        <v>8.09</v>
      </c>
      <c r="H157" s="1">
        <v>2.0000000000000001E-4</v>
      </c>
      <c r="I157" s="1">
        <v>0</v>
      </c>
      <c r="J157" s="1">
        <v>2.0301999999999998</v>
      </c>
      <c r="K157" s="1">
        <v>-4.5719999999999997E-3</v>
      </c>
      <c r="L157" s="1">
        <v>-1.3780000000000001E-3</v>
      </c>
      <c r="M157" s="1">
        <v>0.95657999999999999</v>
      </c>
      <c r="N157" s="1">
        <v>-0.291431</v>
      </c>
      <c r="O157">
        <v>1</v>
      </c>
      <c r="P157">
        <v>0</v>
      </c>
      <c r="Q157">
        <v>1</v>
      </c>
      <c r="R157">
        <v>1</v>
      </c>
      <c r="S157">
        <v>1</v>
      </c>
      <c r="T157" s="1">
        <f>SQRT(POWER(Hybrid[[#This Row],[angvel_X]],2) + POWER(Hybrid[[#This Row],[angvel_Y]],2) + POWER(Hybrid[[#This Row],[angvel_Z]],2))</f>
        <v>2.0302000098512458</v>
      </c>
      <c r="U157">
        <f>DEGREES(ASIN(MAX(-1,MIN(1,2 * (Hybrid[[#This Row],[quart_W]]*Hybrid[[#This Row],[quart_Y]] - Hybrid[[#This Row],[quart_Z]]*Hybrid[[#This Row],[quart_X]])))))</f>
        <v>0.5471916844301431</v>
      </c>
      <c r="V15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-123.88769427269935</v>
      </c>
      <c r="W15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89.998366389366396</v>
      </c>
      <c r="X157">
        <f>IF(Hybrid[[#This Row],[Yaw]]&gt;V156,(360-ABS(Hybrid[[#This Row],[Yaw]])-ABS(V156)),ABS(Hybrid[[#This Row],[Yaw]]-V156))</f>
        <v>0.96942294481495139</v>
      </c>
      <c r="Y157">
        <f>Hybrid[[#This Row],[Degree change]]+Y156</f>
        <v>93.038565166070626</v>
      </c>
    </row>
    <row r="158" spans="1:25">
      <c r="A158">
        <v>157</v>
      </c>
      <c r="B158">
        <v>-1336.099976</v>
      </c>
      <c r="C158">
        <v>2493.8498540000001</v>
      </c>
      <c r="D158">
        <v>17.010000000000002</v>
      </c>
      <c r="E158">
        <v>-1964.369995</v>
      </c>
      <c r="F158">
        <v>-1196.309937</v>
      </c>
      <c r="G158">
        <v>8.09</v>
      </c>
      <c r="H158" s="1">
        <v>2.0000000000000001E-4</v>
      </c>
      <c r="I158" s="1">
        <v>0</v>
      </c>
      <c r="J158" s="1">
        <v>2.0301999999999998</v>
      </c>
      <c r="K158" s="1">
        <v>-4.561E-3</v>
      </c>
      <c r="L158" s="1">
        <v>-1.4159999999999999E-3</v>
      </c>
      <c r="M158" s="1">
        <v>0.95408000000000004</v>
      </c>
      <c r="N158" s="1">
        <v>-0.299512</v>
      </c>
      <c r="O158">
        <v>1</v>
      </c>
      <c r="P158">
        <v>0</v>
      </c>
      <c r="Q158">
        <v>1</v>
      </c>
      <c r="R158">
        <v>1</v>
      </c>
      <c r="S158">
        <v>1</v>
      </c>
      <c r="T158" s="1">
        <f>SQRT(POWER(Hybrid[[#This Row],[angvel_X]],2) + POWER(Hybrid[[#This Row],[angvel_Y]],2) + POWER(Hybrid[[#This Row],[angvel_Z]],2))</f>
        <v>2.0302000098512458</v>
      </c>
      <c r="U158">
        <f>DEGREES(ASIN(MAX(-1,MIN(1,2 * (Hybrid[[#This Row],[quart_W]]*Hybrid[[#This Row],[quart_Y]] - Hybrid[[#This Row],[quart_Z]]*Hybrid[[#This Row],[quart_X]])))))</f>
        <v>0.54725954795906318</v>
      </c>
      <c r="V15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-124.85706485735275</v>
      </c>
      <c r="W15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89.998269937816559</v>
      </c>
      <c r="X158">
        <f>IF(Hybrid[[#This Row],[Yaw]]&gt;V157,(360-ABS(Hybrid[[#This Row],[Yaw]])-ABS(V157)),ABS(Hybrid[[#This Row],[Yaw]]-V157))</f>
        <v>0.96937058465340442</v>
      </c>
      <c r="Y158">
        <f>Hybrid[[#This Row],[Degree change]]+Y157</f>
        <v>94.00793575072403</v>
      </c>
    </row>
    <row r="159" spans="1:25">
      <c r="A159">
        <v>158</v>
      </c>
      <c r="B159">
        <v>-1352.530029</v>
      </c>
      <c r="C159">
        <v>2483.8398440000001</v>
      </c>
      <c r="D159">
        <v>17.010000000000002</v>
      </c>
      <c r="E159">
        <v>-1943.849976</v>
      </c>
      <c r="F159">
        <v>-1229.369995</v>
      </c>
      <c r="G159">
        <v>8.09</v>
      </c>
      <c r="H159" s="1">
        <v>2.0000000000000001E-4</v>
      </c>
      <c r="I159" s="1">
        <v>0</v>
      </c>
      <c r="J159" s="1">
        <v>2.0301999999999998</v>
      </c>
      <c r="K159" s="1">
        <v>-4.5510000000000004E-3</v>
      </c>
      <c r="L159" s="1">
        <v>-1.454E-3</v>
      </c>
      <c r="M159" s="1">
        <v>0.95151300000000005</v>
      </c>
      <c r="N159" s="1">
        <v>-0.30757200000000001</v>
      </c>
      <c r="O159">
        <v>1</v>
      </c>
      <c r="P159">
        <v>0</v>
      </c>
      <c r="Q159">
        <v>1</v>
      </c>
      <c r="R159">
        <v>1</v>
      </c>
      <c r="S159">
        <v>1</v>
      </c>
      <c r="T159" s="1">
        <f>SQRT(POWER(Hybrid[[#This Row],[angvel_X]],2) + POWER(Hybrid[[#This Row],[angvel_Y]],2) + POWER(Hybrid[[#This Row],[angvel_Z]],2))</f>
        <v>2.0302000098512458</v>
      </c>
      <c r="U159">
        <f>DEGREES(ASIN(MAX(-1,MIN(1,2 * (Hybrid[[#This Row],[quart_W]]*Hybrid[[#This Row],[quart_Y]] - Hybrid[[#This Row],[quart_Z]]*Hybrid[[#This Row],[quart_X]])))))</f>
        <v>0.54747470102278839</v>
      </c>
      <c r="V15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-125.82635082580057</v>
      </c>
      <c r="W15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89.998136625245451</v>
      </c>
      <c r="X159">
        <f>IF(Hybrid[[#This Row],[Yaw]]&gt;V158,(360-ABS(Hybrid[[#This Row],[Yaw]])-ABS(V158)),ABS(Hybrid[[#This Row],[Yaw]]-V158))</f>
        <v>0.96928596844782078</v>
      </c>
      <c r="Y159">
        <f>Hybrid[[#This Row],[Degree change]]+Y158</f>
        <v>94.977221719171851</v>
      </c>
    </row>
    <row r="160" spans="1:25">
      <c r="A160">
        <v>159</v>
      </c>
      <c r="B160">
        <v>-1368.780029</v>
      </c>
      <c r="C160">
        <v>2473.5500489999999</v>
      </c>
      <c r="D160">
        <v>17.010000000000002</v>
      </c>
      <c r="E160">
        <v>-1922.7698969999999</v>
      </c>
      <c r="F160">
        <v>-1262.079956</v>
      </c>
      <c r="G160">
        <v>8.09</v>
      </c>
      <c r="H160" s="1">
        <v>2.0000000000000001E-4</v>
      </c>
      <c r="I160" s="1">
        <v>0</v>
      </c>
      <c r="J160" s="1">
        <v>2.0301999999999998</v>
      </c>
      <c r="K160" s="1">
        <v>-4.5399999999999998E-3</v>
      </c>
      <c r="L160" s="1">
        <v>-1.4920000000000001E-3</v>
      </c>
      <c r="M160" s="1">
        <v>0.94887699999999997</v>
      </c>
      <c r="N160" s="1">
        <v>-0.31561</v>
      </c>
      <c r="O160">
        <v>1</v>
      </c>
      <c r="P160">
        <v>0</v>
      </c>
      <c r="Q160">
        <v>1</v>
      </c>
      <c r="R160">
        <v>1</v>
      </c>
      <c r="S160">
        <v>1</v>
      </c>
      <c r="T160" s="1">
        <f>SQRT(POWER(Hybrid[[#This Row],[angvel_X]],2) + POWER(Hybrid[[#This Row],[angvel_Y]],2) + POWER(Hybrid[[#This Row],[angvel_Z]],2))</f>
        <v>2.0302000098512458</v>
      </c>
      <c r="U160">
        <f>DEGREES(ASIN(MAX(-1,MIN(1,2 * (Hybrid[[#This Row],[quart_W]]*Hybrid[[#This Row],[quart_Y]] - Hybrid[[#This Row],[quart_Z]]*Hybrid[[#This Row],[quart_X]])))))</f>
        <v>0.54761752861970148</v>
      </c>
      <c r="V16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-126.79572654662468</v>
      </c>
      <c r="W16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89.998035247606254</v>
      </c>
      <c r="X160">
        <f>IF(Hybrid[[#This Row],[Yaw]]&gt;V159,(360-ABS(Hybrid[[#This Row],[Yaw]])-ABS(V159)),ABS(Hybrid[[#This Row],[Yaw]]-V159))</f>
        <v>0.96937572082410384</v>
      </c>
      <c r="Y160">
        <f>Hybrid[[#This Row],[Degree change]]+Y159</f>
        <v>95.946597439995955</v>
      </c>
    </row>
    <row r="161" spans="1:25">
      <c r="A161">
        <v>160</v>
      </c>
      <c r="B161">
        <v>-1384.8599850000001</v>
      </c>
      <c r="C161">
        <v>2462.98999</v>
      </c>
      <c r="D161">
        <v>17.010000000000002</v>
      </c>
      <c r="E161">
        <v>-1901.1400149999999</v>
      </c>
      <c r="F161">
        <v>-1294.429932</v>
      </c>
      <c r="G161">
        <v>8.09</v>
      </c>
      <c r="H161" s="1">
        <v>2.0000000000000001E-4</v>
      </c>
      <c r="I161" s="1">
        <v>0</v>
      </c>
      <c r="J161" s="1">
        <v>2.0301999999999998</v>
      </c>
      <c r="K161" s="1">
        <v>-4.529E-3</v>
      </c>
      <c r="L161" s="1">
        <v>-1.529E-3</v>
      </c>
      <c r="M161" s="1">
        <v>0.94617300000000004</v>
      </c>
      <c r="N161" s="1">
        <v>-0.323627</v>
      </c>
      <c r="O161">
        <v>1</v>
      </c>
      <c r="P161">
        <v>0</v>
      </c>
      <c r="Q161">
        <v>1</v>
      </c>
      <c r="R161">
        <v>1</v>
      </c>
      <c r="S161">
        <v>1</v>
      </c>
      <c r="T161" s="1">
        <f>SQRT(POWER(Hybrid[[#This Row],[angvel_X]],2) + POWER(Hybrid[[#This Row],[angvel_Y]],2) + POWER(Hybrid[[#This Row],[angvel_Z]],2))</f>
        <v>2.0302000098512458</v>
      </c>
      <c r="U161">
        <f>DEGREES(ASIN(MAX(-1,MIN(1,2 * (Hybrid[[#This Row],[quart_W]]*Hybrid[[#This Row],[quart_Y]] - Hybrid[[#This Row],[quart_Z]]*Hybrid[[#This Row],[quart_X]])))))</f>
        <v>0.54776094650811369</v>
      </c>
      <c r="V16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-127.7652495867179</v>
      </c>
      <c r="W16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89.997821725079106</v>
      </c>
      <c r="X161">
        <f>IF(Hybrid[[#This Row],[Yaw]]&gt;V160,(360-ABS(Hybrid[[#This Row],[Yaw]])-ABS(V160)),ABS(Hybrid[[#This Row],[Yaw]]-V160))</f>
        <v>0.96952304009322177</v>
      </c>
      <c r="Y161">
        <f>Hybrid[[#This Row],[Degree change]]+Y160</f>
        <v>96.916120480089177</v>
      </c>
    </row>
    <row r="162" spans="1:25">
      <c r="A162">
        <v>161</v>
      </c>
      <c r="B162">
        <v>-1400.76001</v>
      </c>
      <c r="C162">
        <v>2452.1599120000001</v>
      </c>
      <c r="D162">
        <v>17.010000000000002</v>
      </c>
      <c r="E162">
        <v>-1878.969971</v>
      </c>
      <c r="F162">
        <v>-1326.4099120000001</v>
      </c>
      <c r="G162">
        <v>8.09</v>
      </c>
      <c r="H162" s="1">
        <v>2.0000000000000001E-4</v>
      </c>
      <c r="I162" s="1">
        <v>0</v>
      </c>
      <c r="J162" s="1">
        <v>2.0301999999999998</v>
      </c>
      <c r="K162" s="1">
        <v>-4.5180000000000003E-3</v>
      </c>
      <c r="L162" s="1">
        <v>-1.567E-3</v>
      </c>
      <c r="M162" s="1">
        <v>0.94340199999999996</v>
      </c>
      <c r="N162" s="1">
        <v>-0.331617</v>
      </c>
      <c r="O162">
        <v>1</v>
      </c>
      <c r="P162">
        <v>0</v>
      </c>
      <c r="Q162">
        <v>1</v>
      </c>
      <c r="R162">
        <v>1</v>
      </c>
      <c r="S162">
        <v>1</v>
      </c>
      <c r="T162" s="1">
        <f>SQRT(POWER(Hybrid[[#This Row],[angvel_X]],2) + POWER(Hybrid[[#This Row],[angvel_Y]],2) + POWER(Hybrid[[#This Row],[angvel_Z]],2))</f>
        <v>2.0302000098512458</v>
      </c>
      <c r="U162">
        <f>DEGREES(ASIN(MAX(-1,MIN(1,2 * (Hybrid[[#This Row],[quart_W]]*Hybrid[[#This Row],[quart_Y]] - Hybrid[[#This Row],[quart_Z]]*Hybrid[[#This Row],[quart_X]])))))</f>
        <v>0.54797763472856853</v>
      </c>
      <c r="V16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-128.73436991739348</v>
      </c>
      <c r="W16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89.997715550377322</v>
      </c>
      <c r="X162">
        <f>IF(Hybrid[[#This Row],[Yaw]]&gt;V161,(360-ABS(Hybrid[[#This Row],[Yaw]])-ABS(V161)),ABS(Hybrid[[#This Row],[Yaw]]-V161))</f>
        <v>0.96912033067557957</v>
      </c>
      <c r="Y162">
        <f>Hybrid[[#This Row],[Degree change]]+Y161</f>
        <v>97.885240810764756</v>
      </c>
    </row>
    <row r="163" spans="1:25">
      <c r="A163">
        <v>162</v>
      </c>
      <c r="B163">
        <v>-1416.469971</v>
      </c>
      <c r="C163">
        <v>2441.0600589999999</v>
      </c>
      <c r="D163">
        <v>17.010000000000002</v>
      </c>
      <c r="E163">
        <v>-1856.26001</v>
      </c>
      <c r="F163">
        <v>-1358.01001</v>
      </c>
      <c r="G163">
        <v>8.09</v>
      </c>
      <c r="H163" s="1">
        <v>2.0000000000000001E-4</v>
      </c>
      <c r="I163" s="1">
        <v>1E-4</v>
      </c>
      <c r="J163" s="1">
        <v>2.0301999999999998</v>
      </c>
      <c r="K163" s="1">
        <v>-4.5069999999999997E-3</v>
      </c>
      <c r="L163" s="1">
        <v>-1.6050000000000001E-3</v>
      </c>
      <c r="M163" s="1">
        <v>0.94056300000000004</v>
      </c>
      <c r="N163" s="1">
        <v>-0.33958500000000003</v>
      </c>
      <c r="O163">
        <v>1</v>
      </c>
      <c r="P163">
        <v>0</v>
      </c>
      <c r="Q163">
        <v>1</v>
      </c>
      <c r="R163">
        <v>1</v>
      </c>
      <c r="S163">
        <v>1</v>
      </c>
      <c r="T163" s="1">
        <f>SQRT(POWER(Hybrid[[#This Row],[angvel_X]],2) + POWER(Hybrid[[#This Row],[angvel_Y]],2) + POWER(Hybrid[[#This Row],[angvel_Z]],2))</f>
        <v>2.0302000123140576</v>
      </c>
      <c r="U163">
        <f>DEGREES(ASIN(MAX(-1,MIN(1,2 * (Hybrid[[#This Row],[quart_W]]*Hybrid[[#This Row],[quart_Y]] - Hybrid[[#This Row],[quart_Z]]*Hybrid[[#This Row],[quart_X]])))))</f>
        <v>0.54823172918743013</v>
      </c>
      <c r="V16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-129.70369092851951</v>
      </c>
      <c r="W16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89.99760424148684</v>
      </c>
      <c r="X163">
        <f>IF(Hybrid[[#This Row],[Yaw]]&gt;V162,(360-ABS(Hybrid[[#This Row],[Yaw]])-ABS(V162)),ABS(Hybrid[[#This Row],[Yaw]]-V162))</f>
        <v>0.96932101112602709</v>
      </c>
      <c r="Y163">
        <f>Hybrid[[#This Row],[Degree change]]+Y162</f>
        <v>98.854561821890783</v>
      </c>
    </row>
    <row r="164" spans="1:25">
      <c r="A164">
        <v>163</v>
      </c>
      <c r="B164">
        <v>-1431.98999</v>
      </c>
      <c r="C164">
        <v>2429.6999510000001</v>
      </c>
      <c r="D164">
        <v>17.010000000000002</v>
      </c>
      <c r="E164">
        <v>-1833.0200199999999</v>
      </c>
      <c r="F164">
        <v>-1389.219971</v>
      </c>
      <c r="G164">
        <v>8.09</v>
      </c>
      <c r="H164" s="1">
        <v>2.0000000000000001E-4</v>
      </c>
      <c r="I164" s="1">
        <v>1E-4</v>
      </c>
      <c r="J164" s="1">
        <v>2.0301999999999998</v>
      </c>
      <c r="K164" s="1">
        <v>-4.4910000000000002E-3</v>
      </c>
      <c r="L164" s="1">
        <v>-1.6429999999999999E-3</v>
      </c>
      <c r="M164" s="1">
        <v>0.93765600000000004</v>
      </c>
      <c r="N164" s="1">
        <v>-0.34753099999999998</v>
      </c>
      <c r="O164">
        <v>1</v>
      </c>
      <c r="P164">
        <v>0</v>
      </c>
      <c r="Q164">
        <v>1</v>
      </c>
      <c r="R164">
        <v>1</v>
      </c>
      <c r="S164">
        <v>1</v>
      </c>
      <c r="T164" s="1">
        <f>SQRT(POWER(Hybrid[[#This Row],[angvel_X]],2) + POWER(Hybrid[[#This Row],[angvel_Y]],2) + POWER(Hybrid[[#This Row],[angvel_Z]],2))</f>
        <v>2.0302000123140576</v>
      </c>
      <c r="U164">
        <f>DEGREES(ASIN(MAX(-1,MIN(1,2 * (Hybrid[[#This Row],[quart_W]]*Hybrid[[#This Row],[quart_Y]] - Hybrid[[#This Row],[quart_Z]]*Hybrid[[#This Row],[quart_X]])))))</f>
        <v>0.54798593772512805</v>
      </c>
      <c r="V16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-130.67327797921527</v>
      </c>
      <c r="W16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89.99768595678178</v>
      </c>
      <c r="X164">
        <f>IF(Hybrid[[#This Row],[Yaw]]&gt;V163,(360-ABS(Hybrid[[#This Row],[Yaw]])-ABS(V163)),ABS(Hybrid[[#This Row],[Yaw]]-V163))</f>
        <v>0.96958705069576467</v>
      </c>
      <c r="Y164">
        <f>Hybrid[[#This Row],[Degree change]]+Y163</f>
        <v>99.824148872586548</v>
      </c>
    </row>
    <row r="165" spans="1:25">
      <c r="A165">
        <v>164</v>
      </c>
      <c r="B165">
        <v>-1447.3199460000001</v>
      </c>
      <c r="C165">
        <v>2418.0798340000001</v>
      </c>
      <c r="D165">
        <v>17.010000000000002</v>
      </c>
      <c r="E165">
        <v>-1809.26001</v>
      </c>
      <c r="F165">
        <v>-1420.0299070000001</v>
      </c>
      <c r="G165">
        <v>8.09</v>
      </c>
      <c r="H165" s="1">
        <v>2.0000000000000001E-4</v>
      </c>
      <c r="I165" s="1">
        <v>1E-4</v>
      </c>
      <c r="J165" s="1">
        <v>2.0301999999999998</v>
      </c>
      <c r="K165" s="1">
        <v>-4.4749999999999998E-3</v>
      </c>
      <c r="L165" s="1">
        <v>-1.6800000000000001E-3</v>
      </c>
      <c r="M165" s="1">
        <v>0.93468300000000004</v>
      </c>
      <c r="N165" s="1">
        <v>-0.35545100000000002</v>
      </c>
      <c r="O165">
        <v>1</v>
      </c>
      <c r="P165">
        <v>0</v>
      </c>
      <c r="Q165">
        <v>1</v>
      </c>
      <c r="R165">
        <v>1</v>
      </c>
      <c r="S165">
        <v>1</v>
      </c>
      <c r="T165" s="1">
        <f>SQRT(POWER(Hybrid[[#This Row],[angvel_X]],2) + POWER(Hybrid[[#This Row],[angvel_Y]],2) + POWER(Hybrid[[#This Row],[angvel_Z]],2))</f>
        <v>2.0302000123140576</v>
      </c>
      <c r="U165">
        <f>DEGREES(ASIN(MAX(-1,MIN(1,2 * (Hybrid[[#This Row],[quart_W]]*Hybrid[[#This Row],[quart_Y]] - Hybrid[[#This Row],[quart_Z]]*Hybrid[[#This Row],[quart_X]])))))</f>
        <v>0.54774042279497859</v>
      </c>
      <c r="V16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-131.64265007172807</v>
      </c>
      <c r="W16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89.997665000331509</v>
      </c>
      <c r="X165">
        <f>IF(Hybrid[[#This Row],[Yaw]]&gt;V164,(360-ABS(Hybrid[[#This Row],[Yaw]])-ABS(V164)),ABS(Hybrid[[#This Row],[Yaw]]-V164))</f>
        <v>0.9693720925127991</v>
      </c>
      <c r="Y165">
        <f>Hybrid[[#This Row],[Degree change]]+Y164</f>
        <v>100.79352096509935</v>
      </c>
    </row>
    <row r="166" spans="1:25">
      <c r="A166">
        <v>165</v>
      </c>
      <c r="B166">
        <v>-1462.4499510000001</v>
      </c>
      <c r="C166">
        <v>2406.1999510000001</v>
      </c>
      <c r="D166">
        <v>17.010000000000002</v>
      </c>
      <c r="E166">
        <v>-1784.9799800000001</v>
      </c>
      <c r="F166">
        <v>-1450.4399410000001</v>
      </c>
      <c r="G166">
        <v>8.09</v>
      </c>
      <c r="H166" s="1">
        <v>2.9999999999999997E-4</v>
      </c>
      <c r="I166" s="1">
        <v>1E-4</v>
      </c>
      <c r="J166" s="1">
        <v>2.0301999999999998</v>
      </c>
      <c r="K166" s="1">
        <v>-4.4590000000000003E-3</v>
      </c>
      <c r="L166" s="1">
        <v>-1.7179999999999999E-3</v>
      </c>
      <c r="M166" s="1">
        <v>0.931643</v>
      </c>
      <c r="N166" s="1">
        <v>-0.363344</v>
      </c>
      <c r="O166">
        <v>1</v>
      </c>
      <c r="P166">
        <v>0</v>
      </c>
      <c r="Q166">
        <v>1</v>
      </c>
      <c r="R166">
        <v>1</v>
      </c>
      <c r="S166">
        <v>1</v>
      </c>
      <c r="T166" s="1">
        <f>SQRT(POWER(Hybrid[[#This Row],[angvel_X]],2) + POWER(Hybrid[[#This Row],[angvel_Y]],2) + POWER(Hybrid[[#This Row],[angvel_Z]],2))</f>
        <v>2.0302000246281153</v>
      </c>
      <c r="U166">
        <f>DEGREES(ASIN(MAX(-1,MIN(1,2 * (Hybrid[[#This Row],[quart_W]]*Hybrid[[#This Row],[quart_Y]] - Hybrid[[#This Row],[quart_Z]]*Hybrid[[#This Row],[quart_X]])))))</f>
        <v>0.54757506237159703</v>
      </c>
      <c r="V16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-132.61190821444944</v>
      </c>
      <c r="W16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89.997755252589585</v>
      </c>
      <c r="X166">
        <f>IF(Hybrid[[#This Row],[Yaw]]&gt;V165,(360-ABS(Hybrid[[#This Row],[Yaw]])-ABS(V165)),ABS(Hybrid[[#This Row],[Yaw]]-V165))</f>
        <v>0.96925814272137245</v>
      </c>
      <c r="Y166">
        <f>Hybrid[[#This Row],[Degree change]]+Y165</f>
        <v>101.76277910782072</v>
      </c>
    </row>
    <row r="167" spans="1:25">
      <c r="A167">
        <v>166</v>
      </c>
      <c r="B167">
        <v>-1477.380005</v>
      </c>
      <c r="C167">
        <v>2394.070068</v>
      </c>
      <c r="D167">
        <v>17.010000000000002</v>
      </c>
      <c r="E167">
        <v>-1760.179932</v>
      </c>
      <c r="F167">
        <v>-1480.429932</v>
      </c>
      <c r="G167">
        <v>8.09</v>
      </c>
      <c r="H167" s="1">
        <v>2.9999999999999997E-4</v>
      </c>
      <c r="I167" s="1">
        <v>1E-4</v>
      </c>
      <c r="J167" s="1">
        <v>2.0301999999999998</v>
      </c>
      <c r="K167" s="1">
        <v>-4.4429999999999999E-3</v>
      </c>
      <c r="L167" s="1">
        <v>-1.756E-3</v>
      </c>
      <c r="M167" s="1">
        <v>0.92853699999999995</v>
      </c>
      <c r="N167" s="1">
        <v>-0.37120900000000001</v>
      </c>
      <c r="O167">
        <v>1</v>
      </c>
      <c r="P167">
        <v>0</v>
      </c>
      <c r="Q167">
        <v>1</v>
      </c>
      <c r="R167">
        <v>1</v>
      </c>
      <c r="S167">
        <v>1</v>
      </c>
      <c r="T167" s="1">
        <f>SQRT(POWER(Hybrid[[#This Row],[angvel_X]],2) + POWER(Hybrid[[#This Row],[angvel_Y]],2) + POWER(Hybrid[[#This Row],[angvel_Z]],2))</f>
        <v>2.0302000246281153</v>
      </c>
      <c r="U167">
        <f>DEGREES(ASIN(MAX(-1,MIN(1,2 * (Hybrid[[#This Row],[quart_W]]*Hybrid[[#This Row],[quart_Y]] - Hybrid[[#This Row],[quart_Z]]*Hybrid[[#This Row],[quart_X]])))))</f>
        <v>0.54745035424712041</v>
      </c>
      <c r="V16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-133.58093650499515</v>
      </c>
      <c r="W16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89.997848947773974</v>
      </c>
      <c r="X167">
        <f>IF(Hybrid[[#This Row],[Yaw]]&gt;V166,(360-ABS(Hybrid[[#This Row],[Yaw]])-ABS(V166)),ABS(Hybrid[[#This Row],[Yaw]]-V166))</f>
        <v>0.96902829054570816</v>
      </c>
      <c r="Y167">
        <f>Hybrid[[#This Row],[Degree change]]+Y166</f>
        <v>102.73180739836643</v>
      </c>
    </row>
    <row r="168" spans="1:25">
      <c r="A168">
        <v>167</v>
      </c>
      <c r="B168">
        <v>-1492.099976</v>
      </c>
      <c r="C168">
        <v>2381.6899410000001</v>
      </c>
      <c r="D168">
        <v>17.010000000000002</v>
      </c>
      <c r="E168">
        <v>-1734.880005</v>
      </c>
      <c r="F168">
        <v>-1510</v>
      </c>
      <c r="G168">
        <v>8.09</v>
      </c>
      <c r="H168" s="1">
        <v>2.9999999999999997E-4</v>
      </c>
      <c r="I168" s="1">
        <v>1E-4</v>
      </c>
      <c r="J168" s="1">
        <v>2.0301999999999998</v>
      </c>
      <c r="K168" s="1">
        <v>-4.4260000000000002E-3</v>
      </c>
      <c r="L168" s="1">
        <v>-1.794E-3</v>
      </c>
      <c r="M168" s="1">
        <v>0.92536499999999999</v>
      </c>
      <c r="N168" s="1">
        <v>-0.379048</v>
      </c>
      <c r="O168">
        <v>1</v>
      </c>
      <c r="P168">
        <v>0</v>
      </c>
      <c r="Q168">
        <v>1</v>
      </c>
      <c r="R168">
        <v>1</v>
      </c>
      <c r="S168">
        <v>1</v>
      </c>
      <c r="T168" s="1">
        <f>SQRT(POWER(Hybrid[[#This Row],[angvel_X]],2) + POWER(Hybrid[[#This Row],[angvel_Y]],2) + POWER(Hybrid[[#This Row],[angvel_Z]],2))</f>
        <v>2.0302000246281153</v>
      </c>
      <c r="U168">
        <f>DEGREES(ASIN(MAX(-1,MIN(1,2 * (Hybrid[[#This Row],[quart_W]]*Hybrid[[#This Row],[quart_Y]] - Hybrid[[#This Row],[quart_Z]]*Hybrid[[#This Row],[quart_X]])))))</f>
        <v>0.54726066298579468</v>
      </c>
      <c r="V16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-134.54996024104298</v>
      </c>
      <c r="W16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89.99798749272118</v>
      </c>
      <c r="X168">
        <f>IF(Hybrid[[#This Row],[Yaw]]&gt;V167,(360-ABS(Hybrid[[#This Row],[Yaw]])-ABS(V167)),ABS(Hybrid[[#This Row],[Yaw]]-V167))</f>
        <v>0.96902373604783065</v>
      </c>
      <c r="Y168">
        <f>Hybrid[[#This Row],[Degree change]]+Y167</f>
        <v>103.70083113441426</v>
      </c>
    </row>
    <row r="169" spans="1:25">
      <c r="A169">
        <v>168</v>
      </c>
      <c r="B169">
        <v>-1506.6099850000001</v>
      </c>
      <c r="C169">
        <v>2369.0600589999999</v>
      </c>
      <c r="D169">
        <v>17.010000000000002</v>
      </c>
      <c r="E169">
        <v>-1709.089966</v>
      </c>
      <c r="F169">
        <v>-1539.130005</v>
      </c>
      <c r="G169">
        <v>8.09</v>
      </c>
      <c r="H169" s="1">
        <v>2.9999999999999997E-4</v>
      </c>
      <c r="I169" s="1">
        <v>1E-4</v>
      </c>
      <c r="J169" s="1">
        <v>2.0301999999999998</v>
      </c>
      <c r="K169" s="1">
        <v>-4.4099999999999999E-3</v>
      </c>
      <c r="L169" s="1">
        <v>-1.8320000000000001E-3</v>
      </c>
      <c r="M169" s="1">
        <v>0.922126</v>
      </c>
      <c r="N169" s="1">
        <v>-0.38685999999999998</v>
      </c>
      <c r="O169">
        <v>1</v>
      </c>
      <c r="P169">
        <v>0</v>
      </c>
      <c r="Q169">
        <v>1</v>
      </c>
      <c r="R169">
        <v>1</v>
      </c>
      <c r="S169">
        <v>1</v>
      </c>
      <c r="T169" s="1">
        <f>SQRT(POWER(Hybrid[[#This Row],[angvel_X]],2) + POWER(Hybrid[[#This Row],[angvel_Y]],2) + POWER(Hybrid[[#This Row],[angvel_Z]],2))</f>
        <v>2.0302000246281153</v>
      </c>
      <c r="U169">
        <f>DEGREES(ASIN(MAX(-1,MIN(1,2 * (Hybrid[[#This Row],[quart_W]]*Hybrid[[#This Row],[quart_Y]] - Hybrid[[#This Row],[quart_Z]]*Hybrid[[#This Row],[quart_X]])))))</f>
        <v>0.54721775542799622</v>
      </c>
      <c r="V16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-135.51908869651149</v>
      </c>
      <c r="W16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89.998084197525003</v>
      </c>
      <c r="X169">
        <f>IF(Hybrid[[#This Row],[Yaw]]&gt;V168,(360-ABS(Hybrid[[#This Row],[Yaw]])-ABS(V168)),ABS(Hybrid[[#This Row],[Yaw]]-V168))</f>
        <v>0.9691284554685069</v>
      </c>
      <c r="Y169">
        <f>Hybrid[[#This Row],[Degree change]]+Y168</f>
        <v>104.66995958988277</v>
      </c>
    </row>
    <row r="170" spans="1:25">
      <c r="A170">
        <v>169</v>
      </c>
      <c r="B170">
        <v>-1520.900024</v>
      </c>
      <c r="C170">
        <v>2356.179932</v>
      </c>
      <c r="D170">
        <v>17.010000000000002</v>
      </c>
      <c r="E170">
        <v>-1682.809937</v>
      </c>
      <c r="F170">
        <v>-1567.8199460000001</v>
      </c>
      <c r="G170">
        <v>8.09</v>
      </c>
      <c r="H170" s="1">
        <v>2.9999999999999997E-4</v>
      </c>
      <c r="I170" s="1">
        <v>1E-4</v>
      </c>
      <c r="J170" s="1">
        <v>2.0301999999999998</v>
      </c>
      <c r="K170" s="1">
        <v>-4.3940000000000003E-3</v>
      </c>
      <c r="L170" s="1">
        <v>-1.869E-3</v>
      </c>
      <c r="M170" s="1">
        <v>0.918821</v>
      </c>
      <c r="N170" s="1">
        <v>-0.39464399999999999</v>
      </c>
      <c r="O170">
        <v>1</v>
      </c>
      <c r="P170">
        <v>0</v>
      </c>
      <c r="Q170">
        <v>1</v>
      </c>
      <c r="R170">
        <v>1</v>
      </c>
      <c r="S170">
        <v>1</v>
      </c>
      <c r="T170" s="1">
        <f>SQRT(POWER(Hybrid[[#This Row],[angvel_X]],2) + POWER(Hybrid[[#This Row],[angvel_Y]],2) + POWER(Hybrid[[#This Row],[angvel_Z]],2))</f>
        <v>2.0302000246281153</v>
      </c>
      <c r="U170">
        <f>DEGREES(ASIN(MAX(-1,MIN(1,2 * (Hybrid[[#This Row],[quart_W]]*Hybrid[[#This Row],[quart_Y]] - Hybrid[[#This Row],[quart_Z]]*Hybrid[[#This Row],[quart_X]])))))</f>
        <v>0.54717030433718472</v>
      </c>
      <c r="V17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-136.48820137722237</v>
      </c>
      <c r="W17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89.998076001692596</v>
      </c>
      <c r="X170">
        <f>IF(Hybrid[[#This Row],[Yaw]]&gt;V169,(360-ABS(Hybrid[[#This Row],[Yaw]])-ABS(V169)),ABS(Hybrid[[#This Row],[Yaw]]-V169))</f>
        <v>0.96911268071087875</v>
      </c>
      <c r="Y170">
        <f>Hybrid[[#This Row],[Degree change]]+Y169</f>
        <v>105.63907227059364</v>
      </c>
    </row>
    <row r="171" spans="1:25">
      <c r="A171">
        <v>170</v>
      </c>
      <c r="B171">
        <v>-1534.969971</v>
      </c>
      <c r="C171">
        <v>2343.0600589999999</v>
      </c>
      <c r="D171">
        <v>17.010000000000002</v>
      </c>
      <c r="E171">
        <v>-1656.049927</v>
      </c>
      <c r="F171">
        <v>-1596.059937</v>
      </c>
      <c r="G171">
        <v>8.09</v>
      </c>
      <c r="H171" s="1">
        <v>2.9999999999999997E-4</v>
      </c>
      <c r="I171" s="1">
        <v>1E-4</v>
      </c>
      <c r="J171" s="1">
        <v>2.0301999999999998</v>
      </c>
      <c r="K171" s="1">
        <v>-4.3779999999999999E-3</v>
      </c>
      <c r="L171" s="1">
        <v>-1.9070000000000001E-3</v>
      </c>
      <c r="M171" s="1">
        <v>0.91545100000000001</v>
      </c>
      <c r="N171" s="1">
        <v>-0.40240199999999998</v>
      </c>
      <c r="O171">
        <v>1</v>
      </c>
      <c r="P171">
        <v>0</v>
      </c>
      <c r="Q171">
        <v>1</v>
      </c>
      <c r="R171">
        <v>1</v>
      </c>
      <c r="S171">
        <v>1</v>
      </c>
      <c r="T171" s="1">
        <f>SQRT(POWER(Hybrid[[#This Row],[angvel_X]],2) + POWER(Hybrid[[#This Row],[angvel_Y]],2) + POWER(Hybrid[[#This Row],[angvel_Z]],2))</f>
        <v>2.0302000246281153</v>
      </c>
      <c r="U171">
        <f>DEGREES(ASIN(MAX(-1,MIN(1,2 * (Hybrid[[#This Row],[quart_W]]*Hybrid[[#This Row],[quart_Y]] - Hybrid[[#This Row],[quart_Z]]*Hybrid[[#This Row],[quart_X]])))))</f>
        <v>0.54720880679421158</v>
      </c>
      <c r="V17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-137.45738587556886</v>
      </c>
      <c r="W17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89.998172078250192</v>
      </c>
      <c r="X171">
        <f>IF(Hybrid[[#This Row],[Yaw]]&gt;V170,(360-ABS(Hybrid[[#This Row],[Yaw]])-ABS(V170)),ABS(Hybrid[[#This Row],[Yaw]]-V170))</f>
        <v>0.96918449834649323</v>
      </c>
      <c r="Y171">
        <f>Hybrid[[#This Row],[Degree change]]+Y170</f>
        <v>106.60825676894014</v>
      </c>
    </row>
    <row r="172" spans="1:25">
      <c r="A172">
        <v>171</v>
      </c>
      <c r="B172">
        <v>-1548.8199460000001</v>
      </c>
      <c r="C172">
        <v>2329.709961</v>
      </c>
      <c r="D172">
        <v>17.010000000000002</v>
      </c>
      <c r="E172">
        <v>-1628.809937</v>
      </c>
      <c r="F172">
        <v>-1623.839966</v>
      </c>
      <c r="G172">
        <v>8.09</v>
      </c>
      <c r="H172" s="1">
        <v>2.9999999999999997E-4</v>
      </c>
      <c r="I172" s="1">
        <v>1E-4</v>
      </c>
      <c r="J172" s="1">
        <v>2.0301999999999998</v>
      </c>
      <c r="K172" s="1">
        <v>-4.3620000000000004E-3</v>
      </c>
      <c r="L172" s="1">
        <v>-1.9449999999999999E-3</v>
      </c>
      <c r="M172" s="1">
        <v>0.91201299999999996</v>
      </c>
      <c r="N172" s="1">
        <v>-0.41013300000000003</v>
      </c>
      <c r="O172">
        <v>1</v>
      </c>
      <c r="P172">
        <v>0</v>
      </c>
      <c r="Q172">
        <v>1</v>
      </c>
      <c r="R172">
        <v>1</v>
      </c>
      <c r="S172">
        <v>1</v>
      </c>
      <c r="T172" s="1">
        <f>SQRT(POWER(Hybrid[[#This Row],[angvel_X]],2) + POWER(Hybrid[[#This Row],[angvel_Y]],2) + POWER(Hybrid[[#This Row],[angvel_Z]],2))</f>
        <v>2.0302000246281153</v>
      </c>
      <c r="U172">
        <f>DEGREES(ASIN(MAX(-1,MIN(1,2 * (Hybrid[[#This Row],[quart_W]]*Hybrid[[#This Row],[quart_Y]] - Hybrid[[#This Row],[quart_Z]]*Hybrid[[#This Row],[quart_X]])))))</f>
        <v>0.54728722526037288</v>
      </c>
      <c r="V17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-138.42700332000922</v>
      </c>
      <c r="W17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89.99826559355904</v>
      </c>
      <c r="X172">
        <f>IF(Hybrid[[#This Row],[Yaw]]&gt;V171,(360-ABS(Hybrid[[#This Row],[Yaw]])-ABS(V171)),ABS(Hybrid[[#This Row],[Yaw]]-V171))</f>
        <v>0.96961744444035958</v>
      </c>
      <c r="Y172">
        <f>Hybrid[[#This Row],[Degree change]]+Y171</f>
        <v>107.5778742133805</v>
      </c>
    </row>
    <row r="173" spans="1:25">
      <c r="A173">
        <v>172</v>
      </c>
      <c r="B173">
        <v>-1562.4399410000001</v>
      </c>
      <c r="C173">
        <v>2316.1298830000001</v>
      </c>
      <c r="D173">
        <v>17.010000000000002</v>
      </c>
      <c r="E173">
        <v>-1601.1099850000001</v>
      </c>
      <c r="F173">
        <v>-1651.169922</v>
      </c>
      <c r="G173">
        <v>8.09</v>
      </c>
      <c r="H173" s="1">
        <v>2.9999999999999997E-4</v>
      </c>
      <c r="I173" s="1">
        <v>1E-4</v>
      </c>
      <c r="J173" s="1">
        <v>2.0301999999999998</v>
      </c>
      <c r="K173" s="1">
        <v>-4.346E-3</v>
      </c>
      <c r="L173" s="1">
        <v>-1.983E-3</v>
      </c>
      <c r="M173" s="1">
        <v>0.90851199999999999</v>
      </c>
      <c r="N173" s="1">
        <v>-0.41783100000000001</v>
      </c>
      <c r="O173">
        <v>1</v>
      </c>
      <c r="P173">
        <v>0</v>
      </c>
      <c r="Q173">
        <v>1</v>
      </c>
      <c r="R173">
        <v>1</v>
      </c>
      <c r="S173">
        <v>1</v>
      </c>
      <c r="T173" s="1">
        <f>SQRT(POWER(Hybrid[[#This Row],[angvel_X]],2) + POWER(Hybrid[[#This Row],[angvel_Y]],2) + POWER(Hybrid[[#This Row],[angvel_Z]],2))</f>
        <v>2.0302000246281153</v>
      </c>
      <c r="U173">
        <f>DEGREES(ASIN(MAX(-1,MIN(1,2 * (Hybrid[[#This Row],[quart_W]]*Hybrid[[#This Row],[quart_Y]] - Hybrid[[#This Row],[quart_Z]]*Hybrid[[#This Row],[quart_X]])))))</f>
        <v>0.54740670776786815</v>
      </c>
      <c r="V17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-139.3960857935424</v>
      </c>
      <c r="W17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89.99835963520222</v>
      </c>
      <c r="X173">
        <f>IF(Hybrid[[#This Row],[Yaw]]&gt;V172,(360-ABS(Hybrid[[#This Row],[Yaw]])-ABS(V172)),ABS(Hybrid[[#This Row],[Yaw]]-V172))</f>
        <v>0.96908247353317734</v>
      </c>
      <c r="Y173">
        <f>Hybrid[[#This Row],[Degree change]]+Y172</f>
        <v>108.54695668691367</v>
      </c>
    </row>
    <row r="174" spans="1:25">
      <c r="A174">
        <v>173</v>
      </c>
      <c r="B174">
        <v>-1575.829956</v>
      </c>
      <c r="C174">
        <v>2302.320068</v>
      </c>
      <c r="D174">
        <v>17.010000000000002</v>
      </c>
      <c r="E174">
        <v>-1572.9499510000001</v>
      </c>
      <c r="F174">
        <v>-1678.0200199999999</v>
      </c>
      <c r="G174">
        <v>8.09</v>
      </c>
      <c r="H174" s="1">
        <v>2.9999999999999997E-4</v>
      </c>
      <c r="I174" s="1">
        <v>1E-4</v>
      </c>
      <c r="J174" s="1">
        <v>2.0301999999999998</v>
      </c>
      <c r="K174" s="1">
        <v>-4.3290000000000004E-3</v>
      </c>
      <c r="L174" s="1">
        <v>-2.0200000000000001E-3</v>
      </c>
      <c r="M174" s="1">
        <v>0.90494399999999997</v>
      </c>
      <c r="N174" s="1">
        <v>-0.42550300000000002</v>
      </c>
      <c r="O174">
        <v>1</v>
      </c>
      <c r="P174">
        <v>0</v>
      </c>
      <c r="Q174">
        <v>1</v>
      </c>
      <c r="R174">
        <v>1</v>
      </c>
      <c r="S174">
        <v>1</v>
      </c>
      <c r="T174" s="1">
        <f>SQRT(POWER(Hybrid[[#This Row],[angvel_X]],2) + POWER(Hybrid[[#This Row],[angvel_Y]],2) + POWER(Hybrid[[#This Row],[angvel_Z]],2))</f>
        <v>2.0302000246281153</v>
      </c>
      <c r="U174">
        <f>DEGREES(ASIN(MAX(-1,MIN(1,2 * (Hybrid[[#This Row],[quart_W]]*Hybrid[[#This Row],[quart_Y]] - Hybrid[[#This Row],[quart_Z]]*Hybrid[[#This Row],[quart_X]])))))</f>
        <v>0.54741434117459686</v>
      </c>
      <c r="V17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-140.36568622805228</v>
      </c>
      <c r="W17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89.998393856437133</v>
      </c>
      <c r="X174">
        <f>IF(Hybrid[[#This Row],[Yaw]]&gt;V173,(360-ABS(Hybrid[[#This Row],[Yaw]])-ABS(V173)),ABS(Hybrid[[#This Row],[Yaw]]-V173))</f>
        <v>0.96960043450988564</v>
      </c>
      <c r="Y174">
        <f>Hybrid[[#This Row],[Degree change]]+Y173</f>
        <v>109.51655712142356</v>
      </c>
    </row>
    <row r="175" spans="1:25">
      <c r="A175">
        <v>174</v>
      </c>
      <c r="B175">
        <v>-1588.9799800000001</v>
      </c>
      <c r="C175">
        <v>2288.280029</v>
      </c>
      <c r="D175">
        <v>17.010000000000002</v>
      </c>
      <c r="E175">
        <v>-1544.339966</v>
      </c>
      <c r="F175">
        <v>-1704.3900149999999</v>
      </c>
      <c r="G175">
        <v>8.09</v>
      </c>
      <c r="H175" s="1">
        <v>2.9999999999999997E-4</v>
      </c>
      <c r="I175" s="1">
        <v>1E-4</v>
      </c>
      <c r="J175" s="1">
        <v>2.0301999999999998</v>
      </c>
      <c r="K175" s="1">
        <v>-4.313E-3</v>
      </c>
      <c r="L175" s="1">
        <v>-2.0579999999999999E-3</v>
      </c>
      <c r="M175" s="1">
        <v>0.90131300000000003</v>
      </c>
      <c r="N175" s="1">
        <v>-0.43314200000000003</v>
      </c>
      <c r="O175">
        <v>1</v>
      </c>
      <c r="P175">
        <v>0</v>
      </c>
      <c r="Q175">
        <v>1</v>
      </c>
      <c r="R175">
        <v>1</v>
      </c>
      <c r="S175">
        <v>1</v>
      </c>
      <c r="T175" s="1">
        <f>SQRT(POWER(Hybrid[[#This Row],[angvel_X]],2) + POWER(Hybrid[[#This Row],[angvel_Y]],2) + POWER(Hybrid[[#This Row],[angvel_Z]],2))</f>
        <v>2.0302000246281153</v>
      </c>
      <c r="U175">
        <f>DEGREES(ASIN(MAX(-1,MIN(1,2 * (Hybrid[[#This Row],[quart_W]]*Hybrid[[#This Row],[quart_Y]] - Hybrid[[#This Row],[quart_Z]]*Hybrid[[#This Row],[quart_X]])))))</f>
        <v>0.54761495076483879</v>
      </c>
      <c r="V17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-141.33488994358359</v>
      </c>
      <c r="W17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89.998482819592965</v>
      </c>
      <c r="X175">
        <f>IF(Hybrid[[#This Row],[Yaw]]&gt;V174,(360-ABS(Hybrid[[#This Row],[Yaw]])-ABS(V174)),ABS(Hybrid[[#This Row],[Yaw]]-V174))</f>
        <v>0.96920371553130735</v>
      </c>
      <c r="Y175">
        <f>Hybrid[[#This Row],[Degree change]]+Y174</f>
        <v>110.48576083695487</v>
      </c>
    </row>
    <row r="176" spans="1:25">
      <c r="A176">
        <v>175</v>
      </c>
      <c r="B176">
        <v>-1601.8900149999999</v>
      </c>
      <c r="C176">
        <v>2274.0200199999999</v>
      </c>
      <c r="D176">
        <v>17.010000000000002</v>
      </c>
      <c r="E176">
        <v>-1515.2799070000001</v>
      </c>
      <c r="F176">
        <v>-1730.2700199999999</v>
      </c>
      <c r="G176">
        <v>8.09</v>
      </c>
      <c r="H176" s="1">
        <v>2.9999999999999997E-4</v>
      </c>
      <c r="I176" s="1">
        <v>1E-4</v>
      </c>
      <c r="J176" s="1">
        <v>2.0301999999999998</v>
      </c>
      <c r="K176" s="1">
        <v>-4.2969999999999996E-3</v>
      </c>
      <c r="L176" s="1">
        <v>-2.0960000000000002E-3</v>
      </c>
      <c r="M176" s="1">
        <v>0.89761800000000003</v>
      </c>
      <c r="N176" s="1">
        <v>-0.44074799999999997</v>
      </c>
      <c r="O176">
        <v>1</v>
      </c>
      <c r="P176">
        <v>0</v>
      </c>
      <c r="Q176">
        <v>1</v>
      </c>
      <c r="R176">
        <v>1</v>
      </c>
      <c r="S176">
        <v>1</v>
      </c>
      <c r="T176" s="1">
        <f>SQRT(POWER(Hybrid[[#This Row],[angvel_X]],2) + POWER(Hybrid[[#This Row],[angvel_Y]],2) + POWER(Hybrid[[#This Row],[angvel_Z]],2))</f>
        <v>2.0302000246281153</v>
      </c>
      <c r="U176">
        <f>DEGREES(ASIN(MAX(-1,MIN(1,2 * (Hybrid[[#This Row],[quart_W]]*Hybrid[[#This Row],[quart_Y]] - Hybrid[[#This Row],[quart_Z]]*Hybrid[[#This Row],[quart_X]])))))</f>
        <v>0.54785596490061383</v>
      </c>
      <c r="V17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-142.30390211357457</v>
      </c>
      <c r="W17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89.998569049496794</v>
      </c>
      <c r="X176">
        <f>IF(Hybrid[[#This Row],[Yaw]]&gt;V175,(360-ABS(Hybrid[[#This Row],[Yaw]])-ABS(V175)),ABS(Hybrid[[#This Row],[Yaw]]-V175))</f>
        <v>0.96901216999097528</v>
      </c>
      <c r="Y176">
        <f>Hybrid[[#This Row],[Degree change]]+Y175</f>
        <v>111.45477300694584</v>
      </c>
    </row>
    <row r="177" spans="1:25">
      <c r="A177">
        <v>176</v>
      </c>
      <c r="B177">
        <v>-1614.559937</v>
      </c>
      <c r="C177">
        <v>2259.5500489999999</v>
      </c>
      <c r="D177">
        <v>17.010000000000002</v>
      </c>
      <c r="E177">
        <v>-1485.7899170000001</v>
      </c>
      <c r="F177">
        <v>-1755.6499020000001</v>
      </c>
      <c r="G177">
        <v>8.09</v>
      </c>
      <c r="H177" s="1">
        <v>2.9999999999999997E-4</v>
      </c>
      <c r="I177" s="1">
        <v>1E-4</v>
      </c>
      <c r="J177" s="1">
        <v>2.0301999999999998</v>
      </c>
      <c r="K177" s="1">
        <v>-4.2810000000000001E-3</v>
      </c>
      <c r="L177" s="1">
        <v>-2.134E-3</v>
      </c>
      <c r="M177" s="1">
        <v>0.89385599999999998</v>
      </c>
      <c r="N177" s="1">
        <v>-0.448328</v>
      </c>
      <c r="O177">
        <v>1</v>
      </c>
      <c r="P177">
        <v>0</v>
      </c>
      <c r="Q177">
        <v>1</v>
      </c>
      <c r="R177">
        <v>1</v>
      </c>
      <c r="S177">
        <v>1</v>
      </c>
      <c r="T177" s="1">
        <f>SQRT(POWER(Hybrid[[#This Row],[angvel_X]],2) + POWER(Hybrid[[#This Row],[angvel_Y]],2) + POWER(Hybrid[[#This Row],[angvel_Z]],2))</f>
        <v>2.0302000246281153</v>
      </c>
      <c r="U177">
        <f>DEGREES(ASIN(MAX(-1,MIN(1,2 * (Hybrid[[#This Row],[quart_W]]*Hybrid[[#This Row],[quart_Y]] - Hybrid[[#This Row],[quart_Z]]*Hybrid[[#This Row],[quart_X]])))))</f>
        <v>0.54813754459530928</v>
      </c>
      <c r="V17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-143.27362826938858</v>
      </c>
      <c r="W17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89.998647360759335</v>
      </c>
      <c r="X177">
        <f>IF(Hybrid[[#This Row],[Yaw]]&gt;V176,(360-ABS(Hybrid[[#This Row],[Yaw]])-ABS(V176)),ABS(Hybrid[[#This Row],[Yaw]]-V176))</f>
        <v>0.96972615581401556</v>
      </c>
      <c r="Y177">
        <f>Hybrid[[#This Row],[Degree change]]+Y176</f>
        <v>112.42449916275986</v>
      </c>
    </row>
    <row r="178" spans="1:25">
      <c r="A178">
        <v>177</v>
      </c>
      <c r="B178">
        <v>-1626.9799800000001</v>
      </c>
      <c r="C178">
        <v>2244.8598630000001</v>
      </c>
      <c r="D178">
        <v>17.010000000000002</v>
      </c>
      <c r="E178">
        <v>-1455.880005</v>
      </c>
      <c r="F178">
        <v>-1780.5399170000001</v>
      </c>
      <c r="G178">
        <v>8.09</v>
      </c>
      <c r="H178" s="1">
        <v>2.0000000000000001E-4</v>
      </c>
      <c r="I178" s="1">
        <v>1E-4</v>
      </c>
      <c r="J178" s="1">
        <v>2.0301999999999998</v>
      </c>
      <c r="K178" s="1">
        <v>-4.2649999999999997E-3</v>
      </c>
      <c r="L178" s="1">
        <v>-2.1710000000000002E-3</v>
      </c>
      <c r="M178" s="1">
        <v>0.89003100000000002</v>
      </c>
      <c r="N178" s="1">
        <v>-0.455876</v>
      </c>
      <c r="O178">
        <v>1</v>
      </c>
      <c r="P178">
        <v>0</v>
      </c>
      <c r="Q178">
        <v>1</v>
      </c>
      <c r="R178">
        <v>1</v>
      </c>
      <c r="S178">
        <v>1</v>
      </c>
      <c r="T178" s="1">
        <f>SQRT(POWER(Hybrid[[#This Row],[angvel_X]],2) + POWER(Hybrid[[#This Row],[angvel_Y]],2) + POWER(Hybrid[[#This Row],[angvel_Z]],2))</f>
        <v>2.0302000123140576</v>
      </c>
      <c r="U178">
        <f>DEGREES(ASIN(MAX(-1,MIN(1,2 * (Hybrid[[#This Row],[quart_W]]*Hybrid[[#This Row],[quart_Y]] - Hybrid[[#This Row],[quart_Z]]*Hybrid[[#This Row],[quart_X]])))))</f>
        <v>0.5484079383941759</v>
      </c>
      <c r="V17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-144.2432255926652</v>
      </c>
      <c r="W17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89.998618668522454</v>
      </c>
      <c r="X178">
        <f>IF(Hybrid[[#This Row],[Yaw]]&gt;V177,(360-ABS(Hybrid[[#This Row],[Yaw]])-ABS(V177)),ABS(Hybrid[[#This Row],[Yaw]]-V177))</f>
        <v>0.96959732327661641</v>
      </c>
      <c r="Y178">
        <f>Hybrid[[#This Row],[Degree change]]+Y177</f>
        <v>113.39409648603647</v>
      </c>
    </row>
    <row r="179" spans="1:25">
      <c r="A179">
        <v>178</v>
      </c>
      <c r="B179">
        <v>-1639.1499020000001</v>
      </c>
      <c r="C179">
        <v>2229.969971</v>
      </c>
      <c r="D179">
        <v>17.010000000000002</v>
      </c>
      <c r="E179">
        <v>-1425.549927</v>
      </c>
      <c r="F179">
        <v>-1804.9099120000001</v>
      </c>
      <c r="G179">
        <v>8.09</v>
      </c>
      <c r="H179" s="1">
        <v>1E-4</v>
      </c>
      <c r="I179" s="1">
        <v>1E-4</v>
      </c>
      <c r="J179" s="1">
        <v>2.0301999999999998</v>
      </c>
      <c r="K179" s="1">
        <v>-4.248E-3</v>
      </c>
      <c r="L179" s="1">
        <v>-2.209E-3</v>
      </c>
      <c r="M179" s="1">
        <v>0.88614099999999996</v>
      </c>
      <c r="N179" s="1">
        <v>-0.46339000000000002</v>
      </c>
      <c r="O179">
        <v>1</v>
      </c>
      <c r="P179">
        <v>0</v>
      </c>
      <c r="Q179">
        <v>1</v>
      </c>
      <c r="R179">
        <v>1</v>
      </c>
      <c r="S179">
        <v>1</v>
      </c>
      <c r="T179" s="1">
        <f>SQRT(POWER(Hybrid[[#This Row],[angvel_X]],2) + POWER(Hybrid[[#This Row],[angvel_Y]],2) + POWER(Hybrid[[#This Row],[angvel_Z]],2))</f>
        <v>2.0302000049256228</v>
      </c>
      <c r="U179">
        <f>DEGREES(ASIN(MAX(-1,MIN(1,2 * (Hybrid[[#This Row],[quart_W]]*Hybrid[[#This Row],[quart_Y]] - Hybrid[[#This Row],[quart_Z]]*Hybrid[[#This Row],[quart_X]])))))</f>
        <v>0.54866766828418878</v>
      </c>
      <c r="V17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-145.212913638016</v>
      </c>
      <c r="W17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89.998739979273822</v>
      </c>
      <c r="X179">
        <f>IF(Hybrid[[#This Row],[Yaw]]&gt;V178,(360-ABS(Hybrid[[#This Row],[Yaw]])-ABS(V178)),ABS(Hybrid[[#This Row],[Yaw]]-V178))</f>
        <v>0.96968804535080722</v>
      </c>
      <c r="Y179">
        <f>Hybrid[[#This Row],[Degree change]]+Y178</f>
        <v>114.36378453138728</v>
      </c>
    </row>
    <row r="180" spans="1:25">
      <c r="A180">
        <v>179</v>
      </c>
      <c r="B180">
        <v>-1651.0699460000001</v>
      </c>
      <c r="C180">
        <v>2214.8698730000001</v>
      </c>
      <c r="D180">
        <v>17.010000000000002</v>
      </c>
      <c r="E180">
        <v>-1394.809937</v>
      </c>
      <c r="F180">
        <v>-1828.7700199999999</v>
      </c>
      <c r="G180">
        <v>8.09</v>
      </c>
      <c r="H180" s="1">
        <v>0</v>
      </c>
      <c r="I180" s="1">
        <v>1E-4</v>
      </c>
      <c r="J180" s="1">
        <v>2.0301999999999998</v>
      </c>
      <c r="K180" s="1">
        <v>-4.2269999999999999E-3</v>
      </c>
      <c r="L180" s="1">
        <v>-2.2469999999999999E-3</v>
      </c>
      <c r="M180" s="1">
        <v>0.88219099999999995</v>
      </c>
      <c r="N180" s="1">
        <v>-0.47086800000000001</v>
      </c>
      <c r="O180">
        <v>1</v>
      </c>
      <c r="P180">
        <v>0</v>
      </c>
      <c r="Q180">
        <v>1</v>
      </c>
      <c r="R180">
        <v>1</v>
      </c>
      <c r="S180">
        <v>1</v>
      </c>
      <c r="T180" s="1">
        <f>SQRT(POWER(Hybrid[[#This Row],[angvel_X]],2) + POWER(Hybrid[[#This Row],[angvel_Y]],2) + POWER(Hybrid[[#This Row],[angvel_Z]],2))</f>
        <v>2.0302000024628115</v>
      </c>
      <c r="U180">
        <f>DEGREES(ASIN(MAX(-1,MIN(1,2 * (Hybrid[[#This Row],[quart_W]]*Hybrid[[#This Row],[quart_Y]] - Hybrid[[#This Row],[quart_Z]]*Hybrid[[#This Row],[quart_X]])))))</f>
        <v>0.54856525024809877</v>
      </c>
      <c r="V18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-146.1819723276605</v>
      </c>
      <c r="W18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89.999074532309777</v>
      </c>
      <c r="X180">
        <f>IF(Hybrid[[#This Row],[Yaw]]&gt;V179,(360-ABS(Hybrid[[#This Row],[Yaw]])-ABS(V179)),ABS(Hybrid[[#This Row],[Yaw]]-V179))</f>
        <v>0.96905868964449837</v>
      </c>
      <c r="Y180">
        <f>Hybrid[[#This Row],[Degree change]]+Y179</f>
        <v>115.33284322103178</v>
      </c>
    </row>
    <row r="181" spans="1:25">
      <c r="A181">
        <v>180</v>
      </c>
      <c r="B181">
        <v>-1662.7299800000001</v>
      </c>
      <c r="C181">
        <v>2199.570068</v>
      </c>
      <c r="D181">
        <v>17.010000000000002</v>
      </c>
      <c r="E181">
        <v>-1363.669922</v>
      </c>
      <c r="F181">
        <v>-1852.1099850000001</v>
      </c>
      <c r="G181">
        <v>8.09</v>
      </c>
      <c r="H181" s="1">
        <v>0</v>
      </c>
      <c r="I181" s="1">
        <v>1E-4</v>
      </c>
      <c r="J181" s="1">
        <v>2.0301999999999998</v>
      </c>
      <c r="K181" s="1">
        <v>-4.2050000000000004E-3</v>
      </c>
      <c r="L181" s="1">
        <v>-2.2850000000000001E-3</v>
      </c>
      <c r="M181" s="1">
        <v>0.87817699999999999</v>
      </c>
      <c r="N181" s="1">
        <v>-0.47831299999999999</v>
      </c>
      <c r="O181">
        <v>1</v>
      </c>
      <c r="P181">
        <v>0</v>
      </c>
      <c r="Q181">
        <v>1</v>
      </c>
      <c r="R181">
        <v>1</v>
      </c>
      <c r="S181">
        <v>1</v>
      </c>
      <c r="T181" s="1">
        <f>SQRT(POWER(Hybrid[[#This Row],[angvel_X]],2) + POWER(Hybrid[[#This Row],[angvel_Y]],2) + POWER(Hybrid[[#This Row],[angvel_Z]],2))</f>
        <v>2.0302000024628115</v>
      </c>
      <c r="U181">
        <f>DEGREES(ASIN(MAX(-1,MIN(1,2 * (Hybrid[[#This Row],[quart_W]]*Hybrid[[#This Row],[quart_Y]] - Hybrid[[#This Row],[quart_Z]]*Hybrid[[#This Row],[quart_X]])))))</f>
        <v>0.54840684731796396</v>
      </c>
      <c r="V18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-147.15119068227156</v>
      </c>
      <c r="W18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89.999464635798731</v>
      </c>
      <c r="X181">
        <f>IF(Hybrid[[#This Row],[Yaw]]&gt;V180,(360-ABS(Hybrid[[#This Row],[Yaw]])-ABS(V180)),ABS(Hybrid[[#This Row],[Yaw]]-V180))</f>
        <v>0.96921835461105843</v>
      </c>
      <c r="Y181">
        <f>Hybrid[[#This Row],[Degree change]]+Y180</f>
        <v>116.30206157564284</v>
      </c>
    </row>
    <row r="182" spans="1:25">
      <c r="A182">
        <v>181</v>
      </c>
      <c r="B182">
        <v>-1674.130005</v>
      </c>
      <c r="C182">
        <v>2184.0798340000001</v>
      </c>
      <c r="D182">
        <v>17.010000000000002</v>
      </c>
      <c r="E182">
        <v>-1332.1400149999999</v>
      </c>
      <c r="F182">
        <v>-1874.9099120000001</v>
      </c>
      <c r="G182">
        <v>8.09</v>
      </c>
      <c r="H182" s="1">
        <v>0</v>
      </c>
      <c r="I182" s="1">
        <v>1E-4</v>
      </c>
      <c r="J182" s="1">
        <v>2.0301999999999998</v>
      </c>
      <c r="K182" s="1">
        <v>-4.1840000000000002E-3</v>
      </c>
      <c r="L182" s="1">
        <v>-2.3219999999999998E-3</v>
      </c>
      <c r="M182" s="1">
        <v>0.87409800000000004</v>
      </c>
      <c r="N182" s="1">
        <v>-0.48572500000000002</v>
      </c>
      <c r="O182">
        <v>1</v>
      </c>
      <c r="P182">
        <v>0</v>
      </c>
      <c r="Q182">
        <v>1</v>
      </c>
      <c r="R182">
        <v>1</v>
      </c>
      <c r="S182">
        <v>1</v>
      </c>
      <c r="T182" s="1">
        <f>SQRT(POWER(Hybrid[[#This Row],[angvel_X]],2) + POWER(Hybrid[[#This Row],[angvel_Y]],2) + POWER(Hybrid[[#This Row],[angvel_Z]],2))</f>
        <v>2.0302000024628115</v>
      </c>
      <c r="U182">
        <f>DEGREES(ASIN(MAX(-1,MIN(1,2 * (Hybrid[[#This Row],[quart_W]]*Hybrid[[#This Row],[quart_Y]] - Hybrid[[#This Row],[quart_Z]]*Hybrid[[#This Row],[quart_X]])))))</f>
        <v>0.54833808831660102</v>
      </c>
      <c r="V18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-148.12077874114192</v>
      </c>
      <c r="W18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89.999700003436402</v>
      </c>
      <c r="X182">
        <f>IF(Hybrid[[#This Row],[Yaw]]&gt;V181,(360-ABS(Hybrid[[#This Row],[Yaw]])-ABS(V181)),ABS(Hybrid[[#This Row],[Yaw]]-V181))</f>
        <v>0.96958805887035737</v>
      </c>
      <c r="Y182">
        <f>Hybrid[[#This Row],[Degree change]]+Y181</f>
        <v>117.2716496345132</v>
      </c>
    </row>
    <row r="183" spans="1:25">
      <c r="A183">
        <v>182</v>
      </c>
      <c r="B183">
        <v>-1685.2700199999999</v>
      </c>
      <c r="C183">
        <v>2168.3999020000001</v>
      </c>
      <c r="D183">
        <v>17.010000000000002</v>
      </c>
      <c r="E183">
        <v>-1300.2299800000001</v>
      </c>
      <c r="F183">
        <v>-1897.179932</v>
      </c>
      <c r="G183">
        <v>8.09</v>
      </c>
      <c r="H183" s="1">
        <v>0</v>
      </c>
      <c r="I183" s="1">
        <v>0</v>
      </c>
      <c r="J183" s="1">
        <v>2.0301999999999998</v>
      </c>
      <c r="K183" s="1">
        <v>-4.1619999999999999E-3</v>
      </c>
      <c r="L183" s="1">
        <v>-2.3600000000000001E-3</v>
      </c>
      <c r="M183" s="1">
        <v>0.86995999999999996</v>
      </c>
      <c r="N183" s="1">
        <v>-0.49309999999999998</v>
      </c>
      <c r="O183">
        <v>1</v>
      </c>
      <c r="P183">
        <v>0</v>
      </c>
      <c r="Q183">
        <v>1</v>
      </c>
      <c r="R183">
        <v>1</v>
      </c>
      <c r="S183">
        <v>1</v>
      </c>
      <c r="T183" s="1">
        <f>SQRT(POWER(Hybrid[[#This Row],[angvel_X]],2) + POWER(Hybrid[[#This Row],[angvel_Y]],2) + POWER(Hybrid[[#This Row],[angvel_Z]],2))</f>
        <v>2.0301999999999998</v>
      </c>
      <c r="U183">
        <f>DEGREES(ASIN(MAX(-1,MIN(1,2 * (Hybrid[[#This Row],[quart_W]]*Hybrid[[#This Row],[quart_Y]] - Hybrid[[#This Row],[quart_Z]]*Hybrid[[#This Row],[quart_X]])))))</f>
        <v>0.54827048055553773</v>
      </c>
      <c r="V18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-149.08974931145863</v>
      </c>
      <c r="W18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90.000094359009807</v>
      </c>
      <c r="X183">
        <f>IF(Hybrid[[#This Row],[Yaw]]&gt;V182,(360-ABS(Hybrid[[#This Row],[Yaw]])-ABS(V182)),ABS(Hybrid[[#This Row],[Yaw]]-V182))</f>
        <v>0.96897057031671352</v>
      </c>
      <c r="Y183">
        <f>Hybrid[[#This Row],[Degree change]]+Y182</f>
        <v>118.24062020482991</v>
      </c>
    </row>
    <row r="184" spans="1:25">
      <c r="A184">
        <v>183</v>
      </c>
      <c r="B184">
        <v>-1696.1400149999999</v>
      </c>
      <c r="C184">
        <v>2152.530029</v>
      </c>
      <c r="D184">
        <v>17.010000000000002</v>
      </c>
      <c r="E184">
        <v>-1267.9499510000001</v>
      </c>
      <c r="F184">
        <v>-1918.9099120000001</v>
      </c>
      <c r="G184">
        <v>8.09</v>
      </c>
      <c r="H184" s="1">
        <v>0</v>
      </c>
      <c r="I184" s="1">
        <v>0</v>
      </c>
      <c r="J184" s="1">
        <v>2.0301999999999998</v>
      </c>
      <c r="K184" s="1">
        <v>-4.1409999999999997E-3</v>
      </c>
      <c r="L184" s="1">
        <v>-2.398E-3</v>
      </c>
      <c r="M184" s="1">
        <v>0.865757</v>
      </c>
      <c r="N184" s="1">
        <v>-0.50044200000000005</v>
      </c>
      <c r="O184">
        <v>1</v>
      </c>
      <c r="P184">
        <v>0</v>
      </c>
      <c r="Q184">
        <v>1</v>
      </c>
      <c r="R184">
        <v>1</v>
      </c>
      <c r="S184">
        <v>1</v>
      </c>
      <c r="T184" s="1">
        <f>SQRT(POWER(Hybrid[[#This Row],[angvel_X]],2) + POWER(Hybrid[[#This Row],[angvel_Y]],2) + POWER(Hybrid[[#This Row],[angvel_Z]],2))</f>
        <v>2.0301999999999998</v>
      </c>
      <c r="U184">
        <f>DEGREES(ASIN(MAX(-1,MIN(1,2 * (Hybrid[[#This Row],[quart_W]]*Hybrid[[#This Row],[quart_Y]] - Hybrid[[#This Row],[quart_Z]]*Hybrid[[#This Row],[quart_X]])))))</f>
        <v>0.54834727565722141</v>
      </c>
      <c r="V18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-150.05922700610995</v>
      </c>
      <c r="W18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90.00043030688542</v>
      </c>
      <c r="X184">
        <f>IF(Hybrid[[#This Row],[Yaw]]&gt;V183,(360-ABS(Hybrid[[#This Row],[Yaw]])-ABS(V183)),ABS(Hybrid[[#This Row],[Yaw]]-V183))</f>
        <v>0.96947769465131728</v>
      </c>
      <c r="Y184">
        <f>Hybrid[[#This Row],[Degree change]]+Y183</f>
        <v>119.21009789948123</v>
      </c>
    </row>
    <row r="185" spans="1:25">
      <c r="A185">
        <v>184</v>
      </c>
      <c r="B185">
        <v>-1706.73999</v>
      </c>
      <c r="C185">
        <v>2136.4799800000001</v>
      </c>
      <c r="D185">
        <v>17.010000000000002</v>
      </c>
      <c r="E185">
        <v>-1235.299927</v>
      </c>
      <c r="F185">
        <v>-1940.079956</v>
      </c>
      <c r="G185">
        <v>8.09</v>
      </c>
      <c r="H185" s="1">
        <v>0</v>
      </c>
      <c r="I185" s="1">
        <v>0</v>
      </c>
      <c r="J185" s="1">
        <v>2.0301999999999998</v>
      </c>
      <c r="K185" s="1">
        <v>-4.1190000000000003E-3</v>
      </c>
      <c r="L185" s="1">
        <v>-2.4299999999999999E-3</v>
      </c>
      <c r="M185" s="1">
        <v>0.86149299999999995</v>
      </c>
      <c r="N185" s="1">
        <v>-0.50774699999999995</v>
      </c>
      <c r="O185">
        <v>1</v>
      </c>
      <c r="P185">
        <v>0</v>
      </c>
      <c r="Q185">
        <v>1</v>
      </c>
      <c r="R185">
        <v>1</v>
      </c>
      <c r="S185">
        <v>1</v>
      </c>
      <c r="T185" s="1">
        <f>SQRT(POWER(Hybrid[[#This Row],[angvel_X]],2) + POWER(Hybrid[[#This Row],[angvel_Y]],2) + POWER(Hybrid[[#This Row],[angvel_Z]],2))</f>
        <v>2.0301999999999998</v>
      </c>
      <c r="U185">
        <f>DEGREES(ASIN(MAX(-1,MIN(1,2 * (Hybrid[[#This Row],[quart_W]]*Hybrid[[#This Row],[quart_Y]] - Hybrid[[#This Row],[quart_Z]]*Hybrid[[#This Row],[quart_X]])))))</f>
        <v>0.54802127341939599</v>
      </c>
      <c r="V18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-151.02851430964623</v>
      </c>
      <c r="W18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90.000231267460151</v>
      </c>
      <c r="X185">
        <f>IF(Hybrid[[#This Row],[Yaw]]&gt;V184,(360-ABS(Hybrid[[#This Row],[Yaw]])-ABS(V184)),ABS(Hybrid[[#This Row],[Yaw]]-V184))</f>
        <v>0.96928730353627657</v>
      </c>
      <c r="Y185">
        <f>Hybrid[[#This Row],[Degree change]]+Y184</f>
        <v>120.1793852030175</v>
      </c>
    </row>
    <row r="186" spans="1:25">
      <c r="A186">
        <v>185</v>
      </c>
      <c r="B186">
        <v>-1717.0699460000001</v>
      </c>
      <c r="C186">
        <v>2120.25</v>
      </c>
      <c r="D186">
        <v>17.010000000000002</v>
      </c>
      <c r="E186">
        <v>-1202.309937</v>
      </c>
      <c r="F186">
        <v>-1960.6999510000001</v>
      </c>
      <c r="G186">
        <v>8.09</v>
      </c>
      <c r="H186" s="1">
        <v>0</v>
      </c>
      <c r="I186" s="1">
        <v>0</v>
      </c>
      <c r="J186" s="1">
        <v>2.0301999999999998</v>
      </c>
      <c r="K186" s="1">
        <v>-4.0969999999999999E-3</v>
      </c>
      <c r="L186" s="1">
        <v>-2.4629999999999999E-3</v>
      </c>
      <c r="M186" s="1">
        <v>0.85716899999999996</v>
      </c>
      <c r="N186" s="1">
        <v>-0.51501300000000005</v>
      </c>
      <c r="O186">
        <v>1</v>
      </c>
      <c r="P186">
        <v>0</v>
      </c>
      <c r="Q186">
        <v>1</v>
      </c>
      <c r="R186">
        <v>1</v>
      </c>
      <c r="S186">
        <v>1</v>
      </c>
      <c r="T186" s="1">
        <f>SQRT(POWER(Hybrid[[#This Row],[angvel_X]],2) + POWER(Hybrid[[#This Row],[angvel_Y]],2) + POWER(Hybrid[[#This Row],[angvel_Z]],2))</f>
        <v>2.0301999999999998</v>
      </c>
      <c r="U186">
        <f>DEGREES(ASIN(MAX(-1,MIN(1,2 * (Hybrid[[#This Row],[quart_W]]*Hybrid[[#This Row],[quart_Y]] - Hybrid[[#This Row],[quart_Z]]*Hybrid[[#This Row],[quart_X]])))))</f>
        <v>0.54779019298567233</v>
      </c>
      <c r="V18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-151.99743927358293</v>
      </c>
      <c r="W18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90.000137399954653</v>
      </c>
      <c r="X186">
        <f>IF(Hybrid[[#This Row],[Yaw]]&gt;V185,(360-ABS(Hybrid[[#This Row],[Yaw]])-ABS(V185)),ABS(Hybrid[[#This Row],[Yaw]]-V185))</f>
        <v>0.96892496393670058</v>
      </c>
      <c r="Y186">
        <f>Hybrid[[#This Row],[Degree change]]+Y185</f>
        <v>121.1483101669542</v>
      </c>
    </row>
    <row r="187" spans="1:25">
      <c r="A187">
        <v>186</v>
      </c>
      <c r="B187">
        <v>-1727.119995</v>
      </c>
      <c r="C187">
        <v>2103.8498540000001</v>
      </c>
      <c r="D187">
        <v>17.010000000000002</v>
      </c>
      <c r="E187">
        <v>-1168.969971</v>
      </c>
      <c r="F187">
        <v>-1980.76001</v>
      </c>
      <c r="G187">
        <v>8.09</v>
      </c>
      <c r="H187" s="1">
        <v>0</v>
      </c>
      <c r="I187" s="1">
        <v>0</v>
      </c>
      <c r="J187" s="1">
        <v>2.0301999999999998</v>
      </c>
      <c r="K187" s="1">
        <v>-4.0759999999999998E-3</v>
      </c>
      <c r="L187" s="1">
        <v>-2.4949999999999998E-3</v>
      </c>
      <c r="M187" s="1">
        <v>0.85277999999999998</v>
      </c>
      <c r="N187" s="1">
        <v>-0.52224800000000005</v>
      </c>
      <c r="O187">
        <v>1</v>
      </c>
      <c r="P187">
        <v>0</v>
      </c>
      <c r="Q187">
        <v>1</v>
      </c>
      <c r="R187">
        <v>1</v>
      </c>
      <c r="S187">
        <v>1</v>
      </c>
      <c r="T187" s="1">
        <f>SQRT(POWER(Hybrid[[#This Row],[angvel_X]],2) + POWER(Hybrid[[#This Row],[angvel_Y]],2) + POWER(Hybrid[[#This Row],[angvel_Z]],2))</f>
        <v>2.0301999999999998</v>
      </c>
      <c r="U187">
        <f>DEGREES(ASIN(MAX(-1,MIN(1,2 * (Hybrid[[#This Row],[quart_W]]*Hybrid[[#This Row],[quart_Y]] - Hybrid[[#This Row],[quart_Z]]*Hybrid[[#This Row],[quart_X]])))))</f>
        <v>0.54763452790802947</v>
      </c>
      <c r="V18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-152.96716957816867</v>
      </c>
      <c r="W18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89.999885775875242</v>
      </c>
      <c r="X187">
        <f>IF(Hybrid[[#This Row],[Yaw]]&gt;V186,(360-ABS(Hybrid[[#This Row],[Yaw]])-ABS(V186)),ABS(Hybrid[[#This Row],[Yaw]]-V186))</f>
        <v>0.96973030458573817</v>
      </c>
      <c r="Y187">
        <f>Hybrid[[#This Row],[Degree change]]+Y186</f>
        <v>122.11804047153994</v>
      </c>
    </row>
    <row r="188" spans="1:25">
      <c r="A188">
        <v>187</v>
      </c>
      <c r="B188">
        <v>-1736.8900149999999</v>
      </c>
      <c r="C188">
        <v>2087.280029</v>
      </c>
      <c r="D188">
        <v>17.010000000000002</v>
      </c>
      <c r="E188">
        <v>-1135.2899170000001</v>
      </c>
      <c r="F188">
        <v>-2000.25</v>
      </c>
      <c r="G188">
        <v>8.09</v>
      </c>
      <c r="H188" s="1">
        <v>0</v>
      </c>
      <c r="I188" s="1">
        <v>0</v>
      </c>
      <c r="J188" s="1">
        <v>2.0301999999999998</v>
      </c>
      <c r="K188" s="1">
        <v>-4.0540000000000003E-3</v>
      </c>
      <c r="L188" s="1">
        <v>-2.5270000000000002E-3</v>
      </c>
      <c r="M188" s="1">
        <v>0.84833099999999995</v>
      </c>
      <c r="N188" s="1">
        <v>-0.52944500000000005</v>
      </c>
      <c r="O188">
        <v>1</v>
      </c>
      <c r="P188">
        <v>0</v>
      </c>
      <c r="Q188">
        <v>1</v>
      </c>
      <c r="R188">
        <v>1</v>
      </c>
      <c r="S188">
        <v>1</v>
      </c>
      <c r="T188" s="1">
        <f>SQRT(POWER(Hybrid[[#This Row],[angvel_X]],2) + POWER(Hybrid[[#This Row],[angvel_Y]],2) + POWER(Hybrid[[#This Row],[angvel_Z]],2))</f>
        <v>2.0301999999999998</v>
      </c>
      <c r="U188">
        <f>DEGREES(ASIN(MAX(-1,MIN(1,2 * (Hybrid[[#This Row],[quart_W]]*Hybrid[[#This Row],[quart_Y]] - Hybrid[[#This Row],[quart_Z]]*Hybrid[[#This Row],[quart_X]])))))</f>
        <v>0.54741694859534484</v>
      </c>
      <c r="V18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-153.93671682735624</v>
      </c>
      <c r="W18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89.999697740310538</v>
      </c>
      <c r="X188">
        <f>IF(Hybrid[[#This Row],[Yaw]]&gt;V187,(360-ABS(Hybrid[[#This Row],[Yaw]])-ABS(V187)),ABS(Hybrid[[#This Row],[Yaw]]-V187))</f>
        <v>0.96954724918757051</v>
      </c>
      <c r="Y188">
        <f>Hybrid[[#This Row],[Degree change]]+Y187</f>
        <v>123.08758772072751</v>
      </c>
    </row>
    <row r="189" spans="1:25">
      <c r="A189">
        <v>188</v>
      </c>
      <c r="B189">
        <v>-1746.380005</v>
      </c>
      <c r="C189">
        <v>2070.5500489999999</v>
      </c>
      <c r="D189">
        <v>17.010000000000002</v>
      </c>
      <c r="E189">
        <v>-1101.2899170000001</v>
      </c>
      <c r="F189">
        <v>-2019.169922</v>
      </c>
      <c r="G189">
        <v>8.09</v>
      </c>
      <c r="H189" s="1">
        <v>0</v>
      </c>
      <c r="I189" s="1">
        <v>0</v>
      </c>
      <c r="J189" s="1">
        <v>2.0301999999999998</v>
      </c>
      <c r="K189" s="1">
        <v>-4.0330000000000001E-3</v>
      </c>
      <c r="L189" s="1">
        <v>-2.5600000000000002E-3</v>
      </c>
      <c r="M189" s="1">
        <v>0.84382100000000004</v>
      </c>
      <c r="N189" s="1">
        <v>-0.53660399999999997</v>
      </c>
      <c r="O189">
        <v>1</v>
      </c>
      <c r="P189">
        <v>0</v>
      </c>
      <c r="Q189">
        <v>1</v>
      </c>
      <c r="R189">
        <v>1</v>
      </c>
      <c r="S189">
        <v>1</v>
      </c>
      <c r="T189" s="1">
        <f>SQRT(POWER(Hybrid[[#This Row],[angvel_X]],2) + POWER(Hybrid[[#This Row],[angvel_Y]],2) + POWER(Hybrid[[#This Row],[angvel_Z]],2))</f>
        <v>2.0301999999999998</v>
      </c>
      <c r="U189">
        <f>DEGREES(ASIN(MAX(-1,MIN(1,2 * (Hybrid[[#This Row],[quart_W]]*Hybrid[[#This Row],[quart_Y]] - Hybrid[[#This Row],[quart_Z]]*Hybrid[[#This Row],[quart_X]])))))</f>
        <v>0.54739344983614946</v>
      </c>
      <c r="V18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-154.90629738880142</v>
      </c>
      <c r="W18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89.999548239747426</v>
      </c>
      <c r="X189">
        <f>IF(Hybrid[[#This Row],[Yaw]]&gt;V188,(360-ABS(Hybrid[[#This Row],[Yaw]])-ABS(V188)),ABS(Hybrid[[#This Row],[Yaw]]-V188))</f>
        <v>0.96958056144518423</v>
      </c>
      <c r="Y189">
        <f>Hybrid[[#This Row],[Degree change]]+Y188</f>
        <v>124.0571682821727</v>
      </c>
    </row>
    <row r="190" spans="1:25">
      <c r="A190">
        <v>189</v>
      </c>
      <c r="B190">
        <v>-1755.589966</v>
      </c>
      <c r="C190">
        <v>2053.6599120000001</v>
      </c>
      <c r="D190">
        <v>17.010000000000002</v>
      </c>
      <c r="E190">
        <v>-1066.969971</v>
      </c>
      <c r="F190">
        <v>-2037.5198969999999</v>
      </c>
      <c r="G190">
        <v>8.09</v>
      </c>
      <c r="H190" s="1">
        <v>0</v>
      </c>
      <c r="I190" s="1">
        <v>0</v>
      </c>
      <c r="J190" s="1">
        <v>2.0301999999999998</v>
      </c>
      <c r="K190" s="1">
        <v>-4.0109999999999998E-3</v>
      </c>
      <c r="L190" s="1">
        <v>-2.5920000000000001E-3</v>
      </c>
      <c r="M190" s="1">
        <v>0.83925000000000005</v>
      </c>
      <c r="N190" s="1">
        <v>-0.54372500000000001</v>
      </c>
      <c r="O190">
        <v>1</v>
      </c>
      <c r="P190">
        <v>0</v>
      </c>
      <c r="Q190">
        <v>1</v>
      </c>
      <c r="R190">
        <v>1</v>
      </c>
      <c r="S190">
        <v>1</v>
      </c>
      <c r="T190" s="1">
        <f>SQRT(POWER(Hybrid[[#This Row],[angvel_X]],2) + POWER(Hybrid[[#This Row],[angvel_Y]],2) + POWER(Hybrid[[#This Row],[angvel_Z]],2))</f>
        <v>2.0301999999999998</v>
      </c>
      <c r="U190">
        <f>DEGREES(ASIN(MAX(-1,MIN(1,2 * (Hybrid[[#This Row],[quart_W]]*Hybrid[[#This Row],[quart_Y]] - Hybrid[[#This Row],[quart_Z]]*Hybrid[[#This Row],[quart_X]])))))</f>
        <v>0.54724798262220087</v>
      </c>
      <c r="V19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-155.87598291956709</v>
      </c>
      <c r="W19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89.999364563685759</v>
      </c>
      <c r="X190">
        <f>IF(Hybrid[[#This Row],[Yaw]]&gt;V189,(360-ABS(Hybrid[[#This Row],[Yaw]])-ABS(V189)),ABS(Hybrid[[#This Row],[Yaw]]-V189))</f>
        <v>0.96968553076567332</v>
      </c>
      <c r="Y190">
        <f>Hybrid[[#This Row],[Degree change]]+Y189</f>
        <v>125.02685381293837</v>
      </c>
    </row>
    <row r="191" spans="1:25">
      <c r="A191">
        <v>190</v>
      </c>
      <c r="B191">
        <v>-1764.51001</v>
      </c>
      <c r="C191">
        <v>2036.619995</v>
      </c>
      <c r="D191">
        <v>17.010000000000002</v>
      </c>
      <c r="E191">
        <v>-1032.339966</v>
      </c>
      <c r="F191">
        <v>-2055.280029</v>
      </c>
      <c r="G191">
        <v>8.09</v>
      </c>
      <c r="H191" s="1">
        <v>0</v>
      </c>
      <c r="I191" s="1">
        <v>0</v>
      </c>
      <c r="J191" s="1">
        <v>2.0301999999999998</v>
      </c>
      <c r="K191" s="1">
        <v>-3.9890000000000004E-3</v>
      </c>
      <c r="L191" s="1">
        <v>-2.6250000000000002E-3</v>
      </c>
      <c r="M191" s="1">
        <v>0.83462199999999998</v>
      </c>
      <c r="N191" s="1">
        <v>-0.55080300000000004</v>
      </c>
      <c r="O191">
        <v>1</v>
      </c>
      <c r="P191">
        <v>0</v>
      </c>
      <c r="Q191">
        <v>1</v>
      </c>
      <c r="R191">
        <v>1</v>
      </c>
      <c r="S191">
        <v>1</v>
      </c>
      <c r="T191" s="1">
        <f>SQRT(POWER(Hybrid[[#This Row],[angvel_X]],2) + POWER(Hybrid[[#This Row],[angvel_Y]],2) + POWER(Hybrid[[#This Row],[angvel_Z]],2))</f>
        <v>2.0301999999999998</v>
      </c>
      <c r="U191">
        <f>DEGREES(ASIN(MAX(-1,MIN(1,2 * (Hybrid[[#This Row],[quart_W]]*Hybrid[[#This Row],[quart_Y]] - Hybrid[[#This Row],[quart_Z]]*Hybrid[[#This Row],[quart_X]])))))</f>
        <v>0.54720192422588154</v>
      </c>
      <c r="V19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-156.84504775851605</v>
      </c>
      <c r="W19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89.99928143036955</v>
      </c>
      <c r="X191">
        <f>IF(Hybrid[[#This Row],[Yaw]]&gt;V190,(360-ABS(Hybrid[[#This Row],[Yaw]])-ABS(V190)),ABS(Hybrid[[#This Row],[Yaw]]-V190))</f>
        <v>0.96906483894895246</v>
      </c>
      <c r="Y191">
        <f>Hybrid[[#This Row],[Degree change]]+Y190</f>
        <v>125.99591865188732</v>
      </c>
    </row>
    <row r="192" spans="1:25">
      <c r="A192">
        <v>191</v>
      </c>
      <c r="B192">
        <v>-1773.1400149999999</v>
      </c>
      <c r="C192">
        <v>2019.429932</v>
      </c>
      <c r="D192">
        <v>17.010000000000002</v>
      </c>
      <c r="E192">
        <v>-997.419983</v>
      </c>
      <c r="F192">
        <v>-2072.4499510000001</v>
      </c>
      <c r="G192">
        <v>8.09</v>
      </c>
      <c r="H192" s="1">
        <v>0</v>
      </c>
      <c r="I192" s="1">
        <v>0</v>
      </c>
      <c r="J192" s="1">
        <v>2.0301999999999998</v>
      </c>
      <c r="K192" s="1">
        <v>-3.9680000000000002E-3</v>
      </c>
      <c r="L192" s="1">
        <v>-2.6570000000000001E-3</v>
      </c>
      <c r="M192" s="1">
        <v>0.82993300000000003</v>
      </c>
      <c r="N192" s="1">
        <v>-0.55784299999999998</v>
      </c>
      <c r="O192">
        <v>1</v>
      </c>
      <c r="P192">
        <v>0</v>
      </c>
      <c r="Q192">
        <v>1</v>
      </c>
      <c r="R192">
        <v>1</v>
      </c>
      <c r="S192">
        <v>1</v>
      </c>
      <c r="T192" s="1">
        <f>SQRT(POWER(Hybrid[[#This Row],[angvel_X]],2) + POWER(Hybrid[[#This Row],[angvel_Y]],2) + POWER(Hybrid[[#This Row],[angvel_Z]],2))</f>
        <v>2.0301999999999998</v>
      </c>
      <c r="U192">
        <f>DEGREES(ASIN(MAX(-1,MIN(1,2 * (Hybrid[[#This Row],[quart_W]]*Hybrid[[#This Row],[quart_Y]] - Hybrid[[#This Row],[quart_Z]]*Hybrid[[#This Row],[quart_X]])))))</f>
        <v>0.54722461003472878</v>
      </c>
      <c r="V19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-157.81436142238434</v>
      </c>
      <c r="W19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89.999038642637103</v>
      </c>
      <c r="X192">
        <f>IF(Hybrid[[#This Row],[Yaw]]&gt;V191,(360-ABS(Hybrid[[#This Row],[Yaw]])-ABS(V191)),ABS(Hybrid[[#This Row],[Yaw]]-V191))</f>
        <v>0.96931366386829154</v>
      </c>
      <c r="Y192">
        <f>Hybrid[[#This Row],[Degree change]]+Y191</f>
        <v>126.96523231575561</v>
      </c>
    </row>
    <row r="193" spans="1:25">
      <c r="A193">
        <v>192</v>
      </c>
      <c r="B193">
        <v>-1781.4799800000001</v>
      </c>
      <c r="C193">
        <v>2002.099976</v>
      </c>
      <c r="D193">
        <v>17.010000000000002</v>
      </c>
      <c r="E193">
        <v>-962.21997099999999</v>
      </c>
      <c r="F193">
        <v>-2089.030029</v>
      </c>
      <c r="G193">
        <v>8.09</v>
      </c>
      <c r="H193" s="1">
        <v>1E-4</v>
      </c>
      <c r="I193" s="1">
        <v>0</v>
      </c>
      <c r="J193" s="1">
        <v>2.0301999999999998</v>
      </c>
      <c r="K193" s="1">
        <v>-3.9459999999999999E-3</v>
      </c>
      <c r="L193" s="1">
        <v>-2.689E-3</v>
      </c>
      <c r="M193" s="1">
        <v>0.825183</v>
      </c>
      <c r="N193" s="1">
        <v>-0.56484500000000004</v>
      </c>
      <c r="O193">
        <v>1</v>
      </c>
      <c r="P193">
        <v>0</v>
      </c>
      <c r="Q193">
        <v>1</v>
      </c>
      <c r="R193">
        <v>1</v>
      </c>
      <c r="S193">
        <v>1</v>
      </c>
      <c r="T193" s="1">
        <f>SQRT(POWER(Hybrid[[#This Row],[angvel_X]],2) + POWER(Hybrid[[#This Row],[angvel_Y]],2) + POWER(Hybrid[[#This Row],[angvel_Z]],2))</f>
        <v>2.0302000024628115</v>
      </c>
      <c r="U193">
        <f>DEGREES(ASIN(MAX(-1,MIN(1,2 * (Hybrid[[#This Row],[quart_W]]*Hybrid[[#This Row],[quart_Y]] - Hybrid[[#This Row],[quart_Z]]*Hybrid[[#This Row],[quart_X]])))))</f>
        <v>0.54718763286080829</v>
      </c>
      <c r="V19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-158.78398834809917</v>
      </c>
      <c r="W19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89.998858468993731</v>
      </c>
      <c r="X193">
        <f>IF(Hybrid[[#This Row],[Yaw]]&gt;V192,(360-ABS(Hybrid[[#This Row],[Yaw]])-ABS(V192)),ABS(Hybrid[[#This Row],[Yaw]]-V192))</f>
        <v>0.96962692571483444</v>
      </c>
      <c r="Y193">
        <f>Hybrid[[#This Row],[Degree change]]+Y192</f>
        <v>127.93485924147045</v>
      </c>
    </row>
    <row r="194" spans="1:25">
      <c r="A194">
        <v>193</v>
      </c>
      <c r="B194">
        <v>-1789.5200199999999</v>
      </c>
      <c r="C194">
        <v>1984.630005</v>
      </c>
      <c r="D194">
        <v>17.010000000000002</v>
      </c>
      <c r="E194">
        <v>-926.73999000000003</v>
      </c>
      <c r="F194">
        <v>-2105.01001</v>
      </c>
      <c r="G194">
        <v>8.09</v>
      </c>
      <c r="H194" s="1">
        <v>1E-4</v>
      </c>
      <c r="I194" s="1">
        <v>0</v>
      </c>
      <c r="J194" s="1">
        <v>2.0301999999999998</v>
      </c>
      <c r="K194" s="1">
        <v>-3.9249999999999997E-3</v>
      </c>
      <c r="L194" s="1">
        <v>-2.722E-3</v>
      </c>
      <c r="M194" s="1">
        <v>0.82037599999999999</v>
      </c>
      <c r="N194" s="1">
        <v>-0.57180500000000001</v>
      </c>
      <c r="O194">
        <v>1</v>
      </c>
      <c r="P194">
        <v>0</v>
      </c>
      <c r="Q194">
        <v>1</v>
      </c>
      <c r="R194">
        <v>1</v>
      </c>
      <c r="S194">
        <v>1</v>
      </c>
      <c r="T194" s="1">
        <f>SQRT(POWER(Hybrid[[#This Row],[angvel_X]],2) + POWER(Hybrid[[#This Row],[angvel_Y]],2) + POWER(Hybrid[[#This Row],[angvel_Z]],2))</f>
        <v>2.0302000024628115</v>
      </c>
      <c r="U194">
        <f>DEGREES(ASIN(MAX(-1,MIN(1,2 * (Hybrid[[#This Row],[quart_W]]*Hybrid[[#This Row],[quart_Y]] - Hybrid[[#This Row],[quart_Z]]*Hybrid[[#This Row],[quart_X]])))))</f>
        <v>0.54734677192847692</v>
      </c>
      <c r="V19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-159.75324544733675</v>
      </c>
      <c r="W19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89.998708362068726</v>
      </c>
      <c r="X194">
        <f>IF(Hybrid[[#This Row],[Yaw]]&gt;V193,(360-ABS(Hybrid[[#This Row],[Yaw]])-ABS(V193)),ABS(Hybrid[[#This Row],[Yaw]]-V193))</f>
        <v>0.96925709923758063</v>
      </c>
      <c r="Y194">
        <f>Hybrid[[#This Row],[Degree change]]+Y193</f>
        <v>128.90411634070801</v>
      </c>
    </row>
    <row r="195" spans="1:25">
      <c r="A195">
        <v>194</v>
      </c>
      <c r="B195">
        <v>-1797.2700199999999</v>
      </c>
      <c r="C195">
        <v>1967.0198969999999</v>
      </c>
      <c r="D195">
        <v>17.010000000000002</v>
      </c>
      <c r="E195">
        <v>-890.98999000000003</v>
      </c>
      <c r="F195">
        <v>-2120.389893</v>
      </c>
      <c r="G195">
        <v>8.09</v>
      </c>
      <c r="H195" s="1">
        <v>1E-4</v>
      </c>
      <c r="I195" s="1">
        <v>0</v>
      </c>
      <c r="J195" s="1">
        <v>2.0301999999999998</v>
      </c>
      <c r="K195" s="1">
        <v>-3.9029999999999998E-3</v>
      </c>
      <c r="L195" s="1">
        <v>-2.7539999999999999E-3</v>
      </c>
      <c r="M195" s="1">
        <v>0.81550800000000001</v>
      </c>
      <c r="N195" s="1">
        <v>-0.57872599999999996</v>
      </c>
      <c r="O195">
        <v>1</v>
      </c>
      <c r="P195">
        <v>0</v>
      </c>
      <c r="Q195">
        <v>1</v>
      </c>
      <c r="R195">
        <v>1</v>
      </c>
      <c r="S195">
        <v>1</v>
      </c>
      <c r="T195" s="1">
        <f>SQRT(POWER(Hybrid[[#This Row],[angvel_X]],2) + POWER(Hybrid[[#This Row],[angvel_Y]],2) + POWER(Hybrid[[#This Row],[angvel_Z]],2))</f>
        <v>2.0302000024628115</v>
      </c>
      <c r="U195">
        <f>DEGREES(ASIN(MAX(-1,MIN(1,2 * (Hybrid[[#This Row],[quart_W]]*Hybrid[[#This Row],[quart_Y]] - Hybrid[[#This Row],[quart_Z]]*Hybrid[[#This Row],[quart_X]])))))</f>
        <v>0.54738231045529273</v>
      </c>
      <c r="V19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-160.72291651817727</v>
      </c>
      <c r="W19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89.998526451920767</v>
      </c>
      <c r="X195">
        <f>IF(Hybrid[[#This Row],[Yaw]]&gt;V194,(360-ABS(Hybrid[[#This Row],[Yaw]])-ABS(V194)),ABS(Hybrid[[#This Row],[Yaw]]-V194))</f>
        <v>0.96967107084051918</v>
      </c>
      <c r="Y195">
        <f>Hybrid[[#This Row],[Degree change]]+Y194</f>
        <v>129.87378741154853</v>
      </c>
    </row>
    <row r="196" spans="1:25">
      <c r="A196">
        <v>195</v>
      </c>
      <c r="B196">
        <v>-1804.719971</v>
      </c>
      <c r="C196">
        <v>1949.2799070000001</v>
      </c>
      <c r="D196">
        <v>17.010000000000002</v>
      </c>
      <c r="E196">
        <v>-854.98999000000003</v>
      </c>
      <c r="F196">
        <v>-2135.1599120000001</v>
      </c>
      <c r="G196">
        <v>8.09</v>
      </c>
      <c r="H196" s="1">
        <v>1E-4</v>
      </c>
      <c r="I196" s="1">
        <v>0</v>
      </c>
      <c r="J196" s="1">
        <v>2.0301999999999998</v>
      </c>
      <c r="K196" s="1">
        <v>-3.882E-3</v>
      </c>
      <c r="L196" s="1">
        <v>-2.7859999999999998E-3</v>
      </c>
      <c r="M196" s="1">
        <v>0.81058300000000005</v>
      </c>
      <c r="N196" s="1">
        <v>-0.58560500000000004</v>
      </c>
      <c r="O196">
        <v>1</v>
      </c>
      <c r="P196">
        <v>0</v>
      </c>
      <c r="Q196">
        <v>1</v>
      </c>
      <c r="R196">
        <v>1</v>
      </c>
      <c r="S196">
        <v>1</v>
      </c>
      <c r="T196" s="1">
        <f>SQRT(POWER(Hybrid[[#This Row],[angvel_X]],2) + POWER(Hybrid[[#This Row],[angvel_Y]],2) + POWER(Hybrid[[#This Row],[angvel_Z]],2))</f>
        <v>2.0302000024628115</v>
      </c>
      <c r="U196">
        <f>DEGREES(ASIN(MAX(-1,MIN(1,2 * (Hybrid[[#This Row],[quart_W]]*Hybrid[[#This Row],[quart_Y]] - Hybrid[[#This Row],[quart_Z]]*Hybrid[[#This Row],[quart_X]])))))</f>
        <v>0.54754728491136284</v>
      </c>
      <c r="V19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-161.69235610566011</v>
      </c>
      <c r="W19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89.998277109200941</v>
      </c>
      <c r="X196">
        <f>IF(Hybrid[[#This Row],[Yaw]]&gt;V195,(360-ABS(Hybrid[[#This Row],[Yaw]])-ABS(V195)),ABS(Hybrid[[#This Row],[Yaw]]-V195))</f>
        <v>0.96943958748283876</v>
      </c>
      <c r="Y196">
        <f>Hybrid[[#This Row],[Degree change]]+Y195</f>
        <v>130.84322699903137</v>
      </c>
    </row>
    <row r="197" spans="1:25">
      <c r="A197">
        <v>196</v>
      </c>
      <c r="B197">
        <v>-1811.869995</v>
      </c>
      <c r="C197">
        <v>1931.419922</v>
      </c>
      <c r="D197">
        <v>17.010000000000002</v>
      </c>
      <c r="E197">
        <v>-818.73999000000003</v>
      </c>
      <c r="F197">
        <v>-2149.320068</v>
      </c>
      <c r="G197">
        <v>8.09</v>
      </c>
      <c r="H197" s="1">
        <v>1E-4</v>
      </c>
      <c r="I197" s="1">
        <v>1E-4</v>
      </c>
      <c r="J197" s="1">
        <v>2.0301999999999998</v>
      </c>
      <c r="K197" s="1">
        <v>-3.8600000000000001E-3</v>
      </c>
      <c r="L197" s="1">
        <v>-2.8189999999999999E-3</v>
      </c>
      <c r="M197" s="1">
        <v>0.80559999999999998</v>
      </c>
      <c r="N197" s="1">
        <v>-0.59243999999999997</v>
      </c>
      <c r="O197">
        <v>1</v>
      </c>
      <c r="P197">
        <v>0</v>
      </c>
      <c r="Q197">
        <v>1</v>
      </c>
      <c r="R197">
        <v>1</v>
      </c>
      <c r="S197">
        <v>1</v>
      </c>
      <c r="T197" s="1">
        <f>SQRT(POWER(Hybrid[[#This Row],[angvel_X]],2) + POWER(Hybrid[[#This Row],[angvel_Y]],2) + POWER(Hybrid[[#This Row],[angvel_Z]],2))</f>
        <v>2.0302000049256228</v>
      </c>
      <c r="U197">
        <f>DEGREES(ASIN(MAX(-1,MIN(1,2 * (Hybrid[[#This Row],[quart_W]]*Hybrid[[#This Row],[quart_Y]] - Hybrid[[#This Row],[quart_Z]]*Hybrid[[#This Row],[quart_X]])))))</f>
        <v>0.54772211652990055</v>
      </c>
      <c r="V19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-162.6617330182363</v>
      </c>
      <c r="W19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89.99818570353797</v>
      </c>
      <c r="X197">
        <f>IF(Hybrid[[#This Row],[Yaw]]&gt;V196,(360-ABS(Hybrid[[#This Row],[Yaw]])-ABS(V196)),ABS(Hybrid[[#This Row],[Yaw]]-V196))</f>
        <v>0.96937691257619463</v>
      </c>
      <c r="Y197">
        <f>Hybrid[[#This Row],[Degree change]]+Y196</f>
        <v>131.81260391160757</v>
      </c>
    </row>
    <row r="198" spans="1:25">
      <c r="A198">
        <v>197</v>
      </c>
      <c r="B198">
        <v>-1818.709961</v>
      </c>
      <c r="C198">
        <v>1913.4399410000001</v>
      </c>
      <c r="D198">
        <v>17.010000000000002</v>
      </c>
      <c r="E198">
        <v>-782.26000999999997</v>
      </c>
      <c r="F198">
        <v>-2162.8598630000001</v>
      </c>
      <c r="G198">
        <v>8.09</v>
      </c>
      <c r="H198" s="1">
        <v>1E-4</v>
      </c>
      <c r="I198" s="1">
        <v>1E-4</v>
      </c>
      <c r="J198" s="1">
        <v>2.0301999999999998</v>
      </c>
      <c r="K198" s="1">
        <v>-3.8379999999999998E-3</v>
      </c>
      <c r="L198" s="1">
        <v>-2.8509999999999998E-3</v>
      </c>
      <c r="M198" s="1">
        <v>0.80056099999999997</v>
      </c>
      <c r="N198" s="1">
        <v>-0.59923199999999999</v>
      </c>
      <c r="O198">
        <v>1</v>
      </c>
      <c r="P198">
        <v>0</v>
      </c>
      <c r="Q198">
        <v>1</v>
      </c>
      <c r="R198">
        <v>1</v>
      </c>
      <c r="S198">
        <v>1</v>
      </c>
      <c r="T198" s="1">
        <f>SQRT(POWER(Hybrid[[#This Row],[angvel_X]],2) + POWER(Hybrid[[#This Row],[angvel_Y]],2) + POWER(Hybrid[[#This Row],[angvel_Z]],2))</f>
        <v>2.0302000049256228</v>
      </c>
      <c r="U198">
        <f>DEGREES(ASIN(MAX(-1,MIN(1,2 * (Hybrid[[#This Row],[quart_W]]*Hybrid[[#This Row],[quart_Y]] - Hybrid[[#This Row],[quart_Z]]*Hybrid[[#This Row],[quart_X]])))))</f>
        <v>0.5478664156701919</v>
      </c>
      <c r="V19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-163.63084003643385</v>
      </c>
      <c r="W19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89.997999941511722</v>
      </c>
      <c r="X198">
        <f>IF(Hybrid[[#This Row],[Yaw]]&gt;V197,(360-ABS(Hybrid[[#This Row],[Yaw]])-ABS(V197)),ABS(Hybrid[[#This Row],[Yaw]]-V197))</f>
        <v>0.96910701819754763</v>
      </c>
      <c r="Y198">
        <f>Hybrid[[#This Row],[Degree change]]+Y197</f>
        <v>132.78171092980512</v>
      </c>
    </row>
    <row r="199" spans="1:25">
      <c r="A199">
        <v>198</v>
      </c>
      <c r="B199">
        <v>-1825.25</v>
      </c>
      <c r="C199">
        <v>1895.349976</v>
      </c>
      <c r="D199">
        <v>17.010000000000002</v>
      </c>
      <c r="E199">
        <v>-745.55999799999995</v>
      </c>
      <c r="F199">
        <v>-2175.790039</v>
      </c>
      <c r="G199">
        <v>8.09</v>
      </c>
      <c r="H199" s="1">
        <v>1E-4</v>
      </c>
      <c r="I199" s="1">
        <v>2.0000000000000001E-4</v>
      </c>
      <c r="J199" s="1">
        <v>2.0301999999999998</v>
      </c>
      <c r="K199" s="1">
        <v>-3.8110000000000002E-3</v>
      </c>
      <c r="L199" s="1">
        <v>-2.8839999999999998E-3</v>
      </c>
      <c r="M199" s="1">
        <v>0.79546499999999998</v>
      </c>
      <c r="N199" s="1">
        <v>-0.60598099999999999</v>
      </c>
      <c r="O199">
        <v>1</v>
      </c>
      <c r="P199">
        <v>0</v>
      </c>
      <c r="Q199">
        <v>1</v>
      </c>
      <c r="R199">
        <v>1</v>
      </c>
      <c r="S199">
        <v>1</v>
      </c>
      <c r="T199" s="1">
        <f>SQRT(POWER(Hybrid[[#This Row],[angvel_X]],2) + POWER(Hybrid[[#This Row],[angvel_Y]],2) + POWER(Hybrid[[#This Row],[angvel_Z]],2))</f>
        <v>2.0302000123140576</v>
      </c>
      <c r="U199">
        <f>DEGREES(ASIN(MAX(-1,MIN(1,2 * (Hybrid[[#This Row],[quart_W]]*Hybrid[[#This Row],[quart_Y]] - Hybrid[[#This Row],[quart_Z]]*Hybrid[[#This Row],[quart_X]])))))</f>
        <v>0.54766045875592895</v>
      </c>
      <c r="V19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-164.5999017376231</v>
      </c>
      <c r="W19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89.998249816910487</v>
      </c>
      <c r="X199">
        <f>IF(Hybrid[[#This Row],[Yaw]]&gt;V198,(360-ABS(Hybrid[[#This Row],[Yaw]])-ABS(V198)),ABS(Hybrid[[#This Row],[Yaw]]-V198))</f>
        <v>0.96906170118924706</v>
      </c>
      <c r="Y199">
        <f>Hybrid[[#This Row],[Degree change]]+Y198</f>
        <v>133.75077263099436</v>
      </c>
    </row>
    <row r="200" spans="1:25">
      <c r="A200">
        <v>199</v>
      </c>
      <c r="B200">
        <v>-1831.4799800000001</v>
      </c>
      <c r="C200">
        <v>1877.1499020000001</v>
      </c>
      <c r="D200">
        <v>17.010000000000002</v>
      </c>
      <c r="E200">
        <v>-708.64001499999995</v>
      </c>
      <c r="F200">
        <v>-2188.0898440000001</v>
      </c>
      <c r="G200">
        <v>8.09</v>
      </c>
      <c r="H200" s="1">
        <v>1E-4</v>
      </c>
      <c r="I200" s="1">
        <v>2.0000000000000001E-4</v>
      </c>
      <c r="J200" s="1">
        <v>2.0301999999999998</v>
      </c>
      <c r="K200" s="1">
        <v>-3.784E-3</v>
      </c>
      <c r="L200" s="1">
        <v>-2.9160000000000002E-3</v>
      </c>
      <c r="M200" s="1">
        <v>0.79031099999999999</v>
      </c>
      <c r="N200" s="1">
        <v>-0.61268699999999998</v>
      </c>
      <c r="O200">
        <v>1</v>
      </c>
      <c r="P200">
        <v>0</v>
      </c>
      <c r="Q200">
        <v>1</v>
      </c>
      <c r="R200">
        <v>1</v>
      </c>
      <c r="S200">
        <v>1</v>
      </c>
      <c r="T200" s="1">
        <f>SQRT(POWER(Hybrid[[#This Row],[angvel_X]],2) + POWER(Hybrid[[#This Row],[angvel_Y]],2) + POWER(Hybrid[[#This Row],[angvel_Z]],2))</f>
        <v>2.0302000123140576</v>
      </c>
      <c r="U200">
        <f>DEGREES(ASIN(MAX(-1,MIN(1,2 * (Hybrid[[#This Row],[quart_W]]*Hybrid[[#This Row],[quart_Y]] - Hybrid[[#This Row],[quart_Z]]*Hybrid[[#This Row],[quart_X]])))))</f>
        <v>0.54742734561826323</v>
      </c>
      <c r="V20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-165.5691457758698</v>
      </c>
      <c r="W20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89.998411604611491</v>
      </c>
      <c r="X200">
        <f>IF(Hybrid[[#This Row],[Yaw]]&gt;V199,(360-ABS(Hybrid[[#This Row],[Yaw]])-ABS(V199)),ABS(Hybrid[[#This Row],[Yaw]]-V199))</f>
        <v>0.9692440382466998</v>
      </c>
      <c r="Y200">
        <f>Hybrid[[#This Row],[Degree change]]+Y199</f>
        <v>134.72001666924106</v>
      </c>
    </row>
    <row r="201" spans="1:25">
      <c r="A201">
        <v>200</v>
      </c>
      <c r="B201">
        <v>-1837.3999020000001</v>
      </c>
      <c r="C201">
        <v>1858.849976</v>
      </c>
      <c r="D201">
        <v>17.010000000000002</v>
      </c>
      <c r="E201">
        <v>-671.51995799999997</v>
      </c>
      <c r="F201">
        <v>-2199.76001</v>
      </c>
      <c r="G201">
        <v>8.09</v>
      </c>
      <c r="H201" s="1">
        <v>1E-4</v>
      </c>
      <c r="I201" s="1">
        <v>2.0000000000000001E-4</v>
      </c>
      <c r="J201" s="1">
        <v>2.0301999999999998</v>
      </c>
      <c r="K201" s="1">
        <v>-3.7569999999999999E-3</v>
      </c>
      <c r="L201" s="1">
        <v>-2.9480000000000001E-3</v>
      </c>
      <c r="M201" s="1">
        <v>0.78510100000000005</v>
      </c>
      <c r="N201" s="1">
        <v>-0.61934900000000004</v>
      </c>
      <c r="O201">
        <v>1</v>
      </c>
      <c r="P201">
        <v>0</v>
      </c>
      <c r="Q201">
        <v>1</v>
      </c>
      <c r="R201">
        <v>1</v>
      </c>
      <c r="S201">
        <v>1</v>
      </c>
      <c r="T201" s="1">
        <f>SQRT(POWER(Hybrid[[#This Row],[angvel_X]],2) + POWER(Hybrid[[#This Row],[angvel_Y]],2) + POWER(Hybrid[[#This Row],[angvel_Z]],2))</f>
        <v>2.0302000123140576</v>
      </c>
      <c r="U201">
        <f>DEGREES(ASIN(MAX(-1,MIN(1,2 * (Hybrid[[#This Row],[quart_W]]*Hybrid[[#This Row],[quart_Y]] - Hybrid[[#This Row],[quart_Z]]*Hybrid[[#This Row],[quart_X]])))))</f>
        <v>0.54723633489027201</v>
      </c>
      <c r="V20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-166.53830217515866</v>
      </c>
      <c r="W20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89.998577115310269</v>
      </c>
      <c r="X201">
        <f>IF(Hybrid[[#This Row],[Yaw]]&gt;V200,(360-ABS(Hybrid[[#This Row],[Yaw]])-ABS(V200)),ABS(Hybrid[[#This Row],[Yaw]]-V200))</f>
        <v>0.96915639928886321</v>
      </c>
      <c r="Y201">
        <f>Hybrid[[#This Row],[Degree change]]+Y200</f>
        <v>135.68917306852993</v>
      </c>
    </row>
    <row r="202" spans="1:25">
      <c r="A202">
        <v>201</v>
      </c>
      <c r="B202">
        <v>-1843.01001</v>
      </c>
      <c r="C202">
        <v>1840.4499510000001</v>
      </c>
      <c r="D202">
        <v>17.010000000000002</v>
      </c>
      <c r="E202">
        <v>-634.20996100000002</v>
      </c>
      <c r="F202">
        <v>-2210.8100589999999</v>
      </c>
      <c r="G202">
        <v>8.09</v>
      </c>
      <c r="H202" s="1">
        <v>1E-4</v>
      </c>
      <c r="I202" s="1">
        <v>2.0000000000000001E-4</v>
      </c>
      <c r="J202" s="1">
        <v>2.0301999999999998</v>
      </c>
      <c r="K202" s="1">
        <v>-3.7309999999999999E-3</v>
      </c>
      <c r="L202" s="1">
        <v>-2.9810000000000001E-3</v>
      </c>
      <c r="M202" s="1">
        <v>0.779833</v>
      </c>
      <c r="N202" s="1">
        <v>-0.625969</v>
      </c>
      <c r="O202">
        <v>1</v>
      </c>
      <c r="P202">
        <v>0</v>
      </c>
      <c r="Q202">
        <v>1</v>
      </c>
      <c r="R202">
        <v>1</v>
      </c>
      <c r="S202">
        <v>1</v>
      </c>
      <c r="T202" s="1">
        <f>SQRT(POWER(Hybrid[[#This Row],[angvel_X]],2) + POWER(Hybrid[[#This Row],[angvel_Y]],2) + POWER(Hybrid[[#This Row],[angvel_Z]],2))</f>
        <v>2.0302000123140576</v>
      </c>
      <c r="U202">
        <f>DEGREES(ASIN(MAX(-1,MIN(1,2 * (Hybrid[[#This Row],[quart_W]]*Hybrid[[#This Row],[quart_Y]] - Hybrid[[#This Row],[quart_Z]]*Hybrid[[#This Row],[quart_X]])))))</f>
        <v>0.54724839081595322</v>
      </c>
      <c r="V20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-167.50779516760829</v>
      </c>
      <c r="W20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89.998761418912096</v>
      </c>
      <c r="X202">
        <f>IF(Hybrid[[#This Row],[Yaw]]&gt;V201,(360-ABS(Hybrid[[#This Row],[Yaw]])-ABS(V201)),ABS(Hybrid[[#This Row],[Yaw]]-V201))</f>
        <v>0.96949299244963072</v>
      </c>
      <c r="Y202">
        <f>Hybrid[[#This Row],[Degree change]]+Y201</f>
        <v>136.65866606097956</v>
      </c>
    </row>
    <row r="203" spans="1:25">
      <c r="A203">
        <v>202</v>
      </c>
      <c r="B203">
        <v>-1848.309937</v>
      </c>
      <c r="C203">
        <v>1821.959961</v>
      </c>
      <c r="D203">
        <v>17.010000000000002</v>
      </c>
      <c r="E203">
        <v>-596.71997099999999</v>
      </c>
      <c r="F203">
        <v>-2221.219971</v>
      </c>
      <c r="G203">
        <v>8.09</v>
      </c>
      <c r="H203" s="1">
        <v>1E-4</v>
      </c>
      <c r="I203" s="1">
        <v>2.0000000000000001E-4</v>
      </c>
      <c r="J203" s="1">
        <v>2.0301999999999998</v>
      </c>
      <c r="K203" s="1">
        <v>-3.7039999999999998E-3</v>
      </c>
      <c r="L203" s="1">
        <v>-3.0130000000000001E-3</v>
      </c>
      <c r="M203" s="1">
        <v>0.774509</v>
      </c>
      <c r="N203" s="1">
        <v>-0.63254500000000002</v>
      </c>
      <c r="O203">
        <v>1</v>
      </c>
      <c r="P203">
        <v>0</v>
      </c>
      <c r="Q203">
        <v>1</v>
      </c>
      <c r="R203">
        <v>1</v>
      </c>
      <c r="S203">
        <v>1</v>
      </c>
      <c r="T203" s="1">
        <f>SQRT(POWER(Hybrid[[#This Row],[angvel_X]],2) + POWER(Hybrid[[#This Row],[angvel_Y]],2) + POWER(Hybrid[[#This Row],[angvel_Z]],2))</f>
        <v>2.0302000123140576</v>
      </c>
      <c r="U203">
        <f>DEGREES(ASIN(MAX(-1,MIN(1,2 * (Hybrid[[#This Row],[quart_W]]*Hybrid[[#This Row],[quart_Y]] - Hybrid[[#This Row],[quart_Z]]*Hybrid[[#This Row],[quart_X]])))))</f>
        <v>0.54714169078068819</v>
      </c>
      <c r="V20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-168.47733205533774</v>
      </c>
      <c r="W20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89.998928398252104</v>
      </c>
      <c r="X203">
        <f>IF(Hybrid[[#This Row],[Yaw]]&gt;V202,(360-ABS(Hybrid[[#This Row],[Yaw]])-ABS(V202)),ABS(Hybrid[[#This Row],[Yaw]]-V202))</f>
        <v>0.96953688772944702</v>
      </c>
      <c r="Y203">
        <f>Hybrid[[#This Row],[Degree change]]+Y202</f>
        <v>137.628202948709</v>
      </c>
    </row>
    <row r="204" spans="1:25">
      <c r="A204">
        <v>203</v>
      </c>
      <c r="B204">
        <v>-1853.299927</v>
      </c>
      <c r="C204">
        <v>1803.380005</v>
      </c>
      <c r="D204">
        <v>17.010000000000002</v>
      </c>
      <c r="E204">
        <v>-559.05999799999995</v>
      </c>
      <c r="F204">
        <v>-2231</v>
      </c>
      <c r="G204">
        <v>8.09</v>
      </c>
      <c r="H204" s="1">
        <v>1E-4</v>
      </c>
      <c r="I204" s="1">
        <v>2.0000000000000001E-4</v>
      </c>
      <c r="J204" s="1">
        <v>2.0301999999999998</v>
      </c>
      <c r="K204" s="1">
        <v>-3.6770000000000001E-3</v>
      </c>
      <c r="L204" s="1">
        <v>-3.045E-3</v>
      </c>
      <c r="M204" s="1">
        <v>0.76913100000000001</v>
      </c>
      <c r="N204" s="1">
        <v>-0.639073</v>
      </c>
      <c r="O204">
        <v>1</v>
      </c>
      <c r="P204">
        <v>0</v>
      </c>
      <c r="Q204">
        <v>1</v>
      </c>
      <c r="R204">
        <v>1</v>
      </c>
      <c r="S204">
        <v>1</v>
      </c>
      <c r="T204" s="1">
        <f>SQRT(POWER(Hybrid[[#This Row],[angvel_X]],2) + POWER(Hybrid[[#This Row],[angvel_Y]],2) + POWER(Hybrid[[#This Row],[angvel_Z]],2))</f>
        <v>2.0302000123140576</v>
      </c>
      <c r="U204">
        <f>DEGREES(ASIN(MAX(-1,MIN(1,2 * (Hybrid[[#This Row],[quart_W]]*Hybrid[[#This Row],[quart_Y]] - Hybrid[[#This Row],[quart_Z]]*Hybrid[[#This Row],[quart_X]])))))</f>
        <v>0.54707666295049251</v>
      </c>
      <c r="V20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-169.44659258076646</v>
      </c>
      <c r="W20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89.999098406831195</v>
      </c>
      <c r="X204">
        <f>IF(Hybrid[[#This Row],[Yaw]]&gt;V203,(360-ABS(Hybrid[[#This Row],[Yaw]])-ABS(V203)),ABS(Hybrid[[#This Row],[Yaw]]-V203))</f>
        <v>0.96926052542872299</v>
      </c>
      <c r="Y204">
        <f>Hybrid[[#This Row],[Degree change]]+Y203</f>
        <v>138.59746347413773</v>
      </c>
    </row>
    <row r="205" spans="1:25">
      <c r="A205">
        <v>204</v>
      </c>
      <c r="B205">
        <v>-1857.969971</v>
      </c>
      <c r="C205">
        <v>1784.719971</v>
      </c>
      <c r="D205">
        <v>17.010000000000002</v>
      </c>
      <c r="E205">
        <v>-521.23999000000003</v>
      </c>
      <c r="F205">
        <v>-2240.139893</v>
      </c>
      <c r="G205">
        <v>8.09</v>
      </c>
      <c r="H205" s="1">
        <v>1E-4</v>
      </c>
      <c r="I205" s="1">
        <v>1E-4</v>
      </c>
      <c r="J205" s="1">
        <v>2.0301999999999998</v>
      </c>
      <c r="K205" s="1">
        <v>-3.65E-3</v>
      </c>
      <c r="L205" s="1">
        <v>-3.078E-3</v>
      </c>
      <c r="M205" s="1">
        <v>0.76369699999999996</v>
      </c>
      <c r="N205" s="1">
        <v>-0.64555700000000005</v>
      </c>
      <c r="O205">
        <v>1</v>
      </c>
      <c r="P205">
        <v>0</v>
      </c>
      <c r="Q205">
        <v>1</v>
      </c>
      <c r="R205">
        <v>1</v>
      </c>
      <c r="S205">
        <v>1</v>
      </c>
      <c r="T205" s="1">
        <f>SQRT(POWER(Hybrid[[#This Row],[angvel_X]],2) + POWER(Hybrid[[#This Row],[angvel_Y]],2) + POWER(Hybrid[[#This Row],[angvel_Z]],2))</f>
        <v>2.0302000049256228</v>
      </c>
      <c r="U205">
        <f>DEGREES(ASIN(MAX(-1,MIN(1,2 * (Hybrid[[#This Row],[quart_W]]*Hybrid[[#This Row],[quart_Y]] - Hybrid[[#This Row],[quart_Z]]*Hybrid[[#This Row],[quart_X]])))))</f>
        <v>0.54712783316458524</v>
      </c>
      <c r="V20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-170.41603450831616</v>
      </c>
      <c r="W20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89.999355543900194</v>
      </c>
      <c r="X205">
        <f>IF(Hybrid[[#This Row],[Yaw]]&gt;V204,(360-ABS(Hybrid[[#This Row],[Yaw]])-ABS(V204)),ABS(Hybrid[[#This Row],[Yaw]]-V204))</f>
        <v>0.96944192754969549</v>
      </c>
      <c r="Y205">
        <f>Hybrid[[#This Row],[Degree change]]+Y204</f>
        <v>139.56690540168742</v>
      </c>
    </row>
    <row r="206" spans="1:25">
      <c r="A206">
        <v>205</v>
      </c>
      <c r="B206">
        <v>-1862.3199460000001</v>
      </c>
      <c r="C206">
        <v>1765.9799800000001</v>
      </c>
      <c r="D206">
        <v>17.010000000000002</v>
      </c>
      <c r="E206">
        <v>-483.26998900000001</v>
      </c>
      <c r="F206">
        <v>-2248.639893</v>
      </c>
      <c r="G206">
        <v>8.09</v>
      </c>
      <c r="H206" s="1">
        <v>1E-4</v>
      </c>
      <c r="I206" s="1">
        <v>1E-4</v>
      </c>
      <c r="J206" s="1">
        <v>2.0301999999999998</v>
      </c>
      <c r="K206" s="1">
        <v>-3.6229999999999999E-3</v>
      </c>
      <c r="L206" s="1">
        <v>-3.1099999999999999E-3</v>
      </c>
      <c r="M206" s="1">
        <v>0.75821000000000005</v>
      </c>
      <c r="N206" s="1">
        <v>-0.65199300000000004</v>
      </c>
      <c r="O206">
        <v>1</v>
      </c>
      <c r="P206">
        <v>0</v>
      </c>
      <c r="Q206">
        <v>1</v>
      </c>
      <c r="R206">
        <v>1</v>
      </c>
      <c r="S206">
        <v>1</v>
      </c>
      <c r="T206" s="1">
        <f>SQRT(POWER(Hybrid[[#This Row],[angvel_X]],2) + POWER(Hybrid[[#This Row],[angvel_Y]],2) + POWER(Hybrid[[#This Row],[angvel_Z]],2))</f>
        <v>2.0302000049256228</v>
      </c>
      <c r="U206">
        <f>DEGREES(ASIN(MAX(-1,MIN(1,2 * (Hybrid[[#This Row],[quart_W]]*Hybrid[[#This Row],[quart_Y]] - Hybrid[[#This Row],[quart_Z]]*Hybrid[[#This Row],[quart_X]])))))</f>
        <v>0.54714783763759423</v>
      </c>
      <c r="V20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-171.38518686479739</v>
      </c>
      <c r="W20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89.999525851335974</v>
      </c>
      <c r="X206">
        <f>IF(Hybrid[[#This Row],[Yaw]]&gt;V205,(360-ABS(Hybrid[[#This Row],[Yaw]])-ABS(V205)),ABS(Hybrid[[#This Row],[Yaw]]-V205))</f>
        <v>0.96915235648123144</v>
      </c>
      <c r="Y206">
        <f>Hybrid[[#This Row],[Degree change]]+Y205</f>
        <v>140.53605775816865</v>
      </c>
    </row>
    <row r="207" spans="1:25">
      <c r="A207">
        <v>206</v>
      </c>
      <c r="B207">
        <v>-1866.3599850000001</v>
      </c>
      <c r="C207">
        <v>1747.169922</v>
      </c>
      <c r="D207">
        <v>17.010000000000002</v>
      </c>
      <c r="E207">
        <v>-445.16000400000001</v>
      </c>
      <c r="F207">
        <v>-2256.48999</v>
      </c>
      <c r="G207">
        <v>8.09</v>
      </c>
      <c r="H207" s="1">
        <v>1E-4</v>
      </c>
      <c r="I207" s="1">
        <v>0</v>
      </c>
      <c r="J207" s="1">
        <v>2.0301999999999998</v>
      </c>
      <c r="K207" s="1">
        <v>-3.5959999999999998E-3</v>
      </c>
      <c r="L207" s="1">
        <v>-3.1419999999999998E-3</v>
      </c>
      <c r="M207" s="1">
        <v>0.75266500000000003</v>
      </c>
      <c r="N207" s="1">
        <v>-0.65838600000000003</v>
      </c>
      <c r="O207">
        <v>1</v>
      </c>
      <c r="P207">
        <v>0</v>
      </c>
      <c r="Q207">
        <v>1</v>
      </c>
      <c r="R207">
        <v>1</v>
      </c>
      <c r="S207">
        <v>1</v>
      </c>
      <c r="T207" s="1">
        <f>SQRT(POWER(Hybrid[[#This Row],[angvel_X]],2) + POWER(Hybrid[[#This Row],[angvel_Y]],2) + POWER(Hybrid[[#This Row],[angvel_Z]],2))</f>
        <v>2.0302000024628115</v>
      </c>
      <c r="U207">
        <f>DEGREES(ASIN(MAX(-1,MIN(1,2 * (Hybrid[[#This Row],[quart_W]]*Hybrid[[#This Row],[quart_Y]] - Hybrid[[#This Row],[quart_Z]]*Hybrid[[#This Row],[quart_X]])))))</f>
        <v>0.54720961584751648</v>
      </c>
      <c r="V20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-172.35498620785054</v>
      </c>
      <c r="W20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89.999692579683938</v>
      </c>
      <c r="X207">
        <f>IF(Hybrid[[#This Row],[Yaw]]&gt;V206,(360-ABS(Hybrid[[#This Row],[Yaw]])-ABS(V206)),ABS(Hybrid[[#This Row],[Yaw]]-V206))</f>
        <v>0.96979934305315396</v>
      </c>
      <c r="Y207">
        <f>Hybrid[[#This Row],[Degree change]]+Y206</f>
        <v>141.50585710122181</v>
      </c>
    </row>
    <row r="208" spans="1:25">
      <c r="A208">
        <v>207</v>
      </c>
      <c r="B208">
        <v>-1870.079956</v>
      </c>
      <c r="C208">
        <v>1728.299927</v>
      </c>
      <c r="D208">
        <v>17.010000000000002</v>
      </c>
      <c r="E208">
        <v>-406.919983</v>
      </c>
      <c r="F208">
        <v>-2263.6999510000001</v>
      </c>
      <c r="G208">
        <v>8.09</v>
      </c>
      <c r="H208" s="1">
        <v>1E-4</v>
      </c>
      <c r="I208" s="1">
        <v>0</v>
      </c>
      <c r="J208" s="1">
        <v>2.0301999999999998</v>
      </c>
      <c r="K208" s="1">
        <v>-3.5690000000000001E-3</v>
      </c>
      <c r="L208" s="1">
        <v>-3.1749999999999999E-3</v>
      </c>
      <c r="M208" s="1">
        <v>0.74706799999999995</v>
      </c>
      <c r="N208" s="1">
        <v>-0.66473000000000004</v>
      </c>
      <c r="O208">
        <v>1</v>
      </c>
      <c r="P208">
        <v>0</v>
      </c>
      <c r="Q208">
        <v>1</v>
      </c>
      <c r="R208">
        <v>1</v>
      </c>
      <c r="S208">
        <v>1</v>
      </c>
      <c r="T208" s="1">
        <f>SQRT(POWER(Hybrid[[#This Row],[angvel_X]],2) + POWER(Hybrid[[#This Row],[angvel_Y]],2) + POWER(Hybrid[[#This Row],[angvel_Z]],2))</f>
        <v>2.0302000024628115</v>
      </c>
      <c r="U208">
        <f>DEGREES(ASIN(MAX(-1,MIN(1,2 * (Hybrid[[#This Row],[quart_W]]*Hybrid[[#This Row],[quart_Y]] - Hybrid[[#This Row],[quart_Z]]*Hybrid[[#This Row],[quart_X]])))))</f>
        <v>0.54738968063316629</v>
      </c>
      <c r="V20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-173.32445973452522</v>
      </c>
      <c r="W20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89.999944939680873</v>
      </c>
      <c r="X208">
        <f>IF(Hybrid[[#This Row],[Yaw]]&gt;V207,(360-ABS(Hybrid[[#This Row],[Yaw]])-ABS(V207)),ABS(Hybrid[[#This Row],[Yaw]]-V207))</f>
        <v>0.96947352667467612</v>
      </c>
      <c r="Y208">
        <f>Hybrid[[#This Row],[Degree change]]+Y207</f>
        <v>142.47533062789648</v>
      </c>
    </row>
    <row r="209" spans="1:25">
      <c r="A209">
        <v>208</v>
      </c>
      <c r="B209">
        <v>-1873.4799800000001</v>
      </c>
      <c r="C209">
        <v>1709.369995</v>
      </c>
      <c r="D209">
        <v>17.010000000000002</v>
      </c>
      <c r="E209">
        <v>-368.55999800000001</v>
      </c>
      <c r="F209">
        <v>-2270.26001</v>
      </c>
      <c r="G209">
        <v>8.09</v>
      </c>
      <c r="H209" s="1">
        <v>1E-4</v>
      </c>
      <c r="I209" s="1">
        <v>0</v>
      </c>
      <c r="J209" s="1">
        <v>2.0301999999999998</v>
      </c>
      <c r="K209" s="1">
        <v>-3.542E-3</v>
      </c>
      <c r="L209" s="1">
        <v>-3.2070000000000002E-3</v>
      </c>
      <c r="M209" s="1">
        <v>0.74141800000000002</v>
      </c>
      <c r="N209" s="1">
        <v>-0.67102600000000001</v>
      </c>
      <c r="O209">
        <v>1</v>
      </c>
      <c r="P209">
        <v>0</v>
      </c>
      <c r="Q209">
        <v>1</v>
      </c>
      <c r="R209">
        <v>1</v>
      </c>
      <c r="S209">
        <v>1</v>
      </c>
      <c r="T209" s="1">
        <f>SQRT(POWER(Hybrid[[#This Row],[angvel_X]],2) + POWER(Hybrid[[#This Row],[angvel_Y]],2) + POWER(Hybrid[[#This Row],[angvel_Z]],2))</f>
        <v>2.0302000024628115</v>
      </c>
      <c r="U209">
        <f>DEGREES(ASIN(MAX(-1,MIN(1,2 * (Hybrid[[#This Row],[quart_W]]*Hybrid[[#This Row],[quart_Y]] - Hybrid[[#This Row],[quart_Z]]*Hybrid[[#This Row],[quart_X]])))))</f>
        <v>0.54753630676790599</v>
      </c>
      <c r="V20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-174.29385441575309</v>
      </c>
      <c r="W20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90.000109260477458</v>
      </c>
      <c r="X209">
        <f>IF(Hybrid[[#This Row],[Yaw]]&gt;V208,(360-ABS(Hybrid[[#This Row],[Yaw]])-ABS(V208)),ABS(Hybrid[[#This Row],[Yaw]]-V208))</f>
        <v>0.9693946812278682</v>
      </c>
      <c r="Y209">
        <f>Hybrid[[#This Row],[Degree change]]+Y208</f>
        <v>143.44472530912435</v>
      </c>
    </row>
    <row r="210" spans="1:25">
      <c r="A210">
        <v>209</v>
      </c>
      <c r="B210">
        <v>-1876.559937</v>
      </c>
      <c r="C210">
        <v>1690.380005</v>
      </c>
      <c r="D210">
        <v>17.010000000000002</v>
      </c>
      <c r="E210">
        <v>-330.10000600000001</v>
      </c>
      <c r="F210">
        <v>-2276.169922</v>
      </c>
      <c r="G210">
        <v>8.09</v>
      </c>
      <c r="H210" s="1">
        <v>1E-4</v>
      </c>
      <c r="I210" s="1">
        <v>0</v>
      </c>
      <c r="J210" s="1">
        <v>2.0301999999999998</v>
      </c>
      <c r="K210" s="1">
        <v>-3.5149999999999999E-3</v>
      </c>
      <c r="L210" s="1">
        <v>-3.2399999999999998E-3</v>
      </c>
      <c r="M210" s="1">
        <v>0.73571600000000004</v>
      </c>
      <c r="N210" s="1">
        <v>-0.67727300000000001</v>
      </c>
      <c r="O210">
        <v>1</v>
      </c>
      <c r="P210">
        <v>0</v>
      </c>
      <c r="Q210">
        <v>1</v>
      </c>
      <c r="R210">
        <v>1</v>
      </c>
      <c r="S210">
        <v>1</v>
      </c>
      <c r="T210" s="1">
        <f>SQRT(POWER(Hybrid[[#This Row],[angvel_X]],2) + POWER(Hybrid[[#This Row],[angvel_Y]],2) + POWER(Hybrid[[#This Row],[angvel_Z]],2))</f>
        <v>2.0302000024628115</v>
      </c>
      <c r="U210">
        <f>DEGREES(ASIN(MAX(-1,MIN(1,2 * (Hybrid[[#This Row],[quart_W]]*Hybrid[[#This Row],[quart_Y]] - Hybrid[[#This Row],[quart_Z]]*Hybrid[[#This Row],[quart_X]])))))</f>
        <v>0.54780255202099482</v>
      </c>
      <c r="V21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-175.26307021743241</v>
      </c>
      <c r="W21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90.000355851130109</v>
      </c>
      <c r="X210">
        <f>IF(Hybrid[[#This Row],[Yaw]]&gt;V209,(360-ABS(Hybrid[[#This Row],[Yaw]])-ABS(V209)),ABS(Hybrid[[#This Row],[Yaw]]-V209))</f>
        <v>0.96921580167932575</v>
      </c>
      <c r="Y210">
        <f>Hybrid[[#This Row],[Degree change]]+Y209</f>
        <v>144.41394111080368</v>
      </c>
    </row>
    <row r="211" spans="1:25">
      <c r="A211">
        <v>210</v>
      </c>
      <c r="B211">
        <v>-1879.3199460000001</v>
      </c>
      <c r="C211">
        <v>1671.339966</v>
      </c>
      <c r="D211">
        <v>17.010000000000002</v>
      </c>
      <c r="E211">
        <v>-291.540009</v>
      </c>
      <c r="F211">
        <v>-2281.429932</v>
      </c>
      <c r="G211">
        <v>8.09</v>
      </c>
      <c r="H211" s="1">
        <v>1E-4</v>
      </c>
      <c r="I211" s="1">
        <v>0</v>
      </c>
      <c r="J211" s="1">
        <v>2.0301999999999998</v>
      </c>
      <c r="K211" s="1">
        <v>-3.4880000000000002E-3</v>
      </c>
      <c r="L211" s="1">
        <v>-3.2720000000000002E-3</v>
      </c>
      <c r="M211" s="1">
        <v>0.72996099999999997</v>
      </c>
      <c r="N211" s="1">
        <v>-0.68347199999999997</v>
      </c>
      <c r="O211">
        <v>1</v>
      </c>
      <c r="P211">
        <v>0</v>
      </c>
      <c r="Q211">
        <v>1</v>
      </c>
      <c r="R211">
        <v>1</v>
      </c>
      <c r="S211">
        <v>1</v>
      </c>
      <c r="T211" s="1">
        <f>SQRT(POWER(Hybrid[[#This Row],[angvel_X]],2) + POWER(Hybrid[[#This Row],[angvel_Y]],2) + POWER(Hybrid[[#This Row],[angvel_Z]],2))</f>
        <v>2.0302000024628115</v>
      </c>
      <c r="U211">
        <f>DEGREES(ASIN(MAX(-1,MIN(1,2 * (Hybrid[[#This Row],[quart_W]]*Hybrid[[#This Row],[quart_Y]] - Hybrid[[#This Row],[quart_Z]]*Hybrid[[#This Row],[quart_X]])))))</f>
        <v>0.54803381890419056</v>
      </c>
      <c r="V21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-176.23234827024214</v>
      </c>
      <c r="W21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90.000513629280249</v>
      </c>
      <c r="X211">
        <f>IF(Hybrid[[#This Row],[Yaw]]&gt;V210,(360-ABS(Hybrid[[#This Row],[Yaw]])-ABS(V210)),ABS(Hybrid[[#This Row],[Yaw]]-V210))</f>
        <v>0.96927805280972734</v>
      </c>
      <c r="Y211">
        <f>Hybrid[[#This Row],[Degree change]]+Y210</f>
        <v>145.3832191636134</v>
      </c>
    </row>
    <row r="212" spans="1:25">
      <c r="A212">
        <v>211</v>
      </c>
      <c r="B212">
        <v>-1881.75</v>
      </c>
      <c r="C212">
        <v>1652.26001</v>
      </c>
      <c r="D212">
        <v>17.010000000000002</v>
      </c>
      <c r="E212">
        <v>-252.89999399999999</v>
      </c>
      <c r="F212">
        <v>-2286.030029</v>
      </c>
      <c r="G212">
        <v>8.09</v>
      </c>
      <c r="H212" s="1">
        <v>0</v>
      </c>
      <c r="I212" s="1">
        <v>0</v>
      </c>
      <c r="J212" s="1">
        <v>2.0301999999999998</v>
      </c>
      <c r="K212" s="1">
        <v>-3.4610000000000001E-3</v>
      </c>
      <c r="L212" s="1">
        <v>-3.3040000000000001E-3</v>
      </c>
      <c r="M212" s="1">
        <v>0.72415399999999996</v>
      </c>
      <c r="N212" s="1">
        <v>-0.68962199999999996</v>
      </c>
      <c r="O212">
        <v>1</v>
      </c>
      <c r="P212">
        <v>0</v>
      </c>
      <c r="Q212">
        <v>1</v>
      </c>
      <c r="R212">
        <v>1</v>
      </c>
      <c r="S212">
        <v>1</v>
      </c>
      <c r="T212" s="1">
        <f>SQRT(POWER(Hybrid[[#This Row],[angvel_X]],2) + POWER(Hybrid[[#This Row],[angvel_Y]],2) + POWER(Hybrid[[#This Row],[angvel_Z]],2))</f>
        <v>2.0301999999999998</v>
      </c>
      <c r="U212">
        <f>DEGREES(ASIN(MAX(-1,MIN(1,2 * (Hybrid[[#This Row],[quart_W]]*Hybrid[[#This Row],[quart_Y]] - Hybrid[[#This Row],[quart_Z]]*Hybrid[[#This Row],[quart_X]])))))</f>
        <v>0.54830698674326495</v>
      </c>
      <c r="V21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-177.20158848158059</v>
      </c>
      <c r="W21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90.000667305683791</v>
      </c>
      <c r="X212">
        <f>IF(Hybrid[[#This Row],[Yaw]]&gt;V211,(360-ABS(Hybrid[[#This Row],[Yaw]])-ABS(V211)),ABS(Hybrid[[#This Row],[Yaw]]-V211))</f>
        <v>0.96924021133844462</v>
      </c>
      <c r="Y212">
        <f>Hybrid[[#This Row],[Degree change]]+Y211</f>
        <v>146.35245937495185</v>
      </c>
    </row>
    <row r="213" spans="1:25">
      <c r="A213">
        <v>212</v>
      </c>
      <c r="B213">
        <v>-1883.8599850000001</v>
      </c>
      <c r="C213">
        <v>1633.1400149999999</v>
      </c>
      <c r="D213">
        <v>17.010000000000002</v>
      </c>
      <c r="E213">
        <v>-214.19000199999999</v>
      </c>
      <c r="F213">
        <v>-2289.98999</v>
      </c>
      <c r="G213">
        <v>8.09</v>
      </c>
      <c r="H213" s="1">
        <v>0</v>
      </c>
      <c r="I213" s="1">
        <v>0</v>
      </c>
      <c r="J213" s="1">
        <v>2.0301999999999998</v>
      </c>
      <c r="K213" s="1">
        <v>-3.434E-3</v>
      </c>
      <c r="L213" s="1">
        <v>-3.3310000000000002E-3</v>
      </c>
      <c r="M213" s="1">
        <v>0.71829299999999996</v>
      </c>
      <c r="N213" s="1">
        <v>-0.69572400000000001</v>
      </c>
      <c r="O213">
        <v>1</v>
      </c>
      <c r="P213">
        <v>0</v>
      </c>
      <c r="Q213">
        <v>1</v>
      </c>
      <c r="R213">
        <v>1</v>
      </c>
      <c r="S213">
        <v>1</v>
      </c>
      <c r="T213" s="1">
        <f>SQRT(POWER(Hybrid[[#This Row],[angvel_X]],2) + POWER(Hybrid[[#This Row],[angvel_Y]],2) + POWER(Hybrid[[#This Row],[angvel_Z]],2))</f>
        <v>2.0301999999999998</v>
      </c>
      <c r="U213">
        <f>DEGREES(ASIN(MAX(-1,MIN(1,2 * (Hybrid[[#This Row],[quart_W]]*Hybrid[[#This Row],[quart_Y]] - Hybrid[[#This Row],[quart_Z]]*Hybrid[[#This Row],[quart_X]])))))</f>
        <v>0.5482229556560495</v>
      </c>
      <c r="V21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-178.17119021049396</v>
      </c>
      <c r="W21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90.000403124858181</v>
      </c>
      <c r="X213">
        <f>IF(Hybrid[[#This Row],[Yaw]]&gt;V212,(360-ABS(Hybrid[[#This Row],[Yaw]])-ABS(V212)),ABS(Hybrid[[#This Row],[Yaw]]-V212))</f>
        <v>0.96960172891337493</v>
      </c>
      <c r="Y213">
        <f>Hybrid[[#This Row],[Degree change]]+Y212</f>
        <v>147.32206110386522</v>
      </c>
    </row>
    <row r="214" spans="1:25">
      <c r="A214">
        <v>213</v>
      </c>
      <c r="B214">
        <v>-1885.6499020000001</v>
      </c>
      <c r="C214">
        <v>1613.98999</v>
      </c>
      <c r="D214">
        <v>17.010000000000002</v>
      </c>
      <c r="E214">
        <v>-175.41999799999999</v>
      </c>
      <c r="F214">
        <v>-2293.280029</v>
      </c>
      <c r="G214">
        <v>8.09</v>
      </c>
      <c r="H214" s="1">
        <v>0</v>
      </c>
      <c r="I214" s="1">
        <v>0</v>
      </c>
      <c r="J214" s="1">
        <v>2.0301999999999998</v>
      </c>
      <c r="K214" s="1">
        <v>-3.4069999999999999E-3</v>
      </c>
      <c r="L214" s="1">
        <v>-3.3579999999999999E-3</v>
      </c>
      <c r="M214" s="1">
        <v>0.71238100000000004</v>
      </c>
      <c r="N214" s="1">
        <v>-0.70177699999999998</v>
      </c>
      <c r="O214">
        <v>1</v>
      </c>
      <c r="P214">
        <v>0</v>
      </c>
      <c r="Q214">
        <v>1</v>
      </c>
      <c r="R214">
        <v>1</v>
      </c>
      <c r="S214">
        <v>1</v>
      </c>
      <c r="T214" s="1">
        <f>SQRT(POWER(Hybrid[[#This Row],[angvel_X]],2) + POWER(Hybrid[[#This Row],[angvel_Y]],2) + POWER(Hybrid[[#This Row],[angvel_Z]],2))</f>
        <v>2.0301999999999998</v>
      </c>
      <c r="U214">
        <f>DEGREES(ASIN(MAX(-1,MIN(1,2 * (Hybrid[[#This Row],[quart_W]]*Hybrid[[#This Row],[quart_Y]] - Hybrid[[#This Row],[quart_Z]]*Hybrid[[#This Row],[quart_X]])))))</f>
        <v>0.54817418635024484</v>
      </c>
      <c r="V21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-179.14072539096006</v>
      </c>
      <c r="W21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90.000139940918388</v>
      </c>
      <c r="X214">
        <f>IF(Hybrid[[#This Row],[Yaw]]&gt;V213,(360-ABS(Hybrid[[#This Row],[Yaw]])-ABS(V213)),ABS(Hybrid[[#This Row],[Yaw]]-V213))</f>
        <v>0.96953518046609588</v>
      </c>
      <c r="Y214">
        <f>Hybrid[[#This Row],[Degree change]]+Y213</f>
        <v>148.29159628433132</v>
      </c>
    </row>
    <row r="215" spans="1:25">
      <c r="A215">
        <v>214</v>
      </c>
      <c r="B215">
        <v>-1887.1099850000001</v>
      </c>
      <c r="C215">
        <v>1594.809937</v>
      </c>
      <c r="D215">
        <v>17.010000000000002</v>
      </c>
      <c r="E215">
        <v>-136.58999600000001</v>
      </c>
      <c r="F215">
        <v>-2295.919922</v>
      </c>
      <c r="G215">
        <v>8.09</v>
      </c>
      <c r="H215" s="1">
        <v>0</v>
      </c>
      <c r="I215" s="1">
        <v>0</v>
      </c>
      <c r="J215" s="1">
        <v>2.0301999999999998</v>
      </c>
      <c r="K215" s="1">
        <v>3.3800000000000002E-3</v>
      </c>
      <c r="L215" s="1">
        <v>3.385E-3</v>
      </c>
      <c r="M215" s="1">
        <v>-0.70642199999999999</v>
      </c>
      <c r="N215" s="1">
        <v>0.70777500000000004</v>
      </c>
      <c r="O215">
        <v>1</v>
      </c>
      <c r="P215">
        <v>0</v>
      </c>
      <c r="Q215">
        <v>1</v>
      </c>
      <c r="R215">
        <v>1</v>
      </c>
      <c r="S215">
        <v>1</v>
      </c>
      <c r="T215" s="1">
        <f>SQRT(POWER(Hybrid[[#This Row],[angvel_X]],2) + POWER(Hybrid[[#This Row],[angvel_Y]],2) + POWER(Hybrid[[#This Row],[angvel_Z]],2))</f>
        <v>2.0301999999999998</v>
      </c>
      <c r="U215">
        <f>DEGREES(ASIN(MAX(-1,MIN(1,2 * (Hybrid[[#This Row],[quart_W]]*Hybrid[[#This Row],[quart_Y]] - Hybrid[[#This Row],[quart_Z]]*Hybrid[[#This Row],[quart_X]])))))</f>
        <v>0.54815991927737606</v>
      </c>
      <c r="V21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179.89038816699147</v>
      </c>
      <c r="W21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89.999880701289584</v>
      </c>
      <c r="X215">
        <f>IF(Hybrid[[#This Row],[Yaw]]&gt;V214,(360-ABS(Hybrid[[#This Row],[Yaw]])-ABS(V214)),ABS(Hybrid[[#This Row],[Yaw]]-V214))</f>
        <v>0.96888644204847196</v>
      </c>
      <c r="Y215">
        <f>Hybrid[[#This Row],[Degree change]]+Y214</f>
        <v>149.26048272637979</v>
      </c>
    </row>
    <row r="216" spans="1:25">
      <c r="A216">
        <v>215</v>
      </c>
      <c r="B216">
        <v>-1888.25</v>
      </c>
      <c r="C216">
        <v>1575.6099850000001</v>
      </c>
      <c r="D216">
        <v>17.010000000000002</v>
      </c>
      <c r="E216">
        <v>-97.729996</v>
      </c>
      <c r="F216">
        <v>-2297.8999020000001</v>
      </c>
      <c r="G216">
        <v>8.09</v>
      </c>
      <c r="H216" s="1">
        <v>0</v>
      </c>
      <c r="I216" s="1">
        <v>0</v>
      </c>
      <c r="J216" s="1">
        <v>2.0301999999999998</v>
      </c>
      <c r="K216" s="1">
        <v>3.3530000000000001E-3</v>
      </c>
      <c r="L216" s="1">
        <v>3.4120000000000001E-3</v>
      </c>
      <c r="M216" s="1">
        <v>-0.70041200000000003</v>
      </c>
      <c r="N216" s="1">
        <v>0.713723</v>
      </c>
      <c r="O216">
        <v>1</v>
      </c>
      <c r="P216">
        <v>0</v>
      </c>
      <c r="Q216">
        <v>1</v>
      </c>
      <c r="R216">
        <v>1</v>
      </c>
      <c r="S216">
        <v>1</v>
      </c>
      <c r="T216" s="1">
        <f>SQRT(POWER(Hybrid[[#This Row],[angvel_X]],2) + POWER(Hybrid[[#This Row],[angvel_Y]],2) + POWER(Hybrid[[#This Row],[angvel_Z]],2))</f>
        <v>2.0301999999999998</v>
      </c>
      <c r="U216">
        <f>DEGREES(ASIN(MAX(-1,MIN(1,2 * (Hybrid[[#This Row],[quart_W]]*Hybrid[[#This Row],[quart_Y]] - Hybrid[[#This Row],[quart_Z]]*Hybrid[[#This Row],[quart_X]])))))</f>
        <v>0.54818049822760762</v>
      </c>
      <c r="V21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178.92142165057865</v>
      </c>
      <c r="W21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89.999620973935791</v>
      </c>
      <c r="X216">
        <f>IF(Hybrid[[#This Row],[Yaw]]&gt;V215,(360-ABS(Hybrid[[#This Row],[Yaw]])-ABS(V215)),ABS(Hybrid[[#This Row],[Yaw]]-V215))</f>
        <v>0.96896651641282006</v>
      </c>
      <c r="Y216">
        <f>Hybrid[[#This Row],[Degree change]]+Y215</f>
        <v>150.22944924279261</v>
      </c>
    </row>
    <row r="217" spans="1:25">
      <c r="A217">
        <v>216</v>
      </c>
      <c r="B217">
        <v>-1889.059937</v>
      </c>
      <c r="C217">
        <v>1556.3900149999999</v>
      </c>
      <c r="D217">
        <v>17.010000000000002</v>
      </c>
      <c r="E217">
        <v>-58.84</v>
      </c>
      <c r="F217">
        <v>-2299.2299800000001</v>
      </c>
      <c r="G217">
        <v>8.09</v>
      </c>
      <c r="H217" s="1">
        <v>0</v>
      </c>
      <c r="I217" s="1">
        <v>0</v>
      </c>
      <c r="J217" s="1">
        <v>2.0301999999999998</v>
      </c>
      <c r="K217" s="1">
        <v>3.326E-3</v>
      </c>
      <c r="L217" s="1">
        <v>3.4390000000000002E-3</v>
      </c>
      <c r="M217" s="1">
        <v>-0.69434799999999997</v>
      </c>
      <c r="N217" s="1">
        <v>0.71962300000000001</v>
      </c>
      <c r="O217">
        <v>1</v>
      </c>
      <c r="P217">
        <v>0</v>
      </c>
      <c r="Q217">
        <v>1</v>
      </c>
      <c r="R217">
        <v>1</v>
      </c>
      <c r="S217">
        <v>1</v>
      </c>
      <c r="T217" s="1">
        <f>SQRT(POWER(Hybrid[[#This Row],[angvel_X]],2) + POWER(Hybrid[[#This Row],[angvel_Y]],2) + POWER(Hybrid[[#This Row],[angvel_Z]],2))</f>
        <v>2.0301999999999998</v>
      </c>
      <c r="U217">
        <f>DEGREES(ASIN(MAX(-1,MIN(1,2 * (Hybrid[[#This Row],[quart_W]]*Hybrid[[#This Row],[quart_Y]] - Hybrid[[#This Row],[quart_Z]]*Hybrid[[#This Row],[quart_X]])))))</f>
        <v>0.5482355772335451</v>
      </c>
      <c r="V21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177.9518288837086</v>
      </c>
      <c r="W21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89.999357876742835</v>
      </c>
      <c r="X217">
        <f>IF(Hybrid[[#This Row],[Yaw]]&gt;V216,(360-ABS(Hybrid[[#This Row],[Yaw]])-ABS(V216)),ABS(Hybrid[[#This Row],[Yaw]]-V216))</f>
        <v>0.96959276687005058</v>
      </c>
      <c r="Y217">
        <f>Hybrid[[#This Row],[Degree change]]+Y216</f>
        <v>151.19904200966266</v>
      </c>
    </row>
    <row r="218" spans="1:25">
      <c r="A218">
        <v>217</v>
      </c>
      <c r="B218">
        <v>-1889.549927</v>
      </c>
      <c r="C218">
        <v>1537.1599120000001</v>
      </c>
      <c r="D218">
        <v>17.010000000000002</v>
      </c>
      <c r="E218">
        <v>-19.93</v>
      </c>
      <c r="F218">
        <v>-2299.889893</v>
      </c>
      <c r="G218">
        <v>8.09</v>
      </c>
      <c r="H218" s="1">
        <v>0</v>
      </c>
      <c r="I218" s="1">
        <v>0</v>
      </c>
      <c r="J218" s="1">
        <v>2.0301999999999998</v>
      </c>
      <c r="K218" s="1">
        <v>3.2989999999999998E-3</v>
      </c>
      <c r="L218" s="1">
        <v>3.4659999999999999E-3</v>
      </c>
      <c r="M218" s="1">
        <v>-0.68823599999999996</v>
      </c>
      <c r="N218" s="1">
        <v>0.72547099999999998</v>
      </c>
      <c r="O218">
        <v>1</v>
      </c>
      <c r="P218">
        <v>0</v>
      </c>
      <c r="Q218">
        <v>1</v>
      </c>
      <c r="R218">
        <v>1</v>
      </c>
      <c r="S218">
        <v>1</v>
      </c>
      <c r="T218" s="1">
        <f>SQRT(POWER(Hybrid[[#This Row],[angvel_X]],2) + POWER(Hybrid[[#This Row],[angvel_Y]],2) + POWER(Hybrid[[#This Row],[angvel_Z]],2))</f>
        <v>2.0301999999999998</v>
      </c>
      <c r="U218">
        <f>DEGREES(ASIN(MAX(-1,MIN(1,2 * (Hybrid[[#This Row],[quart_W]]*Hybrid[[#This Row],[quart_Y]] - Hybrid[[#This Row],[quart_Z]]*Hybrid[[#This Row],[quart_X]])))))</f>
        <v>0.54832589154925204</v>
      </c>
      <c r="V21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176.98250917880816</v>
      </c>
      <c r="W21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89.999094358281894</v>
      </c>
      <c r="X218">
        <f>IF(Hybrid[[#This Row],[Yaw]]&gt;V217,(360-ABS(Hybrid[[#This Row],[Yaw]])-ABS(V217)),ABS(Hybrid[[#This Row],[Yaw]]-V217))</f>
        <v>0.9693197049004425</v>
      </c>
      <c r="Y218">
        <f>Hybrid[[#This Row],[Degree change]]+Y217</f>
        <v>152.1683617145631</v>
      </c>
    </row>
    <row r="219" spans="1:25">
      <c r="A219">
        <v>218</v>
      </c>
      <c r="B219">
        <v>-1889.709961</v>
      </c>
      <c r="C219">
        <v>1517.929932</v>
      </c>
      <c r="D219">
        <v>17.010000000000002</v>
      </c>
      <c r="E219">
        <v>18.969999000000001</v>
      </c>
      <c r="F219">
        <v>-2299.8999020000001</v>
      </c>
      <c r="G219">
        <v>8.09</v>
      </c>
      <c r="H219" s="1">
        <v>0</v>
      </c>
      <c r="I219" s="1">
        <v>0</v>
      </c>
      <c r="J219" s="1">
        <v>2.0301999999999998</v>
      </c>
      <c r="K219" s="1">
        <v>3.2720000000000002E-3</v>
      </c>
      <c r="L219" s="1">
        <v>3.493E-3</v>
      </c>
      <c r="M219" s="1">
        <v>-0.68207499999999999</v>
      </c>
      <c r="N219" s="1">
        <v>0.731267</v>
      </c>
      <c r="O219">
        <v>1</v>
      </c>
      <c r="P219">
        <v>0</v>
      </c>
      <c r="Q219">
        <v>1</v>
      </c>
      <c r="R219">
        <v>1</v>
      </c>
      <c r="S219">
        <v>1</v>
      </c>
      <c r="T219" s="1">
        <f>SQRT(POWER(Hybrid[[#This Row],[angvel_X]],2) + POWER(Hybrid[[#This Row],[angvel_Y]],2) + POWER(Hybrid[[#This Row],[angvel_Z]],2))</f>
        <v>2.0301999999999998</v>
      </c>
      <c r="U219">
        <f>DEGREES(ASIN(MAX(-1,MIN(1,2 * (Hybrid[[#This Row],[quart_W]]*Hybrid[[#This Row],[quart_Y]] - Hybrid[[#This Row],[quart_Z]]*Hybrid[[#This Row],[quart_X]])))))</f>
        <v>0.54845102908619792</v>
      </c>
      <c r="V21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176.01322980831017</v>
      </c>
      <c r="W21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89.998829090027527</v>
      </c>
      <c r="X219">
        <f>IF(Hybrid[[#This Row],[Yaw]]&gt;V218,(360-ABS(Hybrid[[#This Row],[Yaw]])-ABS(V218)),ABS(Hybrid[[#This Row],[Yaw]]-V218))</f>
        <v>0.96927937049798629</v>
      </c>
      <c r="Y219">
        <f>Hybrid[[#This Row],[Degree change]]+Y218</f>
        <v>153.13764108506109</v>
      </c>
    </row>
    <row r="220" spans="1:25">
      <c r="A220">
        <v>219</v>
      </c>
      <c r="B220">
        <v>-1889.549927</v>
      </c>
      <c r="C220">
        <v>1498.6999510000001</v>
      </c>
      <c r="D220">
        <v>17.010000000000002</v>
      </c>
      <c r="E220">
        <v>57.869999</v>
      </c>
      <c r="F220">
        <v>-2299.25</v>
      </c>
      <c r="G220">
        <v>8.09</v>
      </c>
      <c r="H220" s="1">
        <v>0</v>
      </c>
      <c r="I220" s="1">
        <v>0</v>
      </c>
      <c r="J220" s="1">
        <v>2.0301999999999998</v>
      </c>
      <c r="K220" s="1">
        <v>3.2450000000000001E-3</v>
      </c>
      <c r="L220" s="1">
        <v>3.5200000000000001E-3</v>
      </c>
      <c r="M220" s="1">
        <v>-0.67586500000000005</v>
      </c>
      <c r="N220" s="1">
        <v>0.73700900000000003</v>
      </c>
      <c r="O220">
        <v>1</v>
      </c>
      <c r="P220">
        <v>0</v>
      </c>
      <c r="Q220">
        <v>1</v>
      </c>
      <c r="R220">
        <v>1</v>
      </c>
      <c r="S220">
        <v>1</v>
      </c>
      <c r="T220" s="1">
        <f>SQRT(POWER(Hybrid[[#This Row],[angvel_X]],2) + POWER(Hybrid[[#This Row],[angvel_Y]],2) + POWER(Hybrid[[#This Row],[angvel_Z]],2))</f>
        <v>2.0301999999999998</v>
      </c>
      <c r="U220">
        <f>DEGREES(ASIN(MAX(-1,MIN(1,2 * (Hybrid[[#This Row],[quart_W]]*Hybrid[[#This Row],[quart_Y]] - Hybrid[[#This Row],[quart_Z]]*Hybrid[[#This Row],[quart_X]])))))</f>
        <v>0.54861015523798395</v>
      </c>
      <c r="V22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175.04390842459921</v>
      </c>
      <c r="W22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89.998561878191779</v>
      </c>
      <c r="X220">
        <f>IF(Hybrid[[#This Row],[Yaw]]&gt;V219,(360-ABS(Hybrid[[#This Row],[Yaw]])-ABS(V219)),ABS(Hybrid[[#This Row],[Yaw]]-V219))</f>
        <v>0.96932138371096244</v>
      </c>
      <c r="Y220">
        <f>Hybrid[[#This Row],[Degree change]]+Y219</f>
        <v>154.10696246877205</v>
      </c>
    </row>
    <row r="221" spans="1:25">
      <c r="A221">
        <v>220</v>
      </c>
      <c r="B221">
        <v>-1889.059937</v>
      </c>
      <c r="C221">
        <v>1479.469971</v>
      </c>
      <c r="D221">
        <v>17.010000000000002</v>
      </c>
      <c r="E221">
        <v>96.75</v>
      </c>
      <c r="F221">
        <v>-2297.9399410000001</v>
      </c>
      <c r="G221">
        <v>8.09</v>
      </c>
      <c r="H221" s="1">
        <v>0</v>
      </c>
      <c r="I221" s="1">
        <v>1E-4</v>
      </c>
      <c r="J221" s="1">
        <v>2.0301999999999998</v>
      </c>
      <c r="K221" s="1">
        <v>3.2130000000000001E-3</v>
      </c>
      <c r="L221" s="1">
        <v>3.5469999999999998E-3</v>
      </c>
      <c r="M221" s="1">
        <v>-0.66960699999999995</v>
      </c>
      <c r="N221" s="1">
        <v>0.74270000000000003</v>
      </c>
      <c r="O221">
        <v>1</v>
      </c>
      <c r="P221">
        <v>0</v>
      </c>
      <c r="Q221">
        <v>1</v>
      </c>
      <c r="R221">
        <v>1</v>
      </c>
      <c r="S221">
        <v>1</v>
      </c>
      <c r="T221" s="1">
        <f>SQRT(POWER(Hybrid[[#This Row],[angvel_X]],2) + POWER(Hybrid[[#This Row],[angvel_Y]],2) + POWER(Hybrid[[#This Row],[angvel_Z]],2))</f>
        <v>2.0302000024628115</v>
      </c>
      <c r="U221">
        <f>DEGREES(ASIN(MAX(-1,MIN(1,2 * (Hybrid[[#This Row],[quart_W]]*Hybrid[[#This Row],[quart_Y]] - Hybrid[[#This Row],[quart_Z]]*Hybrid[[#This Row],[quart_X]])))))</f>
        <v>0.54842113765457345</v>
      </c>
      <c r="V22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174.07465583225536</v>
      </c>
      <c r="W22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89.998716622204228</v>
      </c>
      <c r="X221">
        <f>IF(Hybrid[[#This Row],[Yaw]]&gt;V220,(360-ABS(Hybrid[[#This Row],[Yaw]])-ABS(V220)),ABS(Hybrid[[#This Row],[Yaw]]-V220))</f>
        <v>0.96925259234384953</v>
      </c>
      <c r="Y221">
        <f>Hybrid[[#This Row],[Degree change]]+Y220</f>
        <v>155.0762150611159</v>
      </c>
    </row>
    <row r="222" spans="1:25">
      <c r="A222">
        <v>221</v>
      </c>
      <c r="B222">
        <v>-1888.25</v>
      </c>
      <c r="C222">
        <v>1460.25</v>
      </c>
      <c r="D222">
        <v>17.010000000000002</v>
      </c>
      <c r="E222">
        <v>135.59999099999999</v>
      </c>
      <c r="F222">
        <v>-2295.9799800000001</v>
      </c>
      <c r="G222">
        <v>8.09</v>
      </c>
      <c r="H222" s="1">
        <v>0</v>
      </c>
      <c r="I222" s="1">
        <v>1E-4</v>
      </c>
      <c r="J222" s="1">
        <v>2.0301999999999998</v>
      </c>
      <c r="K222" s="1">
        <v>3.1800000000000001E-3</v>
      </c>
      <c r="L222" s="1">
        <v>3.5739999999999999E-3</v>
      </c>
      <c r="M222" s="1">
        <v>-0.66330100000000003</v>
      </c>
      <c r="N222" s="1">
        <v>0.74833799999999995</v>
      </c>
      <c r="O222">
        <v>1</v>
      </c>
      <c r="P222">
        <v>0</v>
      </c>
      <c r="Q222">
        <v>1</v>
      </c>
      <c r="R222">
        <v>1</v>
      </c>
      <c r="S222">
        <v>1</v>
      </c>
      <c r="T222" s="1">
        <f>SQRT(POWER(Hybrid[[#This Row],[angvel_X]],2) + POWER(Hybrid[[#This Row],[angvel_Y]],2) + POWER(Hybrid[[#This Row],[angvel_Z]],2))</f>
        <v>2.0302000024628115</v>
      </c>
      <c r="U222">
        <f>DEGREES(ASIN(MAX(-1,MIN(1,2 * (Hybrid[[#This Row],[quart_W]]*Hybrid[[#This Row],[quart_Y]] - Hybrid[[#This Row],[quart_Z]]*Hybrid[[#This Row],[quart_X]])))))</f>
        <v>0.54819801778702471</v>
      </c>
      <c r="V22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173.10539134563288</v>
      </c>
      <c r="W22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89.998959797243899</v>
      </c>
      <c r="X222">
        <f>IF(Hybrid[[#This Row],[Yaw]]&gt;V221,(360-ABS(Hybrid[[#This Row],[Yaw]])-ABS(V221)),ABS(Hybrid[[#This Row],[Yaw]]-V221))</f>
        <v>0.96926448662247822</v>
      </c>
      <c r="Y222">
        <f>Hybrid[[#This Row],[Degree change]]+Y221</f>
        <v>156.04547954773838</v>
      </c>
    </row>
    <row r="223" spans="1:25">
      <c r="A223">
        <v>222</v>
      </c>
      <c r="B223">
        <v>-1887.1099850000001</v>
      </c>
      <c r="C223">
        <v>1441.049927</v>
      </c>
      <c r="D223">
        <v>17.010000000000002</v>
      </c>
      <c r="E223">
        <v>174.41999799999999</v>
      </c>
      <c r="F223">
        <v>-2293.3598630000001</v>
      </c>
      <c r="G223">
        <v>8.09</v>
      </c>
      <c r="H223" s="1">
        <v>0</v>
      </c>
      <c r="I223" s="1">
        <v>1E-4</v>
      </c>
      <c r="J223" s="1">
        <v>2.0301999999999998</v>
      </c>
      <c r="K223" s="1">
        <v>3.1480000000000002E-3</v>
      </c>
      <c r="L223" s="1">
        <v>3.601E-3</v>
      </c>
      <c r="M223" s="1">
        <v>-0.65694600000000003</v>
      </c>
      <c r="N223" s="1">
        <v>0.75392300000000001</v>
      </c>
      <c r="O223">
        <v>1</v>
      </c>
      <c r="P223">
        <v>0</v>
      </c>
      <c r="Q223">
        <v>1</v>
      </c>
      <c r="R223">
        <v>1</v>
      </c>
      <c r="S223">
        <v>1</v>
      </c>
      <c r="T223" s="1">
        <f>SQRT(POWER(Hybrid[[#This Row],[angvel_X]],2) + POWER(Hybrid[[#This Row],[angvel_Y]],2) + POWER(Hybrid[[#This Row],[angvel_Z]],2))</f>
        <v>2.0302000024628115</v>
      </c>
      <c r="U223">
        <f>DEGREES(ASIN(MAX(-1,MIN(1,2 * (Hybrid[[#This Row],[quart_W]]*Hybrid[[#This Row],[quart_Y]] - Hybrid[[#This Row],[quart_Z]]*Hybrid[[#This Row],[quart_X]])))))</f>
        <v>0.54809322347967715</v>
      </c>
      <c r="V22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172.13588591674014</v>
      </c>
      <c r="W22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89.999119087734087</v>
      </c>
      <c r="X223">
        <f>IF(Hybrid[[#This Row],[Yaw]]&gt;V222,(360-ABS(Hybrid[[#This Row],[Yaw]])-ABS(V222)),ABS(Hybrid[[#This Row],[Yaw]]-V222))</f>
        <v>0.96950542889274516</v>
      </c>
      <c r="Y223">
        <f>Hybrid[[#This Row],[Degree change]]+Y222</f>
        <v>157.01498497663113</v>
      </c>
    </row>
    <row r="224" spans="1:25">
      <c r="A224">
        <v>223</v>
      </c>
      <c r="B224">
        <v>-1885.6499020000001</v>
      </c>
      <c r="C224">
        <v>1421.869995</v>
      </c>
      <c r="D224">
        <v>17.010000000000002</v>
      </c>
      <c r="E224">
        <v>213.19000199999999</v>
      </c>
      <c r="F224">
        <v>-2290.0798340000001</v>
      </c>
      <c r="G224">
        <v>8.09</v>
      </c>
      <c r="H224" s="1">
        <v>0</v>
      </c>
      <c r="I224" s="1">
        <v>1E-4</v>
      </c>
      <c r="J224" s="1">
        <v>2.0301999999999998</v>
      </c>
      <c r="K224" s="1">
        <v>3.1159999999999998E-3</v>
      </c>
      <c r="L224" s="1">
        <v>3.6280000000000001E-3</v>
      </c>
      <c r="M224" s="1">
        <v>-0.65054699999999999</v>
      </c>
      <c r="N224" s="1">
        <v>0.75944999999999996</v>
      </c>
      <c r="O224">
        <v>1</v>
      </c>
      <c r="P224">
        <v>0</v>
      </c>
      <c r="Q224">
        <v>1</v>
      </c>
      <c r="R224">
        <v>1</v>
      </c>
      <c r="S224">
        <v>1</v>
      </c>
      <c r="T224" s="1">
        <f>SQRT(POWER(Hybrid[[#This Row],[angvel_X]],2) + POWER(Hybrid[[#This Row],[angvel_Y]],2) + POWER(Hybrid[[#This Row],[angvel_Z]],2))</f>
        <v>2.0302000024628115</v>
      </c>
      <c r="U224">
        <f>DEGREES(ASIN(MAX(-1,MIN(1,2 * (Hybrid[[#This Row],[quart_W]]*Hybrid[[#This Row],[quart_Y]] - Hybrid[[#This Row],[quart_Z]]*Hybrid[[#This Row],[quart_X]])))))</f>
        <v>0.5480297736371107</v>
      </c>
      <c r="V22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171.16682042773795</v>
      </c>
      <c r="W22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89.999282431044108</v>
      </c>
      <c r="X224">
        <f>IF(Hybrid[[#This Row],[Yaw]]&gt;V223,(360-ABS(Hybrid[[#This Row],[Yaw]])-ABS(V223)),ABS(Hybrid[[#This Row],[Yaw]]-V223))</f>
        <v>0.96906548900219036</v>
      </c>
      <c r="Y224">
        <f>Hybrid[[#This Row],[Degree change]]+Y223</f>
        <v>157.98405046563332</v>
      </c>
    </row>
    <row r="225" spans="1:25">
      <c r="A225">
        <v>224</v>
      </c>
      <c r="B225">
        <v>-1883.8599850000001</v>
      </c>
      <c r="C225">
        <v>1402.719971</v>
      </c>
      <c r="D225">
        <v>17.010000000000002</v>
      </c>
      <c r="E225">
        <v>251.88999899999999</v>
      </c>
      <c r="F225">
        <v>-2286.139893</v>
      </c>
      <c r="G225">
        <v>8.09</v>
      </c>
      <c r="H225" s="1">
        <v>0</v>
      </c>
      <c r="I225" s="1">
        <v>1E-4</v>
      </c>
      <c r="J225" s="1">
        <v>2.0301999999999998</v>
      </c>
      <c r="K225" s="1">
        <v>3.0829999999999998E-3</v>
      </c>
      <c r="L225" s="1">
        <v>3.6549999999999998E-3</v>
      </c>
      <c r="M225" s="1">
        <v>-0.64410100000000003</v>
      </c>
      <c r="N225" s="1">
        <v>0.76492599999999999</v>
      </c>
      <c r="O225">
        <v>1</v>
      </c>
      <c r="P225">
        <v>0</v>
      </c>
      <c r="Q225">
        <v>1</v>
      </c>
      <c r="R225">
        <v>1</v>
      </c>
      <c r="S225">
        <v>1</v>
      </c>
      <c r="T225" s="1">
        <f>SQRT(POWER(Hybrid[[#This Row],[angvel_X]],2) + POWER(Hybrid[[#This Row],[angvel_Y]],2) + POWER(Hybrid[[#This Row],[angvel_Z]],2))</f>
        <v>2.0302000024628115</v>
      </c>
      <c r="U225">
        <f>DEGREES(ASIN(MAX(-1,MIN(1,2 * (Hybrid[[#This Row],[quart_W]]*Hybrid[[#This Row],[quart_Y]] - Hybrid[[#This Row],[quart_Z]]*Hybrid[[#This Row],[quart_X]])))))</f>
        <v>0.54793567373520025</v>
      </c>
      <c r="V22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170.19771690824481</v>
      </c>
      <c r="W22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89.999532708287759</v>
      </c>
      <c r="X225">
        <f>IF(Hybrid[[#This Row],[Yaw]]&gt;V224,(360-ABS(Hybrid[[#This Row],[Yaw]])-ABS(V224)),ABS(Hybrid[[#This Row],[Yaw]]-V224))</f>
        <v>0.96910351949313167</v>
      </c>
      <c r="Y225">
        <f>Hybrid[[#This Row],[Degree change]]+Y224</f>
        <v>158.95315398512645</v>
      </c>
    </row>
    <row r="226" spans="1:25">
      <c r="A226">
        <v>225</v>
      </c>
      <c r="B226">
        <v>-1881.75</v>
      </c>
      <c r="C226">
        <v>1383.599976</v>
      </c>
      <c r="D226">
        <v>17.010000000000002</v>
      </c>
      <c r="E226">
        <v>290.52999899999998</v>
      </c>
      <c r="F226">
        <v>-2281.5600589999999</v>
      </c>
      <c r="G226">
        <v>8.09</v>
      </c>
      <c r="H226" s="1">
        <v>0</v>
      </c>
      <c r="I226" s="1">
        <v>1E-4</v>
      </c>
      <c r="J226" s="1">
        <v>2.0301999999999998</v>
      </c>
      <c r="K226" s="1">
        <v>3.0509999999999999E-3</v>
      </c>
      <c r="L226" s="1">
        <v>3.6819999999999999E-3</v>
      </c>
      <c r="M226" s="1">
        <v>-0.63760499999999998</v>
      </c>
      <c r="N226" s="1">
        <v>0.77034800000000003</v>
      </c>
      <c r="O226">
        <v>1</v>
      </c>
      <c r="P226">
        <v>0</v>
      </c>
      <c r="Q226">
        <v>1</v>
      </c>
      <c r="R226">
        <v>1</v>
      </c>
      <c r="S226">
        <v>1</v>
      </c>
      <c r="T226" s="1">
        <f>SQRT(POWER(Hybrid[[#This Row],[angvel_X]],2) + POWER(Hybrid[[#This Row],[angvel_Y]],2) + POWER(Hybrid[[#This Row],[angvel_Z]],2))</f>
        <v>2.0302000024628115</v>
      </c>
      <c r="U226">
        <f>DEGREES(ASIN(MAX(-1,MIN(1,2 * (Hybrid[[#This Row],[quart_W]]*Hybrid[[#This Row],[quart_Y]] - Hybrid[[#This Row],[quart_Z]]*Hybrid[[#This Row],[quart_X]])))))</f>
        <v>0.54795702059781626</v>
      </c>
      <c r="V22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169.22799706617673</v>
      </c>
      <c r="W22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89.999694010730437</v>
      </c>
      <c r="X226">
        <f>IF(Hybrid[[#This Row],[Yaw]]&gt;V225,(360-ABS(Hybrid[[#This Row],[Yaw]])-ABS(V225)),ABS(Hybrid[[#This Row],[Yaw]]-V225))</f>
        <v>0.9697198420680877</v>
      </c>
      <c r="Y226">
        <f>Hybrid[[#This Row],[Degree change]]+Y225</f>
        <v>159.92287382719454</v>
      </c>
    </row>
    <row r="227" spans="1:25">
      <c r="A227">
        <v>226</v>
      </c>
      <c r="B227">
        <v>-1879.3199460000001</v>
      </c>
      <c r="C227">
        <v>1364.5200199999999</v>
      </c>
      <c r="D227">
        <v>17.010000000000002</v>
      </c>
      <c r="E227">
        <v>329.07998700000002</v>
      </c>
      <c r="F227">
        <v>-2276.320068</v>
      </c>
      <c r="G227">
        <v>8.09</v>
      </c>
      <c r="H227" s="1">
        <v>0</v>
      </c>
      <c r="I227" s="1">
        <v>0</v>
      </c>
      <c r="J227" s="1">
        <v>2.0301999999999998</v>
      </c>
      <c r="K227" s="1">
        <v>3.0179999999999998E-3</v>
      </c>
      <c r="L227" s="1">
        <v>3.7090000000000001E-3</v>
      </c>
      <c r="M227" s="1">
        <v>-0.63106700000000004</v>
      </c>
      <c r="N227" s="1">
        <v>0.77571400000000001</v>
      </c>
      <c r="O227">
        <v>1</v>
      </c>
      <c r="P227">
        <v>0</v>
      </c>
      <c r="Q227">
        <v>1</v>
      </c>
      <c r="R227">
        <v>1</v>
      </c>
      <c r="S227">
        <v>1</v>
      </c>
      <c r="T227" s="1">
        <f>SQRT(POWER(Hybrid[[#This Row],[angvel_X]],2) + POWER(Hybrid[[#This Row],[angvel_Y]],2) + POWER(Hybrid[[#This Row],[angvel_Z]],2))</f>
        <v>2.0301999999999998</v>
      </c>
      <c r="U227">
        <f>DEGREES(ASIN(MAX(-1,MIN(1,2 * (Hybrid[[#This Row],[quart_W]]*Hybrid[[#This Row],[quart_Y]] - Hybrid[[#This Row],[quart_Z]]*Hybrid[[#This Row],[quart_X]])))))</f>
        <v>0.54794891184287198</v>
      </c>
      <c r="V22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168.25884713850823</v>
      </c>
      <c r="W22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89.999945297332346</v>
      </c>
      <c r="X227">
        <f>IF(Hybrid[[#This Row],[Yaw]]&gt;V226,(360-ABS(Hybrid[[#This Row],[Yaw]])-ABS(V226)),ABS(Hybrid[[#This Row],[Yaw]]-V226))</f>
        <v>0.9691499276684965</v>
      </c>
      <c r="Y227">
        <f>Hybrid[[#This Row],[Degree change]]+Y226</f>
        <v>160.89202375486303</v>
      </c>
    </row>
    <row r="228" spans="1:25">
      <c r="A228">
        <v>227</v>
      </c>
      <c r="B228">
        <v>-1876.559937</v>
      </c>
      <c r="C228">
        <v>1345.4799800000001</v>
      </c>
      <c r="D228">
        <v>17.010000000000002</v>
      </c>
      <c r="E228">
        <v>367.53997800000002</v>
      </c>
      <c r="F228">
        <v>-2270.419922</v>
      </c>
      <c r="G228">
        <v>8.09</v>
      </c>
      <c r="H228" s="1">
        <v>0</v>
      </c>
      <c r="I228" s="1">
        <v>0</v>
      </c>
      <c r="J228" s="1">
        <v>2.0301999999999998</v>
      </c>
      <c r="K228" s="1">
        <v>2.9859999999999999E-3</v>
      </c>
      <c r="L228" s="1">
        <v>3.7360000000000002E-3</v>
      </c>
      <c r="M228" s="1">
        <v>-0.62448000000000004</v>
      </c>
      <c r="N228" s="1">
        <v>0.781026</v>
      </c>
      <c r="O228">
        <v>1</v>
      </c>
      <c r="P228">
        <v>0</v>
      </c>
      <c r="Q228">
        <v>1</v>
      </c>
      <c r="R228">
        <v>1</v>
      </c>
      <c r="S228">
        <v>1</v>
      </c>
      <c r="T228" s="1">
        <f>SQRT(POWER(Hybrid[[#This Row],[angvel_X]],2) + POWER(Hybrid[[#This Row],[angvel_Y]],2) + POWER(Hybrid[[#This Row],[angvel_Z]],2))</f>
        <v>2.0301999999999998</v>
      </c>
      <c r="U228">
        <f>DEGREES(ASIN(MAX(-1,MIN(1,2 * (Hybrid[[#This Row],[quart_W]]*Hybrid[[#This Row],[quart_Y]] - Hybrid[[#This Row],[quart_Z]]*Hybrid[[#This Row],[quart_X]])))))</f>
        <v>0.54805514124344068</v>
      </c>
      <c r="V22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167.28910795598478</v>
      </c>
      <c r="W22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90.000104700680168</v>
      </c>
      <c r="X228">
        <f>IF(Hybrid[[#This Row],[Yaw]]&gt;V227,(360-ABS(Hybrid[[#This Row],[Yaw]])-ABS(V227)),ABS(Hybrid[[#This Row],[Yaw]]-V227))</f>
        <v>0.9697391825234547</v>
      </c>
      <c r="Y228">
        <f>Hybrid[[#This Row],[Degree change]]+Y227</f>
        <v>161.86176293738649</v>
      </c>
    </row>
    <row r="229" spans="1:25">
      <c r="A229">
        <v>228</v>
      </c>
      <c r="B229">
        <v>-1873.4799800000001</v>
      </c>
      <c r="C229">
        <v>1326.48999</v>
      </c>
      <c r="D229">
        <v>17.010000000000002</v>
      </c>
      <c r="E229">
        <v>405.89999399999999</v>
      </c>
      <c r="F229">
        <v>-2263.8798830000001</v>
      </c>
      <c r="G229">
        <v>8.09</v>
      </c>
      <c r="H229" s="1">
        <v>0</v>
      </c>
      <c r="I229" s="1">
        <v>0</v>
      </c>
      <c r="J229" s="1">
        <v>2.0301999999999998</v>
      </c>
      <c r="K229" s="1">
        <v>2.954E-3</v>
      </c>
      <c r="L229" s="1">
        <v>3.7629999999999999E-3</v>
      </c>
      <c r="M229" s="1">
        <v>-0.61785000000000001</v>
      </c>
      <c r="N229" s="1">
        <v>0.78628200000000004</v>
      </c>
      <c r="O229">
        <v>1</v>
      </c>
      <c r="P229">
        <v>0</v>
      </c>
      <c r="Q229">
        <v>1</v>
      </c>
      <c r="R229">
        <v>1</v>
      </c>
      <c r="S229">
        <v>1</v>
      </c>
      <c r="T229" s="1">
        <f>SQRT(POWER(Hybrid[[#This Row],[angvel_X]],2) + POWER(Hybrid[[#This Row],[angvel_Y]],2) + POWER(Hybrid[[#This Row],[angvel_Z]],2))</f>
        <v>2.0301999999999998</v>
      </c>
      <c r="U229">
        <f>DEGREES(ASIN(MAX(-1,MIN(1,2 * (Hybrid[[#This Row],[quart_W]]*Hybrid[[#This Row],[quart_Y]] - Hybrid[[#This Row],[quart_Z]]*Hybrid[[#This Row],[quart_X]])))))</f>
        <v>0.54820384778484998</v>
      </c>
      <c r="V22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166.31964017573321</v>
      </c>
      <c r="W22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90.000262715695257</v>
      </c>
      <c r="X229">
        <f>IF(Hybrid[[#This Row],[Yaw]]&gt;V228,(360-ABS(Hybrid[[#This Row],[Yaw]])-ABS(V228)),ABS(Hybrid[[#This Row],[Yaw]]-V228))</f>
        <v>0.96946778025156277</v>
      </c>
      <c r="Y229">
        <f>Hybrid[[#This Row],[Degree change]]+Y228</f>
        <v>162.83123071763805</v>
      </c>
    </row>
    <row r="230" spans="1:25">
      <c r="A230">
        <v>229</v>
      </c>
      <c r="B230">
        <v>-1870.079956</v>
      </c>
      <c r="C230">
        <v>1307.559937</v>
      </c>
      <c r="D230">
        <v>17.010000000000002</v>
      </c>
      <c r="E230">
        <v>444.13998400000003</v>
      </c>
      <c r="F230">
        <v>-2256.6899410000001</v>
      </c>
      <c r="G230">
        <v>8.09</v>
      </c>
      <c r="H230" s="1">
        <v>0</v>
      </c>
      <c r="I230" s="1">
        <v>0</v>
      </c>
      <c r="J230" s="1">
        <v>2.0301999999999998</v>
      </c>
      <c r="K230" s="1">
        <v>2.921E-3</v>
      </c>
      <c r="L230" s="1">
        <v>3.79E-3</v>
      </c>
      <c r="M230" s="1">
        <v>-0.61117600000000005</v>
      </c>
      <c r="N230" s="1">
        <v>0.79147999999999996</v>
      </c>
      <c r="O230">
        <v>1</v>
      </c>
      <c r="P230">
        <v>0</v>
      </c>
      <c r="Q230">
        <v>1</v>
      </c>
      <c r="R230">
        <v>1</v>
      </c>
      <c r="S230">
        <v>1</v>
      </c>
      <c r="T230" s="1">
        <f>SQRT(POWER(Hybrid[[#This Row],[angvel_X]],2) + POWER(Hybrid[[#This Row],[angvel_Y]],2) + POWER(Hybrid[[#This Row],[angvel_Z]],2))</f>
        <v>2.0301999999999998</v>
      </c>
      <c r="U230">
        <f>DEGREES(ASIN(MAX(-1,MIN(1,2 * (Hybrid[[#This Row],[quart_W]]*Hybrid[[#This Row],[quart_Y]] - Hybrid[[#This Row],[quart_Z]]*Hybrid[[#This Row],[quart_X]])))))</f>
        <v>0.54832374240073845</v>
      </c>
      <c r="V23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165.35017901925144</v>
      </c>
      <c r="W23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90.000509263625176</v>
      </c>
      <c r="X230">
        <f>IF(Hybrid[[#This Row],[Yaw]]&gt;V229,(360-ABS(Hybrid[[#This Row],[Yaw]])-ABS(V229)),ABS(Hybrid[[#This Row],[Yaw]]-V229))</f>
        <v>0.96946115648177056</v>
      </c>
      <c r="Y230">
        <f>Hybrid[[#This Row],[Degree change]]+Y229</f>
        <v>163.80069187411982</v>
      </c>
    </row>
    <row r="231" spans="1:25">
      <c r="A231">
        <v>230</v>
      </c>
      <c r="B231">
        <v>-1866.3599850000001</v>
      </c>
      <c r="C231">
        <v>1288.6899410000001</v>
      </c>
      <c r="D231">
        <v>17.010000000000002</v>
      </c>
      <c r="E231">
        <v>482.25</v>
      </c>
      <c r="F231">
        <v>-2248.8498540000001</v>
      </c>
      <c r="G231">
        <v>8.09</v>
      </c>
      <c r="H231" s="1">
        <v>0</v>
      </c>
      <c r="I231" s="1">
        <v>0</v>
      </c>
      <c r="J231" s="1">
        <v>2.0301999999999998</v>
      </c>
      <c r="K231" s="1">
        <v>2.8890000000000001E-3</v>
      </c>
      <c r="L231" s="1">
        <v>3.8170000000000001E-3</v>
      </c>
      <c r="M231" s="1">
        <v>-0.60446</v>
      </c>
      <c r="N231" s="1">
        <v>0.79662100000000002</v>
      </c>
      <c r="O231">
        <v>1</v>
      </c>
      <c r="P231">
        <v>0</v>
      </c>
      <c r="Q231">
        <v>1</v>
      </c>
      <c r="R231">
        <v>1</v>
      </c>
      <c r="S231">
        <v>1</v>
      </c>
      <c r="T231" s="1">
        <f>SQRT(POWER(Hybrid[[#This Row],[angvel_X]],2) + POWER(Hybrid[[#This Row],[angvel_Y]],2) + POWER(Hybrid[[#This Row],[angvel_Z]],2))</f>
        <v>2.0301999999999998</v>
      </c>
      <c r="U231">
        <f>DEGREES(ASIN(MAX(-1,MIN(1,2 * (Hybrid[[#This Row],[quart_W]]*Hybrid[[#This Row],[quart_Y]] - Hybrid[[#This Row],[quart_Z]]*Hybrid[[#This Row],[quart_X]])))))</f>
        <v>0.54855671782791993</v>
      </c>
      <c r="V23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164.38098516969308</v>
      </c>
      <c r="W23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90.000663028614866</v>
      </c>
      <c r="X231">
        <f>IF(Hybrid[[#This Row],[Yaw]]&gt;V230,(360-ABS(Hybrid[[#This Row],[Yaw]])-ABS(V230)),ABS(Hybrid[[#This Row],[Yaw]]-V230))</f>
        <v>0.96919384955836563</v>
      </c>
      <c r="Y231">
        <f>Hybrid[[#This Row],[Degree change]]+Y230</f>
        <v>164.76988572367819</v>
      </c>
    </row>
    <row r="232" spans="1:25">
      <c r="A232">
        <v>231</v>
      </c>
      <c r="B232">
        <v>-1862.3199460000001</v>
      </c>
      <c r="C232">
        <v>1269.880005</v>
      </c>
      <c r="D232">
        <v>17.010000000000002</v>
      </c>
      <c r="E232">
        <v>520.22997999999995</v>
      </c>
      <c r="F232">
        <v>-2240.3698730000001</v>
      </c>
      <c r="G232">
        <v>8.09</v>
      </c>
      <c r="H232" s="1">
        <v>0</v>
      </c>
      <c r="I232" s="1">
        <v>0</v>
      </c>
      <c r="J232" s="1">
        <v>2.0301999999999998</v>
      </c>
      <c r="K232" s="1">
        <v>2.8570000000000002E-3</v>
      </c>
      <c r="L232" s="1">
        <v>3.8440000000000002E-3</v>
      </c>
      <c r="M232" s="1">
        <v>-0.59770000000000001</v>
      </c>
      <c r="N232" s="1">
        <v>0.80170600000000003</v>
      </c>
      <c r="O232">
        <v>1</v>
      </c>
      <c r="P232">
        <v>0</v>
      </c>
      <c r="Q232">
        <v>1</v>
      </c>
      <c r="R232">
        <v>1</v>
      </c>
      <c r="S232">
        <v>1</v>
      </c>
      <c r="T232" s="1">
        <f>SQRT(POWER(Hybrid[[#This Row],[angvel_X]],2) + POWER(Hybrid[[#This Row],[angvel_Y]],2) + POWER(Hybrid[[#This Row],[angvel_Z]],2))</f>
        <v>2.0301999999999998</v>
      </c>
      <c r="U232">
        <f>DEGREES(ASIN(MAX(-1,MIN(1,2 * (Hybrid[[#This Row],[quart_W]]*Hybrid[[#This Row],[quart_Y]] - Hybrid[[#This Row],[quart_Z]]*Hybrid[[#This Row],[quart_X]])))))</f>
        <v>0.54883168910095814</v>
      </c>
      <c r="V23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163.4116912942473</v>
      </c>
      <c r="W23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90.000811890712058</v>
      </c>
      <c r="X232">
        <f>IF(Hybrid[[#This Row],[Yaw]]&gt;V231,(360-ABS(Hybrid[[#This Row],[Yaw]])-ABS(V231)),ABS(Hybrid[[#This Row],[Yaw]]-V231))</f>
        <v>0.96929387544577139</v>
      </c>
      <c r="Y232">
        <f>Hybrid[[#This Row],[Degree change]]+Y231</f>
        <v>165.73917959912396</v>
      </c>
    </row>
    <row r="233" spans="1:25">
      <c r="A233">
        <v>232</v>
      </c>
      <c r="B233">
        <v>-1857.969971</v>
      </c>
      <c r="C233">
        <v>1251.1400149999999</v>
      </c>
      <c r="D233">
        <v>17.010000000000002</v>
      </c>
      <c r="E233">
        <v>558.05999799999995</v>
      </c>
      <c r="F233">
        <v>-2231.25</v>
      </c>
      <c r="G233">
        <v>8.09</v>
      </c>
      <c r="H233" s="1">
        <v>0</v>
      </c>
      <c r="I233" s="1">
        <v>0</v>
      </c>
      <c r="J233" s="1">
        <v>2.0301999999999998</v>
      </c>
      <c r="K233" s="1">
        <v>2.8240000000000001E-3</v>
      </c>
      <c r="L233" s="1">
        <v>3.8649999999999999E-3</v>
      </c>
      <c r="M233" s="1">
        <v>-0.59089700000000001</v>
      </c>
      <c r="N233" s="1">
        <v>0.80673300000000003</v>
      </c>
      <c r="O233">
        <v>1</v>
      </c>
      <c r="P233">
        <v>0</v>
      </c>
      <c r="Q233">
        <v>1</v>
      </c>
      <c r="R233">
        <v>1</v>
      </c>
      <c r="S233">
        <v>1</v>
      </c>
      <c r="T233" s="1">
        <f>SQRT(POWER(Hybrid[[#This Row],[angvel_X]],2) + POWER(Hybrid[[#This Row],[angvel_Y]],2) + POWER(Hybrid[[#This Row],[angvel_Z]],2))</f>
        <v>2.0301999999999998</v>
      </c>
      <c r="U233">
        <f>DEGREES(ASIN(MAX(-1,MIN(1,2 * (Hybrid[[#This Row],[quart_W]]*Hybrid[[#This Row],[quart_Y]] - Hybrid[[#This Row],[quart_Z]]*Hybrid[[#This Row],[quart_X]])))))</f>
        <v>0.5485256478821674</v>
      </c>
      <c r="V23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162.44234442550396</v>
      </c>
      <c r="W23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90.00064207595976</v>
      </c>
      <c r="X233">
        <f>IF(Hybrid[[#This Row],[Yaw]]&gt;V232,(360-ABS(Hybrid[[#This Row],[Yaw]])-ABS(V232)),ABS(Hybrid[[#This Row],[Yaw]]-V232))</f>
        <v>0.96934686874334375</v>
      </c>
      <c r="Y233">
        <f>Hybrid[[#This Row],[Degree change]]+Y232</f>
        <v>166.7085264678673</v>
      </c>
    </row>
    <row r="234" spans="1:25">
      <c r="A234">
        <v>233</v>
      </c>
      <c r="B234">
        <v>-1853.299927</v>
      </c>
      <c r="C234">
        <v>1232.4799800000001</v>
      </c>
      <c r="D234">
        <v>17.010000000000002</v>
      </c>
      <c r="E234">
        <v>595.72997999999995</v>
      </c>
      <c r="F234">
        <v>-2221.48999</v>
      </c>
      <c r="G234">
        <v>8.09</v>
      </c>
      <c r="H234" s="1">
        <v>0</v>
      </c>
      <c r="I234" s="1">
        <v>0</v>
      </c>
      <c r="J234" s="1">
        <v>2.0301999999999998</v>
      </c>
      <c r="K234" s="1">
        <v>2.7920000000000002E-3</v>
      </c>
      <c r="L234" s="1">
        <v>3.8869999999999998E-3</v>
      </c>
      <c r="M234" s="1">
        <v>-0.58405099999999999</v>
      </c>
      <c r="N234" s="1">
        <v>0.81170299999999995</v>
      </c>
      <c r="O234">
        <v>1</v>
      </c>
      <c r="P234">
        <v>0</v>
      </c>
      <c r="Q234">
        <v>1</v>
      </c>
      <c r="R234">
        <v>1</v>
      </c>
      <c r="S234">
        <v>1</v>
      </c>
      <c r="T234" s="1">
        <f>SQRT(POWER(Hybrid[[#This Row],[angvel_X]],2) + POWER(Hybrid[[#This Row],[angvel_Y]],2) + POWER(Hybrid[[#This Row],[angvel_Z]],2))</f>
        <v>2.0301999999999998</v>
      </c>
      <c r="U234">
        <f>DEGREES(ASIN(MAX(-1,MIN(1,2 * (Hybrid[[#This Row],[quart_W]]*Hybrid[[#This Row],[quart_Y]] - Hybrid[[#This Row],[quart_Z]]*Hybrid[[#This Row],[quart_X]])))))</f>
        <v>0.54841606812095767</v>
      </c>
      <c r="V23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161.47290102909977</v>
      </c>
      <c r="W23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90.000450532883278</v>
      </c>
      <c r="X234">
        <f>IF(Hybrid[[#This Row],[Yaw]]&gt;V233,(360-ABS(Hybrid[[#This Row],[Yaw]])-ABS(V233)),ABS(Hybrid[[#This Row],[Yaw]]-V233))</f>
        <v>0.96944339640418775</v>
      </c>
      <c r="Y234">
        <f>Hybrid[[#This Row],[Degree change]]+Y233</f>
        <v>167.67796986427149</v>
      </c>
    </row>
    <row r="235" spans="1:25">
      <c r="A235">
        <v>234</v>
      </c>
      <c r="B235">
        <v>-1848.309937</v>
      </c>
      <c r="C235">
        <v>1213.900024</v>
      </c>
      <c r="D235">
        <v>17.010000000000002</v>
      </c>
      <c r="E235">
        <v>633.22997999999995</v>
      </c>
      <c r="F235">
        <v>-2211.0898440000001</v>
      </c>
      <c r="G235">
        <v>8.09</v>
      </c>
      <c r="H235" s="1">
        <v>0</v>
      </c>
      <c r="I235" s="1">
        <v>0</v>
      </c>
      <c r="J235" s="1">
        <v>2.0301999999999998</v>
      </c>
      <c r="K235" s="1">
        <v>2.7590000000000002E-3</v>
      </c>
      <c r="L235" s="1">
        <v>3.9090000000000001E-3</v>
      </c>
      <c r="M235" s="1">
        <v>-0.57716199999999995</v>
      </c>
      <c r="N235" s="1">
        <v>0.81661600000000001</v>
      </c>
      <c r="O235">
        <v>1</v>
      </c>
      <c r="P235">
        <v>0</v>
      </c>
      <c r="Q235">
        <v>1</v>
      </c>
      <c r="R235">
        <v>1</v>
      </c>
      <c r="S235">
        <v>1</v>
      </c>
      <c r="T235" s="1">
        <f>SQRT(POWER(Hybrid[[#This Row],[angvel_X]],2) + POWER(Hybrid[[#This Row],[angvel_Y]],2) + POWER(Hybrid[[#This Row],[angvel_Z]],2))</f>
        <v>2.0301999999999998</v>
      </c>
      <c r="U235">
        <f>DEGREES(ASIN(MAX(-1,MIN(1,2 * (Hybrid[[#This Row],[quart_W]]*Hybrid[[#This Row],[quart_Y]] - Hybrid[[#This Row],[quart_Z]]*Hybrid[[#This Row],[quart_X]])))))</f>
        <v>0.54827648336541668</v>
      </c>
      <c r="V23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160.50329506476572</v>
      </c>
      <c r="W23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90.000353269177609</v>
      </c>
      <c r="X235">
        <f>IF(Hybrid[[#This Row],[Yaw]]&gt;V234,(360-ABS(Hybrid[[#This Row],[Yaw]])-ABS(V234)),ABS(Hybrid[[#This Row],[Yaw]]-V234))</f>
        <v>0.96960596433405044</v>
      </c>
      <c r="Y235">
        <f>Hybrid[[#This Row],[Degree change]]+Y234</f>
        <v>168.64757582860554</v>
      </c>
    </row>
    <row r="236" spans="1:25">
      <c r="A236">
        <v>235</v>
      </c>
      <c r="B236">
        <v>-1843.01001</v>
      </c>
      <c r="C236">
        <v>1195.410034</v>
      </c>
      <c r="D236">
        <v>17.010000000000002</v>
      </c>
      <c r="E236">
        <v>670.54998799999998</v>
      </c>
      <c r="F236">
        <v>-2200.0600589999999</v>
      </c>
      <c r="G236">
        <v>8.09</v>
      </c>
      <c r="H236" s="1">
        <v>0</v>
      </c>
      <c r="I236" s="1">
        <v>0</v>
      </c>
      <c r="J236" s="1">
        <v>2.0301999999999998</v>
      </c>
      <c r="K236" s="1">
        <v>2.7269999999999998E-3</v>
      </c>
      <c r="L236" s="1">
        <v>3.9300000000000003E-3</v>
      </c>
      <c r="M236" s="1">
        <v>-0.57023500000000005</v>
      </c>
      <c r="N236" s="1">
        <v>0.82146799999999998</v>
      </c>
      <c r="O236">
        <v>1</v>
      </c>
      <c r="P236">
        <v>0</v>
      </c>
      <c r="Q236">
        <v>1</v>
      </c>
      <c r="R236">
        <v>1</v>
      </c>
      <c r="S236">
        <v>1</v>
      </c>
      <c r="T236" s="1">
        <f>SQRT(POWER(Hybrid[[#This Row],[angvel_X]],2) + POWER(Hybrid[[#This Row],[angvel_Y]],2) + POWER(Hybrid[[#This Row],[angvel_Z]],2))</f>
        <v>2.0301999999999998</v>
      </c>
      <c r="U236">
        <f>DEGREES(ASIN(MAX(-1,MIN(1,2 * (Hybrid[[#This Row],[quart_W]]*Hybrid[[#This Row],[quart_Y]] - Hybrid[[#This Row],[quart_Z]]*Hybrid[[#This Row],[quart_X]])))))</f>
        <v>0.54814563478582679</v>
      </c>
      <c r="V23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159.53414694711137</v>
      </c>
      <c r="W23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90.000100881170297</v>
      </c>
      <c r="X236">
        <f>IF(Hybrid[[#This Row],[Yaw]]&gt;V235,(360-ABS(Hybrid[[#This Row],[Yaw]])-ABS(V235)),ABS(Hybrid[[#This Row],[Yaw]]-V235))</f>
        <v>0.96914811765435616</v>
      </c>
      <c r="Y236">
        <f>Hybrid[[#This Row],[Degree change]]+Y235</f>
        <v>169.6167239462599</v>
      </c>
    </row>
    <row r="237" spans="1:25">
      <c r="A237">
        <v>236</v>
      </c>
      <c r="B237">
        <v>-1837.3999020000001</v>
      </c>
      <c r="C237">
        <v>1177.01001</v>
      </c>
      <c r="D237">
        <v>17.010000000000002</v>
      </c>
      <c r="E237">
        <v>707.669983</v>
      </c>
      <c r="F237">
        <v>-2188.3999020000001</v>
      </c>
      <c r="G237">
        <v>8.09</v>
      </c>
      <c r="H237" s="1">
        <v>0</v>
      </c>
      <c r="I237" s="1">
        <v>0</v>
      </c>
      <c r="J237" s="1">
        <v>2.0301999999999998</v>
      </c>
      <c r="K237" s="1">
        <v>2.6949999999999999E-3</v>
      </c>
      <c r="L237" s="1">
        <v>3.9519999999999998E-3</v>
      </c>
      <c r="M237" s="1">
        <v>-0.56326500000000002</v>
      </c>
      <c r="N237" s="1">
        <v>0.82626299999999997</v>
      </c>
      <c r="O237">
        <v>1</v>
      </c>
      <c r="P237">
        <v>0</v>
      </c>
      <c r="Q237">
        <v>1</v>
      </c>
      <c r="R237">
        <v>1</v>
      </c>
      <c r="S237">
        <v>1</v>
      </c>
      <c r="T237" s="1">
        <f>SQRT(POWER(Hybrid[[#This Row],[angvel_X]],2) + POWER(Hybrid[[#This Row],[angvel_Y]],2) + POWER(Hybrid[[#This Row],[angvel_Z]],2))</f>
        <v>2.0301999999999998</v>
      </c>
      <c r="U237">
        <f>DEGREES(ASIN(MAX(-1,MIN(1,2 * (Hybrid[[#This Row],[quart_W]]*Hybrid[[#This Row],[quart_Y]] - Hybrid[[#This Row],[quart_Z]]*Hybrid[[#This Row],[quart_X]])))))</f>
        <v>0.54814454221990416</v>
      </c>
      <c r="V23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158.56469866965182</v>
      </c>
      <c r="W23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89.999913421542146</v>
      </c>
      <c r="X237">
        <f>IF(Hybrid[[#This Row],[Yaw]]&gt;V236,(360-ABS(Hybrid[[#This Row],[Yaw]])-ABS(V236)),ABS(Hybrid[[#This Row],[Yaw]]-V236))</f>
        <v>0.96944827745954854</v>
      </c>
      <c r="Y237">
        <f>Hybrid[[#This Row],[Degree change]]+Y236</f>
        <v>170.58617222371944</v>
      </c>
    </row>
    <row r="238" spans="1:25">
      <c r="A238">
        <v>237</v>
      </c>
      <c r="B238">
        <v>-1831.4799800000001</v>
      </c>
      <c r="C238">
        <v>1158.709961</v>
      </c>
      <c r="D238">
        <v>17.010000000000002</v>
      </c>
      <c r="E238">
        <v>744.589966</v>
      </c>
      <c r="F238">
        <v>-2176.1198730000001</v>
      </c>
      <c r="G238">
        <v>8.09</v>
      </c>
      <c r="H238" s="1">
        <v>0</v>
      </c>
      <c r="I238" s="1">
        <v>0</v>
      </c>
      <c r="J238" s="1">
        <v>2.0301999999999998</v>
      </c>
      <c r="K238" s="1">
        <v>2.6619999999999999E-3</v>
      </c>
      <c r="L238" s="1">
        <v>3.973E-3</v>
      </c>
      <c r="M238" s="1">
        <v>-0.556257</v>
      </c>
      <c r="N238" s="1">
        <v>0.83099699999999999</v>
      </c>
      <c r="O238">
        <v>1</v>
      </c>
      <c r="P238">
        <v>0</v>
      </c>
      <c r="Q238">
        <v>1</v>
      </c>
      <c r="R238">
        <v>1</v>
      </c>
      <c r="S238">
        <v>1</v>
      </c>
      <c r="T238" s="1">
        <f>SQRT(POWER(Hybrid[[#This Row],[angvel_X]],2) + POWER(Hybrid[[#This Row],[angvel_Y]],2) + POWER(Hybrid[[#This Row],[angvel_Z]],2))</f>
        <v>2.0301999999999998</v>
      </c>
      <c r="U238">
        <f>DEGREES(ASIN(MAX(-1,MIN(1,2 * (Hybrid[[#This Row],[quart_W]]*Hybrid[[#This Row],[quart_Y]] - Hybrid[[#This Row],[quart_Z]]*Hybrid[[#This Row],[quart_X]])))))</f>
        <v>0.5480203953787075</v>
      </c>
      <c r="V23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157.59556182550344</v>
      </c>
      <c r="W23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89.999758779120143</v>
      </c>
      <c r="X238">
        <f>IF(Hybrid[[#This Row],[Yaw]]&gt;V237,(360-ABS(Hybrid[[#This Row],[Yaw]])-ABS(V237)),ABS(Hybrid[[#This Row],[Yaw]]-V237))</f>
        <v>0.96913684414838031</v>
      </c>
      <c r="Y238">
        <f>Hybrid[[#This Row],[Degree change]]+Y237</f>
        <v>171.55530906786782</v>
      </c>
    </row>
    <row r="239" spans="1:25">
      <c r="A239">
        <v>238</v>
      </c>
      <c r="B239">
        <v>-1825.25</v>
      </c>
      <c r="C239">
        <v>1140.51001</v>
      </c>
      <c r="D239">
        <v>17.010000000000002</v>
      </c>
      <c r="E239">
        <v>781.29998799999998</v>
      </c>
      <c r="F239">
        <v>-2163.209961</v>
      </c>
      <c r="G239">
        <v>8.09</v>
      </c>
      <c r="H239" s="1">
        <v>0</v>
      </c>
      <c r="I239" s="1">
        <v>0</v>
      </c>
      <c r="J239" s="1">
        <v>2.0301999999999998</v>
      </c>
      <c r="K239" s="1">
        <v>2.63E-3</v>
      </c>
      <c r="L239" s="1">
        <v>3.9950000000000003E-3</v>
      </c>
      <c r="M239" s="1">
        <v>-0.54920599999999997</v>
      </c>
      <c r="N239" s="1">
        <v>0.835673</v>
      </c>
      <c r="O239">
        <v>1</v>
      </c>
      <c r="P239">
        <v>0</v>
      </c>
      <c r="Q239">
        <v>1</v>
      </c>
      <c r="R239">
        <v>1</v>
      </c>
      <c r="S239">
        <v>1</v>
      </c>
      <c r="T239" s="1">
        <f>SQRT(POWER(Hybrid[[#This Row],[angvel_X]],2) + POWER(Hybrid[[#This Row],[angvel_Y]],2) + POWER(Hybrid[[#This Row],[angvel_Z]],2))</f>
        <v>2.0301999999999998</v>
      </c>
      <c r="U239">
        <f>DEGREES(ASIN(MAX(-1,MIN(1,2 * (Hybrid[[#This Row],[quart_W]]*Hybrid[[#This Row],[quart_Y]] - Hybrid[[#This Row],[quart_Z]]*Hybrid[[#This Row],[quart_X]])))))</f>
        <v>0.54809123912144864</v>
      </c>
      <c r="V23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156.62596804582395</v>
      </c>
      <c r="W23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89.999571176473978</v>
      </c>
      <c r="X239">
        <f>IF(Hybrid[[#This Row],[Yaw]]&gt;V238,(360-ABS(Hybrid[[#This Row],[Yaw]])-ABS(V238)),ABS(Hybrid[[#This Row],[Yaw]]-V238))</f>
        <v>0.96959377967948512</v>
      </c>
      <c r="Y239">
        <f>Hybrid[[#This Row],[Degree change]]+Y238</f>
        <v>172.52490284754731</v>
      </c>
    </row>
    <row r="240" spans="1:25">
      <c r="A240">
        <v>239</v>
      </c>
      <c r="B240">
        <v>-1818.709961</v>
      </c>
      <c r="C240">
        <v>1122.419922</v>
      </c>
      <c r="D240">
        <v>17.010000000000002</v>
      </c>
      <c r="E240">
        <v>817.77996800000005</v>
      </c>
      <c r="F240">
        <v>-2149.679932</v>
      </c>
      <c r="G240">
        <v>8.09</v>
      </c>
      <c r="H240" s="1">
        <v>0</v>
      </c>
      <c r="I240" s="1">
        <v>0</v>
      </c>
      <c r="J240" s="1">
        <v>2.0301999999999998</v>
      </c>
      <c r="K240" s="1">
        <v>2.598E-3</v>
      </c>
      <c r="L240" s="1">
        <v>4.0159999999999996E-3</v>
      </c>
      <c r="M240" s="1">
        <v>-0.54211699999999996</v>
      </c>
      <c r="N240" s="1">
        <v>0.84028899999999995</v>
      </c>
      <c r="O240">
        <v>1</v>
      </c>
      <c r="P240">
        <v>0</v>
      </c>
      <c r="Q240">
        <v>1</v>
      </c>
      <c r="R240">
        <v>1</v>
      </c>
      <c r="S240">
        <v>1</v>
      </c>
      <c r="T240" s="1">
        <f>SQRT(POWER(Hybrid[[#This Row],[angvel_X]],2) + POWER(Hybrid[[#This Row],[angvel_Y]],2) + POWER(Hybrid[[#This Row],[angvel_Z]],2))</f>
        <v>2.0301999999999998</v>
      </c>
      <c r="U240">
        <f>DEGREES(ASIN(MAX(-1,MIN(1,2 * (Hybrid[[#This Row],[quart_W]]*Hybrid[[#This Row],[quart_Y]] - Hybrid[[#This Row],[quart_Z]]*Hybrid[[#This Row],[quart_X]])))))</f>
        <v>0.54810214587211403</v>
      </c>
      <c r="V24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155.65656974666121</v>
      </c>
      <c r="W24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89.999320561287931</v>
      </c>
      <c r="X240">
        <f>IF(Hybrid[[#This Row],[Yaw]]&gt;V239,(360-ABS(Hybrid[[#This Row],[Yaw]])-ABS(V239)),ABS(Hybrid[[#This Row],[Yaw]]-V239))</f>
        <v>0.96939829916274789</v>
      </c>
      <c r="Y240">
        <f>Hybrid[[#This Row],[Degree change]]+Y239</f>
        <v>173.49430114671006</v>
      </c>
    </row>
    <row r="241" spans="1:25">
      <c r="A241">
        <v>240</v>
      </c>
      <c r="B241">
        <v>-1811.869995</v>
      </c>
      <c r="C241">
        <v>1104.4399410000001</v>
      </c>
      <c r="D241">
        <v>17.010000000000002</v>
      </c>
      <c r="E241">
        <v>854.02996800000005</v>
      </c>
      <c r="F241">
        <v>-2135.540039</v>
      </c>
      <c r="G241">
        <v>8.09</v>
      </c>
      <c r="H241" s="1">
        <v>0</v>
      </c>
      <c r="I241" s="1">
        <v>0</v>
      </c>
      <c r="J241" s="1">
        <v>2.0301999999999998</v>
      </c>
      <c r="K241" s="1">
        <v>2.565E-3</v>
      </c>
      <c r="L241" s="1">
        <v>4.0379999999999999E-3</v>
      </c>
      <c r="M241" s="1">
        <v>-0.53498999999999997</v>
      </c>
      <c r="N241" s="1">
        <v>0.84484400000000004</v>
      </c>
      <c r="O241">
        <v>1</v>
      </c>
      <c r="P241">
        <v>0</v>
      </c>
      <c r="Q241">
        <v>1</v>
      </c>
      <c r="R241">
        <v>1</v>
      </c>
      <c r="S241">
        <v>1</v>
      </c>
      <c r="T241" s="1">
        <f>SQRT(POWER(Hybrid[[#This Row],[angvel_X]],2) + POWER(Hybrid[[#This Row],[angvel_Y]],2) + POWER(Hybrid[[#This Row],[angvel_Z]],2))</f>
        <v>2.0301999999999998</v>
      </c>
      <c r="U241">
        <f>DEGREES(ASIN(MAX(-1,MIN(1,2 * (Hybrid[[#This Row],[quart_W]]*Hybrid[[#This Row],[quart_Y]] - Hybrid[[#This Row],[quart_Z]]*Hybrid[[#This Row],[quart_X]])))))</f>
        <v>0.54818337575335618</v>
      </c>
      <c r="V24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154.68727089399502</v>
      </c>
      <c r="W24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89.99922816302157</v>
      </c>
      <c r="X241">
        <f>IF(Hybrid[[#This Row],[Yaw]]&gt;V240,(360-ABS(Hybrid[[#This Row],[Yaw]])-ABS(V240)),ABS(Hybrid[[#This Row],[Yaw]]-V240))</f>
        <v>0.96929885266618498</v>
      </c>
      <c r="Y241">
        <f>Hybrid[[#This Row],[Degree change]]+Y240</f>
        <v>174.46359999937624</v>
      </c>
    </row>
    <row r="242" spans="1:25">
      <c r="A242">
        <v>241</v>
      </c>
      <c r="B242">
        <v>-1804.719971</v>
      </c>
      <c r="C242">
        <v>1086.579956</v>
      </c>
      <c r="D242">
        <v>17.010000000000002</v>
      </c>
      <c r="E242">
        <v>890.03997800000002</v>
      </c>
      <c r="F242">
        <v>-2120.790039</v>
      </c>
      <c r="G242">
        <v>8.09</v>
      </c>
      <c r="H242" s="1">
        <v>0</v>
      </c>
      <c r="I242" s="1">
        <v>0</v>
      </c>
      <c r="J242" s="1">
        <v>2.0301999999999998</v>
      </c>
      <c r="K242" s="1">
        <v>2.5330000000000001E-3</v>
      </c>
      <c r="L242" s="1">
        <v>4.0600000000000002E-3</v>
      </c>
      <c r="M242" s="1">
        <v>-0.52782600000000002</v>
      </c>
      <c r="N242" s="1">
        <v>0.84933899999999996</v>
      </c>
      <c r="O242">
        <v>1</v>
      </c>
      <c r="P242">
        <v>0</v>
      </c>
      <c r="Q242">
        <v>1</v>
      </c>
      <c r="R242">
        <v>1</v>
      </c>
      <c r="S242">
        <v>1</v>
      </c>
      <c r="T242" s="1">
        <f>SQRT(POWER(Hybrid[[#This Row],[angvel_X]],2) + POWER(Hybrid[[#This Row],[angvel_Y]],2) + POWER(Hybrid[[#This Row],[angvel_Z]],2))</f>
        <v>2.0301999999999998</v>
      </c>
      <c r="U242">
        <f>DEGREES(ASIN(MAX(-1,MIN(1,2 * (Hybrid[[#This Row],[quart_W]]*Hybrid[[#This Row],[quart_Y]] - Hybrid[[#This Row],[quart_Z]]*Hybrid[[#This Row],[quart_X]])))))</f>
        <v>0.54836331290742146</v>
      </c>
      <c r="V24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153.71817706318697</v>
      </c>
      <c r="W24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89.999037143069785</v>
      </c>
      <c r="X242">
        <f>IF(Hybrid[[#This Row],[Yaw]]&gt;V241,(360-ABS(Hybrid[[#This Row],[Yaw]])-ABS(V241)),ABS(Hybrid[[#This Row],[Yaw]]-V241))</f>
        <v>0.96909383080804901</v>
      </c>
      <c r="Y242">
        <f>Hybrid[[#This Row],[Degree change]]+Y241</f>
        <v>175.43269383018429</v>
      </c>
    </row>
    <row r="243" spans="1:25">
      <c r="A243">
        <v>242</v>
      </c>
      <c r="B243">
        <v>-1797.2700199999999</v>
      </c>
      <c r="C243">
        <v>1068.839966</v>
      </c>
      <c r="D243">
        <v>17.010000000000002</v>
      </c>
      <c r="E243">
        <v>925.78997800000002</v>
      </c>
      <c r="F243">
        <v>-2105.429932</v>
      </c>
      <c r="G243">
        <v>8.09</v>
      </c>
      <c r="H243" s="1">
        <v>0</v>
      </c>
      <c r="I243" s="1">
        <v>0</v>
      </c>
      <c r="J243" s="1">
        <v>2.0301999999999998</v>
      </c>
      <c r="K243" s="1">
        <v>2.5000000000000001E-3</v>
      </c>
      <c r="L243" s="1">
        <v>4.0810000000000004E-3</v>
      </c>
      <c r="M243" s="1">
        <v>-0.52062399999999998</v>
      </c>
      <c r="N243" s="1">
        <v>0.85377199999999998</v>
      </c>
      <c r="O243">
        <v>1</v>
      </c>
      <c r="P243">
        <v>0</v>
      </c>
      <c r="Q243">
        <v>1</v>
      </c>
      <c r="R243">
        <v>1</v>
      </c>
      <c r="S243">
        <v>1</v>
      </c>
      <c r="T243" s="1">
        <f>SQRT(POWER(Hybrid[[#This Row],[angvel_X]],2) + POWER(Hybrid[[#This Row],[angvel_Y]],2) + POWER(Hybrid[[#This Row],[angvel_Z]],2))</f>
        <v>2.0301999999999998</v>
      </c>
      <c r="U243">
        <f>DEGREES(ASIN(MAX(-1,MIN(1,2 * (Hybrid[[#This Row],[quart_W]]*Hybrid[[#This Row],[quart_Y]] - Hybrid[[#This Row],[quart_Z]]*Hybrid[[#This Row],[quart_X]])))))</f>
        <v>0.54842106213527664</v>
      </c>
      <c r="V24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152.74901200319238</v>
      </c>
      <c r="W24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89.998881139101584</v>
      </c>
      <c r="X243">
        <f>IF(Hybrid[[#This Row],[Yaw]]&gt;V242,(360-ABS(Hybrid[[#This Row],[Yaw]])-ABS(V242)),ABS(Hybrid[[#This Row],[Yaw]]-V242))</f>
        <v>0.96916505999459446</v>
      </c>
      <c r="Y243">
        <f>Hybrid[[#This Row],[Degree change]]+Y242</f>
        <v>176.40185889017889</v>
      </c>
    </row>
    <row r="244" spans="1:25">
      <c r="A244">
        <v>243</v>
      </c>
      <c r="B244">
        <v>-1789.5200199999999</v>
      </c>
      <c r="C244">
        <v>1051.2299800000001</v>
      </c>
      <c r="D244">
        <v>17.010000000000002</v>
      </c>
      <c r="E244">
        <v>961.26995799999997</v>
      </c>
      <c r="F244">
        <v>-2089.459961</v>
      </c>
      <c r="G244">
        <v>8.09</v>
      </c>
      <c r="H244" s="1">
        <v>0</v>
      </c>
      <c r="I244" s="1">
        <v>0</v>
      </c>
      <c r="J244" s="1">
        <v>2.0301999999999998</v>
      </c>
      <c r="K244" s="1">
        <v>2.4680000000000001E-3</v>
      </c>
      <c r="L244" s="1">
        <v>4.1029999999999999E-3</v>
      </c>
      <c r="M244" s="1">
        <v>-0.51338399999999995</v>
      </c>
      <c r="N244" s="1">
        <v>0.85814500000000005</v>
      </c>
      <c r="O244">
        <v>1</v>
      </c>
      <c r="P244">
        <v>0</v>
      </c>
      <c r="Q244">
        <v>1</v>
      </c>
      <c r="R244">
        <v>1</v>
      </c>
      <c r="S244">
        <v>1</v>
      </c>
      <c r="T244" s="1">
        <f>SQRT(POWER(Hybrid[[#This Row],[angvel_X]],2) + POWER(Hybrid[[#This Row],[angvel_Y]],2) + POWER(Hybrid[[#This Row],[angvel_Z]],2))</f>
        <v>2.0301999999999998</v>
      </c>
      <c r="U244">
        <f>DEGREES(ASIN(MAX(-1,MIN(1,2 * (Hybrid[[#This Row],[quart_W]]*Hybrid[[#This Row],[quart_Y]] - Hybrid[[#This Row],[quart_Z]]*Hybrid[[#This Row],[quart_X]])))))</f>
        <v>0.54867284450765086</v>
      </c>
      <c r="V24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151.77976235288722</v>
      </c>
      <c r="W24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89.998683591108488</v>
      </c>
      <c r="X244">
        <f>IF(Hybrid[[#This Row],[Yaw]]&gt;V243,(360-ABS(Hybrid[[#This Row],[Yaw]])-ABS(V243)),ABS(Hybrid[[#This Row],[Yaw]]-V243))</f>
        <v>0.96924965030515864</v>
      </c>
      <c r="Y244">
        <f>Hybrid[[#This Row],[Degree change]]+Y243</f>
        <v>177.37110854048404</v>
      </c>
    </row>
    <row r="245" spans="1:25">
      <c r="A245">
        <v>244</v>
      </c>
      <c r="B245">
        <v>-1781.4799800000001</v>
      </c>
      <c r="C245">
        <v>1033.76001</v>
      </c>
      <c r="D245">
        <v>17.010000000000002</v>
      </c>
      <c r="E245">
        <v>996.47997999999995</v>
      </c>
      <c r="F245">
        <v>-2072.8999020000001</v>
      </c>
      <c r="G245">
        <v>8.09</v>
      </c>
      <c r="H245" s="1">
        <v>0</v>
      </c>
      <c r="I245" s="1">
        <v>0</v>
      </c>
      <c r="J245" s="1">
        <v>2.0301999999999998</v>
      </c>
      <c r="K245" s="1">
        <v>2.4359999999999998E-3</v>
      </c>
      <c r="L245" s="1">
        <v>4.1240000000000001E-3</v>
      </c>
      <c r="M245" s="1">
        <v>-0.50610699999999997</v>
      </c>
      <c r="N245" s="1">
        <v>0.86245799999999995</v>
      </c>
      <c r="O245">
        <v>1</v>
      </c>
      <c r="P245">
        <v>0</v>
      </c>
      <c r="Q245">
        <v>1</v>
      </c>
      <c r="R245">
        <v>1</v>
      </c>
      <c r="S245">
        <v>1</v>
      </c>
      <c r="T245" s="1">
        <f>SQRT(POWER(Hybrid[[#This Row],[angvel_X]],2) + POWER(Hybrid[[#This Row],[angvel_Y]],2) + POWER(Hybrid[[#This Row],[angvel_Z]],2))</f>
        <v>2.0301999999999998</v>
      </c>
      <c r="U245">
        <f>DEGREES(ASIN(MAX(-1,MIN(1,2 * (Hybrid[[#This Row],[quart_W]]*Hybrid[[#This Row],[quart_Y]] - Hybrid[[#This Row],[quart_Z]]*Hybrid[[#This Row],[quart_X]])))))</f>
        <v>0.54886224978004483</v>
      </c>
      <c r="V24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150.81051101803226</v>
      </c>
      <c r="W24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89.998422870473277</v>
      </c>
      <c r="X245">
        <f>IF(Hybrid[[#This Row],[Yaw]]&gt;V244,(360-ABS(Hybrid[[#This Row],[Yaw]])-ABS(V244)),ABS(Hybrid[[#This Row],[Yaw]]-V244))</f>
        <v>0.96925133485495962</v>
      </c>
      <c r="Y245">
        <f>Hybrid[[#This Row],[Degree change]]+Y244</f>
        <v>178.340359875339</v>
      </c>
    </row>
    <row r="246" spans="1:25">
      <c r="A246">
        <v>245</v>
      </c>
      <c r="B246">
        <v>-1773.1400149999999</v>
      </c>
      <c r="C246">
        <v>1016.429993</v>
      </c>
      <c r="D246">
        <v>17.010000000000002</v>
      </c>
      <c r="E246">
        <v>1031.410034</v>
      </c>
      <c r="F246">
        <v>-2055.75</v>
      </c>
      <c r="G246">
        <v>8.09</v>
      </c>
      <c r="H246" s="1">
        <v>-1E-4</v>
      </c>
      <c r="I246" s="1">
        <v>0</v>
      </c>
      <c r="J246" s="1">
        <v>2.0301999999999998</v>
      </c>
      <c r="K246" s="1">
        <v>2.4030000000000002E-3</v>
      </c>
      <c r="L246" s="1">
        <v>4.1460000000000004E-3</v>
      </c>
      <c r="M246" s="1">
        <v>-0.49879099999999998</v>
      </c>
      <c r="N246" s="1">
        <v>0.86670899999999995</v>
      </c>
      <c r="O246">
        <v>1</v>
      </c>
      <c r="P246">
        <v>0</v>
      </c>
      <c r="Q246">
        <v>1</v>
      </c>
      <c r="R246">
        <v>1</v>
      </c>
      <c r="S246">
        <v>1</v>
      </c>
      <c r="T246" s="1">
        <f>SQRT(POWER(Hybrid[[#This Row],[angvel_X]],2) + POWER(Hybrid[[#This Row],[angvel_Y]],2) + POWER(Hybrid[[#This Row],[angvel_Z]],2))</f>
        <v>2.0302000024628115</v>
      </c>
      <c r="U246">
        <f>DEGREES(ASIN(MAX(-1,MIN(1,2 * (Hybrid[[#This Row],[quart_W]]*Hybrid[[#This Row],[quart_Y]] - Hybrid[[#This Row],[quart_Z]]*Hybrid[[#This Row],[quart_X]])))))</f>
        <v>0.54912775261929148</v>
      </c>
      <c r="V24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149.84083850489586</v>
      </c>
      <c r="W24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89.998313794741307</v>
      </c>
      <c r="X246">
        <f>IF(Hybrid[[#This Row],[Yaw]]&gt;V245,(360-ABS(Hybrid[[#This Row],[Yaw]])-ABS(V245)),ABS(Hybrid[[#This Row],[Yaw]]-V245))</f>
        <v>0.9696725131364019</v>
      </c>
      <c r="Y246">
        <f>Hybrid[[#This Row],[Degree change]]+Y245</f>
        <v>179.31003238847541</v>
      </c>
    </row>
    <row r="247" spans="1:25">
      <c r="A247">
        <v>246</v>
      </c>
      <c r="B247">
        <v>-1764.51001</v>
      </c>
      <c r="C247">
        <v>999.23999000000003</v>
      </c>
      <c r="D247">
        <v>17.010000000000002</v>
      </c>
      <c r="E247">
        <v>1066.0399170000001</v>
      </c>
      <c r="F247">
        <v>-2038</v>
      </c>
      <c r="G247">
        <v>8.09</v>
      </c>
      <c r="H247" s="1">
        <v>-2.0000000000000001E-4</v>
      </c>
      <c r="I247" s="1">
        <v>0</v>
      </c>
      <c r="J247" s="1">
        <v>2.0301999999999998</v>
      </c>
      <c r="K247" s="1">
        <v>2.366E-3</v>
      </c>
      <c r="L247" s="1">
        <v>4.1669999999999997E-3</v>
      </c>
      <c r="M247" s="1">
        <v>-0.49144300000000002</v>
      </c>
      <c r="N247" s="1">
        <v>0.870896</v>
      </c>
      <c r="O247">
        <v>1</v>
      </c>
      <c r="P247">
        <v>0</v>
      </c>
      <c r="Q247">
        <v>1</v>
      </c>
      <c r="R247">
        <v>1</v>
      </c>
      <c r="S247">
        <v>1</v>
      </c>
      <c r="T247" s="1">
        <f>SQRT(POWER(Hybrid[[#This Row],[angvel_X]],2) + POWER(Hybrid[[#This Row],[angvel_Y]],2) + POWER(Hybrid[[#This Row],[angvel_Z]],2))</f>
        <v>2.0302000098512458</v>
      </c>
      <c r="U247">
        <f>DEGREES(ASIN(MAX(-1,MIN(1,2 * (Hybrid[[#This Row],[quart_W]]*Hybrid[[#This Row],[quart_Y]] - Hybrid[[#This Row],[quart_Z]]*Hybrid[[#This Row],[quart_X]])))))</f>
        <v>0.54910569078292892</v>
      </c>
      <c r="V24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148.87165911493966</v>
      </c>
      <c r="W24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89.998544969311595</v>
      </c>
      <c r="X247">
        <f>IF(Hybrid[[#This Row],[Yaw]]&gt;V246,(360-ABS(Hybrid[[#This Row],[Yaw]])-ABS(V246)),ABS(Hybrid[[#This Row],[Yaw]]-V246))</f>
        <v>0.96917938995619579</v>
      </c>
      <c r="Y247">
        <f>Hybrid[[#This Row],[Degree change]]+Y246</f>
        <v>180.2792117784316</v>
      </c>
    </row>
    <row r="248" spans="1:25">
      <c r="A248">
        <v>247</v>
      </c>
      <c r="B248">
        <v>-1755.589966</v>
      </c>
      <c r="C248">
        <v>982.19995100000006</v>
      </c>
      <c r="D248">
        <v>17.010000000000002</v>
      </c>
      <c r="E248">
        <v>1100.369995</v>
      </c>
      <c r="F248">
        <v>-2019.679932</v>
      </c>
      <c r="G248">
        <v>8.09</v>
      </c>
      <c r="H248" s="1">
        <v>-2.0000000000000001E-4</v>
      </c>
      <c r="I248" s="1">
        <v>0</v>
      </c>
      <c r="J248" s="1">
        <v>2.0301999999999998</v>
      </c>
      <c r="K248" s="1">
        <v>2.3280000000000002E-3</v>
      </c>
      <c r="L248" s="1">
        <v>4.189E-3</v>
      </c>
      <c r="M248" s="1">
        <v>-0.48405799999999999</v>
      </c>
      <c r="N248" s="1">
        <v>0.875023</v>
      </c>
      <c r="O248">
        <v>1</v>
      </c>
      <c r="P248">
        <v>0</v>
      </c>
      <c r="Q248">
        <v>1</v>
      </c>
      <c r="R248">
        <v>1</v>
      </c>
      <c r="S248">
        <v>1</v>
      </c>
      <c r="T248" s="1">
        <f>SQRT(POWER(Hybrid[[#This Row],[angvel_X]],2) + POWER(Hybrid[[#This Row],[angvel_Y]],2) + POWER(Hybrid[[#This Row],[angvel_Z]],2))</f>
        <v>2.0302000098512458</v>
      </c>
      <c r="U248">
        <f>DEGREES(ASIN(MAX(-1,MIN(1,2 * (Hybrid[[#This Row],[quart_W]]*Hybrid[[#This Row],[quart_Y]] - Hybrid[[#This Row],[quart_Z]]*Hybrid[[#This Row],[quart_X]])))))</f>
        <v>0.54917222581257086</v>
      </c>
      <c r="V24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147.90227609801275</v>
      </c>
      <c r="W24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89.99893028655903</v>
      </c>
      <c r="X248">
        <f>IF(Hybrid[[#This Row],[Yaw]]&gt;V247,(360-ABS(Hybrid[[#This Row],[Yaw]])-ABS(V247)),ABS(Hybrid[[#This Row],[Yaw]]-V247))</f>
        <v>0.96938301692691198</v>
      </c>
      <c r="Y248">
        <f>Hybrid[[#This Row],[Degree change]]+Y247</f>
        <v>181.24859479535851</v>
      </c>
    </row>
    <row r="249" spans="1:25">
      <c r="A249">
        <v>248</v>
      </c>
      <c r="B249">
        <v>-1746.380005</v>
      </c>
      <c r="C249">
        <v>965.30999799999995</v>
      </c>
      <c r="D249">
        <v>17.010000000000002</v>
      </c>
      <c r="E249">
        <v>1134.380005</v>
      </c>
      <c r="F249">
        <v>-2000.7698969999999</v>
      </c>
      <c r="G249">
        <v>8.09</v>
      </c>
      <c r="H249" s="1">
        <v>-2.0000000000000001E-4</v>
      </c>
      <c r="I249" s="1">
        <v>0</v>
      </c>
      <c r="J249" s="1">
        <v>2.0301999999999998</v>
      </c>
      <c r="K249" s="1">
        <v>2.2899999999999999E-3</v>
      </c>
      <c r="L249" s="1">
        <v>4.2110000000000003E-3</v>
      </c>
      <c r="M249" s="1">
        <v>-0.47664000000000001</v>
      </c>
      <c r="N249" s="1">
        <v>0.87908500000000001</v>
      </c>
      <c r="O249">
        <v>1</v>
      </c>
      <c r="P249">
        <v>0</v>
      </c>
      <c r="Q249">
        <v>1</v>
      </c>
      <c r="R249">
        <v>1</v>
      </c>
      <c r="S249">
        <v>1</v>
      </c>
      <c r="T249" s="1">
        <f>SQRT(POWER(Hybrid[[#This Row],[angvel_X]],2) + POWER(Hybrid[[#This Row],[angvel_Y]],2) + POWER(Hybrid[[#This Row],[angvel_Z]],2))</f>
        <v>2.0302000098512458</v>
      </c>
      <c r="U249">
        <f>DEGREES(ASIN(MAX(-1,MIN(1,2 * (Hybrid[[#This Row],[quart_W]]*Hybrid[[#This Row],[quart_Y]] - Hybrid[[#This Row],[quart_Z]]*Hybrid[[#This Row],[quart_X]])))))</f>
        <v>0.54928386191306366</v>
      </c>
      <c r="V24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146.93306345972059</v>
      </c>
      <c r="W24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89.999315443259519</v>
      </c>
      <c r="X249">
        <f>IF(Hybrid[[#This Row],[Yaw]]&gt;V248,(360-ABS(Hybrid[[#This Row],[Yaw]])-ABS(V248)),ABS(Hybrid[[#This Row],[Yaw]]-V248))</f>
        <v>0.96921263829216286</v>
      </c>
      <c r="Y249">
        <f>Hybrid[[#This Row],[Degree change]]+Y248</f>
        <v>182.21780743365068</v>
      </c>
    </row>
    <row r="250" spans="1:25">
      <c r="A250">
        <v>249</v>
      </c>
      <c r="B250">
        <v>-1736.8900149999999</v>
      </c>
      <c r="C250">
        <v>948.57995600000004</v>
      </c>
      <c r="D250">
        <v>17.010000000000002</v>
      </c>
      <c r="E250">
        <v>1168.059937</v>
      </c>
      <c r="F250">
        <v>-1981.2899170000001</v>
      </c>
      <c r="G250">
        <v>8.09</v>
      </c>
      <c r="H250" s="1">
        <v>-2.0000000000000001E-4</v>
      </c>
      <c r="I250" s="1">
        <v>0</v>
      </c>
      <c r="J250" s="1">
        <v>2.0301999999999998</v>
      </c>
      <c r="K250" s="1">
        <v>2.2520000000000001E-3</v>
      </c>
      <c r="L250" s="1">
        <v>4.2269999999999999E-3</v>
      </c>
      <c r="M250" s="1">
        <v>-0.46918500000000002</v>
      </c>
      <c r="N250" s="1">
        <v>0.88308699999999996</v>
      </c>
      <c r="O250">
        <v>1</v>
      </c>
      <c r="P250">
        <v>0</v>
      </c>
      <c r="Q250">
        <v>1</v>
      </c>
      <c r="R250">
        <v>1</v>
      </c>
      <c r="S250">
        <v>1</v>
      </c>
      <c r="T250" s="1">
        <f>SQRT(POWER(Hybrid[[#This Row],[angvel_X]],2) + POWER(Hybrid[[#This Row],[angvel_Y]],2) + POWER(Hybrid[[#This Row],[angvel_Z]],2))</f>
        <v>2.0302000098512458</v>
      </c>
      <c r="U250">
        <f>DEGREES(ASIN(MAX(-1,MIN(1,2 * (Hybrid[[#This Row],[quart_W]]*Hybrid[[#This Row],[quart_Y]] - Hybrid[[#This Row],[quart_Z]]*Hybrid[[#This Row],[quart_X]])))))</f>
        <v>0.5488347379492603</v>
      </c>
      <c r="V25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145.96351013957405</v>
      </c>
      <c r="W25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89.999373507340565</v>
      </c>
      <c r="X250">
        <f>IF(Hybrid[[#This Row],[Yaw]]&gt;V249,(360-ABS(Hybrid[[#This Row],[Yaw]])-ABS(V249)),ABS(Hybrid[[#This Row],[Yaw]]-V249))</f>
        <v>0.96955332014653095</v>
      </c>
      <c r="Y250">
        <f>Hybrid[[#This Row],[Degree change]]+Y249</f>
        <v>183.18736075379721</v>
      </c>
    </row>
    <row r="251" spans="1:25">
      <c r="A251">
        <v>250</v>
      </c>
      <c r="B251">
        <v>-1727.119995</v>
      </c>
      <c r="C251">
        <v>932.00994900000001</v>
      </c>
      <c r="D251">
        <v>17.010000000000002</v>
      </c>
      <c r="E251">
        <v>1201.419922</v>
      </c>
      <c r="F251">
        <v>-1961.25</v>
      </c>
      <c r="G251">
        <v>8.09</v>
      </c>
      <c r="H251" s="1">
        <v>-2.0000000000000001E-4</v>
      </c>
      <c r="I251" s="1">
        <v>0</v>
      </c>
      <c r="J251" s="1">
        <v>2.0301999999999998</v>
      </c>
      <c r="K251" s="1">
        <v>2.215E-3</v>
      </c>
      <c r="L251" s="1">
        <v>4.2430000000000002E-3</v>
      </c>
      <c r="M251" s="1">
        <v>-0.46169700000000002</v>
      </c>
      <c r="N251" s="1">
        <v>0.88702499999999995</v>
      </c>
      <c r="O251">
        <v>1</v>
      </c>
      <c r="P251">
        <v>0</v>
      </c>
      <c r="Q251">
        <v>1</v>
      </c>
      <c r="R251">
        <v>1</v>
      </c>
      <c r="S251">
        <v>1</v>
      </c>
      <c r="T251" s="1">
        <f>SQRT(POWER(Hybrid[[#This Row],[angvel_X]],2) + POWER(Hybrid[[#This Row],[angvel_Y]],2) + POWER(Hybrid[[#This Row],[angvel_Z]],2))</f>
        <v>2.0302000098512458</v>
      </c>
      <c r="U251">
        <f>DEGREES(ASIN(MAX(-1,MIN(1,2 * (Hybrid[[#This Row],[quart_W]]*Hybrid[[#This Row],[quart_Y]] - Hybrid[[#This Row],[quart_Z]]*Hybrid[[#This Row],[quart_X]])))))</f>
        <v>0.54847863534298935</v>
      </c>
      <c r="V25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144.99401880761926</v>
      </c>
      <c r="W25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89.999337629981667</v>
      </c>
      <c r="X251">
        <f>IF(Hybrid[[#This Row],[Yaw]]&gt;V250,(360-ABS(Hybrid[[#This Row],[Yaw]])-ABS(V250)),ABS(Hybrid[[#This Row],[Yaw]]-V250))</f>
        <v>0.96949133195479931</v>
      </c>
      <c r="Y251">
        <f>Hybrid[[#This Row],[Degree change]]+Y250</f>
        <v>184.15685208575201</v>
      </c>
    </row>
    <row r="252" spans="1:25">
      <c r="A252">
        <v>251</v>
      </c>
      <c r="B252">
        <v>-1717.0699460000001</v>
      </c>
      <c r="C252">
        <v>915.60998500000005</v>
      </c>
      <c r="D252">
        <v>17.010000000000002</v>
      </c>
      <c r="E252">
        <v>1234.429932</v>
      </c>
      <c r="F252">
        <v>-1940.6400149999999</v>
      </c>
      <c r="G252">
        <v>8.09</v>
      </c>
      <c r="H252" s="1">
        <v>-1E-4</v>
      </c>
      <c r="I252" s="1">
        <v>0</v>
      </c>
      <c r="J252" s="1">
        <v>2.0301999999999998</v>
      </c>
      <c r="K252" s="1">
        <v>2.1770000000000001E-3</v>
      </c>
      <c r="L252" s="1">
        <v>4.2589999999999998E-3</v>
      </c>
      <c r="M252" s="1">
        <v>-0.45417600000000002</v>
      </c>
      <c r="N252" s="1">
        <v>0.890899</v>
      </c>
      <c r="O252">
        <v>1</v>
      </c>
      <c r="P252">
        <v>0</v>
      </c>
      <c r="Q252">
        <v>1</v>
      </c>
      <c r="R252">
        <v>1</v>
      </c>
      <c r="S252">
        <v>1</v>
      </c>
      <c r="T252" s="1">
        <f>SQRT(POWER(Hybrid[[#This Row],[angvel_X]],2) + POWER(Hybrid[[#This Row],[angvel_Y]],2) + POWER(Hybrid[[#This Row],[angvel_Z]],2))</f>
        <v>2.0302000024628115</v>
      </c>
      <c r="U252">
        <f>DEGREES(ASIN(MAX(-1,MIN(1,2 * (Hybrid[[#This Row],[quart_W]]*Hybrid[[#This Row],[quart_Y]] - Hybrid[[#This Row],[quart_Z]]*Hybrid[[#This Row],[quart_X]])))))</f>
        <v>0.54810895326597542</v>
      </c>
      <c r="V25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144.02451936094104</v>
      </c>
      <c r="W25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89.999409650102095</v>
      </c>
      <c r="X252">
        <f>IF(Hybrid[[#This Row],[Yaw]]&gt;V251,(360-ABS(Hybrid[[#This Row],[Yaw]])-ABS(V251)),ABS(Hybrid[[#This Row],[Yaw]]-V251))</f>
        <v>0.96949944667821342</v>
      </c>
      <c r="Y252">
        <f>Hybrid[[#This Row],[Degree change]]+Y251</f>
        <v>185.12635153243022</v>
      </c>
    </row>
    <row r="253" spans="1:25">
      <c r="A253">
        <v>252</v>
      </c>
      <c r="B253">
        <v>-1706.73999</v>
      </c>
      <c r="C253">
        <v>899.38000499999998</v>
      </c>
      <c r="D253">
        <v>17.010000000000002</v>
      </c>
      <c r="E253">
        <v>1267.079956</v>
      </c>
      <c r="F253">
        <v>-1919.4799800000001</v>
      </c>
      <c r="G253">
        <v>8.09</v>
      </c>
      <c r="H253" s="1">
        <v>0</v>
      </c>
      <c r="I253" s="1">
        <v>0</v>
      </c>
      <c r="J253" s="1">
        <v>2.0301999999999998</v>
      </c>
      <c r="K253" s="1">
        <v>2.1389999999999998E-3</v>
      </c>
      <c r="L253" s="1">
        <v>4.2750000000000002E-3</v>
      </c>
      <c r="M253" s="1">
        <v>-0.44662299999999999</v>
      </c>
      <c r="N253" s="1">
        <v>0.89470899999999998</v>
      </c>
      <c r="O253">
        <v>1</v>
      </c>
      <c r="P253">
        <v>0</v>
      </c>
      <c r="Q253">
        <v>1</v>
      </c>
      <c r="R253">
        <v>1</v>
      </c>
      <c r="S253">
        <v>1</v>
      </c>
      <c r="T253" s="1">
        <f>SQRT(POWER(Hybrid[[#This Row],[angvel_X]],2) + POWER(Hybrid[[#This Row],[angvel_Y]],2) + POWER(Hybrid[[#This Row],[angvel_Z]],2))</f>
        <v>2.0301999999999998</v>
      </c>
      <c r="U253">
        <f>DEGREES(ASIN(MAX(-1,MIN(1,2 * (Hybrid[[#This Row],[quart_W]]*Hybrid[[#This Row],[quart_Y]] - Hybrid[[#This Row],[quart_Z]]*Hybrid[[#This Row],[quart_X]])))))</f>
        <v>0.54777978301268671</v>
      </c>
      <c r="V25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143.05508585691811</v>
      </c>
      <c r="W25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89.999487841018407</v>
      </c>
      <c r="X253">
        <f>IF(Hybrid[[#This Row],[Yaw]]&gt;V252,(360-ABS(Hybrid[[#This Row],[Yaw]])-ABS(V252)),ABS(Hybrid[[#This Row],[Yaw]]-V252))</f>
        <v>0.96943350402293049</v>
      </c>
      <c r="Y253">
        <f>Hybrid[[#This Row],[Degree change]]+Y252</f>
        <v>186.09578503645315</v>
      </c>
    </row>
    <row r="254" spans="1:25">
      <c r="A254">
        <v>253</v>
      </c>
      <c r="B254">
        <v>-1696.1400149999999</v>
      </c>
      <c r="C254">
        <v>883.32995600000004</v>
      </c>
      <c r="D254">
        <v>17.010000000000002</v>
      </c>
      <c r="E254">
        <v>1299.369995</v>
      </c>
      <c r="F254">
        <v>-1897.7698969999999</v>
      </c>
      <c r="G254">
        <v>8.09</v>
      </c>
      <c r="H254" s="1">
        <v>0</v>
      </c>
      <c r="I254" s="1">
        <v>0</v>
      </c>
      <c r="J254" s="1">
        <v>2.0301999999999998</v>
      </c>
      <c r="K254" s="1">
        <v>2.101E-3</v>
      </c>
      <c r="L254" s="1">
        <v>4.2919999999999998E-3</v>
      </c>
      <c r="M254" s="1">
        <v>-0.43903799999999998</v>
      </c>
      <c r="N254" s="1">
        <v>0.89845600000000003</v>
      </c>
      <c r="O254">
        <v>1</v>
      </c>
      <c r="P254">
        <v>0</v>
      </c>
      <c r="Q254">
        <v>1</v>
      </c>
      <c r="R254">
        <v>1</v>
      </c>
      <c r="S254">
        <v>1</v>
      </c>
      <c r="T254" s="1">
        <f>SQRT(POWER(Hybrid[[#This Row],[angvel_X]],2) + POWER(Hybrid[[#This Row],[angvel_Y]],2) + POWER(Hybrid[[#This Row],[angvel_Z]],2))</f>
        <v>2.0301999999999998</v>
      </c>
      <c r="U254">
        <f>DEGREES(ASIN(MAX(-1,MIN(1,2 * (Hybrid[[#This Row],[quart_W]]*Hybrid[[#This Row],[quart_Y]] - Hybrid[[#This Row],[quart_Z]]*Hybrid[[#This Row],[quart_X]])))))</f>
        <v>0.547594642494174</v>
      </c>
      <c r="V25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142.08567987051569</v>
      </c>
      <c r="W25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89.99962126218378</v>
      </c>
      <c r="X254">
        <f>IF(Hybrid[[#This Row],[Yaw]]&gt;V253,(360-ABS(Hybrid[[#This Row],[Yaw]])-ABS(V253)),ABS(Hybrid[[#This Row],[Yaw]]-V253))</f>
        <v>0.96940598640242115</v>
      </c>
      <c r="Y254">
        <f>Hybrid[[#This Row],[Degree change]]+Y253</f>
        <v>187.06519102285557</v>
      </c>
    </row>
    <row r="255" spans="1:25">
      <c r="A255">
        <v>254</v>
      </c>
      <c r="B255">
        <v>-1685.2700199999999</v>
      </c>
      <c r="C255">
        <v>867.45996100000002</v>
      </c>
      <c r="D255">
        <v>17.010000000000002</v>
      </c>
      <c r="E255">
        <v>1331.2899170000001</v>
      </c>
      <c r="F255">
        <v>-1875.5198969999999</v>
      </c>
      <c r="G255">
        <v>8.09</v>
      </c>
      <c r="H255" s="1">
        <v>0</v>
      </c>
      <c r="I255" s="1">
        <v>0</v>
      </c>
      <c r="J255" s="1">
        <v>2.0301999999999998</v>
      </c>
      <c r="K255" s="1">
        <v>2.0639999999999999E-3</v>
      </c>
      <c r="L255" s="1">
        <v>4.3080000000000002E-3</v>
      </c>
      <c r="M255" s="1">
        <v>-0.431421</v>
      </c>
      <c r="N255" s="1">
        <v>0.902138</v>
      </c>
      <c r="O255">
        <v>1</v>
      </c>
      <c r="P255">
        <v>0</v>
      </c>
      <c r="Q255">
        <v>1</v>
      </c>
      <c r="R255">
        <v>1</v>
      </c>
      <c r="S255">
        <v>1</v>
      </c>
      <c r="T255" s="1">
        <f>SQRT(POWER(Hybrid[[#This Row],[angvel_X]],2) + POWER(Hybrid[[#This Row],[angvel_Y]],2) + POWER(Hybrid[[#This Row],[angvel_Z]],2))</f>
        <v>2.0301999999999998</v>
      </c>
      <c r="U255">
        <f>DEGREES(ASIN(MAX(-1,MIN(1,2 * (Hybrid[[#This Row],[quart_W]]*Hybrid[[#This Row],[quart_Y]] - Hybrid[[#This Row],[quart_Z]]*Hybrid[[#This Row],[quart_X]])))))</f>
        <v>0.547396557128082</v>
      </c>
      <c r="V25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141.11616954599438</v>
      </c>
      <c r="W25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89.999604507687351</v>
      </c>
      <c r="X255">
        <f>IF(Hybrid[[#This Row],[Yaw]]&gt;V254,(360-ABS(Hybrid[[#This Row],[Yaw]])-ABS(V254)),ABS(Hybrid[[#This Row],[Yaw]]-V254))</f>
        <v>0.96951032452130903</v>
      </c>
      <c r="Y255">
        <f>Hybrid[[#This Row],[Degree change]]+Y254</f>
        <v>188.03470134737688</v>
      </c>
    </row>
    <row r="256" spans="1:25">
      <c r="A256">
        <v>255</v>
      </c>
      <c r="B256">
        <v>-1674.130005</v>
      </c>
      <c r="C256">
        <v>851.77996800000005</v>
      </c>
      <c r="D256">
        <v>17.010000000000002</v>
      </c>
      <c r="E256">
        <v>1362.829956</v>
      </c>
      <c r="F256">
        <v>-1852.7299800000001</v>
      </c>
      <c r="G256">
        <v>8.09</v>
      </c>
      <c r="H256" s="1">
        <v>0</v>
      </c>
      <c r="I256" s="1">
        <v>0</v>
      </c>
      <c r="J256" s="1">
        <v>2.0301999999999998</v>
      </c>
      <c r="K256" s="1">
        <v>2.026E-3</v>
      </c>
      <c r="L256" s="1">
        <v>4.3239999999999997E-3</v>
      </c>
      <c r="M256" s="1">
        <v>-0.42377599999999999</v>
      </c>
      <c r="N256" s="1">
        <v>0.90575399999999995</v>
      </c>
      <c r="O256">
        <v>1</v>
      </c>
      <c r="P256">
        <v>0</v>
      </c>
      <c r="Q256">
        <v>1</v>
      </c>
      <c r="R256">
        <v>1</v>
      </c>
      <c r="S256">
        <v>1</v>
      </c>
      <c r="T256" s="1">
        <f>SQRT(POWER(Hybrid[[#This Row],[angvel_X]],2) + POWER(Hybrid[[#This Row],[angvel_Y]],2) + POWER(Hybrid[[#This Row],[angvel_Z]],2))</f>
        <v>2.0301999999999998</v>
      </c>
      <c r="U256">
        <f>DEGREES(ASIN(MAX(-1,MIN(1,2 * (Hybrid[[#This Row],[quart_W]]*Hybrid[[#This Row],[quart_Y]] - Hybrid[[#This Row],[quart_Z]]*Hybrid[[#This Row],[quart_X]])))))</f>
        <v>0.54718879590357916</v>
      </c>
      <c r="V25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140.1470217336819</v>
      </c>
      <c r="W25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89.999696297892285</v>
      </c>
      <c r="X256">
        <f>IF(Hybrid[[#This Row],[Yaw]]&gt;V255,(360-ABS(Hybrid[[#This Row],[Yaw]])-ABS(V255)),ABS(Hybrid[[#This Row],[Yaw]]-V255))</f>
        <v>0.96914781231248526</v>
      </c>
      <c r="Y256">
        <f>Hybrid[[#This Row],[Degree change]]+Y255</f>
        <v>189.00384915968937</v>
      </c>
    </row>
    <row r="257" spans="1:25">
      <c r="A257">
        <v>256</v>
      </c>
      <c r="B257">
        <v>-1662.7299800000001</v>
      </c>
      <c r="C257">
        <v>836.28997800000002</v>
      </c>
      <c r="D257">
        <v>17.010000000000002</v>
      </c>
      <c r="E257">
        <v>1393.9799800000001</v>
      </c>
      <c r="F257">
        <v>-1829.4099120000001</v>
      </c>
      <c r="G257">
        <v>8.09</v>
      </c>
      <c r="H257" s="1">
        <v>0</v>
      </c>
      <c r="I257" s="1">
        <v>0</v>
      </c>
      <c r="J257" s="1">
        <v>2.0301999999999998</v>
      </c>
      <c r="K257" s="1">
        <v>1.9880000000000002E-3</v>
      </c>
      <c r="L257" s="1">
        <v>4.3400000000000001E-3</v>
      </c>
      <c r="M257" s="1">
        <v>-0.41610000000000003</v>
      </c>
      <c r="N257" s="1">
        <v>0.90930599999999995</v>
      </c>
      <c r="O257">
        <v>1</v>
      </c>
      <c r="P257">
        <v>0</v>
      </c>
      <c r="Q257">
        <v>1</v>
      </c>
      <c r="R257">
        <v>1</v>
      </c>
      <c r="S257">
        <v>1</v>
      </c>
      <c r="T257" s="1">
        <f>SQRT(POWER(Hybrid[[#This Row],[angvel_X]],2) + POWER(Hybrid[[#This Row],[angvel_Y]],2) + POWER(Hybrid[[#This Row],[angvel_Z]],2))</f>
        <v>2.0301999999999998</v>
      </c>
      <c r="U257">
        <f>DEGREES(ASIN(MAX(-1,MIN(1,2 * (Hybrid[[#This Row],[quart_W]]*Hybrid[[#This Row],[quart_Y]] - Hybrid[[#This Row],[quart_Z]]*Hybrid[[#This Row],[quart_X]])))))</f>
        <v>0.54702198515853695</v>
      </c>
      <c r="V25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139.17780185456391</v>
      </c>
      <c r="W25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89.999790708688636</v>
      </c>
      <c r="X257">
        <f>IF(Hybrid[[#This Row],[Yaw]]&gt;V256,(360-ABS(Hybrid[[#This Row],[Yaw]])-ABS(V256)),ABS(Hybrid[[#This Row],[Yaw]]-V256))</f>
        <v>0.96921987911798624</v>
      </c>
      <c r="Y257">
        <f>Hybrid[[#This Row],[Degree change]]+Y256</f>
        <v>189.97306903880735</v>
      </c>
    </row>
    <row r="258" spans="1:25">
      <c r="A258">
        <v>257</v>
      </c>
      <c r="B258">
        <v>-1651.0699460000001</v>
      </c>
      <c r="C258">
        <v>820.98999000000003</v>
      </c>
      <c r="D258">
        <v>17.010000000000002</v>
      </c>
      <c r="E258">
        <v>1424.7299800000001</v>
      </c>
      <c r="F258">
        <v>-1805.559937</v>
      </c>
      <c r="G258">
        <v>8.09</v>
      </c>
      <c r="H258" s="1">
        <v>0</v>
      </c>
      <c r="I258" s="1">
        <v>0</v>
      </c>
      <c r="J258" s="1">
        <v>2.0301999999999998</v>
      </c>
      <c r="K258" s="1">
        <v>1.9499999999999999E-3</v>
      </c>
      <c r="L258" s="1">
        <v>4.3559999999999996E-3</v>
      </c>
      <c r="M258" s="1">
        <v>-0.40838999999999998</v>
      </c>
      <c r="N258" s="1">
        <v>0.91279500000000002</v>
      </c>
      <c r="O258">
        <v>1</v>
      </c>
      <c r="P258">
        <v>0</v>
      </c>
      <c r="Q258">
        <v>1</v>
      </c>
      <c r="R258">
        <v>1</v>
      </c>
      <c r="S258">
        <v>1</v>
      </c>
      <c r="T258" s="1">
        <f>SQRT(POWER(Hybrid[[#This Row],[angvel_X]],2) + POWER(Hybrid[[#This Row],[angvel_Y]],2) + POWER(Hybrid[[#This Row],[angvel_Z]],2))</f>
        <v>2.0301999999999998</v>
      </c>
      <c r="U258">
        <f>DEGREES(ASIN(MAX(-1,MIN(1,2 * (Hybrid[[#This Row],[quart_W]]*Hybrid[[#This Row],[quart_Y]] - Hybrid[[#This Row],[quart_Z]]*Hybrid[[#This Row],[quart_X]])))))</f>
        <v>0.54689600662566162</v>
      </c>
      <c r="V25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138.20805565411294</v>
      </c>
      <c r="W25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89.99988501244556</v>
      </c>
      <c r="X258">
        <f>IF(Hybrid[[#This Row],[Yaw]]&gt;V257,(360-ABS(Hybrid[[#This Row],[Yaw]])-ABS(V257)),ABS(Hybrid[[#This Row],[Yaw]]-V257))</f>
        <v>0.96974620045097026</v>
      </c>
      <c r="Y258">
        <f>Hybrid[[#This Row],[Degree change]]+Y257</f>
        <v>190.94281523925832</v>
      </c>
    </row>
    <row r="259" spans="1:25">
      <c r="A259">
        <v>258</v>
      </c>
      <c r="B259">
        <v>-1639.1499020000001</v>
      </c>
      <c r="C259">
        <v>805.88995399999999</v>
      </c>
      <c r="D259">
        <v>17.010000000000002</v>
      </c>
      <c r="E259">
        <v>1455.0699460000001</v>
      </c>
      <c r="F259">
        <v>-1781.1999510000001</v>
      </c>
      <c r="G259">
        <v>8.09</v>
      </c>
      <c r="H259" s="1">
        <v>0</v>
      </c>
      <c r="I259" s="1">
        <v>0</v>
      </c>
      <c r="J259" s="1">
        <v>2.0301999999999998</v>
      </c>
      <c r="K259" s="1">
        <v>1.9120000000000001E-3</v>
      </c>
      <c r="L259" s="1">
        <v>4.372E-3</v>
      </c>
      <c r="M259" s="1">
        <v>-0.40065400000000001</v>
      </c>
      <c r="N259" s="1">
        <v>0.91621699999999995</v>
      </c>
      <c r="O259">
        <v>1</v>
      </c>
      <c r="P259">
        <v>0</v>
      </c>
      <c r="Q259">
        <v>1</v>
      </c>
      <c r="R259">
        <v>1</v>
      </c>
      <c r="S259">
        <v>1</v>
      </c>
      <c r="T259" s="1">
        <f>SQRT(POWER(Hybrid[[#This Row],[angvel_X]],2) + POWER(Hybrid[[#This Row],[angvel_Y]],2) + POWER(Hybrid[[#This Row],[angvel_Z]],2))</f>
        <v>2.0301999999999998</v>
      </c>
      <c r="U259">
        <f>DEGREES(ASIN(MAX(-1,MIN(1,2 * (Hybrid[[#This Row],[quart_W]]*Hybrid[[#This Row],[quart_Y]] - Hybrid[[#This Row],[quart_Z]]*Hybrid[[#This Row],[quart_X]])))))</f>
        <v>0.54681070674269916</v>
      </c>
      <c r="V25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137.23870932369735</v>
      </c>
      <c r="W25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89.999983083682054</v>
      </c>
      <c r="X259">
        <f>IF(Hybrid[[#This Row],[Yaw]]&gt;V258,(360-ABS(Hybrid[[#This Row],[Yaw]])-ABS(V258)),ABS(Hybrid[[#This Row],[Yaw]]-V258))</f>
        <v>0.96934633041558982</v>
      </c>
      <c r="Y259">
        <f>Hybrid[[#This Row],[Degree change]]+Y258</f>
        <v>191.91216156967391</v>
      </c>
    </row>
    <row r="260" spans="1:25">
      <c r="A260">
        <v>259</v>
      </c>
      <c r="B260">
        <v>-1626.9799800000001</v>
      </c>
      <c r="C260">
        <v>791</v>
      </c>
      <c r="D260">
        <v>17.010000000000002</v>
      </c>
      <c r="E260">
        <v>1485</v>
      </c>
      <c r="F260">
        <v>-1756.329956</v>
      </c>
      <c r="G260">
        <v>8.09</v>
      </c>
      <c r="H260" s="1">
        <v>0</v>
      </c>
      <c r="I260" s="1">
        <v>0</v>
      </c>
      <c r="J260" s="1">
        <v>2.0301999999999998</v>
      </c>
      <c r="K260" s="1">
        <v>1.8749999999999999E-3</v>
      </c>
      <c r="L260" s="1">
        <v>4.3889999999999997E-3</v>
      </c>
      <c r="M260" s="1">
        <v>-0.39289099999999999</v>
      </c>
      <c r="N260" s="1">
        <v>0.91957299999999997</v>
      </c>
      <c r="O260">
        <v>1</v>
      </c>
      <c r="P260">
        <v>0</v>
      </c>
      <c r="Q260">
        <v>1</v>
      </c>
      <c r="R260">
        <v>1</v>
      </c>
      <c r="S260">
        <v>1</v>
      </c>
      <c r="T260" s="1">
        <f>SQRT(POWER(Hybrid[[#This Row],[angvel_X]],2) + POWER(Hybrid[[#This Row],[angvel_Y]],2) + POWER(Hybrid[[#This Row],[angvel_Z]],2))</f>
        <v>2.0301999999999998</v>
      </c>
      <c r="U260">
        <f>DEGREES(ASIN(MAX(-1,MIN(1,2 * (Hybrid[[#This Row],[quart_W]]*Hybrid[[#This Row],[quart_Y]] - Hybrid[[#This Row],[quart_Z]]*Hybrid[[#This Row],[quart_X]])))))</f>
        <v>0.54691674887196629</v>
      </c>
      <c r="V26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136.2695799949114</v>
      </c>
      <c r="W26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90.000022830428861</v>
      </c>
      <c r="X260">
        <f>IF(Hybrid[[#This Row],[Yaw]]&gt;V259,(360-ABS(Hybrid[[#This Row],[Yaw]])-ABS(V259)),ABS(Hybrid[[#This Row],[Yaw]]-V259))</f>
        <v>0.9691293287859537</v>
      </c>
      <c r="Y260">
        <f>Hybrid[[#This Row],[Degree change]]+Y259</f>
        <v>192.88129089845987</v>
      </c>
    </row>
    <row r="261" spans="1:25">
      <c r="A261">
        <v>260</v>
      </c>
      <c r="B261">
        <v>-1614.559937</v>
      </c>
      <c r="C261">
        <v>776.30999799999995</v>
      </c>
      <c r="D261">
        <v>17.010000000000002</v>
      </c>
      <c r="E261">
        <v>1514.5</v>
      </c>
      <c r="F261">
        <v>-1730.9499510000001</v>
      </c>
      <c r="G261">
        <v>8.09</v>
      </c>
      <c r="H261" s="1">
        <v>0</v>
      </c>
      <c r="I261" s="1">
        <v>0</v>
      </c>
      <c r="J261" s="1">
        <v>2.0301999999999998</v>
      </c>
      <c r="K261" s="1">
        <v>1.8370000000000001E-3</v>
      </c>
      <c r="L261" s="1">
        <v>4.4050000000000001E-3</v>
      </c>
      <c r="M261" s="1">
        <v>-0.38509599999999999</v>
      </c>
      <c r="N261" s="1">
        <v>0.92286400000000002</v>
      </c>
      <c r="O261">
        <v>1</v>
      </c>
      <c r="P261">
        <v>0</v>
      </c>
      <c r="Q261">
        <v>1</v>
      </c>
      <c r="R261">
        <v>1</v>
      </c>
      <c r="S261">
        <v>1</v>
      </c>
      <c r="T261" s="1">
        <f>SQRT(POWER(Hybrid[[#This Row],[angvel_X]],2) + POWER(Hybrid[[#This Row],[angvel_Y]],2) + POWER(Hybrid[[#This Row],[angvel_Z]],2))</f>
        <v>2.0301999999999998</v>
      </c>
      <c r="U261">
        <f>DEGREES(ASIN(MAX(-1,MIN(1,2 * (Hybrid[[#This Row],[quart_W]]*Hybrid[[#This Row],[quart_Y]] - Hybrid[[#This Row],[quart_Z]]*Hybrid[[#This Row],[quart_X]])))))</f>
        <v>0.54691225094836016</v>
      </c>
      <c r="V26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135.29994001115085</v>
      </c>
      <c r="W26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90.000119949824494</v>
      </c>
      <c r="X261">
        <f>IF(Hybrid[[#This Row],[Yaw]]&gt;V260,(360-ABS(Hybrid[[#This Row],[Yaw]])-ABS(V260)),ABS(Hybrid[[#This Row],[Yaw]]-V260))</f>
        <v>0.96963998376054406</v>
      </c>
      <c r="Y261">
        <f>Hybrid[[#This Row],[Degree change]]+Y260</f>
        <v>193.85093088222041</v>
      </c>
    </row>
    <row r="262" spans="1:25">
      <c r="A262">
        <v>261</v>
      </c>
      <c r="B262">
        <v>-1601.8900149999999</v>
      </c>
      <c r="C262">
        <v>761.839966</v>
      </c>
      <c r="D262">
        <v>17.010000000000002</v>
      </c>
      <c r="E262">
        <v>1543.5699460000001</v>
      </c>
      <c r="F262">
        <v>-1705.079956</v>
      </c>
      <c r="G262">
        <v>8.09</v>
      </c>
      <c r="H262" s="1">
        <v>0</v>
      </c>
      <c r="I262" s="1">
        <v>0</v>
      </c>
      <c r="J262" s="1">
        <v>2.0301999999999998</v>
      </c>
      <c r="K262" s="1">
        <v>1.799E-3</v>
      </c>
      <c r="L262" s="1">
        <v>4.4209999999999996E-3</v>
      </c>
      <c r="M262" s="1">
        <v>-0.37727300000000003</v>
      </c>
      <c r="N262" s="1">
        <v>0.92608999999999997</v>
      </c>
      <c r="O262">
        <v>1</v>
      </c>
      <c r="P262">
        <v>0</v>
      </c>
      <c r="Q262">
        <v>1</v>
      </c>
      <c r="R262">
        <v>1</v>
      </c>
      <c r="S262">
        <v>1</v>
      </c>
      <c r="T262" s="1">
        <f>SQRT(POWER(Hybrid[[#This Row],[angvel_X]],2) + POWER(Hybrid[[#This Row],[angvel_Y]],2) + POWER(Hybrid[[#This Row],[angvel_Z]],2))</f>
        <v>2.0301999999999998</v>
      </c>
      <c r="U262">
        <f>DEGREES(ASIN(MAX(-1,MIN(1,2 * (Hybrid[[#This Row],[quart_W]]*Hybrid[[#This Row],[quart_Y]] - Hybrid[[#This Row],[quart_Z]]*Hybrid[[#This Row],[quart_X]])))))</f>
        <v>0.54694900729258755</v>
      </c>
      <c r="V26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134.33027516227762</v>
      </c>
      <c r="W26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90.000216361357175</v>
      </c>
      <c r="X262">
        <f>IF(Hybrid[[#This Row],[Yaw]]&gt;V261,(360-ABS(Hybrid[[#This Row],[Yaw]])-ABS(V261)),ABS(Hybrid[[#This Row],[Yaw]]-V261))</f>
        <v>0.96966484887323645</v>
      </c>
      <c r="Y262">
        <f>Hybrid[[#This Row],[Degree change]]+Y261</f>
        <v>194.82059573109365</v>
      </c>
    </row>
    <row r="263" spans="1:25">
      <c r="A263">
        <v>262</v>
      </c>
      <c r="B263">
        <v>-1588.9799800000001</v>
      </c>
      <c r="C263">
        <v>747.57995600000004</v>
      </c>
      <c r="D263">
        <v>17.010000000000002</v>
      </c>
      <c r="E263">
        <v>1572.1999510000001</v>
      </c>
      <c r="F263">
        <v>-1678.719971</v>
      </c>
      <c r="G263">
        <v>8.09</v>
      </c>
      <c r="H263" s="1">
        <v>0</v>
      </c>
      <c r="I263" s="1">
        <v>0</v>
      </c>
      <c r="J263" s="1">
        <v>2.0301999999999998</v>
      </c>
      <c r="K263" s="1">
        <v>1.761E-3</v>
      </c>
      <c r="L263" s="1">
        <v>4.437E-3</v>
      </c>
      <c r="M263" s="1">
        <v>-0.36942399999999997</v>
      </c>
      <c r="N263" s="1">
        <v>0.92924899999999999</v>
      </c>
      <c r="O263">
        <v>1</v>
      </c>
      <c r="P263">
        <v>0</v>
      </c>
      <c r="Q263">
        <v>1</v>
      </c>
      <c r="R263">
        <v>1</v>
      </c>
      <c r="S263">
        <v>1</v>
      </c>
      <c r="T263" s="1">
        <f>SQRT(POWER(Hybrid[[#This Row],[angvel_X]],2) + POWER(Hybrid[[#This Row],[angvel_Y]],2) + POWER(Hybrid[[#This Row],[angvel_Z]],2))</f>
        <v>2.0301999999999998</v>
      </c>
      <c r="U263">
        <f>DEGREES(ASIN(MAX(-1,MIN(1,2 * (Hybrid[[#This Row],[quart_W]]*Hybrid[[#This Row],[quart_Y]] - Hybrid[[#This Row],[quart_Z]]*Hybrid[[#This Row],[quart_X]])))))</f>
        <v>0.54702641283439801</v>
      </c>
      <c r="V26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133.36072675775375</v>
      </c>
      <c r="W26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90.000312482390314</v>
      </c>
      <c r="X263">
        <f>IF(Hybrid[[#This Row],[Yaw]]&gt;V262,(360-ABS(Hybrid[[#This Row],[Yaw]])-ABS(V262)),ABS(Hybrid[[#This Row],[Yaw]]-V262))</f>
        <v>0.96954840452386293</v>
      </c>
      <c r="Y263">
        <f>Hybrid[[#This Row],[Degree change]]+Y262</f>
        <v>195.79014413561751</v>
      </c>
    </row>
    <row r="264" spans="1:25">
      <c r="A264">
        <v>263</v>
      </c>
      <c r="B264">
        <v>-1575.829956</v>
      </c>
      <c r="C264">
        <v>733.53997800000002</v>
      </c>
      <c r="D264">
        <v>17.010000000000002</v>
      </c>
      <c r="E264">
        <v>1600.380005</v>
      </c>
      <c r="F264">
        <v>-1651.880005</v>
      </c>
      <c r="G264">
        <v>8.09</v>
      </c>
      <c r="H264" s="1">
        <v>0</v>
      </c>
      <c r="I264" s="1">
        <v>0</v>
      </c>
      <c r="J264" s="1">
        <v>2.0301999999999998</v>
      </c>
      <c r="K264" s="1">
        <v>1.7240000000000001E-3</v>
      </c>
      <c r="L264" s="1">
        <v>4.4530000000000004E-3</v>
      </c>
      <c r="M264" s="1">
        <v>-0.36154700000000001</v>
      </c>
      <c r="N264" s="1">
        <v>0.932342</v>
      </c>
      <c r="O264">
        <v>1</v>
      </c>
      <c r="P264">
        <v>0</v>
      </c>
      <c r="Q264">
        <v>1</v>
      </c>
      <c r="R264">
        <v>1</v>
      </c>
      <c r="S264">
        <v>1</v>
      </c>
      <c r="T264" s="1">
        <f>SQRT(POWER(Hybrid[[#This Row],[angvel_X]],2) + POWER(Hybrid[[#This Row],[angvel_Y]],2) + POWER(Hybrid[[#This Row],[angvel_Z]],2))</f>
        <v>2.0301999999999998</v>
      </c>
      <c r="U264">
        <f>DEGREES(ASIN(MAX(-1,MIN(1,2 * (Hybrid[[#This Row],[quart_W]]*Hybrid[[#This Row],[quart_Y]] - Hybrid[[#This Row],[quart_Z]]*Hybrid[[#This Row],[quart_X]])))))</f>
        <v>0.54718598621960501</v>
      </c>
      <c r="V26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132.39098458171836</v>
      </c>
      <c r="W26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90.000299233176733</v>
      </c>
      <c r="X264">
        <f>IF(Hybrid[[#This Row],[Yaw]]&gt;V263,(360-ABS(Hybrid[[#This Row],[Yaw]])-ABS(V263)),ABS(Hybrid[[#This Row],[Yaw]]-V263))</f>
        <v>0.96974217603539614</v>
      </c>
      <c r="Y264">
        <f>Hybrid[[#This Row],[Degree change]]+Y263</f>
        <v>196.75988631165291</v>
      </c>
    </row>
    <row r="265" spans="1:25">
      <c r="A265">
        <v>264</v>
      </c>
      <c r="B265">
        <v>-1562.4399410000001</v>
      </c>
      <c r="C265">
        <v>719.72997999999995</v>
      </c>
      <c r="D265">
        <v>17.010000000000002</v>
      </c>
      <c r="E265">
        <v>1628.099976</v>
      </c>
      <c r="F265">
        <v>-1624.559937</v>
      </c>
      <c r="G265">
        <v>8.09</v>
      </c>
      <c r="H265" s="1">
        <v>0</v>
      </c>
      <c r="I265" s="1">
        <v>0</v>
      </c>
      <c r="J265" s="1">
        <v>2.0301999999999998</v>
      </c>
      <c r="K265" s="1">
        <v>1.686E-3</v>
      </c>
      <c r="L265" s="1">
        <v>4.47E-3</v>
      </c>
      <c r="M265" s="1">
        <v>-0.35364899999999999</v>
      </c>
      <c r="N265" s="1">
        <v>0.93536600000000003</v>
      </c>
      <c r="O265">
        <v>1</v>
      </c>
      <c r="P265">
        <v>0</v>
      </c>
      <c r="Q265">
        <v>1</v>
      </c>
      <c r="R265">
        <v>1</v>
      </c>
      <c r="S265">
        <v>1</v>
      </c>
      <c r="T265" s="1">
        <f>SQRT(POWER(Hybrid[[#This Row],[angvel_X]],2) + POWER(Hybrid[[#This Row],[angvel_Y]],2) + POWER(Hybrid[[#This Row],[angvel_Z]],2))</f>
        <v>2.0301999999999998</v>
      </c>
      <c r="U265">
        <f>DEGREES(ASIN(MAX(-1,MIN(1,2 * (Hybrid[[#This Row],[quart_W]]*Hybrid[[#This Row],[quart_Y]] - Hybrid[[#This Row],[quart_Z]]*Hybrid[[#This Row],[quart_X]])))))</f>
        <v>0.54745096607938248</v>
      </c>
      <c r="V26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131.42183119959236</v>
      </c>
      <c r="W26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90.00043362898198</v>
      </c>
      <c r="X265">
        <f>IF(Hybrid[[#This Row],[Yaw]]&gt;V264,(360-ABS(Hybrid[[#This Row],[Yaw]])-ABS(V264)),ABS(Hybrid[[#This Row],[Yaw]]-V264))</f>
        <v>0.96915338212599522</v>
      </c>
      <c r="Y265">
        <f>Hybrid[[#This Row],[Degree change]]+Y264</f>
        <v>197.7290396937789</v>
      </c>
    </row>
    <row r="266" spans="1:25">
      <c r="A266">
        <v>265</v>
      </c>
      <c r="B266">
        <v>-1548.8199460000001</v>
      </c>
      <c r="C266">
        <v>706.14996299999996</v>
      </c>
      <c r="D266">
        <v>17.010000000000002</v>
      </c>
      <c r="E266">
        <v>1655.349976</v>
      </c>
      <c r="F266">
        <v>-1596.7799070000001</v>
      </c>
      <c r="G266">
        <v>8.09</v>
      </c>
      <c r="H266" s="1">
        <v>0</v>
      </c>
      <c r="I266" s="1">
        <v>0</v>
      </c>
      <c r="J266" s="1">
        <v>2.0301999999999998</v>
      </c>
      <c r="K266" s="1">
        <v>1.6479999999999999E-3</v>
      </c>
      <c r="L266" s="1">
        <v>4.4860000000000004E-3</v>
      </c>
      <c r="M266" s="1">
        <v>-0.34572399999999998</v>
      </c>
      <c r="N266" s="1">
        <v>0.93832400000000005</v>
      </c>
      <c r="O266">
        <v>1</v>
      </c>
      <c r="P266">
        <v>0</v>
      </c>
      <c r="Q266">
        <v>1</v>
      </c>
      <c r="R266">
        <v>1</v>
      </c>
      <c r="S266">
        <v>1</v>
      </c>
      <c r="T266" s="1">
        <f>SQRT(POWER(Hybrid[[#This Row],[angvel_X]],2) + POWER(Hybrid[[#This Row],[angvel_Y]],2) + POWER(Hybrid[[#This Row],[angvel_Z]],2))</f>
        <v>2.0301999999999998</v>
      </c>
      <c r="U266">
        <f>DEGREES(ASIN(MAX(-1,MIN(1,2 * (Hybrid[[#This Row],[quart_W]]*Hybrid[[#This Row],[quart_Y]] - Hybrid[[#This Row],[quart_Z]]*Hybrid[[#This Row],[quart_X]])))))</f>
        <v>0.54764994988613558</v>
      </c>
      <c r="V26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130.4524776614918</v>
      </c>
      <c r="W26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90.000522551295333</v>
      </c>
      <c r="X266">
        <f>IF(Hybrid[[#This Row],[Yaw]]&gt;V265,(360-ABS(Hybrid[[#This Row],[Yaw]])-ABS(V265)),ABS(Hybrid[[#This Row],[Yaw]]-V265))</f>
        <v>0.96935353810056313</v>
      </c>
      <c r="Y266">
        <f>Hybrid[[#This Row],[Degree change]]+Y265</f>
        <v>198.69839323187946</v>
      </c>
    </row>
    <row r="267" spans="1:25">
      <c r="A267">
        <v>266</v>
      </c>
      <c r="B267">
        <v>-1534.969971</v>
      </c>
      <c r="C267">
        <v>692.79998799999998</v>
      </c>
      <c r="D267">
        <v>17.010000000000002</v>
      </c>
      <c r="E267">
        <v>1682.130005</v>
      </c>
      <c r="F267">
        <v>-1568.549927</v>
      </c>
      <c r="G267">
        <v>8.09</v>
      </c>
      <c r="H267" s="1">
        <v>0</v>
      </c>
      <c r="I267" s="1">
        <v>0</v>
      </c>
      <c r="J267" s="1">
        <v>2.0301999999999998</v>
      </c>
      <c r="K267" s="1">
        <v>1.6100000000000001E-3</v>
      </c>
      <c r="L267" s="1">
        <v>4.5019999999999999E-3</v>
      </c>
      <c r="M267" s="1">
        <v>-0.33777200000000002</v>
      </c>
      <c r="N267" s="1">
        <v>0.94121600000000005</v>
      </c>
      <c r="O267">
        <v>1</v>
      </c>
      <c r="P267">
        <v>0</v>
      </c>
      <c r="Q267">
        <v>1</v>
      </c>
      <c r="R267">
        <v>1</v>
      </c>
      <c r="S267">
        <v>1</v>
      </c>
      <c r="T267" s="1">
        <f>SQRT(POWER(Hybrid[[#This Row],[angvel_X]],2) + POWER(Hybrid[[#This Row],[angvel_Y]],2) + POWER(Hybrid[[#This Row],[angvel_Z]],2))</f>
        <v>2.0301999999999998</v>
      </c>
      <c r="U267">
        <f>DEGREES(ASIN(MAX(-1,MIN(1,2 * (Hybrid[[#This Row],[quart_W]]*Hybrid[[#This Row],[quart_Y]] - Hybrid[[#This Row],[quart_Z]]*Hybrid[[#This Row],[quart_X]])))))</f>
        <v>0.54788977072685618</v>
      </c>
      <c r="V26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129.48285893173747</v>
      </c>
      <c r="W26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90.000606421504287</v>
      </c>
      <c r="X267">
        <f>IF(Hybrid[[#This Row],[Yaw]]&gt;V266,(360-ABS(Hybrid[[#This Row],[Yaw]])-ABS(V266)),ABS(Hybrid[[#This Row],[Yaw]]-V266))</f>
        <v>0.96961872975433039</v>
      </c>
      <c r="Y267">
        <f>Hybrid[[#This Row],[Degree change]]+Y266</f>
        <v>199.66801196163379</v>
      </c>
    </row>
    <row r="268" spans="1:25">
      <c r="A268">
        <v>267</v>
      </c>
      <c r="B268">
        <v>-1520.900024</v>
      </c>
      <c r="C268">
        <v>679.67999299999997</v>
      </c>
      <c r="D268">
        <v>17.010000000000002</v>
      </c>
      <c r="E268">
        <v>1708.429932</v>
      </c>
      <c r="F268">
        <v>-1539.8599850000001</v>
      </c>
      <c r="G268">
        <v>8.09</v>
      </c>
      <c r="H268" s="1">
        <v>0</v>
      </c>
      <c r="I268" s="1">
        <v>0</v>
      </c>
      <c r="J268" s="1">
        <v>2.0301999999999998</v>
      </c>
      <c r="K268" s="1">
        <v>1.573E-3</v>
      </c>
      <c r="L268" s="1">
        <v>4.5180000000000003E-3</v>
      </c>
      <c r="M268" s="1">
        <v>-0.32979900000000001</v>
      </c>
      <c r="N268" s="1">
        <v>0.94403899999999996</v>
      </c>
      <c r="O268">
        <v>1</v>
      </c>
      <c r="P268">
        <v>0</v>
      </c>
      <c r="Q268">
        <v>1</v>
      </c>
      <c r="R268">
        <v>1</v>
      </c>
      <c r="S268">
        <v>1</v>
      </c>
      <c r="T268" s="1">
        <f>SQRT(POWER(Hybrid[[#This Row],[angvel_X]],2) + POWER(Hybrid[[#This Row],[angvel_Y]],2) + POWER(Hybrid[[#This Row],[angvel_Z]],2))</f>
        <v>2.0301999999999998</v>
      </c>
      <c r="U268">
        <f>DEGREES(ASIN(MAX(-1,MIN(1,2 * (Hybrid[[#This Row],[quart_W]]*Hybrid[[#This Row],[quart_Y]] - Hybrid[[#This Row],[quart_Z]]*Hybrid[[#This Row],[quart_X]])))))</f>
        <v>0.5482077398361197</v>
      </c>
      <c r="V26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128.5136114584302</v>
      </c>
      <c r="W26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90.000579691946442</v>
      </c>
      <c r="X268">
        <f>IF(Hybrid[[#This Row],[Yaw]]&gt;V267,(360-ABS(Hybrid[[#This Row],[Yaw]])-ABS(V267)),ABS(Hybrid[[#This Row],[Yaw]]-V267))</f>
        <v>0.96924747330726291</v>
      </c>
      <c r="Y268">
        <f>Hybrid[[#This Row],[Degree change]]+Y267</f>
        <v>200.63725943494106</v>
      </c>
    </row>
    <row r="269" spans="1:25">
      <c r="A269">
        <v>268</v>
      </c>
      <c r="B269">
        <v>-1506.6099850000001</v>
      </c>
      <c r="C269">
        <v>666.79998799999998</v>
      </c>
      <c r="D269">
        <v>17.010000000000002</v>
      </c>
      <c r="E269">
        <v>1734.23999</v>
      </c>
      <c r="F269">
        <v>-1510.7299800000001</v>
      </c>
      <c r="G269">
        <v>8.09</v>
      </c>
      <c r="H269" s="1">
        <v>0</v>
      </c>
      <c r="I269" s="1">
        <v>0</v>
      </c>
      <c r="J269" s="1">
        <v>2.0301999999999998</v>
      </c>
      <c r="K269" s="1">
        <v>1.5349999999999999E-3</v>
      </c>
      <c r="L269" s="1">
        <v>4.529E-3</v>
      </c>
      <c r="M269" s="1">
        <v>-0.32180399999999998</v>
      </c>
      <c r="N269" s="1">
        <v>0.94679400000000002</v>
      </c>
      <c r="O269">
        <v>1</v>
      </c>
      <c r="P269">
        <v>0</v>
      </c>
      <c r="Q269">
        <v>1</v>
      </c>
      <c r="R269">
        <v>1</v>
      </c>
      <c r="S269">
        <v>1</v>
      </c>
      <c r="T269" s="1">
        <f>SQRT(POWER(Hybrid[[#This Row],[angvel_X]],2) + POWER(Hybrid[[#This Row],[angvel_Y]],2) + POWER(Hybrid[[#This Row],[angvel_Z]],2))</f>
        <v>2.0301999999999998</v>
      </c>
      <c r="U269">
        <f>DEGREES(ASIN(MAX(-1,MIN(1,2 * (Hybrid[[#This Row],[quart_W]]*Hybrid[[#This Row],[quart_Y]] - Hybrid[[#This Row],[quart_Z]]*Hybrid[[#This Row],[quart_X]])))))</f>
        <v>0.54798509394888795</v>
      </c>
      <c r="V26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127.54455740860132</v>
      </c>
      <c r="W26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90.000472313691688</v>
      </c>
      <c r="X269">
        <f>IF(Hybrid[[#This Row],[Yaw]]&gt;V268,(360-ABS(Hybrid[[#This Row],[Yaw]])-ABS(V268)),ABS(Hybrid[[#This Row],[Yaw]]-V268))</f>
        <v>0.96905404982888399</v>
      </c>
      <c r="Y269">
        <f>Hybrid[[#This Row],[Degree change]]+Y268</f>
        <v>201.60631348476994</v>
      </c>
    </row>
    <row r="270" spans="1:25">
      <c r="A270">
        <v>269</v>
      </c>
      <c r="B270">
        <v>-1492.099976</v>
      </c>
      <c r="C270">
        <v>654.169983</v>
      </c>
      <c r="D270">
        <v>17.010000000000002</v>
      </c>
      <c r="E270">
        <v>1759.549927</v>
      </c>
      <c r="F270">
        <v>-1481.169922</v>
      </c>
      <c r="G270">
        <v>8.09</v>
      </c>
      <c r="H270" s="1">
        <v>0</v>
      </c>
      <c r="I270" s="1">
        <v>0</v>
      </c>
      <c r="J270" s="1">
        <v>2.0301999999999998</v>
      </c>
      <c r="K270" s="1">
        <v>1.4970000000000001E-3</v>
      </c>
      <c r="L270" s="1">
        <v>4.5399999999999998E-3</v>
      </c>
      <c r="M270" s="1">
        <v>-0.31378099999999998</v>
      </c>
      <c r="N270" s="1">
        <v>0.94948299999999997</v>
      </c>
      <c r="O270">
        <v>1</v>
      </c>
      <c r="P270">
        <v>0</v>
      </c>
      <c r="Q270">
        <v>1</v>
      </c>
      <c r="R270">
        <v>1</v>
      </c>
      <c r="S270">
        <v>1</v>
      </c>
      <c r="T270" s="1">
        <f>SQRT(POWER(Hybrid[[#This Row],[angvel_X]],2) + POWER(Hybrid[[#This Row],[angvel_Y]],2) + POWER(Hybrid[[#This Row],[angvel_Z]],2))</f>
        <v>2.0301999999999998</v>
      </c>
      <c r="U270">
        <f>DEGREES(ASIN(MAX(-1,MIN(1,2 * (Hybrid[[#This Row],[quart_W]]*Hybrid[[#This Row],[quart_Y]] - Hybrid[[#This Row],[quart_Z]]*Hybrid[[#This Row],[quart_X]])))))</f>
        <v>0.54779988386377665</v>
      </c>
      <c r="V27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126.57490347727006</v>
      </c>
      <c r="W27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90.000365528141842</v>
      </c>
      <c r="X270">
        <f>IF(Hybrid[[#This Row],[Yaw]]&gt;V269,(360-ABS(Hybrid[[#This Row],[Yaw]])-ABS(V269)),ABS(Hybrid[[#This Row],[Yaw]]-V269))</f>
        <v>0.96965393133126554</v>
      </c>
      <c r="Y270">
        <f>Hybrid[[#This Row],[Degree change]]+Y269</f>
        <v>202.57596741610121</v>
      </c>
    </row>
    <row r="271" spans="1:25">
      <c r="A271">
        <v>270</v>
      </c>
      <c r="B271">
        <v>-1477.380005</v>
      </c>
      <c r="C271">
        <v>641.78997800000002</v>
      </c>
      <c r="D271">
        <v>17.010000000000002</v>
      </c>
      <c r="E271">
        <v>1784.3599850000001</v>
      </c>
      <c r="F271">
        <v>-1451.1899410000001</v>
      </c>
      <c r="G271">
        <v>8.09</v>
      </c>
      <c r="H271" s="1">
        <v>0</v>
      </c>
      <c r="I271" s="1">
        <v>0</v>
      </c>
      <c r="J271" s="1">
        <v>2.0301999999999998</v>
      </c>
      <c r="K271" s="1">
        <v>1.459E-3</v>
      </c>
      <c r="L271" s="1">
        <v>4.5510000000000004E-3</v>
      </c>
      <c r="M271" s="1">
        <v>-0.30573800000000001</v>
      </c>
      <c r="N271" s="1">
        <v>0.95210399999999995</v>
      </c>
      <c r="O271">
        <v>1</v>
      </c>
      <c r="P271">
        <v>0</v>
      </c>
      <c r="Q271">
        <v>1</v>
      </c>
      <c r="R271">
        <v>1</v>
      </c>
      <c r="S271">
        <v>1</v>
      </c>
      <c r="T271" s="1">
        <f>SQRT(POWER(Hybrid[[#This Row],[angvel_X]],2) + POWER(Hybrid[[#This Row],[angvel_Y]],2) + POWER(Hybrid[[#This Row],[angvel_Z]],2))</f>
        <v>2.0301999999999998</v>
      </c>
      <c r="U271">
        <f>DEGREES(ASIN(MAX(-1,MIN(1,2 * (Hybrid[[#This Row],[quart_W]]*Hybrid[[#This Row],[quart_Y]] - Hybrid[[#This Row],[quart_Z]]*Hybrid[[#This Row],[quart_X]])))))</f>
        <v>0.54765252029222167</v>
      </c>
      <c r="V27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125.60556885276687</v>
      </c>
      <c r="W27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90.000262873814663</v>
      </c>
      <c r="X271">
        <f>IF(Hybrid[[#This Row],[Yaw]]&gt;V270,(360-ABS(Hybrid[[#This Row],[Yaw]])-ABS(V270)),ABS(Hybrid[[#This Row],[Yaw]]-V270))</f>
        <v>0.96933462450319041</v>
      </c>
      <c r="Y271">
        <f>Hybrid[[#This Row],[Degree change]]+Y270</f>
        <v>203.54530204060438</v>
      </c>
    </row>
    <row r="272" spans="1:25">
      <c r="A272">
        <v>271</v>
      </c>
      <c r="B272">
        <v>-1462.4499510000001</v>
      </c>
      <c r="C272">
        <v>629.65997300000004</v>
      </c>
      <c r="D272">
        <v>17.010000000000002</v>
      </c>
      <c r="E272">
        <v>1808.6599120000001</v>
      </c>
      <c r="F272">
        <v>-1420.7899170000001</v>
      </c>
      <c r="G272">
        <v>8.09</v>
      </c>
      <c r="H272" s="1">
        <v>0</v>
      </c>
      <c r="I272" s="1">
        <v>0</v>
      </c>
      <c r="J272" s="1">
        <v>2.0301999999999998</v>
      </c>
      <c r="K272" s="1">
        <v>1.4220000000000001E-3</v>
      </c>
      <c r="L272" s="1">
        <v>4.561E-3</v>
      </c>
      <c r="M272" s="1">
        <v>-0.29767300000000002</v>
      </c>
      <c r="N272" s="1">
        <v>0.95465599999999995</v>
      </c>
      <c r="O272">
        <v>1</v>
      </c>
      <c r="P272">
        <v>0</v>
      </c>
      <c r="Q272">
        <v>1</v>
      </c>
      <c r="R272">
        <v>1</v>
      </c>
      <c r="S272">
        <v>1</v>
      </c>
      <c r="T272" s="1">
        <f>SQRT(POWER(Hybrid[[#This Row],[angvel_X]],2) + POWER(Hybrid[[#This Row],[angvel_Y]],2) + POWER(Hybrid[[#This Row],[angvel_Z]],2))</f>
        <v>2.0301999999999998</v>
      </c>
      <c r="U272">
        <f>DEGREES(ASIN(MAX(-1,MIN(1,2 * (Hybrid[[#This Row],[quart_W]]*Hybrid[[#This Row],[quart_Y]] - Hybrid[[#This Row],[quart_Z]]*Hybrid[[#This Row],[quart_X]])))))</f>
        <v>0.54746687073869693</v>
      </c>
      <c r="V27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124.63619278366338</v>
      </c>
      <c r="W27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90.000018991094692</v>
      </c>
      <c r="X272">
        <f>IF(Hybrid[[#This Row],[Yaw]]&gt;V271,(360-ABS(Hybrid[[#This Row],[Yaw]])-ABS(V271)),ABS(Hybrid[[#This Row],[Yaw]]-V271))</f>
        <v>0.96937606910348961</v>
      </c>
      <c r="Y272">
        <f>Hybrid[[#This Row],[Degree change]]+Y271</f>
        <v>204.51467810970786</v>
      </c>
    </row>
    <row r="273" spans="1:25">
      <c r="A273">
        <v>272</v>
      </c>
      <c r="B273">
        <v>-1447.3199460000001</v>
      </c>
      <c r="C273">
        <v>617.77996800000005</v>
      </c>
      <c r="D273">
        <v>17.010000000000002</v>
      </c>
      <c r="E273">
        <v>1832.4399410000001</v>
      </c>
      <c r="F273">
        <v>-1389.98999</v>
      </c>
      <c r="G273">
        <v>8.09</v>
      </c>
      <c r="H273" s="1">
        <v>0</v>
      </c>
      <c r="I273" s="1">
        <v>0</v>
      </c>
      <c r="J273" s="1">
        <v>2.0301999999999998</v>
      </c>
      <c r="K273" s="1">
        <v>1.384E-3</v>
      </c>
      <c r="L273" s="1">
        <v>4.5719999999999997E-3</v>
      </c>
      <c r="M273" s="1">
        <v>-0.28958600000000001</v>
      </c>
      <c r="N273" s="1">
        <v>0.95713999999999999</v>
      </c>
      <c r="O273">
        <v>1</v>
      </c>
      <c r="P273">
        <v>0</v>
      </c>
      <c r="Q273">
        <v>1</v>
      </c>
      <c r="R273">
        <v>1</v>
      </c>
      <c r="S273">
        <v>1</v>
      </c>
      <c r="T273" s="1">
        <f>SQRT(POWER(Hybrid[[#This Row],[angvel_X]],2) + POWER(Hybrid[[#This Row],[angvel_Y]],2) + POWER(Hybrid[[#This Row],[angvel_Z]],2))</f>
        <v>2.0301999999999998</v>
      </c>
      <c r="U273">
        <f>DEGREES(ASIN(MAX(-1,MIN(1,2 * (Hybrid[[#This Row],[quart_W]]*Hybrid[[#This Row],[quart_Y]] - Hybrid[[#This Row],[quart_Z]]*Hybrid[[#This Row],[quart_X]])))))</f>
        <v>0.54739285060954035</v>
      </c>
      <c r="V27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123.6667371624261</v>
      </c>
      <c r="W27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89.999920404737523</v>
      </c>
      <c r="X273">
        <f>IF(Hybrid[[#This Row],[Yaw]]&gt;V272,(360-ABS(Hybrid[[#This Row],[Yaw]])-ABS(V272)),ABS(Hybrid[[#This Row],[Yaw]]-V272))</f>
        <v>0.96945562123727314</v>
      </c>
      <c r="Y273">
        <f>Hybrid[[#This Row],[Degree change]]+Y272</f>
        <v>205.48413373094513</v>
      </c>
    </row>
    <row r="274" spans="1:25">
      <c r="A274">
        <v>273</v>
      </c>
      <c r="B274">
        <v>-1431.98999</v>
      </c>
      <c r="C274">
        <v>606.15997300000004</v>
      </c>
      <c r="D274">
        <v>17.010000000000002</v>
      </c>
      <c r="E274">
        <v>1855.6899410000001</v>
      </c>
      <c r="F274">
        <v>-1358.7899170000001</v>
      </c>
      <c r="G274">
        <v>8.09</v>
      </c>
      <c r="H274" s="1">
        <v>0</v>
      </c>
      <c r="I274" s="1">
        <v>0</v>
      </c>
      <c r="J274" s="1">
        <v>2.0301999999999998</v>
      </c>
      <c r="K274" s="1">
        <v>1.346E-3</v>
      </c>
      <c r="L274" s="1">
        <v>4.5830000000000003E-3</v>
      </c>
      <c r="M274" s="1">
        <v>-0.28147699999999998</v>
      </c>
      <c r="N274" s="1">
        <v>0.95955599999999996</v>
      </c>
      <c r="O274">
        <v>1</v>
      </c>
      <c r="P274">
        <v>0</v>
      </c>
      <c r="Q274">
        <v>1</v>
      </c>
      <c r="R274">
        <v>1</v>
      </c>
      <c r="S274">
        <v>1</v>
      </c>
      <c r="T274" s="1">
        <f>SQRT(POWER(Hybrid[[#This Row],[angvel_X]],2) + POWER(Hybrid[[#This Row],[angvel_Y]],2) + POWER(Hybrid[[#This Row],[angvel_Z]],2))</f>
        <v>2.0301999999999998</v>
      </c>
      <c r="U274">
        <f>DEGREES(ASIN(MAX(-1,MIN(1,2 * (Hybrid[[#This Row],[quart_W]]*Hybrid[[#This Row],[quart_Y]] - Hybrid[[#This Row],[quart_Z]]*Hybrid[[#This Row],[quart_X]])))))</f>
        <v>0.54735641868610108</v>
      </c>
      <c r="V27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122.6971332234278</v>
      </c>
      <c r="W27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89.999821998527821</v>
      </c>
      <c r="X274">
        <f>IF(Hybrid[[#This Row],[Yaw]]&gt;V273,(360-ABS(Hybrid[[#This Row],[Yaw]])-ABS(V273)),ABS(Hybrid[[#This Row],[Yaw]]-V273))</f>
        <v>0.96960393899830422</v>
      </c>
      <c r="Y274">
        <f>Hybrid[[#This Row],[Degree change]]+Y273</f>
        <v>206.45373766994345</v>
      </c>
    </row>
    <row r="275" spans="1:25">
      <c r="A275">
        <v>274</v>
      </c>
      <c r="B275">
        <v>-1416.469971</v>
      </c>
      <c r="C275">
        <v>594.79998799999998</v>
      </c>
      <c r="D275">
        <v>17.010000000000002</v>
      </c>
      <c r="E275">
        <v>1878.419922</v>
      </c>
      <c r="F275">
        <v>-1327.1999510000001</v>
      </c>
      <c r="G275">
        <v>8.09</v>
      </c>
      <c r="H275" s="1">
        <v>0</v>
      </c>
      <c r="I275" s="1">
        <v>0</v>
      </c>
      <c r="J275" s="1">
        <v>2.0301999999999998</v>
      </c>
      <c r="K275" s="1">
        <v>1.3079999999999999E-3</v>
      </c>
      <c r="L275" s="1">
        <v>4.594E-3</v>
      </c>
      <c r="M275" s="1">
        <v>-0.27335300000000001</v>
      </c>
      <c r="N275" s="1">
        <v>0.96190200000000003</v>
      </c>
      <c r="O275">
        <v>1</v>
      </c>
      <c r="P275">
        <v>0</v>
      </c>
      <c r="Q275">
        <v>1</v>
      </c>
      <c r="R275">
        <v>1</v>
      </c>
      <c r="S275">
        <v>1</v>
      </c>
      <c r="T275" s="1">
        <f>SQRT(POWER(Hybrid[[#This Row],[angvel_X]],2) + POWER(Hybrid[[#This Row],[angvel_Y]],2) + POWER(Hybrid[[#This Row],[angvel_Z]],2))</f>
        <v>2.0301999999999998</v>
      </c>
      <c r="U275">
        <f>DEGREES(ASIN(MAX(-1,MIN(1,2 * (Hybrid[[#This Row],[quart_W]]*Hybrid[[#This Row],[quart_Y]] - Hybrid[[#This Row],[quart_Z]]*Hybrid[[#This Row],[quart_X]])))))</f>
        <v>0.54735760155414925</v>
      </c>
      <c r="V27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121.72814754121057</v>
      </c>
      <c r="W27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89.999726785900876</v>
      </c>
      <c r="X275">
        <f>IF(Hybrid[[#This Row],[Yaw]]&gt;V274,(360-ABS(Hybrid[[#This Row],[Yaw]])-ABS(V274)),ABS(Hybrid[[#This Row],[Yaw]]-V274))</f>
        <v>0.96898568221722314</v>
      </c>
      <c r="Y275">
        <f>Hybrid[[#This Row],[Degree change]]+Y274</f>
        <v>207.42272335216069</v>
      </c>
    </row>
    <row r="276" spans="1:25">
      <c r="A276">
        <v>275</v>
      </c>
      <c r="B276">
        <v>-1400.76001</v>
      </c>
      <c r="C276">
        <v>583.70001200000002</v>
      </c>
      <c r="D276">
        <v>17.010000000000002</v>
      </c>
      <c r="E276">
        <v>1900.599976</v>
      </c>
      <c r="F276">
        <v>-1295.2299800000001</v>
      </c>
      <c r="G276">
        <v>8.09</v>
      </c>
      <c r="H276" s="1">
        <v>0</v>
      </c>
      <c r="I276" s="1">
        <v>0</v>
      </c>
      <c r="J276" s="1">
        <v>2.0301999999999998</v>
      </c>
      <c r="K276" s="1">
        <v>1.2700000000000001E-3</v>
      </c>
      <c r="L276" s="1">
        <v>4.6039999999999996E-3</v>
      </c>
      <c r="M276" s="1">
        <v>-0.265206</v>
      </c>
      <c r="N276" s="1">
        <v>0.96418000000000004</v>
      </c>
      <c r="O276">
        <v>1</v>
      </c>
      <c r="P276">
        <v>0</v>
      </c>
      <c r="Q276">
        <v>1</v>
      </c>
      <c r="R276">
        <v>1</v>
      </c>
      <c r="S276">
        <v>1</v>
      </c>
      <c r="T276" s="1">
        <f>SQRT(POWER(Hybrid[[#This Row],[angvel_X]],2) + POWER(Hybrid[[#This Row],[angvel_Y]],2) + POWER(Hybrid[[#This Row],[angvel_Z]],2))</f>
        <v>2.0301999999999998</v>
      </c>
      <c r="U276">
        <f>DEGREES(ASIN(MAX(-1,MIN(1,2 * (Hybrid[[#This Row],[quart_W]]*Hybrid[[#This Row],[quart_Y]] - Hybrid[[#This Row],[quart_Z]]*Hybrid[[#This Row],[quart_X]])))))</f>
        <v>0.54728572965770739</v>
      </c>
      <c r="V27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120.75874639025248</v>
      </c>
      <c r="W27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89.999598891076943</v>
      </c>
      <c r="X276">
        <f>IF(Hybrid[[#This Row],[Yaw]]&gt;V275,(360-ABS(Hybrid[[#This Row],[Yaw]])-ABS(V275)),ABS(Hybrid[[#This Row],[Yaw]]-V275))</f>
        <v>0.96940115095809176</v>
      </c>
      <c r="Y276">
        <f>Hybrid[[#This Row],[Degree change]]+Y275</f>
        <v>208.39212450311879</v>
      </c>
    </row>
    <row r="277" spans="1:25">
      <c r="A277">
        <v>276</v>
      </c>
      <c r="B277">
        <v>-1384.8599850000001</v>
      </c>
      <c r="C277">
        <v>572.86999500000002</v>
      </c>
      <c r="D277">
        <v>17.010000000000002</v>
      </c>
      <c r="E277">
        <v>1922.23999</v>
      </c>
      <c r="F277">
        <v>-1262.8900149999999</v>
      </c>
      <c r="G277">
        <v>8.09</v>
      </c>
      <c r="H277" s="1">
        <v>0</v>
      </c>
      <c r="I277" s="1">
        <v>0</v>
      </c>
      <c r="J277" s="1">
        <v>2.0301999999999998</v>
      </c>
      <c r="K277" s="1">
        <v>1.2329999999999999E-3</v>
      </c>
      <c r="L277" s="1">
        <v>4.6150000000000002E-3</v>
      </c>
      <c r="M277" s="1">
        <v>-0.25703900000000002</v>
      </c>
      <c r="N277" s="1">
        <v>0.96638900000000005</v>
      </c>
      <c r="O277">
        <v>1</v>
      </c>
      <c r="P277">
        <v>0</v>
      </c>
      <c r="Q277">
        <v>1</v>
      </c>
      <c r="R277">
        <v>1</v>
      </c>
      <c r="S277">
        <v>1</v>
      </c>
      <c r="T277" s="1">
        <f>SQRT(POWER(Hybrid[[#This Row],[angvel_X]],2) + POWER(Hybrid[[#This Row],[angvel_Y]],2) + POWER(Hybrid[[#This Row],[angvel_Z]],2))</f>
        <v>2.0301999999999998</v>
      </c>
      <c r="U277">
        <f>DEGREES(ASIN(MAX(-1,MIN(1,2 * (Hybrid[[#This Row],[quart_W]]*Hybrid[[#This Row],[quart_Y]] - Hybrid[[#This Row],[quart_Z]]*Hybrid[[#This Row],[quart_X]])))))</f>
        <v>0.54739092744622919</v>
      </c>
      <c r="V27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119.78921736013498</v>
      </c>
      <c r="W27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89.999390041172489</v>
      </c>
      <c r="X277">
        <f>IF(Hybrid[[#This Row],[Yaw]]&gt;V276,(360-ABS(Hybrid[[#This Row],[Yaw]])-ABS(V276)),ABS(Hybrid[[#This Row],[Yaw]]-V276))</f>
        <v>0.96952903011749925</v>
      </c>
      <c r="Y277">
        <f>Hybrid[[#This Row],[Degree change]]+Y276</f>
        <v>209.36165353323628</v>
      </c>
    </row>
    <row r="278" spans="1:25">
      <c r="A278">
        <v>277</v>
      </c>
      <c r="B278">
        <v>-1368.780029</v>
      </c>
      <c r="C278">
        <v>562.30999799999995</v>
      </c>
      <c r="D278">
        <v>17.010000000000002</v>
      </c>
      <c r="E278">
        <v>1943.329956</v>
      </c>
      <c r="F278">
        <v>-1230.1899410000001</v>
      </c>
      <c r="G278">
        <v>8.09</v>
      </c>
      <c r="H278" s="1">
        <v>0</v>
      </c>
      <c r="I278" s="1">
        <v>0</v>
      </c>
      <c r="J278" s="1">
        <v>2.0301999999999998</v>
      </c>
      <c r="K278" s="1">
        <v>1.1950000000000001E-3</v>
      </c>
      <c r="L278" s="1">
        <v>4.6259999999999999E-3</v>
      </c>
      <c r="M278" s="1">
        <v>-0.24885499999999999</v>
      </c>
      <c r="N278" s="1">
        <v>0.96852899999999997</v>
      </c>
      <c r="O278">
        <v>1</v>
      </c>
      <c r="P278">
        <v>0</v>
      </c>
      <c r="Q278">
        <v>1</v>
      </c>
      <c r="R278">
        <v>1</v>
      </c>
      <c r="S278">
        <v>1</v>
      </c>
      <c r="T278" s="1">
        <f>SQRT(POWER(Hybrid[[#This Row],[angvel_X]],2) + POWER(Hybrid[[#This Row],[angvel_Y]],2) + POWER(Hybrid[[#This Row],[angvel_Z]],2))</f>
        <v>2.0301999999999998</v>
      </c>
      <c r="U278">
        <f>DEGREES(ASIN(MAX(-1,MIN(1,2 * (Hybrid[[#This Row],[quart_W]]*Hybrid[[#This Row],[quart_Y]] - Hybrid[[#This Row],[quart_Z]]*Hybrid[[#This Row],[quart_X]])))))</f>
        <v>0.5475035253243723</v>
      </c>
      <c r="V27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118.81986815600007</v>
      </c>
      <c r="W27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89.999290769055079</v>
      </c>
      <c r="X278">
        <f>IF(Hybrid[[#This Row],[Yaw]]&gt;V277,(360-ABS(Hybrid[[#This Row],[Yaw]])-ABS(V277)),ABS(Hybrid[[#This Row],[Yaw]]-V277))</f>
        <v>0.96934920413491454</v>
      </c>
      <c r="Y278">
        <f>Hybrid[[#This Row],[Degree change]]+Y277</f>
        <v>210.33100273737119</v>
      </c>
    </row>
    <row r="279" spans="1:25">
      <c r="A279">
        <v>278</v>
      </c>
      <c r="B279">
        <v>-1352.530029</v>
      </c>
      <c r="C279">
        <v>552.02996800000005</v>
      </c>
      <c r="D279">
        <v>17.010000000000002</v>
      </c>
      <c r="E279">
        <v>1963.869995</v>
      </c>
      <c r="F279">
        <v>-1197.1400149999999</v>
      </c>
      <c r="G279">
        <v>8.09</v>
      </c>
      <c r="H279" s="1">
        <v>0</v>
      </c>
      <c r="I279" s="1">
        <v>0</v>
      </c>
      <c r="J279" s="1">
        <v>2.0301999999999998</v>
      </c>
      <c r="K279" s="1">
        <v>1.157E-3</v>
      </c>
      <c r="L279" s="1">
        <v>4.6369999999999996E-3</v>
      </c>
      <c r="M279" s="1">
        <v>-0.24065500000000001</v>
      </c>
      <c r="N279" s="1">
        <v>0.97059899999999999</v>
      </c>
      <c r="O279">
        <v>1</v>
      </c>
      <c r="P279">
        <v>0</v>
      </c>
      <c r="Q279">
        <v>1</v>
      </c>
      <c r="R279">
        <v>1</v>
      </c>
      <c r="S279">
        <v>1</v>
      </c>
      <c r="T279" s="1">
        <f>SQRT(POWER(Hybrid[[#This Row],[angvel_X]],2) + POWER(Hybrid[[#This Row],[angvel_Y]],2) + POWER(Hybrid[[#This Row],[angvel_Z]],2))</f>
        <v>2.0301999999999998</v>
      </c>
      <c r="U279">
        <f>DEGREES(ASIN(MAX(-1,MIN(1,2 * (Hybrid[[#This Row],[quart_W]]*Hybrid[[#This Row],[quart_Y]] - Hybrid[[#This Row],[quart_Z]]*Hybrid[[#This Row],[quart_X]])))))</f>
        <v>0.54765347740464421</v>
      </c>
      <c r="V27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117.85072612707656</v>
      </c>
      <c r="W27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89.999190281056912</v>
      </c>
      <c r="X279">
        <f>IF(Hybrid[[#This Row],[Yaw]]&gt;V278,(360-ABS(Hybrid[[#This Row],[Yaw]])-ABS(V278)),ABS(Hybrid[[#This Row],[Yaw]]-V278))</f>
        <v>0.96914202892351398</v>
      </c>
      <c r="Y279">
        <f>Hybrid[[#This Row],[Degree change]]+Y278</f>
        <v>211.30014476629469</v>
      </c>
    </row>
    <row r="280" spans="1:25">
      <c r="A280">
        <v>279</v>
      </c>
      <c r="B280">
        <v>-1336.099976</v>
      </c>
      <c r="C280">
        <v>542.01995799999997</v>
      </c>
      <c r="D280">
        <v>17.010000000000002</v>
      </c>
      <c r="E280">
        <v>1983.839966</v>
      </c>
      <c r="F280">
        <v>-1163.73999</v>
      </c>
      <c r="G280">
        <v>8.09</v>
      </c>
      <c r="H280" s="1">
        <v>0</v>
      </c>
      <c r="I280" s="1">
        <v>0</v>
      </c>
      <c r="J280" s="1">
        <v>2.0301999999999998</v>
      </c>
      <c r="K280" s="1">
        <v>1.119E-3</v>
      </c>
      <c r="L280" s="1">
        <v>4.6480000000000002E-3</v>
      </c>
      <c r="M280" s="1">
        <v>-0.232433</v>
      </c>
      <c r="N280" s="1">
        <v>0.97260100000000005</v>
      </c>
      <c r="O280">
        <v>1</v>
      </c>
      <c r="P280">
        <v>0</v>
      </c>
      <c r="Q280">
        <v>1</v>
      </c>
      <c r="R280">
        <v>1</v>
      </c>
      <c r="S280">
        <v>1</v>
      </c>
      <c r="T280" s="1">
        <f>SQRT(POWER(Hybrid[[#This Row],[angvel_X]],2) + POWER(Hybrid[[#This Row],[angvel_Y]],2) + POWER(Hybrid[[#This Row],[angvel_Z]],2))</f>
        <v>2.0301999999999998</v>
      </c>
      <c r="U280">
        <f>DEGREES(ASIN(MAX(-1,MIN(1,2 * (Hybrid[[#This Row],[quart_W]]*Hybrid[[#This Row],[quart_Y]] - Hybrid[[#This Row],[quart_Z]]*Hybrid[[#This Row],[quart_X]])))))</f>
        <v>0.54784102388473677</v>
      </c>
      <c r="V28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116.88102678516836</v>
      </c>
      <c r="W28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89.999084149843341</v>
      </c>
      <c r="X280">
        <f>IF(Hybrid[[#This Row],[Yaw]]&gt;V279,(360-ABS(Hybrid[[#This Row],[Yaw]])-ABS(V279)),ABS(Hybrid[[#This Row],[Yaw]]-V279))</f>
        <v>0.96969934190819629</v>
      </c>
      <c r="Y280">
        <f>Hybrid[[#This Row],[Degree change]]+Y279</f>
        <v>212.2698441082029</v>
      </c>
    </row>
    <row r="281" spans="1:25">
      <c r="A281">
        <v>280</v>
      </c>
      <c r="B281">
        <v>-1319.51001</v>
      </c>
      <c r="C281">
        <v>532.28997800000002</v>
      </c>
      <c r="D281">
        <v>17.010000000000002</v>
      </c>
      <c r="E281">
        <v>2003.23999</v>
      </c>
      <c r="F281">
        <v>-1130.01001</v>
      </c>
      <c r="G281">
        <v>8.09</v>
      </c>
      <c r="H281" s="1">
        <v>0</v>
      </c>
      <c r="I281" s="1">
        <v>0</v>
      </c>
      <c r="J281" s="1">
        <v>2.0301999999999998</v>
      </c>
      <c r="K281" s="1">
        <v>1.0820000000000001E-3</v>
      </c>
      <c r="L281" s="1">
        <v>4.6579999999999998E-3</v>
      </c>
      <c r="M281" s="1">
        <v>-0.22419500000000001</v>
      </c>
      <c r="N281" s="1">
        <v>0.97453199999999995</v>
      </c>
      <c r="O281">
        <v>1</v>
      </c>
      <c r="P281">
        <v>0</v>
      </c>
      <c r="Q281">
        <v>1</v>
      </c>
      <c r="R281">
        <v>1</v>
      </c>
      <c r="S281">
        <v>1</v>
      </c>
      <c r="T281" s="1">
        <f>SQRT(POWER(Hybrid[[#This Row],[angvel_X]],2) + POWER(Hybrid[[#This Row],[angvel_Y]],2) + POWER(Hybrid[[#This Row],[angvel_Z]],2))</f>
        <v>2.0301999999999998</v>
      </c>
      <c r="U281">
        <f>DEGREES(ASIN(MAX(-1,MIN(1,2 * (Hybrid[[#This Row],[quart_W]]*Hybrid[[#This Row],[quart_Y]] - Hybrid[[#This Row],[quart_Z]]*Hybrid[[#This Row],[quart_X]])))))</f>
        <v>0.54797935035726297</v>
      </c>
      <c r="V28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115.91137422833607</v>
      </c>
      <c r="W28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89.998837608672801</v>
      </c>
      <c r="X281">
        <f>IF(Hybrid[[#This Row],[Yaw]]&gt;V280,(360-ABS(Hybrid[[#This Row],[Yaw]])-ABS(V280)),ABS(Hybrid[[#This Row],[Yaw]]-V280))</f>
        <v>0.9696525568322869</v>
      </c>
      <c r="Y281">
        <f>Hybrid[[#This Row],[Degree change]]+Y280</f>
        <v>213.23949666503518</v>
      </c>
    </row>
    <row r="282" spans="1:25">
      <c r="A282">
        <v>281</v>
      </c>
      <c r="B282">
        <v>-1302.75</v>
      </c>
      <c r="C282">
        <v>522.839966</v>
      </c>
      <c r="D282">
        <v>17.010000000000002</v>
      </c>
      <c r="E282">
        <v>2022.079956</v>
      </c>
      <c r="F282">
        <v>-1095.9499510000001</v>
      </c>
      <c r="G282">
        <v>8.09</v>
      </c>
      <c r="H282" s="1">
        <v>0</v>
      </c>
      <c r="I282" s="1">
        <v>0</v>
      </c>
      <c r="J282" s="1">
        <v>2.0301999999999998</v>
      </c>
      <c r="K282" s="1">
        <v>1.044E-3</v>
      </c>
      <c r="L282" s="1">
        <v>4.6690000000000004E-3</v>
      </c>
      <c r="M282" s="1">
        <v>-0.21594099999999999</v>
      </c>
      <c r="N282" s="1">
        <v>0.97639500000000001</v>
      </c>
      <c r="O282">
        <v>1</v>
      </c>
      <c r="P282">
        <v>0</v>
      </c>
      <c r="Q282">
        <v>1</v>
      </c>
      <c r="R282">
        <v>1</v>
      </c>
      <c r="S282">
        <v>1</v>
      </c>
      <c r="T282" s="1">
        <f>SQRT(POWER(Hybrid[[#This Row],[angvel_X]],2) + POWER(Hybrid[[#This Row],[angvel_Y]],2) + POWER(Hybrid[[#This Row],[angvel_Z]],2))</f>
        <v>2.0301999999999998</v>
      </c>
      <c r="U282">
        <f>DEGREES(ASIN(MAX(-1,MIN(1,2 * (Hybrid[[#This Row],[quart_W]]*Hybrid[[#This Row],[quart_Y]] - Hybrid[[#This Row],[quart_Z]]*Hybrid[[#This Row],[quart_X]])))))</f>
        <v>0.54824081591189233</v>
      </c>
      <c r="V28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114.94176995793276</v>
      </c>
      <c r="W28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89.998724783827399</v>
      </c>
      <c r="X282">
        <f>IF(Hybrid[[#This Row],[Yaw]]&gt;V281,(360-ABS(Hybrid[[#This Row],[Yaw]])-ABS(V281)),ABS(Hybrid[[#This Row],[Yaw]]-V281))</f>
        <v>0.96960427040330899</v>
      </c>
      <c r="Y282">
        <f>Hybrid[[#This Row],[Degree change]]+Y281</f>
        <v>214.20910093543847</v>
      </c>
    </row>
    <row r="283" spans="1:25">
      <c r="A283">
        <v>282</v>
      </c>
      <c r="B283">
        <v>-1285.839966</v>
      </c>
      <c r="C283">
        <v>513.67999299999997</v>
      </c>
      <c r="D283">
        <v>17.010000000000002</v>
      </c>
      <c r="E283">
        <v>2040.329956</v>
      </c>
      <c r="F283">
        <v>-1061.579956</v>
      </c>
      <c r="G283">
        <v>8.09</v>
      </c>
      <c r="H283" s="1">
        <v>0</v>
      </c>
      <c r="I283" s="1">
        <v>0</v>
      </c>
      <c r="J283" s="1">
        <v>2.0301999999999998</v>
      </c>
      <c r="K283" s="1">
        <v>1.0059999999999999E-3</v>
      </c>
      <c r="L283" s="1">
        <v>4.6800000000000001E-3</v>
      </c>
      <c r="M283" s="1">
        <v>-0.207676</v>
      </c>
      <c r="N283" s="1">
        <v>0.978186</v>
      </c>
      <c r="O283">
        <v>1</v>
      </c>
      <c r="P283">
        <v>0</v>
      </c>
      <c r="Q283">
        <v>1</v>
      </c>
      <c r="R283">
        <v>1</v>
      </c>
      <c r="S283">
        <v>1</v>
      </c>
      <c r="T283" s="1">
        <f>SQRT(POWER(Hybrid[[#This Row],[angvel_X]],2) + POWER(Hybrid[[#This Row],[angvel_Y]],2) + POWER(Hybrid[[#This Row],[angvel_Z]],2))</f>
        <v>2.0301999999999998</v>
      </c>
      <c r="U283">
        <f>DEGREES(ASIN(MAX(-1,MIN(1,2 * (Hybrid[[#This Row],[quart_W]]*Hybrid[[#This Row],[quart_Y]] - Hybrid[[#This Row],[quart_Z]]*Hybrid[[#This Row],[quart_X]])))))</f>
        <v>0.54853898271085189</v>
      </c>
      <c r="V28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113.9726621907417</v>
      </c>
      <c r="W28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89.998609776123416</v>
      </c>
      <c r="X283">
        <f>IF(Hybrid[[#This Row],[Yaw]]&gt;V282,(360-ABS(Hybrid[[#This Row],[Yaw]])-ABS(V282)),ABS(Hybrid[[#This Row],[Yaw]]-V282))</f>
        <v>0.96910776719106195</v>
      </c>
      <c r="Y283">
        <f>Hybrid[[#This Row],[Degree change]]+Y282</f>
        <v>215.17820870262955</v>
      </c>
    </row>
    <row r="284" spans="1:25">
      <c r="A284">
        <v>283</v>
      </c>
      <c r="B284">
        <v>-1268.7700199999999</v>
      </c>
      <c r="C284">
        <v>504.80999800000001</v>
      </c>
      <c r="D284">
        <v>17.010000000000002</v>
      </c>
      <c r="E284">
        <v>2058</v>
      </c>
      <c r="F284">
        <v>-1026.910034</v>
      </c>
      <c r="G284">
        <v>8.09</v>
      </c>
      <c r="H284" s="1">
        <v>-1E-4</v>
      </c>
      <c r="I284" s="1">
        <v>0</v>
      </c>
      <c r="J284" s="1">
        <v>2.0301999999999998</v>
      </c>
      <c r="K284" s="1">
        <v>9.68E-4</v>
      </c>
      <c r="L284" s="1">
        <v>4.6909999999999999E-3</v>
      </c>
      <c r="M284" s="1">
        <v>-0.19939499999999999</v>
      </c>
      <c r="N284" s="1">
        <v>0.97990699999999997</v>
      </c>
      <c r="O284">
        <v>1</v>
      </c>
      <c r="P284">
        <v>0</v>
      </c>
      <c r="Q284">
        <v>1</v>
      </c>
      <c r="R284">
        <v>1</v>
      </c>
      <c r="S284">
        <v>1</v>
      </c>
      <c r="T284" s="1">
        <f>SQRT(POWER(Hybrid[[#This Row],[angvel_X]],2) + POWER(Hybrid[[#This Row],[angvel_Y]],2) + POWER(Hybrid[[#This Row],[angvel_Z]],2))</f>
        <v>2.0302000024628115</v>
      </c>
      <c r="U284">
        <f>DEGREES(ASIN(MAX(-1,MIN(1,2 * (Hybrid[[#This Row],[quart_W]]*Hybrid[[#This Row],[quart_Y]] - Hybrid[[#This Row],[quart_Z]]*Hybrid[[#This Row],[quart_X]])))))</f>
        <v>0.54887424268074936</v>
      </c>
      <c r="V28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113.00341494498583</v>
      </c>
      <c r="W28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89.998488693621269</v>
      </c>
      <c r="X284">
        <f>IF(Hybrid[[#This Row],[Yaw]]&gt;V283,(360-ABS(Hybrid[[#This Row],[Yaw]])-ABS(V283)),ABS(Hybrid[[#This Row],[Yaw]]-V283))</f>
        <v>0.96924724575586652</v>
      </c>
      <c r="Y284">
        <f>Hybrid[[#This Row],[Degree change]]+Y283</f>
        <v>216.14745594838541</v>
      </c>
    </row>
    <row r="285" spans="1:25">
      <c r="A285">
        <v>284</v>
      </c>
      <c r="B285">
        <v>-1251.559937</v>
      </c>
      <c r="C285">
        <v>496.22998000000001</v>
      </c>
      <c r="D285">
        <v>17.010000000000002</v>
      </c>
      <c r="E285">
        <v>2075.0798340000001</v>
      </c>
      <c r="F285">
        <v>-991.94000200000005</v>
      </c>
      <c r="G285">
        <v>8.09</v>
      </c>
      <c r="H285" s="1">
        <v>-2.0000000000000001E-4</v>
      </c>
      <c r="I285" s="1">
        <v>0</v>
      </c>
      <c r="J285" s="1">
        <v>2.0301999999999998</v>
      </c>
      <c r="K285" s="1">
        <v>9.3099999999999997E-4</v>
      </c>
      <c r="L285" s="1">
        <v>4.6959999999999997E-3</v>
      </c>
      <c r="M285" s="1">
        <v>-0.19109799999999999</v>
      </c>
      <c r="N285" s="1">
        <v>0.98155899999999996</v>
      </c>
      <c r="O285">
        <v>1</v>
      </c>
      <c r="P285">
        <v>0</v>
      </c>
      <c r="Q285">
        <v>1</v>
      </c>
      <c r="R285">
        <v>1</v>
      </c>
      <c r="S285">
        <v>1</v>
      </c>
      <c r="T285" s="1">
        <f>SQRT(POWER(Hybrid[[#This Row],[angvel_X]],2) + POWER(Hybrid[[#This Row],[angvel_Y]],2) + POWER(Hybrid[[#This Row],[angvel_Z]],2))</f>
        <v>2.0302000098512458</v>
      </c>
      <c r="U285">
        <f>DEGREES(ASIN(MAX(-1,MIN(1,2 * (Hybrid[[#This Row],[quart_W]]*Hybrid[[#This Row],[quart_Y]] - Hybrid[[#This Row],[quart_Z]]*Hybrid[[#This Row],[quart_X]])))))</f>
        <v>0.54859407696146356</v>
      </c>
      <c r="V28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112.03397911014726</v>
      </c>
      <c r="W28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89.998116576070302</v>
      </c>
      <c r="X285">
        <f>IF(Hybrid[[#This Row],[Yaw]]&gt;V284,(360-ABS(Hybrid[[#This Row],[Yaw]])-ABS(V284)),ABS(Hybrid[[#This Row],[Yaw]]-V284))</f>
        <v>0.96943583483857765</v>
      </c>
      <c r="Y285">
        <f>Hybrid[[#This Row],[Degree change]]+Y284</f>
        <v>217.11689178322399</v>
      </c>
    </row>
    <row r="286" spans="1:25">
      <c r="A286">
        <v>285</v>
      </c>
      <c r="B286">
        <v>-1234.1999510000001</v>
      </c>
      <c r="C286">
        <v>487.94000199999999</v>
      </c>
      <c r="D286">
        <v>17.010000000000002</v>
      </c>
      <c r="E286">
        <v>2091.570068</v>
      </c>
      <c r="F286">
        <v>-956.69000200000005</v>
      </c>
      <c r="G286">
        <v>8.09</v>
      </c>
      <c r="H286" s="1">
        <v>-2.0000000000000001E-4</v>
      </c>
      <c r="I286" s="1">
        <v>0</v>
      </c>
      <c r="J286" s="1">
        <v>2.0301999999999998</v>
      </c>
      <c r="K286" s="1">
        <v>8.8699999999999998E-4</v>
      </c>
      <c r="L286" s="1">
        <v>4.7019999999999996E-3</v>
      </c>
      <c r="M286" s="1">
        <v>-0.18279000000000001</v>
      </c>
      <c r="N286" s="1">
        <v>0.98314000000000001</v>
      </c>
      <c r="O286">
        <v>1</v>
      </c>
      <c r="P286">
        <v>0</v>
      </c>
      <c r="Q286">
        <v>1</v>
      </c>
      <c r="R286">
        <v>1</v>
      </c>
      <c r="S286">
        <v>1</v>
      </c>
      <c r="T286" s="1">
        <f>SQRT(POWER(Hybrid[[#This Row],[angvel_X]],2) + POWER(Hybrid[[#This Row],[angvel_Y]],2) + POWER(Hybrid[[#This Row],[angvel_Z]],2))</f>
        <v>2.0302000098512458</v>
      </c>
      <c r="U286">
        <f>DEGREES(ASIN(MAX(-1,MIN(1,2 * (Hybrid[[#This Row],[quart_W]]*Hybrid[[#This Row],[quart_Y]] - Hybrid[[#This Row],[quart_Z]]*Hybrid[[#This Row],[quart_X]])))))</f>
        <v>0.54831282292942385</v>
      </c>
      <c r="V28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111.06485399119821</v>
      </c>
      <c r="W28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89.998559907771167</v>
      </c>
      <c r="X286">
        <f>IF(Hybrid[[#This Row],[Yaw]]&gt;V285,(360-ABS(Hybrid[[#This Row],[Yaw]])-ABS(V285)),ABS(Hybrid[[#This Row],[Yaw]]-V285))</f>
        <v>0.96912511894905151</v>
      </c>
      <c r="Y286">
        <f>Hybrid[[#This Row],[Degree change]]+Y285</f>
        <v>218.08601690217304</v>
      </c>
    </row>
    <row r="287" spans="1:25">
      <c r="A287">
        <v>286</v>
      </c>
      <c r="B287">
        <v>-1216.709961</v>
      </c>
      <c r="C287">
        <v>479.94000199999999</v>
      </c>
      <c r="D287">
        <v>17.010000000000002</v>
      </c>
      <c r="E287">
        <v>2107.4499510000001</v>
      </c>
      <c r="F287">
        <v>-921.169983</v>
      </c>
      <c r="G287">
        <v>8.09</v>
      </c>
      <c r="H287" s="1">
        <v>-2.0000000000000001E-4</v>
      </c>
      <c r="I287" s="1">
        <v>0</v>
      </c>
      <c r="J287" s="1">
        <v>2.0301999999999998</v>
      </c>
      <c r="K287" s="1">
        <v>8.4400000000000002E-4</v>
      </c>
      <c r="L287" s="1">
        <v>4.7070000000000002E-3</v>
      </c>
      <c r="M287" s="1">
        <v>-0.17446600000000001</v>
      </c>
      <c r="N287" s="1">
        <v>0.98465199999999997</v>
      </c>
      <c r="O287">
        <v>1</v>
      </c>
      <c r="P287">
        <v>0</v>
      </c>
      <c r="Q287">
        <v>1</v>
      </c>
      <c r="R287">
        <v>1</v>
      </c>
      <c r="S287">
        <v>1</v>
      </c>
      <c r="T287" s="1">
        <f>SQRT(POWER(Hybrid[[#This Row],[angvel_X]],2) + POWER(Hybrid[[#This Row],[angvel_Y]],2) + POWER(Hybrid[[#This Row],[angvel_Z]],2))</f>
        <v>2.0302000098512458</v>
      </c>
      <c r="U287">
        <f>DEGREES(ASIN(MAX(-1,MIN(1,2 * (Hybrid[[#This Row],[quart_W]]*Hybrid[[#This Row],[quart_Y]] - Hybrid[[#This Row],[quart_Z]]*Hybrid[[#This Row],[quart_X]])))))</f>
        <v>0.54798590781536327</v>
      </c>
      <c r="V28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110.09540276297305</v>
      </c>
      <c r="W28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89.998872960409358</v>
      </c>
      <c r="X287">
        <f>IF(Hybrid[[#This Row],[Yaw]]&gt;V286,(360-ABS(Hybrid[[#This Row],[Yaw]])-ABS(V286)),ABS(Hybrid[[#This Row],[Yaw]]-V286))</f>
        <v>0.96945122822515373</v>
      </c>
      <c r="Y287">
        <f>Hybrid[[#This Row],[Degree change]]+Y286</f>
        <v>219.0554681303982</v>
      </c>
    </row>
    <row r="288" spans="1:25">
      <c r="A288">
        <v>287</v>
      </c>
      <c r="B288">
        <v>-1199.079956</v>
      </c>
      <c r="C288">
        <v>472.23998999999998</v>
      </c>
      <c r="D288">
        <v>17.010000000000002</v>
      </c>
      <c r="E288">
        <v>2122.7299800000001</v>
      </c>
      <c r="F288">
        <v>-885.38000499999998</v>
      </c>
      <c r="G288">
        <v>8.09</v>
      </c>
      <c r="H288" s="1">
        <v>-2.0000000000000001E-4</v>
      </c>
      <c r="I288" s="1">
        <v>0</v>
      </c>
      <c r="J288" s="1">
        <v>2.0301999999999998</v>
      </c>
      <c r="K288" s="1">
        <v>8.0099999999999995E-4</v>
      </c>
      <c r="L288" s="1">
        <v>4.712E-3</v>
      </c>
      <c r="M288" s="1">
        <v>-0.166131</v>
      </c>
      <c r="N288" s="1">
        <v>0.98609199999999997</v>
      </c>
      <c r="O288">
        <v>1</v>
      </c>
      <c r="P288">
        <v>0</v>
      </c>
      <c r="Q288">
        <v>1</v>
      </c>
      <c r="R288">
        <v>1</v>
      </c>
      <c r="S288">
        <v>1</v>
      </c>
      <c r="T288" s="1">
        <f>SQRT(POWER(Hybrid[[#This Row],[angvel_X]],2) + POWER(Hybrid[[#This Row],[angvel_Y]],2) + POWER(Hybrid[[#This Row],[angvel_Z]],2))</f>
        <v>2.0302000098512458</v>
      </c>
      <c r="U288">
        <f>DEGREES(ASIN(MAX(-1,MIN(1,2 * (Hybrid[[#This Row],[quart_W]]*Hybrid[[#This Row],[quart_Y]] - Hybrid[[#This Row],[quart_Z]]*Hybrid[[#This Row],[quart_X]])))))</f>
        <v>0.54770287286309671</v>
      </c>
      <c r="V28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109.12610041197347</v>
      </c>
      <c r="W28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89.999192044465715</v>
      </c>
      <c r="X288">
        <f>IF(Hybrid[[#This Row],[Yaw]]&gt;V287,(360-ABS(Hybrid[[#This Row],[Yaw]])-ABS(V287)),ABS(Hybrid[[#This Row],[Yaw]]-V287))</f>
        <v>0.96930235099958395</v>
      </c>
      <c r="Y288">
        <f>Hybrid[[#This Row],[Degree change]]+Y287</f>
        <v>220.02477048139778</v>
      </c>
    </row>
    <row r="289" spans="1:25">
      <c r="A289">
        <v>288</v>
      </c>
      <c r="B289">
        <v>-1181.329956</v>
      </c>
      <c r="C289">
        <v>464.83999599999999</v>
      </c>
      <c r="D289">
        <v>17.010000000000002</v>
      </c>
      <c r="E289">
        <v>2137.4099120000001</v>
      </c>
      <c r="F289">
        <v>-849.339966</v>
      </c>
      <c r="G289">
        <v>8.09</v>
      </c>
      <c r="H289" s="1">
        <v>-1E-4</v>
      </c>
      <c r="I289" s="1">
        <v>0</v>
      </c>
      <c r="J289" s="1">
        <v>2.0301999999999998</v>
      </c>
      <c r="K289" s="1">
        <v>7.5799999999999999E-4</v>
      </c>
      <c r="L289" s="1">
        <v>4.718E-3</v>
      </c>
      <c r="M289" s="1">
        <v>-0.15778500000000001</v>
      </c>
      <c r="N289" s="1">
        <v>0.98746199999999995</v>
      </c>
      <c r="O289">
        <v>1</v>
      </c>
      <c r="P289">
        <v>0</v>
      </c>
      <c r="Q289">
        <v>1</v>
      </c>
      <c r="R289">
        <v>1</v>
      </c>
      <c r="S289">
        <v>1</v>
      </c>
      <c r="T289" s="1">
        <f>SQRT(POWER(Hybrid[[#This Row],[angvel_X]],2) + POWER(Hybrid[[#This Row],[angvel_Y]],2) + POWER(Hybrid[[#This Row],[angvel_Z]],2))</f>
        <v>2.0302000024628115</v>
      </c>
      <c r="U289">
        <f>DEGREES(ASIN(MAX(-1,MIN(1,2 * (Hybrid[[#This Row],[quart_W]]*Hybrid[[#This Row],[quart_Y]] - Hybrid[[#This Row],[quart_Z]]*Hybrid[[#This Row],[quart_X]])))))</f>
        <v>0.54757799799762841</v>
      </c>
      <c r="V28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108.15691408613655</v>
      </c>
      <c r="W28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89.999533984580111</v>
      </c>
      <c r="X289">
        <f>IF(Hybrid[[#This Row],[Yaw]]&gt;V288,(360-ABS(Hybrid[[#This Row],[Yaw]])-ABS(V288)),ABS(Hybrid[[#This Row],[Yaw]]-V288))</f>
        <v>0.96918632583691533</v>
      </c>
      <c r="Y289">
        <f>Hybrid[[#This Row],[Degree change]]+Y288</f>
        <v>220.9939568072347</v>
      </c>
    </row>
    <row r="290" spans="1:25">
      <c r="A290">
        <v>289</v>
      </c>
      <c r="B290">
        <v>-1163.4499510000001</v>
      </c>
      <c r="C290">
        <v>457.73998999999998</v>
      </c>
      <c r="D290">
        <v>17.010000000000002</v>
      </c>
      <c r="E290">
        <v>2151.469971</v>
      </c>
      <c r="F290">
        <v>-813.05999799999995</v>
      </c>
      <c r="G290">
        <v>8.09</v>
      </c>
      <c r="H290" s="1">
        <v>0</v>
      </c>
      <c r="I290" s="1">
        <v>0</v>
      </c>
      <c r="J290" s="1">
        <v>2.0301999999999998</v>
      </c>
      <c r="K290" s="1">
        <v>7.2000000000000005E-4</v>
      </c>
      <c r="L290" s="1">
        <v>4.7229999999999998E-3</v>
      </c>
      <c r="M290" s="1">
        <v>-0.14942800000000001</v>
      </c>
      <c r="N290" s="1">
        <v>0.988761</v>
      </c>
      <c r="O290">
        <v>1</v>
      </c>
      <c r="P290">
        <v>0</v>
      </c>
      <c r="Q290">
        <v>1</v>
      </c>
      <c r="R290">
        <v>1</v>
      </c>
      <c r="S290">
        <v>1</v>
      </c>
      <c r="T290" s="1">
        <f>SQRT(POWER(Hybrid[[#This Row],[angvel_X]],2) + POWER(Hybrid[[#This Row],[angvel_Y]],2) + POWER(Hybrid[[#This Row],[angvel_Z]],2))</f>
        <v>2.0301999999999998</v>
      </c>
      <c r="U290">
        <f>DEGREES(ASIN(MAX(-1,MIN(1,2 * (Hybrid[[#This Row],[quart_W]]*Hybrid[[#This Row],[quart_Y]] - Hybrid[[#This Row],[quart_Z]]*Hybrid[[#This Row],[quart_X]])))))</f>
        <v>0.54747023312312282</v>
      </c>
      <c r="V29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107.18775274582188</v>
      </c>
      <c r="W29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89.999294143819895</v>
      </c>
      <c r="X290">
        <f>IF(Hybrid[[#This Row],[Yaw]]&gt;V289,(360-ABS(Hybrid[[#This Row],[Yaw]])-ABS(V289)),ABS(Hybrid[[#This Row],[Yaw]]-V289))</f>
        <v>0.96916134031467038</v>
      </c>
      <c r="Y290">
        <f>Hybrid[[#This Row],[Degree change]]+Y289</f>
        <v>221.96311814754938</v>
      </c>
    </row>
    <row r="291" spans="1:25">
      <c r="A291">
        <v>290</v>
      </c>
      <c r="B291">
        <v>-1145.459961</v>
      </c>
      <c r="C291">
        <v>450.94000199999999</v>
      </c>
      <c r="D291">
        <v>17.010000000000002</v>
      </c>
      <c r="E291">
        <v>2164.919922</v>
      </c>
      <c r="F291">
        <v>-776.54998799999998</v>
      </c>
      <c r="G291">
        <v>8.09</v>
      </c>
      <c r="H291" s="1">
        <v>0</v>
      </c>
      <c r="I291" s="1">
        <v>0</v>
      </c>
      <c r="J291" s="1">
        <v>2.0301999999999998</v>
      </c>
      <c r="K291" s="1">
        <v>6.8199999999999999E-4</v>
      </c>
      <c r="L291" s="1">
        <v>4.7289999999999997E-3</v>
      </c>
      <c r="M291" s="1">
        <v>-0.14106099999999999</v>
      </c>
      <c r="N291" s="1">
        <v>0.98998900000000001</v>
      </c>
      <c r="O291">
        <v>1</v>
      </c>
      <c r="P291">
        <v>0</v>
      </c>
      <c r="Q291">
        <v>1</v>
      </c>
      <c r="R291">
        <v>1</v>
      </c>
      <c r="S291">
        <v>1</v>
      </c>
      <c r="T291" s="1">
        <f>SQRT(POWER(Hybrid[[#This Row],[angvel_X]],2) + POWER(Hybrid[[#This Row],[angvel_Y]],2) + POWER(Hybrid[[#This Row],[angvel_Z]],2))</f>
        <v>2.0301999999999998</v>
      </c>
      <c r="U291">
        <f>DEGREES(ASIN(MAX(-1,MIN(1,2 * (Hybrid[[#This Row],[quart_W]]*Hybrid[[#This Row],[quart_Y]] - Hybrid[[#This Row],[quart_Z]]*Hybrid[[#This Row],[quart_X]])))))</f>
        <v>0.54751094019514324</v>
      </c>
      <c r="V29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106.21866886617826</v>
      </c>
      <c r="W29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89.99907233565213</v>
      </c>
      <c r="X291">
        <f>IF(Hybrid[[#This Row],[Yaw]]&gt;V290,(360-ABS(Hybrid[[#This Row],[Yaw]])-ABS(V290)),ABS(Hybrid[[#This Row],[Yaw]]-V290))</f>
        <v>0.96908387964361964</v>
      </c>
      <c r="Y291">
        <f>Hybrid[[#This Row],[Degree change]]+Y290</f>
        <v>222.932202027193</v>
      </c>
    </row>
    <row r="292" spans="1:25">
      <c r="A292">
        <v>291</v>
      </c>
      <c r="B292">
        <v>-1127.349976</v>
      </c>
      <c r="C292">
        <v>444.44998199999998</v>
      </c>
      <c r="D292">
        <v>17.010000000000002</v>
      </c>
      <c r="E292">
        <v>2177.75</v>
      </c>
      <c r="F292">
        <v>-739.82000700000003</v>
      </c>
      <c r="G292">
        <v>8.09</v>
      </c>
      <c r="H292" s="1">
        <v>0</v>
      </c>
      <c r="I292" s="1">
        <v>0</v>
      </c>
      <c r="J292" s="1">
        <v>2.0301999999999998</v>
      </c>
      <c r="K292" s="1">
        <v>6.4499999999999996E-4</v>
      </c>
      <c r="L292" s="1">
        <v>4.7340000000000004E-3</v>
      </c>
      <c r="M292" s="1">
        <v>-0.132683</v>
      </c>
      <c r="N292" s="1">
        <v>0.991147</v>
      </c>
      <c r="O292">
        <v>1</v>
      </c>
      <c r="P292">
        <v>0</v>
      </c>
      <c r="Q292">
        <v>1</v>
      </c>
      <c r="R292">
        <v>1</v>
      </c>
      <c r="S292">
        <v>1</v>
      </c>
      <c r="T292" s="1">
        <f>SQRT(POWER(Hybrid[[#This Row],[angvel_X]],2) + POWER(Hybrid[[#This Row],[angvel_Y]],2) + POWER(Hybrid[[#This Row],[angvel_Z]],2))</f>
        <v>2.0301999999999998</v>
      </c>
      <c r="U292">
        <f>DEGREES(ASIN(MAX(-1,MIN(1,2 * (Hybrid[[#This Row],[quart_W]]*Hybrid[[#This Row],[quart_Y]] - Hybrid[[#This Row],[quart_Z]]*Hybrid[[#This Row],[quart_X]])))))</f>
        <v>0.54748903501855173</v>
      </c>
      <c r="V29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105.249489362783</v>
      </c>
      <c r="W29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89.998720126544598</v>
      </c>
      <c r="X292">
        <f>IF(Hybrid[[#This Row],[Yaw]]&gt;V291,(360-ABS(Hybrid[[#This Row],[Yaw]])-ABS(V291)),ABS(Hybrid[[#This Row],[Yaw]]-V291))</f>
        <v>0.96917950339526726</v>
      </c>
      <c r="Y292">
        <f>Hybrid[[#This Row],[Degree change]]+Y291</f>
        <v>223.90138153058825</v>
      </c>
    </row>
    <row r="293" spans="1:25">
      <c r="A293">
        <v>292</v>
      </c>
      <c r="B293">
        <v>-1109.1400149999999</v>
      </c>
      <c r="C293">
        <v>438.26998900000001</v>
      </c>
      <c r="D293">
        <v>17.010000000000002</v>
      </c>
      <c r="E293">
        <v>2189.9499510000001</v>
      </c>
      <c r="F293">
        <v>-702.86999500000002</v>
      </c>
      <c r="G293">
        <v>8.09</v>
      </c>
      <c r="H293" s="1">
        <v>0</v>
      </c>
      <c r="I293" s="1">
        <v>0</v>
      </c>
      <c r="J293" s="1">
        <v>2.0301999999999998</v>
      </c>
      <c r="K293" s="1">
        <v>6.0700000000000001E-4</v>
      </c>
      <c r="L293" s="1">
        <v>4.7390000000000002E-3</v>
      </c>
      <c r="M293" s="1">
        <v>-0.124294</v>
      </c>
      <c r="N293" s="1">
        <v>0.99223399999999995</v>
      </c>
      <c r="O293">
        <v>1</v>
      </c>
      <c r="P293">
        <v>0</v>
      </c>
      <c r="Q293">
        <v>1</v>
      </c>
      <c r="R293">
        <v>1</v>
      </c>
      <c r="S293">
        <v>1</v>
      </c>
      <c r="T293" s="1">
        <f>SQRT(POWER(Hybrid[[#This Row],[angvel_X]],2) + POWER(Hybrid[[#This Row],[angvel_Y]],2) + POWER(Hybrid[[#This Row],[angvel_Z]],2))</f>
        <v>2.0301999999999998</v>
      </c>
      <c r="U293">
        <f>DEGREES(ASIN(MAX(-1,MIN(1,2 * (Hybrid[[#This Row],[quart_W]]*Hybrid[[#This Row],[quart_Y]] - Hybrid[[#This Row],[quart_Z]]*Hybrid[[#This Row],[quart_X]])))))</f>
        <v>0.54748593528995937</v>
      </c>
      <c r="V29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104.28013154077837</v>
      </c>
      <c r="W29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89.99848081647373</v>
      </c>
      <c r="X293">
        <f>IF(Hybrid[[#This Row],[Yaw]]&gt;V292,(360-ABS(Hybrid[[#This Row],[Yaw]])-ABS(V292)),ABS(Hybrid[[#This Row],[Yaw]]-V292))</f>
        <v>0.96935782200462484</v>
      </c>
      <c r="Y293">
        <f>Hybrid[[#This Row],[Degree change]]+Y292</f>
        <v>224.87073935259286</v>
      </c>
    </row>
    <row r="294" spans="1:25">
      <c r="A294">
        <v>293</v>
      </c>
      <c r="B294">
        <v>-1090.8199460000001</v>
      </c>
      <c r="C294">
        <v>432.39999399999999</v>
      </c>
      <c r="D294">
        <v>17.010000000000002</v>
      </c>
      <c r="E294">
        <v>2201.530029</v>
      </c>
      <c r="F294">
        <v>-665.71997099999999</v>
      </c>
      <c r="G294">
        <v>8.09</v>
      </c>
      <c r="H294" s="1">
        <v>-1E-4</v>
      </c>
      <c r="I294" s="1">
        <v>0</v>
      </c>
      <c r="J294" s="1">
        <v>2.0301999999999998</v>
      </c>
      <c r="K294" s="1">
        <v>5.6899999999999995E-4</v>
      </c>
      <c r="L294" s="1">
        <v>4.7450000000000001E-3</v>
      </c>
      <c r="M294" s="1">
        <v>-0.115894</v>
      </c>
      <c r="N294" s="1">
        <v>0.99324999999999997</v>
      </c>
      <c r="O294">
        <v>1</v>
      </c>
      <c r="P294">
        <v>0</v>
      </c>
      <c r="Q294">
        <v>1</v>
      </c>
      <c r="R294">
        <v>1</v>
      </c>
      <c r="S294">
        <v>1</v>
      </c>
      <c r="T294" s="1">
        <f>SQRT(POWER(Hybrid[[#This Row],[angvel_X]],2) + POWER(Hybrid[[#This Row],[angvel_Y]],2) + POWER(Hybrid[[#This Row],[angvel_Z]],2))</f>
        <v>2.0302000024628115</v>
      </c>
      <c r="U294">
        <f>DEGREES(ASIN(MAX(-1,MIN(1,2 * (Hybrid[[#This Row],[quart_W]]*Hybrid[[#This Row],[quart_Y]] - Hybrid[[#This Row],[quart_Z]]*Hybrid[[#This Row],[quart_X]])))))</f>
        <v>0.54763165107012546</v>
      </c>
      <c r="V29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103.31052771989549</v>
      </c>
      <c r="W29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89.998253290462273</v>
      </c>
      <c r="X294">
        <f>IF(Hybrid[[#This Row],[Yaw]]&gt;V293,(360-ABS(Hybrid[[#This Row],[Yaw]])-ABS(V293)),ABS(Hybrid[[#This Row],[Yaw]]-V293))</f>
        <v>0.969603820882881</v>
      </c>
      <c r="Y294">
        <f>Hybrid[[#This Row],[Degree change]]+Y293</f>
        <v>225.84034317347573</v>
      </c>
    </row>
    <row r="295" spans="1:25">
      <c r="A295">
        <v>294</v>
      </c>
      <c r="B295">
        <v>-1072.410034</v>
      </c>
      <c r="C295">
        <v>426.83999599999999</v>
      </c>
      <c r="D295">
        <v>17.010000000000002</v>
      </c>
      <c r="E295">
        <v>2212.469971</v>
      </c>
      <c r="F295">
        <v>-628.38000499999998</v>
      </c>
      <c r="G295">
        <v>8.09</v>
      </c>
      <c r="H295" s="1">
        <v>-1E-4</v>
      </c>
      <c r="I295" s="1">
        <v>0</v>
      </c>
      <c r="J295" s="1">
        <v>2.0301999999999998</v>
      </c>
      <c r="K295" s="1">
        <v>5.2599999999999999E-4</v>
      </c>
      <c r="L295" s="1">
        <v>4.7499999999999999E-3</v>
      </c>
      <c r="M295" s="1">
        <v>-0.107489</v>
      </c>
      <c r="N295" s="1">
        <v>0.99419500000000005</v>
      </c>
      <c r="O295">
        <v>1</v>
      </c>
      <c r="P295">
        <v>0</v>
      </c>
      <c r="Q295">
        <v>1</v>
      </c>
      <c r="R295">
        <v>1</v>
      </c>
      <c r="S295">
        <v>1</v>
      </c>
      <c r="T295" s="1">
        <f>SQRT(POWER(Hybrid[[#This Row],[angvel_X]],2) + POWER(Hybrid[[#This Row],[angvel_Y]],2) + POWER(Hybrid[[#This Row],[angvel_Z]],2))</f>
        <v>2.0302000024628115</v>
      </c>
      <c r="U295">
        <f>DEGREES(ASIN(MAX(-1,MIN(1,2 * (Hybrid[[#This Row],[quart_W]]*Hybrid[[#This Row],[quart_Y]] - Hybrid[[#This Row],[quart_Z]]*Hybrid[[#This Row],[quart_X]])))))</f>
        <v>0.54763744141690907</v>
      </c>
      <c r="V29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102.34131236323233</v>
      </c>
      <c r="W29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89.998581999903479</v>
      </c>
      <c r="X295">
        <f>IF(Hybrid[[#This Row],[Yaw]]&gt;V294,(360-ABS(Hybrid[[#This Row],[Yaw]])-ABS(V294)),ABS(Hybrid[[#This Row],[Yaw]]-V294))</f>
        <v>0.96921535666315606</v>
      </c>
      <c r="Y295">
        <f>Hybrid[[#This Row],[Degree change]]+Y294</f>
        <v>226.80955853013887</v>
      </c>
    </row>
    <row r="296" spans="1:25">
      <c r="A296">
        <v>295</v>
      </c>
      <c r="B296">
        <v>-1053.910034</v>
      </c>
      <c r="C296">
        <v>421.58999599999999</v>
      </c>
      <c r="D296">
        <v>17.010000000000002</v>
      </c>
      <c r="E296">
        <v>2222.790039</v>
      </c>
      <c r="F296">
        <v>-590.85998500000005</v>
      </c>
      <c r="G296">
        <v>8.09</v>
      </c>
      <c r="H296" s="1">
        <v>-1E-4</v>
      </c>
      <c r="I296" s="1">
        <v>0</v>
      </c>
      <c r="J296" s="1">
        <v>2.0301999999999998</v>
      </c>
      <c r="K296" s="1">
        <v>4.8299999999999998E-4</v>
      </c>
      <c r="L296" s="1">
        <v>4.7559999999999998E-3</v>
      </c>
      <c r="M296" s="1">
        <v>-9.9072999999999994E-2</v>
      </c>
      <c r="N296" s="1">
        <v>0.99506899999999998</v>
      </c>
      <c r="O296">
        <v>1</v>
      </c>
      <c r="P296">
        <v>0</v>
      </c>
      <c r="Q296">
        <v>1</v>
      </c>
      <c r="R296">
        <v>1</v>
      </c>
      <c r="S296">
        <v>1</v>
      </c>
      <c r="T296" s="1">
        <f>SQRT(POWER(Hybrid[[#This Row],[angvel_X]],2) + POWER(Hybrid[[#This Row],[angvel_Y]],2) + POWER(Hybrid[[#This Row],[angvel_Z]],2))</f>
        <v>2.0302000024628115</v>
      </c>
      <c r="U296">
        <f>DEGREES(ASIN(MAX(-1,MIN(1,2 * (Hybrid[[#This Row],[quart_W]]*Hybrid[[#This Row],[quart_Y]] - Hybrid[[#This Row],[quart_Z]]*Hybrid[[#This Row],[quart_X]])))))</f>
        <v>0.54780188311949229</v>
      </c>
      <c r="V29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101.37171312165675</v>
      </c>
      <c r="W29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89.998919680068241</v>
      </c>
      <c r="X296">
        <f>IF(Hybrid[[#This Row],[Yaw]]&gt;V295,(360-ABS(Hybrid[[#This Row],[Yaw]])-ABS(V295)),ABS(Hybrid[[#This Row],[Yaw]]-V295))</f>
        <v>0.96959924157557964</v>
      </c>
      <c r="Y296">
        <f>Hybrid[[#This Row],[Degree change]]+Y295</f>
        <v>227.77915777171444</v>
      </c>
    </row>
    <row r="297" spans="1:25">
      <c r="A297">
        <v>296</v>
      </c>
      <c r="B297">
        <v>-1035.3199460000001</v>
      </c>
      <c r="C297">
        <v>416.64999399999999</v>
      </c>
      <c r="D297">
        <v>17.010000000000002</v>
      </c>
      <c r="E297">
        <v>2232.469971</v>
      </c>
      <c r="F297">
        <v>-553.169983</v>
      </c>
      <c r="G297">
        <v>8.09</v>
      </c>
      <c r="H297" s="1">
        <v>-1E-4</v>
      </c>
      <c r="I297" s="1">
        <v>0</v>
      </c>
      <c r="J297" s="1">
        <v>2.0301999999999998</v>
      </c>
      <c r="K297" s="1">
        <v>4.4000000000000002E-4</v>
      </c>
      <c r="L297" s="1">
        <v>4.7609999999999996E-3</v>
      </c>
      <c r="M297" s="1">
        <v>-9.0651999999999996E-2</v>
      </c>
      <c r="N297" s="1">
        <v>0.99587099999999995</v>
      </c>
      <c r="O297">
        <v>1</v>
      </c>
      <c r="P297">
        <v>0</v>
      </c>
      <c r="Q297">
        <v>1</v>
      </c>
      <c r="R297">
        <v>1</v>
      </c>
      <c r="S297">
        <v>1</v>
      </c>
      <c r="T297" s="1">
        <f>SQRT(POWER(Hybrid[[#This Row],[angvel_X]],2) + POWER(Hybrid[[#This Row],[angvel_Y]],2) + POWER(Hybrid[[#This Row],[angvel_Z]],2))</f>
        <v>2.0302000024628115</v>
      </c>
      <c r="U297">
        <f>DEGREES(ASIN(MAX(-1,MIN(1,2 * (Hybrid[[#This Row],[quart_W]]*Hybrid[[#This Row],[quart_Y]] - Hybrid[[#This Row],[quart_Z]]*Hybrid[[#This Row],[quart_X]])))))</f>
        <v>0.54789680227181392</v>
      </c>
      <c r="V29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100.40234859714151</v>
      </c>
      <c r="W29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89.999244913901776</v>
      </c>
      <c r="X297">
        <f>IF(Hybrid[[#This Row],[Yaw]]&gt;V296,(360-ABS(Hybrid[[#This Row],[Yaw]])-ABS(V296)),ABS(Hybrid[[#This Row],[Yaw]]-V296))</f>
        <v>0.96936452451524246</v>
      </c>
      <c r="Y297">
        <f>Hybrid[[#This Row],[Degree change]]+Y296</f>
        <v>228.74852229622968</v>
      </c>
    </row>
    <row r="298" spans="1:25">
      <c r="A298">
        <v>297</v>
      </c>
      <c r="B298">
        <v>-1016.649963</v>
      </c>
      <c r="C298">
        <v>412.02999899999998</v>
      </c>
      <c r="D298">
        <v>17.010000000000002</v>
      </c>
      <c r="E298">
        <v>2241.51001</v>
      </c>
      <c r="F298">
        <v>-515.32000700000003</v>
      </c>
      <c r="G298">
        <v>8.09</v>
      </c>
      <c r="H298" s="1">
        <v>-1E-4</v>
      </c>
      <c r="I298" s="1">
        <v>0</v>
      </c>
      <c r="J298" s="1">
        <v>2.0301999999999998</v>
      </c>
      <c r="K298" s="1">
        <v>3.97E-4</v>
      </c>
      <c r="L298" s="1">
        <v>4.7660000000000003E-3</v>
      </c>
      <c r="M298" s="1">
        <v>-8.2225000000000006E-2</v>
      </c>
      <c r="N298" s="1">
        <v>0.99660199999999999</v>
      </c>
      <c r="O298">
        <v>1</v>
      </c>
      <c r="P298">
        <v>0</v>
      </c>
      <c r="Q298">
        <v>1</v>
      </c>
      <c r="R298">
        <v>1</v>
      </c>
      <c r="S298">
        <v>1</v>
      </c>
      <c r="T298" s="1">
        <f>SQRT(POWER(Hybrid[[#This Row],[angvel_X]],2) + POWER(Hybrid[[#This Row],[angvel_Y]],2) + POWER(Hybrid[[#This Row],[angvel_Z]],2))</f>
        <v>2.0302000024628115</v>
      </c>
      <c r="U298">
        <f>DEGREES(ASIN(MAX(-1,MIN(1,2 * (Hybrid[[#This Row],[quart_W]]*Hybrid[[#This Row],[quart_Y]] - Hybrid[[#This Row],[quart_Z]]*Hybrid[[#This Row],[quart_X]])))))</f>
        <v>0.54803658126008337</v>
      </c>
      <c r="V29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99.433043765534151</v>
      </c>
      <c r="W29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89.999568354646257</v>
      </c>
      <c r="X298">
        <f>IF(Hybrid[[#This Row],[Yaw]]&gt;V297,(360-ABS(Hybrid[[#This Row],[Yaw]])-ABS(V297)),ABS(Hybrid[[#This Row],[Yaw]]-V297))</f>
        <v>0.96930483160736003</v>
      </c>
      <c r="Y298">
        <f>Hybrid[[#This Row],[Degree change]]+Y297</f>
        <v>229.71782712783704</v>
      </c>
    </row>
    <row r="299" spans="1:25">
      <c r="A299">
        <v>298</v>
      </c>
      <c r="B299">
        <v>-997.89996299999996</v>
      </c>
      <c r="C299">
        <v>407.72000100000002</v>
      </c>
      <c r="D299">
        <v>17.010000000000002</v>
      </c>
      <c r="E299">
        <v>2249.8999020000001</v>
      </c>
      <c r="F299">
        <v>-477.32998700000002</v>
      </c>
      <c r="G299">
        <v>8.09</v>
      </c>
      <c r="H299" s="1">
        <v>0</v>
      </c>
      <c r="I299" s="1">
        <v>0</v>
      </c>
      <c r="J299" s="1">
        <v>2.0301999999999998</v>
      </c>
      <c r="K299" s="1">
        <v>3.5300000000000002E-4</v>
      </c>
      <c r="L299" s="1">
        <v>4.7720000000000002E-3</v>
      </c>
      <c r="M299" s="1">
        <v>-7.3792999999999997E-2</v>
      </c>
      <c r="N299" s="1">
        <v>0.99726199999999998</v>
      </c>
      <c r="O299">
        <v>1</v>
      </c>
      <c r="P299">
        <v>0</v>
      </c>
      <c r="Q299">
        <v>1</v>
      </c>
      <c r="R299">
        <v>1</v>
      </c>
      <c r="S299">
        <v>1</v>
      </c>
      <c r="T299" s="1">
        <f>SQRT(POWER(Hybrid[[#This Row],[angvel_X]],2) + POWER(Hybrid[[#This Row],[angvel_Y]],2) + POWER(Hybrid[[#This Row],[angvel_Z]],2))</f>
        <v>2.0301999999999998</v>
      </c>
      <c r="U299">
        <f>DEGREES(ASIN(MAX(-1,MIN(1,2 * (Hybrid[[#This Row],[quart_W]]*Hybrid[[#This Row],[quart_Y]] - Hybrid[[#This Row],[quart_Z]]*Hybrid[[#This Row],[quart_X]])))))</f>
        <v>0.54832705390466308</v>
      </c>
      <c r="V29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98.463844519213396</v>
      </c>
      <c r="W29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90.000012228625252</v>
      </c>
      <c r="X299">
        <f>IF(Hybrid[[#This Row],[Yaw]]&gt;V298,(360-ABS(Hybrid[[#This Row],[Yaw]])-ABS(V298)),ABS(Hybrid[[#This Row],[Yaw]]-V298))</f>
        <v>0.96919924632075549</v>
      </c>
      <c r="Y299">
        <f>Hybrid[[#This Row],[Degree change]]+Y298</f>
        <v>230.6870263741578</v>
      </c>
    </row>
    <row r="300" spans="1:25">
      <c r="A300">
        <v>299</v>
      </c>
      <c r="B300">
        <v>-979.07995600000004</v>
      </c>
      <c r="C300">
        <v>403.72998000000001</v>
      </c>
      <c r="D300">
        <v>17.010000000000002</v>
      </c>
      <c r="E300">
        <v>2257.6599120000001</v>
      </c>
      <c r="F300">
        <v>-439.19998199999998</v>
      </c>
      <c r="G300">
        <v>8.09</v>
      </c>
      <c r="H300" s="1">
        <v>0</v>
      </c>
      <c r="I300" s="1">
        <v>0</v>
      </c>
      <c r="J300" s="1">
        <v>2.0301999999999998</v>
      </c>
      <c r="K300" s="1">
        <v>3.1599999999999998E-4</v>
      </c>
      <c r="L300" s="1">
        <v>4.777E-3</v>
      </c>
      <c r="M300" s="1">
        <v>-6.5355999999999997E-2</v>
      </c>
      <c r="N300" s="1">
        <v>0.99785000000000001</v>
      </c>
      <c r="O300">
        <v>1</v>
      </c>
      <c r="P300">
        <v>0</v>
      </c>
      <c r="Q300">
        <v>1</v>
      </c>
      <c r="R300">
        <v>1</v>
      </c>
      <c r="S300">
        <v>1</v>
      </c>
      <c r="T300" s="1">
        <f>SQRT(POWER(Hybrid[[#This Row],[angvel_X]],2) + POWER(Hybrid[[#This Row],[angvel_Y]],2) + POWER(Hybrid[[#This Row],[angvel_Z]],2))</f>
        <v>2.0301999999999998</v>
      </c>
      <c r="U300">
        <f>DEGREES(ASIN(MAX(-1,MIN(1,2 * (Hybrid[[#This Row],[quart_W]]*Hybrid[[#This Row],[quart_Y]] - Hybrid[[#This Row],[quart_Z]]*Hybrid[[#This Row],[quart_X]])))))</f>
        <v>0.5486019433450241</v>
      </c>
      <c r="V30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97.49466819875272</v>
      </c>
      <c r="W30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89.999643032305627</v>
      </c>
      <c r="X300">
        <f>IF(Hybrid[[#This Row],[Yaw]]&gt;V299,(360-ABS(Hybrid[[#This Row],[Yaw]])-ABS(V299)),ABS(Hybrid[[#This Row],[Yaw]]-V299))</f>
        <v>0.96917632046067581</v>
      </c>
      <c r="Y300">
        <f>Hybrid[[#This Row],[Degree change]]+Y299</f>
        <v>231.65620269461846</v>
      </c>
    </row>
    <row r="301" spans="1:25">
      <c r="A301">
        <v>300</v>
      </c>
      <c r="B301">
        <v>-960.19995100000006</v>
      </c>
      <c r="C301">
        <v>400.05999800000001</v>
      </c>
      <c r="D301">
        <v>17.010000000000002</v>
      </c>
      <c r="E301">
        <v>2264.76001</v>
      </c>
      <c r="F301">
        <v>-400.94000199999999</v>
      </c>
      <c r="G301">
        <v>8.09</v>
      </c>
      <c r="H301" s="1">
        <v>0</v>
      </c>
      <c r="I301" s="1">
        <v>0</v>
      </c>
      <c r="J301" s="1">
        <v>2.0301999999999998</v>
      </c>
      <c r="K301" s="1">
        <v>2.7799999999999998E-4</v>
      </c>
      <c r="L301" s="1">
        <v>4.777E-3</v>
      </c>
      <c r="M301" s="1">
        <v>-5.6912999999999998E-2</v>
      </c>
      <c r="N301" s="1">
        <v>0.99836800000000003</v>
      </c>
      <c r="O301">
        <v>1</v>
      </c>
      <c r="P301">
        <v>0</v>
      </c>
      <c r="Q301">
        <v>1</v>
      </c>
      <c r="R301">
        <v>1</v>
      </c>
      <c r="S301">
        <v>1</v>
      </c>
      <c r="T301" s="1">
        <f>SQRT(POWER(Hybrid[[#This Row],[angvel_X]],2) + POWER(Hybrid[[#This Row],[angvel_Y]],2) + POWER(Hybrid[[#This Row],[angvel_Z]],2))</f>
        <v>2.0301999999999998</v>
      </c>
      <c r="U301">
        <f>DEGREES(ASIN(MAX(-1,MIN(1,2 * (Hybrid[[#This Row],[quart_W]]*Hybrid[[#This Row],[quart_Y]] - Hybrid[[#This Row],[quart_Z]]*Hybrid[[#This Row],[quart_X]])))))</f>
        <v>0.5483319308009712</v>
      </c>
      <c r="V30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96.525349081105063</v>
      </c>
      <c r="W30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89.999349903430527</v>
      </c>
      <c r="X301">
        <f>IF(Hybrid[[#This Row],[Yaw]]&gt;V300,(360-ABS(Hybrid[[#This Row],[Yaw]])-ABS(V300)),ABS(Hybrid[[#This Row],[Yaw]]-V300))</f>
        <v>0.96931911764765744</v>
      </c>
      <c r="Y301">
        <f>Hybrid[[#This Row],[Degree change]]+Y300</f>
        <v>232.62552181226613</v>
      </c>
    </row>
    <row r="302" spans="1:25">
      <c r="A302">
        <v>301</v>
      </c>
      <c r="B302">
        <v>-941.25994900000001</v>
      </c>
      <c r="C302">
        <v>396.709991</v>
      </c>
      <c r="D302">
        <v>17.010000000000002</v>
      </c>
      <c r="E302">
        <v>2271.219971</v>
      </c>
      <c r="F302">
        <v>-362.56997699999999</v>
      </c>
      <c r="G302">
        <v>8.09</v>
      </c>
      <c r="H302" s="1">
        <v>0</v>
      </c>
      <c r="I302" s="1">
        <v>0</v>
      </c>
      <c r="J302" s="1">
        <v>2.0301999999999998</v>
      </c>
      <c r="K302" s="1">
        <v>2.4000000000000001E-4</v>
      </c>
      <c r="L302" s="1">
        <v>4.777E-3</v>
      </c>
      <c r="M302" s="1">
        <v>-4.8464E-2</v>
      </c>
      <c r="N302" s="1">
        <v>0.99881299999999995</v>
      </c>
      <c r="O302">
        <v>1</v>
      </c>
      <c r="P302">
        <v>0</v>
      </c>
      <c r="Q302">
        <v>1</v>
      </c>
      <c r="R302">
        <v>1</v>
      </c>
      <c r="S302">
        <v>1</v>
      </c>
      <c r="T302" s="1">
        <f>SQRT(POWER(Hybrid[[#This Row],[angvel_X]],2) + POWER(Hybrid[[#This Row],[angvel_Y]],2) + POWER(Hybrid[[#This Row],[angvel_Z]],2))</f>
        <v>2.0301999999999998</v>
      </c>
      <c r="U302">
        <f>DEGREES(ASIN(MAX(-1,MIN(1,2 * (Hybrid[[#This Row],[quart_W]]*Hybrid[[#This Row],[quart_Y]] - Hybrid[[#This Row],[quart_Z]]*Hybrid[[#This Row],[quart_X]])))))</f>
        <v>0.54809532403906358</v>
      </c>
      <c r="V30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95.555798079784424</v>
      </c>
      <c r="W30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89.999060009185797</v>
      </c>
      <c r="X302">
        <f>IF(Hybrid[[#This Row],[Yaw]]&gt;V301,(360-ABS(Hybrid[[#This Row],[Yaw]])-ABS(V301)),ABS(Hybrid[[#This Row],[Yaw]]-V301))</f>
        <v>0.96955100132063876</v>
      </c>
      <c r="Y302">
        <f>Hybrid[[#This Row],[Degree change]]+Y301</f>
        <v>233.59507281358677</v>
      </c>
    </row>
    <row r="303" spans="1:25">
      <c r="A303">
        <v>302</v>
      </c>
      <c r="B303">
        <v>-922.26000999999997</v>
      </c>
      <c r="C303">
        <v>393.67999300000002</v>
      </c>
      <c r="D303">
        <v>17.010000000000002</v>
      </c>
      <c r="E303">
        <v>2277.030029</v>
      </c>
      <c r="F303">
        <v>-324.10000600000001</v>
      </c>
      <c r="G303">
        <v>8.09</v>
      </c>
      <c r="H303" s="1">
        <v>0</v>
      </c>
      <c r="I303" s="1">
        <v>0</v>
      </c>
      <c r="J303" s="1">
        <v>2.0301999999999998</v>
      </c>
      <c r="K303" s="1">
        <v>2.02E-4</v>
      </c>
      <c r="L303" s="1">
        <v>4.777E-3</v>
      </c>
      <c r="M303" s="1">
        <v>-4.0016000000000003E-2</v>
      </c>
      <c r="N303" s="1">
        <v>0.99918799999999997</v>
      </c>
      <c r="O303">
        <v>1</v>
      </c>
      <c r="P303">
        <v>0</v>
      </c>
      <c r="Q303">
        <v>1</v>
      </c>
      <c r="R303">
        <v>1</v>
      </c>
      <c r="S303">
        <v>1</v>
      </c>
      <c r="T303" s="1">
        <f>SQRT(POWER(Hybrid[[#This Row],[angvel_X]],2) + POWER(Hybrid[[#This Row],[angvel_Y]],2) + POWER(Hybrid[[#This Row],[angvel_Z]],2))</f>
        <v>2.0301999999999998</v>
      </c>
      <c r="U303">
        <f>DEGREES(ASIN(MAX(-1,MIN(1,2 * (Hybrid[[#This Row],[quart_W]]*Hybrid[[#This Row],[quart_Y]] - Hybrid[[#This Row],[quart_Z]]*Hybrid[[#This Row],[quart_X]])))))</f>
        <v>0.54789400576613967</v>
      </c>
      <c r="V30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94.586768921007305</v>
      </c>
      <c r="W30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89.998776158448209</v>
      </c>
      <c r="X303">
        <f>IF(Hybrid[[#This Row],[Yaw]]&gt;V302,(360-ABS(Hybrid[[#This Row],[Yaw]])-ABS(V302)),ABS(Hybrid[[#This Row],[Yaw]]-V302))</f>
        <v>0.96902915877711848</v>
      </c>
      <c r="Y303">
        <f>Hybrid[[#This Row],[Degree change]]+Y302</f>
        <v>234.56410197236389</v>
      </c>
    </row>
    <row r="304" spans="1:25">
      <c r="A304">
        <v>303</v>
      </c>
      <c r="B304">
        <v>-903.21997099999999</v>
      </c>
      <c r="C304">
        <v>390.97000100000002</v>
      </c>
      <c r="D304">
        <v>17.010000000000002</v>
      </c>
      <c r="E304">
        <v>2282.1899410000001</v>
      </c>
      <c r="F304">
        <v>-285.52999899999998</v>
      </c>
      <c r="G304">
        <v>8.09</v>
      </c>
      <c r="H304" s="1">
        <v>0</v>
      </c>
      <c r="I304" s="1">
        <v>0</v>
      </c>
      <c r="J304" s="1">
        <v>2.0301999999999998</v>
      </c>
      <c r="K304" s="1">
        <v>1.65E-4</v>
      </c>
      <c r="L304" s="1">
        <v>4.777E-3</v>
      </c>
      <c r="M304" s="1">
        <v>-3.1562E-2</v>
      </c>
      <c r="N304" s="1">
        <v>0.99948999999999999</v>
      </c>
      <c r="O304">
        <v>1</v>
      </c>
      <c r="P304">
        <v>0</v>
      </c>
      <c r="Q304">
        <v>1</v>
      </c>
      <c r="R304">
        <v>1</v>
      </c>
      <c r="S304">
        <v>1</v>
      </c>
      <c r="T304" s="1">
        <f>SQRT(POWER(Hybrid[[#This Row],[angvel_X]],2) + POWER(Hybrid[[#This Row],[angvel_Y]],2) + POWER(Hybrid[[#This Row],[angvel_Z]],2))</f>
        <v>2.0301999999999998</v>
      </c>
      <c r="U304">
        <f>DEGREES(ASIN(MAX(-1,MIN(1,2 * (Hybrid[[#This Row],[quart_W]]*Hybrid[[#This Row],[quart_Y]] - Hybrid[[#This Row],[quart_Z]]*Hybrid[[#This Row],[quart_X]])))))</f>
        <v>0.54772980597486387</v>
      </c>
      <c r="V30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93.617371795896162</v>
      </c>
      <c r="W30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89.998379122757242</v>
      </c>
      <c r="X304">
        <f>IF(Hybrid[[#This Row],[Yaw]]&gt;V303,(360-ABS(Hybrid[[#This Row],[Yaw]])-ABS(V303)),ABS(Hybrid[[#This Row],[Yaw]]-V303))</f>
        <v>0.96939712511114351</v>
      </c>
      <c r="Y304">
        <f>Hybrid[[#This Row],[Degree change]]+Y303</f>
        <v>235.53349909747504</v>
      </c>
    </row>
    <row r="305" spans="1:25">
      <c r="A305">
        <v>304</v>
      </c>
      <c r="B305">
        <v>-884.13000499999998</v>
      </c>
      <c r="C305">
        <v>388.58999599999999</v>
      </c>
      <c r="D305">
        <v>17.010000000000002</v>
      </c>
      <c r="E305">
        <v>2286.6899410000001</v>
      </c>
      <c r="F305">
        <v>-246.87998999999999</v>
      </c>
      <c r="G305">
        <v>8.09</v>
      </c>
      <c r="H305" s="1">
        <v>-1E-4</v>
      </c>
      <c r="I305" s="1">
        <v>0</v>
      </c>
      <c r="J305" s="1">
        <v>2.0301999999999998</v>
      </c>
      <c r="K305" s="1">
        <v>1.27E-4</v>
      </c>
      <c r="L305" s="1">
        <v>4.777E-3</v>
      </c>
      <c r="M305" s="1">
        <v>-2.3109000000000001E-2</v>
      </c>
      <c r="N305" s="1">
        <v>0.999722</v>
      </c>
      <c r="O305">
        <v>1</v>
      </c>
      <c r="P305">
        <v>0</v>
      </c>
      <c r="Q305">
        <v>1</v>
      </c>
      <c r="R305">
        <v>1</v>
      </c>
      <c r="S305">
        <v>1</v>
      </c>
      <c r="T305" s="1">
        <f>SQRT(POWER(Hybrid[[#This Row],[angvel_X]],2) + POWER(Hybrid[[#This Row],[angvel_Y]],2) + POWER(Hybrid[[#This Row],[angvel_Z]],2))</f>
        <v>2.0302000024628115</v>
      </c>
      <c r="U305">
        <f>DEGREES(ASIN(MAX(-1,MIN(1,2 * (Hybrid[[#This Row],[quart_W]]*Hybrid[[#This Row],[quart_Y]] - Hybrid[[#This Row],[quart_Z]]*Hybrid[[#This Row],[quart_X]])))))</f>
        <v>0.54759634391275669</v>
      </c>
      <c r="V30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92.648354497185139</v>
      </c>
      <c r="W30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89.998100787238059</v>
      </c>
      <c r="X305">
        <f>IF(Hybrid[[#This Row],[Yaw]]&gt;V304,(360-ABS(Hybrid[[#This Row],[Yaw]])-ABS(V304)),ABS(Hybrid[[#This Row],[Yaw]]-V304))</f>
        <v>0.96901729871102305</v>
      </c>
      <c r="Y305">
        <f>Hybrid[[#This Row],[Degree change]]+Y304</f>
        <v>236.50251639618608</v>
      </c>
    </row>
    <row r="306" spans="1:25">
      <c r="A306">
        <v>305</v>
      </c>
      <c r="B306">
        <v>-865.01000999999997</v>
      </c>
      <c r="C306">
        <v>386.52999899999998</v>
      </c>
      <c r="D306">
        <v>17.010000000000002</v>
      </c>
      <c r="E306">
        <v>2290.540039</v>
      </c>
      <c r="F306">
        <v>-208.159988</v>
      </c>
      <c r="G306">
        <v>8.09</v>
      </c>
      <c r="H306" s="1">
        <v>-2.0000000000000001E-4</v>
      </c>
      <c r="I306" s="1">
        <v>0</v>
      </c>
      <c r="J306" s="1">
        <v>2.0301999999999998</v>
      </c>
      <c r="K306" s="1">
        <v>8.3999999999999995E-5</v>
      </c>
      <c r="L306" s="1">
        <v>4.777E-3</v>
      </c>
      <c r="M306" s="1">
        <v>-1.465E-2</v>
      </c>
      <c r="N306" s="1">
        <v>0.99988100000000002</v>
      </c>
      <c r="O306">
        <v>1</v>
      </c>
      <c r="P306">
        <v>0</v>
      </c>
      <c r="Q306">
        <v>1</v>
      </c>
      <c r="R306">
        <v>1</v>
      </c>
      <c r="S306">
        <v>1</v>
      </c>
      <c r="T306" s="1">
        <f>SQRT(POWER(Hybrid[[#This Row],[angvel_X]],2) + POWER(Hybrid[[#This Row],[angvel_Y]],2) + POWER(Hybrid[[#This Row],[angvel_Z]],2))</f>
        <v>2.0302000098512458</v>
      </c>
      <c r="U306">
        <f>DEGREES(ASIN(MAX(-1,MIN(1,2 * (Hybrid[[#This Row],[quart_W]]*Hybrid[[#This Row],[quart_Y]] - Hybrid[[#This Row],[quart_Z]]*Hybrid[[#This Row],[quart_X]])))))</f>
        <v>0.54748808432357565</v>
      </c>
      <c r="V30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91.678837439190431</v>
      </c>
      <c r="W30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89.998394848023437</v>
      </c>
      <c r="X306">
        <f>IF(Hybrid[[#This Row],[Yaw]]&gt;V305,(360-ABS(Hybrid[[#This Row],[Yaw]])-ABS(V305)),ABS(Hybrid[[#This Row],[Yaw]]-V305))</f>
        <v>0.96951705799470744</v>
      </c>
      <c r="Y306">
        <f>Hybrid[[#This Row],[Degree change]]+Y305</f>
        <v>237.4720334541808</v>
      </c>
    </row>
    <row r="307" spans="1:25">
      <c r="A307">
        <v>306</v>
      </c>
      <c r="B307">
        <v>-845.84997599999997</v>
      </c>
      <c r="C307">
        <v>384.78997800000002</v>
      </c>
      <c r="D307">
        <v>17.010000000000002</v>
      </c>
      <c r="E307">
        <v>2293.7299800000001</v>
      </c>
      <c r="F307">
        <v>-169.37998999999999</v>
      </c>
      <c r="G307">
        <v>8.09</v>
      </c>
      <c r="H307" s="1">
        <v>-2.0000000000000001E-4</v>
      </c>
      <c r="I307" s="1">
        <v>0</v>
      </c>
      <c r="J307" s="1">
        <v>2.0301999999999998</v>
      </c>
      <c r="K307" s="1">
        <v>4.0000000000000003E-5</v>
      </c>
      <c r="L307" s="1">
        <v>4.777E-3</v>
      </c>
      <c r="M307" s="1">
        <v>-6.1910000000000003E-3</v>
      </c>
      <c r="N307" s="1">
        <v>0.999969</v>
      </c>
      <c r="O307">
        <v>1</v>
      </c>
      <c r="P307">
        <v>0</v>
      </c>
      <c r="Q307">
        <v>1</v>
      </c>
      <c r="R307">
        <v>1</v>
      </c>
      <c r="S307">
        <v>1</v>
      </c>
      <c r="T307" s="1">
        <f>SQRT(POWER(Hybrid[[#This Row],[angvel_X]],2) + POWER(Hybrid[[#This Row],[angvel_Y]],2) + POWER(Hybrid[[#This Row],[angvel_Z]],2))</f>
        <v>2.0302000098512458</v>
      </c>
      <c r="U307">
        <f>DEGREES(ASIN(MAX(-1,MIN(1,2 * (Hybrid[[#This Row],[quart_W]]*Hybrid[[#This Row],[quart_Y]] - Hybrid[[#This Row],[quart_Z]]*Hybrid[[#This Row],[quart_X]])))))</f>
        <v>0.54742361400300554</v>
      </c>
      <c r="V30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90.709442961289682</v>
      </c>
      <c r="W30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89.998805402613471</v>
      </c>
      <c r="X307">
        <f>IF(Hybrid[[#This Row],[Yaw]]&gt;V306,(360-ABS(Hybrid[[#This Row],[Yaw]])-ABS(V306)),ABS(Hybrid[[#This Row],[Yaw]]-V306))</f>
        <v>0.96939447790074951</v>
      </c>
      <c r="Y307">
        <f>Hybrid[[#This Row],[Degree change]]+Y306</f>
        <v>238.44142793208155</v>
      </c>
    </row>
    <row r="308" spans="1:25">
      <c r="A308">
        <v>307</v>
      </c>
      <c r="B308">
        <v>-826.669983</v>
      </c>
      <c r="C308">
        <v>383.38000499999998</v>
      </c>
      <c r="D308">
        <v>17.010000000000002</v>
      </c>
      <c r="E308">
        <v>2296.2700199999999</v>
      </c>
      <c r="F308">
        <v>-130.550003</v>
      </c>
      <c r="G308">
        <v>8.09</v>
      </c>
      <c r="H308" s="1">
        <v>-2.0000000000000001E-4</v>
      </c>
      <c r="I308" s="1">
        <v>0</v>
      </c>
      <c r="J308" s="1">
        <v>2.0301999999999998</v>
      </c>
      <c r="K308" s="1">
        <v>-3.0000000000000001E-6</v>
      </c>
      <c r="L308" s="1">
        <v>4.777E-3</v>
      </c>
      <c r="M308" s="1">
        <v>2.2690000000000002E-3</v>
      </c>
      <c r="N308" s="1">
        <v>0.99998600000000004</v>
      </c>
      <c r="O308">
        <v>1</v>
      </c>
      <c r="P308">
        <v>0</v>
      </c>
      <c r="Q308">
        <v>1</v>
      </c>
      <c r="R308">
        <v>1</v>
      </c>
      <c r="S308">
        <v>1</v>
      </c>
      <c r="T308" s="1">
        <f>SQRT(POWER(Hybrid[[#This Row],[angvel_X]],2) + POWER(Hybrid[[#This Row],[angvel_Y]],2) + POWER(Hybrid[[#This Row],[angvel_Z]],2))</f>
        <v>2.0302000098512458</v>
      </c>
      <c r="U308">
        <f>DEGREES(ASIN(MAX(-1,MIN(1,2 * (Hybrid[[#This Row],[quart_W]]*Hybrid[[#This Row],[quart_Y]] - Hybrid[[#This Row],[quart_Z]]*Hybrid[[#This Row],[quart_X]])))))</f>
        <v>0.54740532160510658</v>
      </c>
      <c r="V30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89.739984275500959</v>
      </c>
      <c r="W30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89.999101669466995</v>
      </c>
      <c r="X308">
        <f>IF(Hybrid[[#This Row],[Yaw]]&gt;V307,(360-ABS(Hybrid[[#This Row],[Yaw]])-ABS(V307)),ABS(Hybrid[[#This Row],[Yaw]]-V307))</f>
        <v>0.96945868578872307</v>
      </c>
      <c r="Y308">
        <f>Hybrid[[#This Row],[Degree change]]+Y307</f>
        <v>239.41088661787029</v>
      </c>
    </row>
    <row r="309" spans="1:25">
      <c r="A309">
        <v>308</v>
      </c>
      <c r="B309">
        <v>-807.46997099999999</v>
      </c>
      <c r="C309">
        <v>382.28997800000002</v>
      </c>
      <c r="D309">
        <v>17.010000000000002</v>
      </c>
      <c r="E309">
        <v>2298.1499020000001</v>
      </c>
      <c r="F309">
        <v>-91.689994999999996</v>
      </c>
      <c r="G309">
        <v>8.09</v>
      </c>
      <c r="H309" s="1">
        <v>-2.0000000000000001E-4</v>
      </c>
      <c r="I309" s="1">
        <v>0</v>
      </c>
      <c r="J309" s="1">
        <v>2.0301999999999998</v>
      </c>
      <c r="K309" s="1">
        <v>-4.6E-5</v>
      </c>
      <c r="L309" s="1">
        <v>4.777E-3</v>
      </c>
      <c r="M309" s="1">
        <v>1.0728E-2</v>
      </c>
      <c r="N309" s="1">
        <v>0.99993100000000001</v>
      </c>
      <c r="O309">
        <v>1</v>
      </c>
      <c r="P309">
        <v>0</v>
      </c>
      <c r="Q309">
        <v>1</v>
      </c>
      <c r="R309">
        <v>1</v>
      </c>
      <c r="S309">
        <v>1</v>
      </c>
      <c r="T309" s="1">
        <f>SQRT(POWER(Hybrid[[#This Row],[angvel_X]],2) + POWER(Hybrid[[#This Row],[angvel_Y]],2) + POWER(Hybrid[[#This Row],[angvel_Z]],2))</f>
        <v>2.0302000098512458</v>
      </c>
      <c r="U309">
        <f>DEGREES(ASIN(MAX(-1,MIN(1,2 * (Hybrid[[#This Row],[quart_W]]*Hybrid[[#This Row],[quart_Y]] - Hybrid[[#This Row],[quart_Z]]*Hybrid[[#This Row],[quart_X]])))))</f>
        <v>0.54743098509770416</v>
      </c>
      <c r="V30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88.770621320506365</v>
      </c>
      <c r="W30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89.99939827173904</v>
      </c>
      <c r="X309">
        <f>IF(Hybrid[[#This Row],[Yaw]]&gt;V308,(360-ABS(Hybrid[[#This Row],[Yaw]])-ABS(V308)),ABS(Hybrid[[#This Row],[Yaw]]-V308))</f>
        <v>0.96936295499459391</v>
      </c>
      <c r="Y309">
        <f>Hybrid[[#This Row],[Degree change]]+Y308</f>
        <v>240.3802495728649</v>
      </c>
    </row>
    <row r="310" spans="1:25">
      <c r="A310">
        <v>309</v>
      </c>
      <c r="B310">
        <v>-788.25</v>
      </c>
      <c r="C310">
        <v>381.52999899999998</v>
      </c>
      <c r="D310">
        <v>17.010000000000002</v>
      </c>
      <c r="E310">
        <v>2299.3698730000001</v>
      </c>
      <c r="F310">
        <v>-52.799999</v>
      </c>
      <c r="G310">
        <v>8.09</v>
      </c>
      <c r="H310" s="1">
        <v>-1E-4</v>
      </c>
      <c r="I310" s="1">
        <v>0</v>
      </c>
      <c r="J310" s="1">
        <v>2.0301999999999998</v>
      </c>
      <c r="K310" s="1">
        <v>-8.8999999999999995E-5</v>
      </c>
      <c r="L310" s="1">
        <v>4.777E-3</v>
      </c>
      <c r="M310" s="1">
        <v>1.9186999999999999E-2</v>
      </c>
      <c r="N310" s="1">
        <v>0.99980400000000003</v>
      </c>
      <c r="O310">
        <v>1</v>
      </c>
      <c r="P310">
        <v>0</v>
      </c>
      <c r="Q310">
        <v>1</v>
      </c>
      <c r="R310">
        <v>1</v>
      </c>
      <c r="S310">
        <v>1</v>
      </c>
      <c r="T310" s="1">
        <f>SQRT(POWER(Hybrid[[#This Row],[angvel_X]],2) + POWER(Hybrid[[#This Row],[angvel_Y]],2) + POWER(Hybrid[[#This Row],[angvel_Z]],2))</f>
        <v>2.0302000024628115</v>
      </c>
      <c r="U310">
        <f>DEGREES(ASIN(MAX(-1,MIN(1,2 * (Hybrid[[#This Row],[quart_W]]*Hybrid[[#This Row],[quart_Y]] - Hybrid[[#This Row],[quart_Z]]*Hybrid[[#This Row],[quart_X]])))))</f>
        <v>0.54750059989749156</v>
      </c>
      <c r="V31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87.801171358166584</v>
      </c>
      <c r="W31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89.999693597632316</v>
      </c>
      <c r="X310">
        <f>IF(Hybrid[[#This Row],[Yaw]]&gt;V309,(360-ABS(Hybrid[[#This Row],[Yaw]])-ABS(V309)),ABS(Hybrid[[#This Row],[Yaw]]-V309))</f>
        <v>0.96944996233978031</v>
      </c>
      <c r="Y310">
        <f>Hybrid[[#This Row],[Degree change]]+Y309</f>
        <v>241.34969953520468</v>
      </c>
    </row>
    <row r="311" spans="1:25">
      <c r="A311">
        <v>310</v>
      </c>
      <c r="B311">
        <v>-769.01995799999997</v>
      </c>
      <c r="C311">
        <v>381.08999599999999</v>
      </c>
      <c r="D311">
        <v>17.010000000000002</v>
      </c>
      <c r="E311">
        <v>2299.9399410000001</v>
      </c>
      <c r="F311">
        <v>-13.889999</v>
      </c>
      <c r="G311">
        <v>8.09</v>
      </c>
      <c r="H311" s="1">
        <v>0</v>
      </c>
      <c r="I311" s="1">
        <v>0</v>
      </c>
      <c r="J311" s="1">
        <v>2.0301999999999998</v>
      </c>
      <c r="K311" s="1">
        <v>-1.3200000000000001E-4</v>
      </c>
      <c r="L311" s="1">
        <v>4.777E-3</v>
      </c>
      <c r="M311" s="1">
        <v>2.7646E-2</v>
      </c>
      <c r="N311" s="1">
        <v>0.99960599999999999</v>
      </c>
      <c r="O311">
        <v>1</v>
      </c>
      <c r="P311">
        <v>0</v>
      </c>
      <c r="Q311">
        <v>1</v>
      </c>
      <c r="R311">
        <v>1</v>
      </c>
      <c r="S311">
        <v>1</v>
      </c>
      <c r="T311" s="1">
        <f>SQRT(POWER(Hybrid[[#This Row],[angvel_X]],2) + POWER(Hybrid[[#This Row],[angvel_Y]],2) + POWER(Hybrid[[#This Row],[angvel_Z]],2))</f>
        <v>2.0301999999999998</v>
      </c>
      <c r="U311">
        <f>DEGREES(ASIN(MAX(-1,MIN(1,2 * (Hybrid[[#This Row],[quart_W]]*Hybrid[[#This Row],[quart_Y]] - Hybrid[[#This Row],[quart_Z]]*Hybrid[[#This Row],[quart_X]])))))</f>
        <v>0.54761471343488022</v>
      </c>
      <c r="V31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86.831562934481269</v>
      </c>
      <c r="W31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89.999986597905036</v>
      </c>
      <c r="X311">
        <f>IF(Hybrid[[#This Row],[Yaw]]&gt;V310,(360-ABS(Hybrid[[#This Row],[Yaw]])-ABS(V310)),ABS(Hybrid[[#This Row],[Yaw]]-V310))</f>
        <v>0.9696084236853153</v>
      </c>
      <c r="Y311">
        <f>Hybrid[[#This Row],[Degree change]]+Y310</f>
        <v>242.31930795888999</v>
      </c>
    </row>
    <row r="312" spans="1:25">
      <c r="A312">
        <v>311</v>
      </c>
      <c r="B312">
        <v>-749.77996800000005</v>
      </c>
      <c r="C312">
        <v>380.97998000000001</v>
      </c>
      <c r="D312">
        <v>17.010000000000002</v>
      </c>
      <c r="E312">
        <v>2299.8398440000001</v>
      </c>
      <c r="F312">
        <v>25.01</v>
      </c>
      <c r="G312">
        <v>8.09</v>
      </c>
      <c r="H312" s="1">
        <v>0</v>
      </c>
      <c r="I312" s="1">
        <v>0</v>
      </c>
      <c r="J312" s="1">
        <v>2.0301999999999998</v>
      </c>
      <c r="K312" s="1">
        <v>-1.7000000000000001E-4</v>
      </c>
      <c r="L312" s="1">
        <v>4.777E-3</v>
      </c>
      <c r="M312" s="1">
        <v>3.6098999999999999E-2</v>
      </c>
      <c r="N312" s="1">
        <v>0.99933700000000003</v>
      </c>
      <c r="O312">
        <v>1</v>
      </c>
      <c r="P312">
        <v>0</v>
      </c>
      <c r="Q312">
        <v>1</v>
      </c>
      <c r="R312">
        <v>1</v>
      </c>
      <c r="S312">
        <v>1</v>
      </c>
      <c r="T312" s="1">
        <f>SQRT(POWER(Hybrid[[#This Row],[angvel_X]],2) + POWER(Hybrid[[#This Row],[angvel_Y]],2) + POWER(Hybrid[[#This Row],[angvel_Z]],2))</f>
        <v>2.0301999999999998</v>
      </c>
      <c r="U312">
        <f>DEGREES(ASIN(MAX(-1,MIN(1,2 * (Hybrid[[#This Row],[quart_W]]*Hybrid[[#This Row],[quart_Y]] - Hybrid[[#This Row],[quart_Z]]*Hybrid[[#This Row],[quart_X]])))))</f>
        <v>0.54775252123708473</v>
      </c>
      <c r="V31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85.862410777586348</v>
      </c>
      <c r="W31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89.999706903453415</v>
      </c>
      <c r="X312">
        <f>IF(Hybrid[[#This Row],[Yaw]]&gt;V311,(360-ABS(Hybrid[[#This Row],[Yaw]])-ABS(V311)),ABS(Hybrid[[#This Row],[Yaw]]-V311))</f>
        <v>0.96915215689492129</v>
      </c>
      <c r="Y312">
        <f>Hybrid[[#This Row],[Degree change]]+Y311</f>
        <v>243.28846011578491</v>
      </c>
    </row>
    <row r="313" spans="1:25">
      <c r="A313">
        <v>312</v>
      </c>
      <c r="B313">
        <v>-730.54998799999998</v>
      </c>
      <c r="C313">
        <v>381.19000199999999</v>
      </c>
      <c r="D313">
        <v>17.010000000000002</v>
      </c>
      <c r="E313">
        <v>2299.0898440000001</v>
      </c>
      <c r="F313">
        <v>63.91</v>
      </c>
      <c r="G313">
        <v>8.09</v>
      </c>
      <c r="H313" s="1">
        <v>0</v>
      </c>
      <c r="I313" s="1">
        <v>0</v>
      </c>
      <c r="J313" s="1">
        <v>2.0301999999999998</v>
      </c>
      <c r="K313" s="1">
        <v>-2.0799999999999999E-4</v>
      </c>
      <c r="L313" s="1">
        <v>4.777E-3</v>
      </c>
      <c r="M313" s="1">
        <v>4.4553000000000002E-2</v>
      </c>
      <c r="N313" s="1">
        <v>0.99899499999999997</v>
      </c>
      <c r="O313">
        <v>1</v>
      </c>
      <c r="P313">
        <v>0</v>
      </c>
      <c r="Q313">
        <v>1</v>
      </c>
      <c r="R313">
        <v>1</v>
      </c>
      <c r="S313">
        <v>1</v>
      </c>
      <c r="T313" s="1">
        <f>SQRT(POWER(Hybrid[[#This Row],[angvel_X]],2) + POWER(Hybrid[[#This Row],[angvel_Y]],2) + POWER(Hybrid[[#This Row],[angvel_Z]],2))</f>
        <v>2.0301999999999998</v>
      </c>
      <c r="U313">
        <f>DEGREES(ASIN(MAX(-1,MIN(1,2 * (Hybrid[[#This Row],[quart_W]]*Hybrid[[#This Row],[quart_Y]] - Hybrid[[#This Row],[quart_Z]]*Hybrid[[#This Row],[quart_X]])))))</f>
        <v>0.54792401076056085</v>
      </c>
      <c r="V31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84.892853513190616</v>
      </c>
      <c r="W31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89.999422578701981</v>
      </c>
      <c r="X313">
        <f>IF(Hybrid[[#This Row],[Yaw]]&gt;V312,(360-ABS(Hybrid[[#This Row],[Yaw]])-ABS(V312)),ABS(Hybrid[[#This Row],[Yaw]]-V312))</f>
        <v>0.96955726439573198</v>
      </c>
      <c r="Y313">
        <f>Hybrid[[#This Row],[Degree change]]+Y312</f>
        <v>244.25801738018066</v>
      </c>
    </row>
    <row r="314" spans="1:25">
      <c r="A314">
        <v>313</v>
      </c>
      <c r="B314">
        <v>-711.32000700000003</v>
      </c>
      <c r="C314">
        <v>381.72998000000001</v>
      </c>
      <c r="D314">
        <v>17.010000000000002</v>
      </c>
      <c r="E314">
        <v>2297.679932</v>
      </c>
      <c r="F314">
        <v>102.790001</v>
      </c>
      <c r="G314">
        <v>8.09</v>
      </c>
      <c r="H314" s="1">
        <v>0</v>
      </c>
      <c r="I314" s="1">
        <v>0</v>
      </c>
      <c r="J314" s="1">
        <v>2.0301999999999998</v>
      </c>
      <c r="K314" s="1">
        <v>-2.4499999999999999E-4</v>
      </c>
      <c r="L314" s="1">
        <v>4.777E-3</v>
      </c>
      <c r="M314" s="1">
        <v>5.3001E-2</v>
      </c>
      <c r="N314" s="1">
        <v>0.998583</v>
      </c>
      <c r="O314">
        <v>1</v>
      </c>
      <c r="P314">
        <v>0</v>
      </c>
      <c r="Q314">
        <v>1</v>
      </c>
      <c r="R314">
        <v>1</v>
      </c>
      <c r="S314">
        <v>1</v>
      </c>
      <c r="T314" s="1">
        <f>SQRT(POWER(Hybrid[[#This Row],[angvel_X]],2) + POWER(Hybrid[[#This Row],[angvel_Y]],2) + POWER(Hybrid[[#This Row],[angvel_Z]],2))</f>
        <v>2.0301999999999998</v>
      </c>
      <c r="U314">
        <f>DEGREES(ASIN(MAX(-1,MIN(1,2 * (Hybrid[[#This Row],[quart_W]]*Hybrid[[#This Row],[quart_Y]] - Hybrid[[#This Row],[quart_Z]]*Hybrid[[#This Row],[quart_X]])))))</f>
        <v>0.54812456627817296</v>
      </c>
      <c r="V31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83.923611440515131</v>
      </c>
      <c r="W31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89.999022152127409</v>
      </c>
      <c r="X314">
        <f>IF(Hybrid[[#This Row],[Yaw]]&gt;V313,(360-ABS(Hybrid[[#This Row],[Yaw]])-ABS(V313)),ABS(Hybrid[[#This Row],[Yaw]]-V313))</f>
        <v>0.96924207267548468</v>
      </c>
      <c r="Y314">
        <f>Hybrid[[#This Row],[Degree change]]+Y313</f>
        <v>245.22725945285615</v>
      </c>
    </row>
    <row r="315" spans="1:25">
      <c r="A315">
        <v>314</v>
      </c>
      <c r="B315">
        <v>-692.09997599999997</v>
      </c>
      <c r="C315">
        <v>382.58999599999999</v>
      </c>
      <c r="D315">
        <v>17.010000000000002</v>
      </c>
      <c r="E315">
        <v>2295.6098630000001</v>
      </c>
      <c r="F315">
        <v>141.63999899999999</v>
      </c>
      <c r="G315">
        <v>8.09</v>
      </c>
      <c r="H315" s="1">
        <v>0</v>
      </c>
      <c r="I315" s="1">
        <v>0</v>
      </c>
      <c r="J315" s="1">
        <v>2.0301999999999998</v>
      </c>
      <c r="K315" s="1">
        <v>-2.8299999999999999E-4</v>
      </c>
      <c r="L315" s="1">
        <v>4.777E-3</v>
      </c>
      <c r="M315" s="1">
        <v>6.1443999999999999E-2</v>
      </c>
      <c r="N315" s="1">
        <v>0.99809899999999996</v>
      </c>
      <c r="O315">
        <v>1</v>
      </c>
      <c r="P315">
        <v>0</v>
      </c>
      <c r="Q315">
        <v>1</v>
      </c>
      <c r="R315">
        <v>1</v>
      </c>
      <c r="S315">
        <v>1</v>
      </c>
      <c r="T315" s="1">
        <f>SQRT(POWER(Hybrid[[#This Row],[angvel_X]],2) + POWER(Hybrid[[#This Row],[angvel_Y]],2) + POWER(Hybrid[[#This Row],[angvel_Z]],2))</f>
        <v>2.0301999999999998</v>
      </c>
      <c r="U315">
        <f>DEGREES(ASIN(MAX(-1,MIN(1,2 * (Hybrid[[#This Row],[quart_W]]*Hybrid[[#This Row],[quart_Y]] - Hybrid[[#This Row],[quart_Z]]*Hybrid[[#This Row],[quart_X]])))))</f>
        <v>0.54836422704615473</v>
      </c>
      <c r="V31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82.954511924275621</v>
      </c>
      <c r="W31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89.998733021019603</v>
      </c>
      <c r="X315">
        <f>IF(Hybrid[[#This Row],[Yaw]]&gt;V314,(360-ABS(Hybrid[[#This Row],[Yaw]])-ABS(V314)),ABS(Hybrid[[#This Row],[Yaw]]-V314))</f>
        <v>0.96909951623950974</v>
      </c>
      <c r="Y315">
        <f>Hybrid[[#This Row],[Degree change]]+Y314</f>
        <v>246.19635896909566</v>
      </c>
    </row>
    <row r="316" spans="1:25">
      <c r="A316">
        <v>315</v>
      </c>
      <c r="B316">
        <v>-672.89996299999996</v>
      </c>
      <c r="C316">
        <v>383.77999899999998</v>
      </c>
      <c r="D316">
        <v>17.010000000000002</v>
      </c>
      <c r="E316">
        <v>2292.889893</v>
      </c>
      <c r="F316">
        <v>180.449997</v>
      </c>
      <c r="G316">
        <v>8.09</v>
      </c>
      <c r="H316" s="1">
        <v>0</v>
      </c>
      <c r="I316" s="1">
        <v>0</v>
      </c>
      <c r="J316" s="1">
        <v>2.0301999999999998</v>
      </c>
      <c r="K316" s="1">
        <v>-3.21E-4</v>
      </c>
      <c r="L316" s="1">
        <v>4.777E-3</v>
      </c>
      <c r="M316" s="1">
        <v>6.9887000000000005E-2</v>
      </c>
      <c r="N316" s="1">
        <v>0.99754299999999996</v>
      </c>
      <c r="O316">
        <v>1</v>
      </c>
      <c r="P316">
        <v>0</v>
      </c>
      <c r="Q316">
        <v>1</v>
      </c>
      <c r="R316">
        <v>1</v>
      </c>
      <c r="S316">
        <v>1</v>
      </c>
      <c r="T316" s="1">
        <f>SQRT(POWER(Hybrid[[#This Row],[angvel_X]],2) + POWER(Hybrid[[#This Row],[angvel_Y]],2) + POWER(Hybrid[[#This Row],[angvel_Z]],2))</f>
        <v>2.0301999999999998</v>
      </c>
      <c r="U316">
        <f>DEGREES(ASIN(MAX(-1,MIN(1,2 * (Hybrid[[#This Row],[quart_W]]*Hybrid[[#This Row],[quart_Y]] - Hybrid[[#This Row],[quart_Z]]*Hybrid[[#This Row],[quart_X]])))))</f>
        <v>0.5486380060451076</v>
      </c>
      <c r="V31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81.984910071787624</v>
      </c>
      <c r="W31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89.998437025988963</v>
      </c>
      <c r="X316">
        <f>IF(Hybrid[[#This Row],[Yaw]]&gt;V315,(360-ABS(Hybrid[[#This Row],[Yaw]])-ABS(V315)),ABS(Hybrid[[#This Row],[Yaw]]-V315))</f>
        <v>0.96960185248799746</v>
      </c>
      <c r="Y316">
        <f>Hybrid[[#This Row],[Degree change]]+Y315</f>
        <v>247.16596082158367</v>
      </c>
    </row>
    <row r="317" spans="1:25">
      <c r="A317">
        <v>316</v>
      </c>
      <c r="B317">
        <v>-653.71997099999999</v>
      </c>
      <c r="C317">
        <v>385.28997800000002</v>
      </c>
      <c r="D317">
        <v>17.010000000000002</v>
      </c>
      <c r="E317">
        <v>2289.51001</v>
      </c>
      <c r="F317">
        <v>219.209991</v>
      </c>
      <c r="G317">
        <v>8.09</v>
      </c>
      <c r="H317" s="1">
        <v>-1E-4</v>
      </c>
      <c r="I317" s="1">
        <v>0</v>
      </c>
      <c r="J317" s="1">
        <v>2.0301999999999998</v>
      </c>
      <c r="K317" s="1">
        <v>-3.59E-4</v>
      </c>
      <c r="L317" s="1">
        <v>4.7720000000000002E-3</v>
      </c>
      <c r="M317" s="1">
        <v>7.8325000000000006E-2</v>
      </c>
      <c r="N317" s="1">
        <v>0.99691600000000002</v>
      </c>
      <c r="O317">
        <v>1</v>
      </c>
      <c r="P317">
        <v>0</v>
      </c>
      <c r="Q317">
        <v>1</v>
      </c>
      <c r="R317">
        <v>1</v>
      </c>
      <c r="S317">
        <v>1</v>
      </c>
      <c r="T317" s="1">
        <f>SQRT(POWER(Hybrid[[#This Row],[angvel_X]],2) + POWER(Hybrid[[#This Row],[angvel_Y]],2) + POWER(Hybrid[[#This Row],[angvel_Z]],2))</f>
        <v>2.0302000024628115</v>
      </c>
      <c r="U317">
        <f>DEGREES(ASIN(MAX(-1,MIN(1,2 * (Hybrid[[#This Row],[quart_W]]*Hybrid[[#This Row],[quart_Y]] - Hybrid[[#This Row],[quart_Z]]*Hybrid[[#This Row],[quart_X]])))))</f>
        <v>0.54837502802446414</v>
      </c>
      <c r="V31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81.015305355818924</v>
      </c>
      <c r="W31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89.998180883856833</v>
      </c>
      <c r="X317">
        <f>IF(Hybrid[[#This Row],[Yaw]]&gt;V316,(360-ABS(Hybrid[[#This Row],[Yaw]])-ABS(V316)),ABS(Hybrid[[#This Row],[Yaw]]-V316))</f>
        <v>0.96960471596869979</v>
      </c>
      <c r="Y317">
        <f>Hybrid[[#This Row],[Degree change]]+Y316</f>
        <v>248.13556553755237</v>
      </c>
    </row>
    <row r="318" spans="1:25">
      <c r="A318">
        <v>317</v>
      </c>
      <c r="B318">
        <v>-634.57000700000003</v>
      </c>
      <c r="C318">
        <v>387.13000499999998</v>
      </c>
      <c r="D318">
        <v>17.010000000000002</v>
      </c>
      <c r="E318">
        <v>2285.469971</v>
      </c>
      <c r="F318">
        <v>257.91000400000001</v>
      </c>
      <c r="G318">
        <v>8.09</v>
      </c>
      <c r="H318" s="1">
        <v>-2.0000000000000001E-4</v>
      </c>
      <c r="I318" s="1">
        <v>0</v>
      </c>
      <c r="J318" s="1">
        <v>2.0301999999999998</v>
      </c>
      <c r="K318" s="1">
        <v>-4.0200000000000001E-4</v>
      </c>
      <c r="L318" s="1">
        <v>4.7660000000000003E-3</v>
      </c>
      <c r="M318" s="1">
        <v>8.6757000000000001E-2</v>
      </c>
      <c r="N318" s="1">
        <v>0.99621800000000005</v>
      </c>
      <c r="O318">
        <v>1</v>
      </c>
      <c r="P318">
        <v>0</v>
      </c>
      <c r="Q318">
        <v>1</v>
      </c>
      <c r="R318">
        <v>1</v>
      </c>
      <c r="S318">
        <v>1</v>
      </c>
      <c r="T318" s="1">
        <f>SQRT(POWER(Hybrid[[#This Row],[angvel_X]],2) + POWER(Hybrid[[#This Row],[angvel_Y]],2) + POWER(Hybrid[[#This Row],[angvel_Z]],2))</f>
        <v>2.0302000098512458</v>
      </c>
      <c r="U318">
        <f>DEGREES(ASIN(MAX(-1,MIN(1,2 * (Hybrid[[#This Row],[quart_W]]*Hybrid[[#This Row],[quart_Y]] - Hybrid[[#This Row],[quart_Z]]*Hybrid[[#This Row],[quart_X]])))))</f>
        <v>0.54808274600864848</v>
      </c>
      <c r="V31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80.045745226898788</v>
      </c>
      <c r="W31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89.998509757286413</v>
      </c>
      <c r="X318">
        <f>IF(Hybrid[[#This Row],[Yaw]]&gt;V317,(360-ABS(Hybrid[[#This Row],[Yaw]])-ABS(V317)),ABS(Hybrid[[#This Row],[Yaw]]-V317))</f>
        <v>0.96956012892013632</v>
      </c>
      <c r="Y318">
        <f>Hybrid[[#This Row],[Degree change]]+Y317</f>
        <v>249.1051256664725</v>
      </c>
    </row>
    <row r="319" spans="1:25">
      <c r="A319">
        <v>318</v>
      </c>
      <c r="B319">
        <v>-615.45996100000002</v>
      </c>
      <c r="C319">
        <v>389.28997800000002</v>
      </c>
      <c r="D319">
        <v>17.010000000000002</v>
      </c>
      <c r="E319">
        <v>2280.780029</v>
      </c>
      <c r="F319">
        <v>296.540009</v>
      </c>
      <c r="G319">
        <v>8.09</v>
      </c>
      <c r="H319" s="1">
        <v>-2.0000000000000001E-4</v>
      </c>
      <c r="I319" s="1">
        <v>0</v>
      </c>
      <c r="J319" s="1">
        <v>2.0301999999999998</v>
      </c>
      <c r="K319" s="1">
        <v>-4.4499999999999997E-4</v>
      </c>
      <c r="L319" s="1">
        <v>4.7609999999999996E-3</v>
      </c>
      <c r="M319" s="1">
        <v>9.5183000000000004E-2</v>
      </c>
      <c r="N319" s="1">
        <v>0.995448</v>
      </c>
      <c r="O319">
        <v>1</v>
      </c>
      <c r="P319">
        <v>0</v>
      </c>
      <c r="Q319">
        <v>1</v>
      </c>
      <c r="R319">
        <v>1</v>
      </c>
      <c r="S319">
        <v>1</v>
      </c>
      <c r="T319" s="1">
        <f>SQRT(POWER(Hybrid[[#This Row],[angvel_X]],2) + POWER(Hybrid[[#This Row],[angvel_Y]],2) + POWER(Hybrid[[#This Row],[angvel_Z]],2))</f>
        <v>2.0302000098512458</v>
      </c>
      <c r="U319">
        <f>DEGREES(ASIN(MAX(-1,MIN(1,2 * (Hybrid[[#This Row],[quart_W]]*Hybrid[[#This Row],[quart_Y]] - Hybrid[[#This Row],[quart_Z]]*Hybrid[[#This Row],[quart_X]])))))</f>
        <v>0.54794901853249223</v>
      </c>
      <c r="V31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79.076167093608078</v>
      </c>
      <c r="W31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89.998832040534822</v>
      </c>
      <c r="X319">
        <f>IF(Hybrid[[#This Row],[Yaw]]&gt;V318,(360-ABS(Hybrid[[#This Row],[Yaw]])-ABS(V318)),ABS(Hybrid[[#This Row],[Yaw]]-V318))</f>
        <v>0.9695781332907103</v>
      </c>
      <c r="Y319">
        <f>Hybrid[[#This Row],[Degree change]]+Y318</f>
        <v>250.0747037997632</v>
      </c>
    </row>
    <row r="320" spans="1:25">
      <c r="A320">
        <v>319</v>
      </c>
      <c r="B320">
        <v>-596.39001499999995</v>
      </c>
      <c r="C320">
        <v>391.76998900000001</v>
      </c>
      <c r="D320">
        <v>17.010000000000002</v>
      </c>
      <c r="E320">
        <v>2275.4399410000001</v>
      </c>
      <c r="F320">
        <v>335.08999599999999</v>
      </c>
      <c r="G320">
        <v>8.09</v>
      </c>
      <c r="H320" s="1">
        <v>-2.0000000000000001E-4</v>
      </c>
      <c r="I320" s="1">
        <v>0</v>
      </c>
      <c r="J320" s="1">
        <v>2.0301999999999998</v>
      </c>
      <c r="K320" s="1">
        <v>-4.8799999999999999E-4</v>
      </c>
      <c r="L320" s="1">
        <v>4.7559999999999998E-3</v>
      </c>
      <c r="M320" s="1">
        <v>0.103599</v>
      </c>
      <c r="N320" s="1">
        <v>0.99460800000000005</v>
      </c>
      <c r="O320">
        <v>1</v>
      </c>
      <c r="P320">
        <v>0</v>
      </c>
      <c r="Q320">
        <v>1</v>
      </c>
      <c r="R320">
        <v>1</v>
      </c>
      <c r="S320">
        <v>1</v>
      </c>
      <c r="T320" s="1">
        <f>SQRT(POWER(Hybrid[[#This Row],[angvel_X]],2) + POWER(Hybrid[[#This Row],[angvel_Y]],2) + POWER(Hybrid[[#This Row],[angvel_Z]],2))</f>
        <v>2.0302000098512458</v>
      </c>
      <c r="U320">
        <f>DEGREES(ASIN(MAX(-1,MIN(1,2 * (Hybrid[[#This Row],[quart_W]]*Hybrid[[#This Row],[quart_Y]] - Hybrid[[#This Row],[quart_Z]]*Hybrid[[#This Row],[quart_X]])))))</f>
        <v>0.54786050362138794</v>
      </c>
      <c r="V32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78.106945644280842</v>
      </c>
      <c r="W32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89.999157926685839</v>
      </c>
      <c r="X320">
        <f>IF(Hybrid[[#This Row],[Yaw]]&gt;V319,(360-ABS(Hybrid[[#This Row],[Yaw]])-ABS(V319)),ABS(Hybrid[[#This Row],[Yaw]]-V319))</f>
        <v>0.96922144932723597</v>
      </c>
      <c r="Y320">
        <f>Hybrid[[#This Row],[Degree change]]+Y319</f>
        <v>251.04392524909042</v>
      </c>
    </row>
    <row r="321" spans="1:25">
      <c r="A321">
        <v>320</v>
      </c>
      <c r="B321">
        <v>-577.35998500000005</v>
      </c>
      <c r="C321">
        <v>394.57998700000002</v>
      </c>
      <c r="D321">
        <v>17.010000000000002</v>
      </c>
      <c r="E321">
        <v>2269.4399410000001</v>
      </c>
      <c r="F321">
        <v>373.53997800000002</v>
      </c>
      <c r="G321">
        <v>8.09</v>
      </c>
      <c r="H321" s="1">
        <v>-2.0000000000000001E-4</v>
      </c>
      <c r="I321" s="1">
        <v>0</v>
      </c>
      <c r="J321" s="1">
        <v>2.0301999999999998</v>
      </c>
      <c r="K321" s="1">
        <v>-5.31E-4</v>
      </c>
      <c r="L321" s="1">
        <v>4.7499999999999999E-3</v>
      </c>
      <c r="M321" s="1">
        <v>0.11201</v>
      </c>
      <c r="N321" s="1">
        <v>0.99369600000000002</v>
      </c>
      <c r="O321">
        <v>1</v>
      </c>
      <c r="P321">
        <v>0</v>
      </c>
      <c r="Q321">
        <v>1</v>
      </c>
      <c r="R321">
        <v>1</v>
      </c>
      <c r="S321">
        <v>1</v>
      </c>
      <c r="T321" s="1">
        <f>SQRT(POWER(Hybrid[[#This Row],[angvel_X]],2) + POWER(Hybrid[[#This Row],[angvel_Y]],2) + POWER(Hybrid[[#This Row],[angvel_Z]],2))</f>
        <v>2.0302000098512458</v>
      </c>
      <c r="U321">
        <f>DEGREES(ASIN(MAX(-1,MIN(1,2 * (Hybrid[[#This Row],[quart_W]]*Hybrid[[#This Row],[quart_Y]] - Hybrid[[#This Row],[quart_Z]]*Hybrid[[#This Row],[quart_X]])))))</f>
        <v>0.54770251474811293</v>
      </c>
      <c r="V32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77.137452324405857</v>
      </c>
      <c r="W32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89.999496355796097</v>
      </c>
      <c r="X321">
        <f>IF(Hybrid[[#This Row],[Yaw]]&gt;V320,(360-ABS(Hybrid[[#This Row],[Yaw]])-ABS(V320)),ABS(Hybrid[[#This Row],[Yaw]]-V320))</f>
        <v>0.9694933198749851</v>
      </c>
      <c r="Y321">
        <f>Hybrid[[#This Row],[Degree change]]+Y320</f>
        <v>252.01341856896539</v>
      </c>
    </row>
    <row r="322" spans="1:25">
      <c r="A322">
        <v>321</v>
      </c>
      <c r="B322">
        <v>-558.38000499999998</v>
      </c>
      <c r="C322">
        <v>397.709991</v>
      </c>
      <c r="D322">
        <v>17.010000000000002</v>
      </c>
      <c r="E322">
        <v>2262.8000489999999</v>
      </c>
      <c r="F322">
        <v>411.88000499999998</v>
      </c>
      <c r="G322">
        <v>8.09</v>
      </c>
      <c r="H322" s="1">
        <v>-1E-4</v>
      </c>
      <c r="I322" s="1">
        <v>0</v>
      </c>
      <c r="J322" s="1">
        <v>2.0301999999999998</v>
      </c>
      <c r="K322" s="1">
        <v>-5.7499999999999999E-4</v>
      </c>
      <c r="L322" s="1">
        <v>4.7450000000000001E-3</v>
      </c>
      <c r="M322" s="1">
        <v>0.12041</v>
      </c>
      <c r="N322" s="1">
        <v>0.99271299999999996</v>
      </c>
      <c r="O322">
        <v>1</v>
      </c>
      <c r="P322">
        <v>0</v>
      </c>
      <c r="Q322">
        <v>1</v>
      </c>
      <c r="R322">
        <v>1</v>
      </c>
      <c r="S322">
        <v>1</v>
      </c>
      <c r="T322" s="1">
        <f>SQRT(POWER(Hybrid[[#This Row],[angvel_X]],2) + POWER(Hybrid[[#This Row],[angvel_Y]],2) + POWER(Hybrid[[#This Row],[angvel_Z]],2))</f>
        <v>2.0302000024628115</v>
      </c>
      <c r="U322">
        <f>DEGREES(ASIN(MAX(-1,MIN(1,2 * (Hybrid[[#This Row],[quart_W]]*Hybrid[[#This Row],[quart_Y]] - Hybrid[[#This Row],[quart_Z]]*Hybrid[[#This Row],[quart_X]])))))</f>
        <v>0.5477169109704807</v>
      </c>
      <c r="V32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76.168306614917839</v>
      </c>
      <c r="W32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89.999938636281144</v>
      </c>
      <c r="X322">
        <f>IF(Hybrid[[#This Row],[Yaw]]&gt;V321,(360-ABS(Hybrid[[#This Row],[Yaw]])-ABS(V321)),ABS(Hybrid[[#This Row],[Yaw]]-V321))</f>
        <v>0.96914570948801781</v>
      </c>
      <c r="Y322">
        <f>Hybrid[[#This Row],[Degree change]]+Y321</f>
        <v>252.98256427845342</v>
      </c>
    </row>
    <row r="323" spans="1:25">
      <c r="A323">
        <v>322</v>
      </c>
      <c r="B323">
        <v>-539.45996100000002</v>
      </c>
      <c r="C323">
        <v>401.16000400000001</v>
      </c>
      <c r="D323">
        <v>17.010000000000002</v>
      </c>
      <c r="E323">
        <v>2255.51001</v>
      </c>
      <c r="F323">
        <v>450.09997600000003</v>
      </c>
      <c r="G323">
        <v>8.09</v>
      </c>
      <c r="H323" s="1">
        <v>0</v>
      </c>
      <c r="I323" s="1">
        <v>0</v>
      </c>
      <c r="J323" s="1">
        <v>2.0301999999999998</v>
      </c>
      <c r="K323" s="1">
        <v>-6.1799999999999995E-4</v>
      </c>
      <c r="L323" s="1">
        <v>4.7390000000000002E-3</v>
      </c>
      <c r="M323" s="1">
        <v>0.128804</v>
      </c>
      <c r="N323" s="1">
        <v>0.99165899999999996</v>
      </c>
      <c r="O323">
        <v>1</v>
      </c>
      <c r="P323">
        <v>0</v>
      </c>
      <c r="Q323">
        <v>1</v>
      </c>
      <c r="R323">
        <v>1</v>
      </c>
      <c r="S323">
        <v>1</v>
      </c>
      <c r="T323" s="1">
        <f>SQRT(POWER(Hybrid[[#This Row],[angvel_X]],2) + POWER(Hybrid[[#This Row],[angvel_Y]],2) + POWER(Hybrid[[#This Row],[angvel_Z]],2))</f>
        <v>2.0301999999999998</v>
      </c>
      <c r="U323">
        <f>DEGREES(ASIN(MAX(-1,MIN(1,2 * (Hybrid[[#This Row],[quart_W]]*Hybrid[[#This Row],[quart_Y]] - Hybrid[[#This Row],[quart_Z]]*Hybrid[[#This Row],[quart_X]])))))</f>
        <v>0.54764975014392392</v>
      </c>
      <c r="V32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75.198853960061058</v>
      </c>
      <c r="W32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90.000279972114555</v>
      </c>
      <c r="X323">
        <f>IF(Hybrid[[#This Row],[Yaw]]&gt;V322,(360-ABS(Hybrid[[#This Row],[Yaw]])-ABS(V322)),ABS(Hybrid[[#This Row],[Yaw]]-V322))</f>
        <v>0.96945265485678078</v>
      </c>
      <c r="Y323">
        <f>Hybrid[[#This Row],[Degree change]]+Y322</f>
        <v>253.9520169333102</v>
      </c>
    </row>
    <row r="324" spans="1:25">
      <c r="A324">
        <v>323</v>
      </c>
      <c r="B324">
        <v>-520.59997599999997</v>
      </c>
      <c r="C324">
        <v>404.92999300000002</v>
      </c>
      <c r="D324">
        <v>17.010000000000002</v>
      </c>
      <c r="E324">
        <v>2247.570068</v>
      </c>
      <c r="F324">
        <v>488.19000199999999</v>
      </c>
      <c r="G324">
        <v>8.09</v>
      </c>
      <c r="H324" s="1">
        <v>0</v>
      </c>
      <c r="I324" s="1">
        <v>0</v>
      </c>
      <c r="J324" s="1">
        <v>2.0301999999999998</v>
      </c>
      <c r="K324" s="1">
        <v>-6.5499999999999998E-4</v>
      </c>
      <c r="L324" s="1">
        <v>4.7340000000000004E-3</v>
      </c>
      <c r="M324" s="1">
        <v>0.137187</v>
      </c>
      <c r="N324" s="1">
        <v>0.99053400000000003</v>
      </c>
      <c r="O324">
        <v>1</v>
      </c>
      <c r="P324">
        <v>0</v>
      </c>
      <c r="Q324">
        <v>1</v>
      </c>
      <c r="R324">
        <v>1</v>
      </c>
      <c r="S324">
        <v>1</v>
      </c>
      <c r="T324" s="1">
        <f>SQRT(POWER(Hybrid[[#This Row],[angvel_X]],2) + POWER(Hybrid[[#This Row],[angvel_Y]],2) + POWER(Hybrid[[#This Row],[angvel_Z]],2))</f>
        <v>2.0301999999999998</v>
      </c>
      <c r="U324">
        <f>DEGREES(ASIN(MAX(-1,MIN(1,2 * (Hybrid[[#This Row],[quart_W]]*Hybrid[[#This Row],[quart_Y]] - Hybrid[[#This Row],[quart_Z]]*Hybrid[[#This Row],[quart_X]])))))</f>
        <v>0.54764660652467678</v>
      </c>
      <c r="V32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74.22960776088695</v>
      </c>
      <c r="W32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89.999926258338377</v>
      </c>
      <c r="X324">
        <f>IF(Hybrid[[#This Row],[Yaw]]&gt;V323,(360-ABS(Hybrid[[#This Row],[Yaw]])-ABS(V323)),ABS(Hybrid[[#This Row],[Yaw]]-V323))</f>
        <v>0.96924619917410837</v>
      </c>
      <c r="Y324">
        <f>Hybrid[[#This Row],[Degree change]]+Y323</f>
        <v>254.92126313248431</v>
      </c>
    </row>
    <row r="325" spans="1:25">
      <c r="A325">
        <v>324</v>
      </c>
      <c r="B325">
        <v>-501.79998799999998</v>
      </c>
      <c r="C325">
        <v>409.01998900000001</v>
      </c>
      <c r="D325">
        <v>17.010000000000002</v>
      </c>
      <c r="E325">
        <v>2238.98999</v>
      </c>
      <c r="F325">
        <v>526.14001499999995</v>
      </c>
      <c r="G325">
        <v>8.09</v>
      </c>
      <c r="H325" s="1">
        <v>0</v>
      </c>
      <c r="I325" s="1">
        <v>0</v>
      </c>
      <c r="J325" s="1">
        <v>2.0301999999999998</v>
      </c>
      <c r="K325" s="1">
        <v>-6.9300000000000004E-4</v>
      </c>
      <c r="L325" s="1">
        <v>4.7289999999999997E-3</v>
      </c>
      <c r="M325" s="1">
        <v>0.14555999999999999</v>
      </c>
      <c r="N325" s="1">
        <v>0.98933800000000005</v>
      </c>
      <c r="O325">
        <v>1</v>
      </c>
      <c r="P325">
        <v>0</v>
      </c>
      <c r="Q325">
        <v>1</v>
      </c>
      <c r="R325">
        <v>1</v>
      </c>
      <c r="S325">
        <v>1</v>
      </c>
      <c r="T325" s="1">
        <f>SQRT(POWER(Hybrid[[#This Row],[angvel_X]],2) + POWER(Hybrid[[#This Row],[angvel_Y]],2) + POWER(Hybrid[[#This Row],[angvel_Z]],2))</f>
        <v>2.0301999999999998</v>
      </c>
      <c r="U325">
        <f>DEGREES(ASIN(MAX(-1,MIN(1,2 * (Hybrid[[#This Row],[quart_W]]*Hybrid[[#This Row],[quart_Y]] - Hybrid[[#This Row],[quart_Z]]*Hybrid[[#This Row],[quart_X]])))))</f>
        <v>0.54769325211838749</v>
      </c>
      <c r="V32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73.260386254314099</v>
      </c>
      <c r="W32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89.999685774901494</v>
      </c>
      <c r="X325">
        <f>IF(Hybrid[[#This Row],[Yaw]]&gt;V324,(360-ABS(Hybrid[[#This Row],[Yaw]])-ABS(V324)),ABS(Hybrid[[#This Row],[Yaw]]-V324))</f>
        <v>0.96922150657285044</v>
      </c>
      <c r="Y325">
        <f>Hybrid[[#This Row],[Degree change]]+Y324</f>
        <v>255.89048463905715</v>
      </c>
    </row>
    <row r="326" spans="1:25">
      <c r="A326">
        <v>325</v>
      </c>
      <c r="B326">
        <v>-483.07998700000002</v>
      </c>
      <c r="C326">
        <v>413.419983</v>
      </c>
      <c r="D326">
        <v>17.010000000000002</v>
      </c>
      <c r="E326">
        <v>2229.7700199999999</v>
      </c>
      <c r="F326">
        <v>563.94000200000005</v>
      </c>
      <c r="G326">
        <v>8.09</v>
      </c>
      <c r="H326" s="1">
        <v>0</v>
      </c>
      <c r="I326" s="1">
        <v>0</v>
      </c>
      <c r="J326" s="1">
        <v>2.0301999999999998</v>
      </c>
      <c r="K326" s="1">
        <v>-7.3099999999999999E-4</v>
      </c>
      <c r="L326" s="1">
        <v>4.7229999999999998E-3</v>
      </c>
      <c r="M326" s="1">
        <v>0.153922</v>
      </c>
      <c r="N326" s="1">
        <v>0.98807100000000003</v>
      </c>
      <c r="O326">
        <v>1</v>
      </c>
      <c r="P326">
        <v>0</v>
      </c>
      <c r="Q326">
        <v>1</v>
      </c>
      <c r="R326">
        <v>1</v>
      </c>
      <c r="S326">
        <v>1</v>
      </c>
      <c r="T326" s="1">
        <f>SQRT(POWER(Hybrid[[#This Row],[angvel_X]],2) + POWER(Hybrid[[#This Row],[angvel_Y]],2) + POWER(Hybrid[[#This Row],[angvel_Z]],2))</f>
        <v>2.0301999999999998</v>
      </c>
      <c r="U326">
        <f>DEGREES(ASIN(MAX(-1,MIN(1,2 * (Hybrid[[#This Row],[quart_W]]*Hybrid[[#This Row],[quart_Y]] - Hybrid[[#This Row],[quart_Z]]*Hybrid[[#This Row],[quart_X]])))))</f>
        <v>0.54766160426548216</v>
      </c>
      <c r="V32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72.291238708824352</v>
      </c>
      <c r="W32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89.999462116454779</v>
      </c>
      <c r="X326">
        <f>IF(Hybrid[[#This Row],[Yaw]]&gt;V325,(360-ABS(Hybrid[[#This Row],[Yaw]])-ABS(V325)),ABS(Hybrid[[#This Row],[Yaw]]-V325))</f>
        <v>0.96914754548974713</v>
      </c>
      <c r="Y326">
        <f>Hybrid[[#This Row],[Degree change]]+Y325</f>
        <v>256.85963218454691</v>
      </c>
    </row>
    <row r="327" spans="1:25">
      <c r="A327">
        <v>326</v>
      </c>
      <c r="B327">
        <v>-464.42999300000002</v>
      </c>
      <c r="C327">
        <v>418.13998400000003</v>
      </c>
      <c r="D327">
        <v>17.010000000000002</v>
      </c>
      <c r="E327">
        <v>2219.9099120000001</v>
      </c>
      <c r="F327">
        <v>601.57995600000004</v>
      </c>
      <c r="G327">
        <v>8.09</v>
      </c>
      <c r="H327" s="1">
        <v>0</v>
      </c>
      <c r="I327" s="1">
        <v>0</v>
      </c>
      <c r="J327" s="1">
        <v>2.0301999999999998</v>
      </c>
      <c r="K327" s="1">
        <v>-7.6900000000000004E-4</v>
      </c>
      <c r="L327" s="1">
        <v>4.718E-3</v>
      </c>
      <c r="M327" s="1">
        <v>0.162273</v>
      </c>
      <c r="N327" s="1">
        <v>0.986734</v>
      </c>
      <c r="O327">
        <v>1</v>
      </c>
      <c r="P327">
        <v>0</v>
      </c>
      <c r="Q327">
        <v>1</v>
      </c>
      <c r="R327">
        <v>1</v>
      </c>
      <c r="S327">
        <v>1</v>
      </c>
      <c r="T327" s="1">
        <f>SQRT(POWER(Hybrid[[#This Row],[angvel_X]],2) + POWER(Hybrid[[#This Row],[angvel_Y]],2) + POWER(Hybrid[[#This Row],[angvel_Z]],2))</f>
        <v>2.0301999999999998</v>
      </c>
      <c r="U327">
        <f>DEGREES(ASIN(MAX(-1,MIN(1,2 * (Hybrid[[#This Row],[quart_W]]*Hybrid[[#This Row],[quart_Y]] - Hybrid[[#This Row],[quart_Z]]*Hybrid[[#This Row],[quart_X]])))))</f>
        <v>0.5477787948445122</v>
      </c>
      <c r="V32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71.322078701006561</v>
      </c>
      <c r="W32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89.999220103710243</v>
      </c>
      <c r="X327">
        <f>IF(Hybrid[[#This Row],[Yaw]]&gt;V326,(360-ABS(Hybrid[[#This Row],[Yaw]])-ABS(V326)),ABS(Hybrid[[#This Row],[Yaw]]-V326))</f>
        <v>0.96916000781779132</v>
      </c>
      <c r="Y327">
        <f>Hybrid[[#This Row],[Degree change]]+Y326</f>
        <v>257.82879219236469</v>
      </c>
    </row>
    <row r="328" spans="1:25">
      <c r="A328">
        <v>327</v>
      </c>
      <c r="B328">
        <v>-445.86999500000002</v>
      </c>
      <c r="C328">
        <v>423.17999300000002</v>
      </c>
      <c r="D328">
        <v>17.010000000000002</v>
      </c>
      <c r="E328">
        <v>2209.419922</v>
      </c>
      <c r="F328">
        <v>639.04998799999998</v>
      </c>
      <c r="G328">
        <v>8.09</v>
      </c>
      <c r="H328" s="1">
        <v>0</v>
      </c>
      <c r="I328" s="1">
        <v>0</v>
      </c>
      <c r="J328" s="1">
        <v>2.0301999999999998</v>
      </c>
      <c r="K328" s="1">
        <v>-8.0699999999999999E-4</v>
      </c>
      <c r="L328" s="1">
        <v>4.712E-3</v>
      </c>
      <c r="M328" s="1">
        <v>0.17061399999999999</v>
      </c>
      <c r="N328" s="1">
        <v>0.98532600000000004</v>
      </c>
      <c r="O328">
        <v>1</v>
      </c>
      <c r="P328">
        <v>0</v>
      </c>
      <c r="Q328">
        <v>1</v>
      </c>
      <c r="R328">
        <v>1</v>
      </c>
      <c r="S328">
        <v>1</v>
      </c>
      <c r="T328" s="1">
        <f>SQRT(POWER(Hybrid[[#This Row],[angvel_X]],2) + POWER(Hybrid[[#This Row],[angvel_Y]],2) + POWER(Hybrid[[#This Row],[angvel_Z]],2))</f>
        <v>2.0301999999999998</v>
      </c>
      <c r="U328">
        <f>DEGREES(ASIN(MAX(-1,MIN(1,2 * (Hybrid[[#This Row],[quart_W]]*Hybrid[[#This Row],[quart_Y]] - Hybrid[[#This Row],[quart_Z]]*Hybrid[[#This Row],[quart_X]])))))</f>
        <v>0.54781806269745403</v>
      </c>
      <c r="V32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70.352734386799568</v>
      </c>
      <c r="W32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89.998994403250578</v>
      </c>
      <c r="X328">
        <f>IF(Hybrid[[#This Row],[Yaw]]&gt;V327,(360-ABS(Hybrid[[#This Row],[Yaw]])-ABS(V327)),ABS(Hybrid[[#This Row],[Yaw]]-V327))</f>
        <v>0.96934431420699241</v>
      </c>
      <c r="Y328">
        <f>Hybrid[[#This Row],[Degree change]]+Y327</f>
        <v>258.79813650657167</v>
      </c>
    </row>
    <row r="329" spans="1:25">
      <c r="A329">
        <v>328</v>
      </c>
      <c r="B329">
        <v>-427.38998400000003</v>
      </c>
      <c r="C329">
        <v>428.52999899999998</v>
      </c>
      <c r="D329">
        <v>17.010000000000002</v>
      </c>
      <c r="E329">
        <v>2198.290039</v>
      </c>
      <c r="F329">
        <v>676.32995600000004</v>
      </c>
      <c r="G329">
        <v>8.09</v>
      </c>
      <c r="H329" s="1">
        <v>0</v>
      </c>
      <c r="I329" s="1">
        <v>0</v>
      </c>
      <c r="J329" s="1">
        <v>2.0301999999999998</v>
      </c>
      <c r="K329" s="1">
        <v>-8.4400000000000002E-4</v>
      </c>
      <c r="L329" s="1">
        <v>4.7070000000000002E-3</v>
      </c>
      <c r="M329" s="1">
        <v>0.17894299999999999</v>
      </c>
      <c r="N329" s="1">
        <v>0.98384799999999994</v>
      </c>
      <c r="O329">
        <v>1</v>
      </c>
      <c r="P329">
        <v>0</v>
      </c>
      <c r="Q329">
        <v>1</v>
      </c>
      <c r="R329">
        <v>1</v>
      </c>
      <c r="S329">
        <v>1</v>
      </c>
      <c r="T329" s="1">
        <f>SQRT(POWER(Hybrid[[#This Row],[angvel_X]],2) + POWER(Hybrid[[#This Row],[angvel_Y]],2) + POWER(Hybrid[[#This Row],[angvel_Z]],2))</f>
        <v>2.0301999999999998</v>
      </c>
      <c r="U329">
        <f>DEGREES(ASIN(MAX(-1,MIN(1,2 * (Hybrid[[#This Row],[quart_W]]*Hybrid[[#This Row],[quart_Y]] - Hybrid[[#This Row],[quart_Z]]*Hybrid[[#This Row],[quart_X]])))))</f>
        <v>0.54798523857004988</v>
      </c>
      <c r="V32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69.383354510341434</v>
      </c>
      <c r="W32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89.998634351192038</v>
      </c>
      <c r="X329">
        <f>IF(Hybrid[[#This Row],[Yaw]]&gt;V328,(360-ABS(Hybrid[[#This Row],[Yaw]])-ABS(V328)),ABS(Hybrid[[#This Row],[Yaw]]-V328))</f>
        <v>0.9693798764581345</v>
      </c>
      <c r="Y329">
        <f>Hybrid[[#This Row],[Degree change]]+Y328</f>
        <v>259.76751638302983</v>
      </c>
    </row>
    <row r="330" spans="1:25">
      <c r="A330">
        <v>329</v>
      </c>
      <c r="B330">
        <v>-409.00997899999999</v>
      </c>
      <c r="C330">
        <v>434.19000199999999</v>
      </c>
      <c r="D330">
        <v>17.010000000000002</v>
      </c>
      <c r="E330">
        <v>2186.530029</v>
      </c>
      <c r="F330">
        <v>713.419983</v>
      </c>
      <c r="G330">
        <v>8.09</v>
      </c>
      <c r="H330" s="1">
        <v>-1E-4</v>
      </c>
      <c r="I330" s="1">
        <v>0</v>
      </c>
      <c r="J330" s="1">
        <v>2.0301999999999998</v>
      </c>
      <c r="K330" s="1">
        <v>-8.8199999999999997E-4</v>
      </c>
      <c r="L330" s="1">
        <v>4.7019999999999996E-3</v>
      </c>
      <c r="M330" s="1">
        <v>0.18726200000000001</v>
      </c>
      <c r="N330" s="1">
        <v>0.982298</v>
      </c>
      <c r="O330">
        <v>1</v>
      </c>
      <c r="P330">
        <v>0</v>
      </c>
      <c r="Q330">
        <v>1</v>
      </c>
      <c r="R330">
        <v>1</v>
      </c>
      <c r="S330">
        <v>1</v>
      </c>
      <c r="T330" s="1">
        <f>SQRT(POWER(Hybrid[[#This Row],[angvel_X]],2) + POWER(Hybrid[[#This Row],[angvel_Y]],2) + POWER(Hybrid[[#This Row],[angvel_Z]],2))</f>
        <v>2.0302000024628115</v>
      </c>
      <c r="U330">
        <f>DEGREES(ASIN(MAX(-1,MIN(1,2 * (Hybrid[[#This Row],[quart_W]]*Hybrid[[#This Row],[quart_Y]] - Hybrid[[#This Row],[quart_Z]]*Hybrid[[#This Row],[quart_X]])))))</f>
        <v>0.54820639343826383</v>
      </c>
      <c r="V33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68.413668168238956</v>
      </c>
      <c r="W33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89.998381997632933</v>
      </c>
      <c r="X330">
        <f>IF(Hybrid[[#This Row],[Yaw]]&gt;V329,(360-ABS(Hybrid[[#This Row],[Yaw]])-ABS(V329)),ABS(Hybrid[[#This Row],[Yaw]]-V329))</f>
        <v>0.96968634210247728</v>
      </c>
      <c r="Y330">
        <f>Hybrid[[#This Row],[Degree change]]+Y329</f>
        <v>260.73720272513231</v>
      </c>
    </row>
    <row r="331" spans="1:25">
      <c r="A331">
        <v>330</v>
      </c>
      <c r="B331">
        <v>-390.72000100000002</v>
      </c>
      <c r="C331">
        <v>440.16000400000001</v>
      </c>
      <c r="D331">
        <v>17.010000000000002</v>
      </c>
      <c r="E331">
        <v>2174.1499020000001</v>
      </c>
      <c r="F331">
        <v>750.30999799999995</v>
      </c>
      <c r="G331">
        <v>8.09</v>
      </c>
      <c r="H331" s="1">
        <v>-1E-4</v>
      </c>
      <c r="I331" s="1">
        <v>0</v>
      </c>
      <c r="J331" s="1">
        <v>2.0301999999999998</v>
      </c>
      <c r="K331" s="1">
        <v>-9.2000000000000003E-4</v>
      </c>
      <c r="L331" s="1">
        <v>4.6959999999999997E-3</v>
      </c>
      <c r="M331" s="1">
        <v>0.19556499999999999</v>
      </c>
      <c r="N331" s="1">
        <v>0.98067899999999997</v>
      </c>
      <c r="O331">
        <v>1</v>
      </c>
      <c r="P331">
        <v>0</v>
      </c>
      <c r="Q331">
        <v>1</v>
      </c>
      <c r="R331">
        <v>1</v>
      </c>
      <c r="S331">
        <v>1</v>
      </c>
      <c r="T331" s="1">
        <f>SQRT(POWER(Hybrid[[#This Row],[angvel_X]],2) + POWER(Hybrid[[#This Row],[angvel_Y]],2) + POWER(Hybrid[[#This Row],[angvel_Z]],2))</f>
        <v>2.0302000024628115</v>
      </c>
      <c r="U331">
        <f>DEGREES(ASIN(MAX(-1,MIN(1,2 * (Hybrid[[#This Row],[quart_W]]*Hybrid[[#This Row],[quart_Y]] - Hybrid[[#This Row],[quart_Z]]*Hybrid[[#This Row],[quart_X]])))))</f>
        <v>0.54835056813808869</v>
      </c>
      <c r="V33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67.444268481711205</v>
      </c>
      <c r="W33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89.998149426582344</v>
      </c>
      <c r="X331">
        <f>IF(Hybrid[[#This Row],[Yaw]]&gt;V330,(360-ABS(Hybrid[[#This Row],[Yaw]])-ABS(V330)),ABS(Hybrid[[#This Row],[Yaw]]-V330))</f>
        <v>0.96939968652775121</v>
      </c>
      <c r="Y331">
        <f>Hybrid[[#This Row],[Degree change]]+Y330</f>
        <v>261.70660241166007</v>
      </c>
    </row>
    <row r="332" spans="1:25">
      <c r="A332">
        <v>331</v>
      </c>
      <c r="B332">
        <v>-372.53997800000002</v>
      </c>
      <c r="C332">
        <v>446.44000199999999</v>
      </c>
      <c r="D332">
        <v>17.010000000000002</v>
      </c>
      <c r="E332">
        <v>2161.1499020000001</v>
      </c>
      <c r="F332">
        <v>786.98999000000003</v>
      </c>
      <c r="G332">
        <v>8.09</v>
      </c>
      <c r="H332" s="1">
        <v>-2.0000000000000001E-4</v>
      </c>
      <c r="I332" s="1">
        <v>0</v>
      </c>
      <c r="J332" s="1">
        <v>2.0301999999999998</v>
      </c>
      <c r="K332" s="1">
        <v>-9.5799999999999998E-4</v>
      </c>
      <c r="L332" s="1">
        <v>4.6909999999999999E-3</v>
      </c>
      <c r="M332" s="1">
        <v>0.203851</v>
      </c>
      <c r="N332" s="1">
        <v>0.97899000000000003</v>
      </c>
      <c r="O332">
        <v>1</v>
      </c>
      <c r="P332">
        <v>0</v>
      </c>
      <c r="Q332">
        <v>1</v>
      </c>
      <c r="R332">
        <v>1</v>
      </c>
      <c r="S332">
        <v>1</v>
      </c>
      <c r="T332" s="1">
        <f>SQRT(POWER(Hybrid[[#This Row],[angvel_X]],2) + POWER(Hybrid[[#This Row],[angvel_Y]],2) + POWER(Hybrid[[#This Row],[angvel_Z]],2))</f>
        <v>2.0302000098512458</v>
      </c>
      <c r="U332">
        <f>DEGREES(ASIN(MAX(-1,MIN(1,2 * (Hybrid[[#This Row],[quart_W]]*Hybrid[[#This Row],[quart_Y]] - Hybrid[[#This Row],[quart_Z]]*Hybrid[[#This Row],[quart_X]])))))</f>
        <v>0.5486419837004789</v>
      </c>
      <c r="V33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66.475229184937064</v>
      </c>
      <c r="W33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89.997892264253693</v>
      </c>
      <c r="X332">
        <f>IF(Hybrid[[#This Row],[Yaw]]&gt;V331,(360-ABS(Hybrid[[#This Row],[Yaw]])-ABS(V331)),ABS(Hybrid[[#This Row],[Yaw]]-V331))</f>
        <v>0.96903929677414169</v>
      </c>
      <c r="Y332">
        <f>Hybrid[[#This Row],[Degree change]]+Y331</f>
        <v>262.67564170843423</v>
      </c>
    </row>
    <row r="333" spans="1:25">
      <c r="A333">
        <v>332</v>
      </c>
      <c r="B333">
        <v>-354.47000100000002</v>
      </c>
      <c r="C333">
        <v>453.02999899999998</v>
      </c>
      <c r="D333">
        <v>17.010000000000002</v>
      </c>
      <c r="E333">
        <v>2147.5200199999999</v>
      </c>
      <c r="F333">
        <v>823.44000200000005</v>
      </c>
      <c r="G333">
        <v>8.09</v>
      </c>
      <c r="H333" s="1">
        <v>-2.0000000000000001E-4</v>
      </c>
      <c r="I333" s="1">
        <v>0</v>
      </c>
      <c r="J333" s="1">
        <v>2.0301999999999998</v>
      </c>
      <c r="K333" s="1">
        <v>-9.9500000000000001E-4</v>
      </c>
      <c r="L333" s="1">
        <v>4.6849999999999999E-3</v>
      </c>
      <c r="M333" s="1">
        <v>0.21212700000000001</v>
      </c>
      <c r="N333" s="1">
        <v>0.97723000000000004</v>
      </c>
      <c r="O333">
        <v>1</v>
      </c>
      <c r="P333">
        <v>0</v>
      </c>
      <c r="Q333">
        <v>1</v>
      </c>
      <c r="R333">
        <v>1</v>
      </c>
      <c r="S333">
        <v>1</v>
      </c>
      <c r="T333" s="1">
        <f>SQRT(POWER(Hybrid[[#This Row],[angvel_X]],2) + POWER(Hybrid[[#This Row],[angvel_Y]],2) + POWER(Hybrid[[#This Row],[angvel_Z]],2))</f>
        <v>2.0302000098512458</v>
      </c>
      <c r="U333">
        <f>DEGREES(ASIN(MAX(-1,MIN(1,2 * (Hybrid[[#This Row],[quart_W]]*Hybrid[[#This Row],[quart_Y]] - Hybrid[[#This Row],[quart_Z]]*Hybrid[[#This Row],[quart_X]])))))</f>
        <v>0.54883193559871035</v>
      </c>
      <c r="V33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65.505652964175752</v>
      </c>
      <c r="W33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89.997539475136705</v>
      </c>
      <c r="X333">
        <f>IF(Hybrid[[#This Row],[Yaw]]&gt;V332,(360-ABS(Hybrid[[#This Row],[Yaw]])-ABS(V332)),ABS(Hybrid[[#This Row],[Yaw]]-V332))</f>
        <v>0.96957622076131145</v>
      </c>
      <c r="Y333">
        <f>Hybrid[[#This Row],[Degree change]]+Y332</f>
        <v>263.64521792919555</v>
      </c>
    </row>
    <row r="334" spans="1:25">
      <c r="A334">
        <v>333</v>
      </c>
      <c r="B334">
        <v>-336.50997899999999</v>
      </c>
      <c r="C334">
        <v>459.919983</v>
      </c>
      <c r="D334">
        <v>17.010000000000002</v>
      </c>
      <c r="E334">
        <v>2133.280029</v>
      </c>
      <c r="F334">
        <v>859.65997300000004</v>
      </c>
      <c r="G334">
        <v>8.09</v>
      </c>
      <c r="H334" s="1">
        <v>-2.0000000000000001E-4</v>
      </c>
      <c r="I334" s="1">
        <v>-1E-4</v>
      </c>
      <c r="J334" s="1">
        <v>2.0303</v>
      </c>
      <c r="K334" s="1">
        <v>-1.0330000000000001E-3</v>
      </c>
      <c r="L334" s="1">
        <v>4.6750000000000003E-3</v>
      </c>
      <c r="M334" s="1">
        <v>0.220386</v>
      </c>
      <c r="N334" s="1">
        <v>0.97540099999999996</v>
      </c>
      <c r="O334">
        <v>1</v>
      </c>
      <c r="P334">
        <v>0</v>
      </c>
      <c r="Q334">
        <v>1</v>
      </c>
      <c r="R334">
        <v>1</v>
      </c>
      <c r="S334">
        <v>1</v>
      </c>
      <c r="T334" s="1">
        <f>SQRT(POWER(Hybrid[[#This Row],[angvel_X]],2) + POWER(Hybrid[[#This Row],[angvel_Y]],2) + POWER(Hybrid[[#This Row],[angvel_Z]],2))</f>
        <v>2.0303000123134511</v>
      </c>
      <c r="U334">
        <f>DEGREES(ASIN(MAX(-1,MIN(1,2 * (Hybrid[[#This Row],[quart_W]]*Hybrid[[#This Row],[quart_Y]] - Hybrid[[#This Row],[quart_Z]]*Hybrid[[#This Row],[quart_X]])))))</f>
        <v>0.54863362558194262</v>
      </c>
      <c r="V33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64.536279252304126</v>
      </c>
      <c r="W33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89.997396897072619</v>
      </c>
      <c r="X334">
        <f>IF(Hybrid[[#This Row],[Yaw]]&gt;V333,(360-ABS(Hybrid[[#This Row],[Yaw]])-ABS(V333)),ABS(Hybrid[[#This Row],[Yaw]]-V333))</f>
        <v>0.96937371187162569</v>
      </c>
      <c r="Y334">
        <f>Hybrid[[#This Row],[Degree change]]+Y333</f>
        <v>264.61459164106719</v>
      </c>
    </row>
    <row r="335" spans="1:25">
      <c r="A335">
        <v>334</v>
      </c>
      <c r="B335">
        <v>-318.669983</v>
      </c>
      <c r="C335">
        <v>467.10998499999999</v>
      </c>
      <c r="D335">
        <v>17.010000000000002</v>
      </c>
      <c r="E335">
        <v>2118.429932</v>
      </c>
      <c r="F335">
        <v>895.63000499999998</v>
      </c>
      <c r="G335">
        <v>8.09</v>
      </c>
      <c r="H335" s="1">
        <v>-2.9999999999999997E-4</v>
      </c>
      <c r="I335" s="1">
        <v>-1E-4</v>
      </c>
      <c r="J335" s="1">
        <v>2.0303</v>
      </c>
      <c r="K335" s="1">
        <v>-1.0709999999999999E-3</v>
      </c>
      <c r="L335" s="1">
        <v>4.6639999999999997E-3</v>
      </c>
      <c r="M335" s="1">
        <v>0.22863</v>
      </c>
      <c r="N335" s="1">
        <v>0.97350199999999998</v>
      </c>
      <c r="O335">
        <v>1</v>
      </c>
      <c r="P335">
        <v>0</v>
      </c>
      <c r="Q335">
        <v>1</v>
      </c>
      <c r="R335">
        <v>1</v>
      </c>
      <c r="S335">
        <v>1</v>
      </c>
      <c r="T335" s="1">
        <f>SQRT(POWER(Hybrid[[#This Row],[angvel_X]],2) + POWER(Hybrid[[#This Row],[angvel_Y]],2) + POWER(Hybrid[[#This Row],[angvel_Z]],2))</f>
        <v>2.0303000246269023</v>
      </c>
      <c r="U335">
        <f>DEGREES(ASIN(MAX(-1,MIN(1,2 * (Hybrid[[#This Row],[quart_W]]*Hybrid[[#This Row],[quart_Y]] - Hybrid[[#This Row],[quart_Z]]*Hybrid[[#This Row],[quart_X]])))))</f>
        <v>0.54836061529857405</v>
      </c>
      <c r="V33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63.566815093900168</v>
      </c>
      <c r="W33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89.99728294659532</v>
      </c>
      <c r="X335">
        <f>IF(Hybrid[[#This Row],[Yaw]]&gt;V334,(360-ABS(Hybrid[[#This Row],[Yaw]])-ABS(V334)),ABS(Hybrid[[#This Row],[Yaw]]-V334))</f>
        <v>0.96946415840395872</v>
      </c>
      <c r="Y335">
        <f>Hybrid[[#This Row],[Degree change]]+Y334</f>
        <v>265.58405579947117</v>
      </c>
    </row>
    <row r="336" spans="1:25">
      <c r="A336">
        <v>335</v>
      </c>
      <c r="B336">
        <v>-300.94998199999998</v>
      </c>
      <c r="C336">
        <v>474.59997600000003</v>
      </c>
      <c r="D336">
        <v>17.010000000000002</v>
      </c>
      <c r="E336">
        <v>2102.9799800000001</v>
      </c>
      <c r="F336">
        <v>931.339966</v>
      </c>
      <c r="G336">
        <v>8.09</v>
      </c>
      <c r="H336" s="1">
        <v>-4.0000000000000002E-4</v>
      </c>
      <c r="I336" s="1">
        <v>-1E-4</v>
      </c>
      <c r="J336" s="1">
        <v>2.0303</v>
      </c>
      <c r="K336" s="1">
        <v>-1.114E-3</v>
      </c>
      <c r="L336" s="1">
        <v>4.653E-3</v>
      </c>
      <c r="M336" s="1">
        <v>0.23685700000000001</v>
      </c>
      <c r="N336" s="1">
        <v>0.97153299999999998</v>
      </c>
      <c r="O336">
        <v>1</v>
      </c>
      <c r="P336">
        <v>0</v>
      </c>
      <c r="Q336">
        <v>1</v>
      </c>
      <c r="R336">
        <v>1</v>
      </c>
      <c r="S336">
        <v>1</v>
      </c>
      <c r="T336" s="1">
        <f>SQRT(POWER(Hybrid[[#This Row],[angvel_X]],2) + POWER(Hybrid[[#This Row],[angvel_Y]],2) + POWER(Hybrid[[#This Row],[angvel_Z]],2))</f>
        <v>2.0303000418657335</v>
      </c>
      <c r="U336">
        <f>DEGREES(ASIN(MAX(-1,MIN(1,2 * (Hybrid[[#This Row],[quart_W]]*Hybrid[[#This Row],[quart_Y]] - Hybrid[[#This Row],[quart_Z]]*Hybrid[[#This Row],[quart_X]])))))</f>
        <v>0.54826042205012004</v>
      </c>
      <c r="V33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62.59743940249178</v>
      </c>
      <c r="W33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89.99773008263422</v>
      </c>
      <c r="X336">
        <f>IF(Hybrid[[#This Row],[Yaw]]&gt;V335,(360-ABS(Hybrid[[#This Row],[Yaw]])-ABS(V335)),ABS(Hybrid[[#This Row],[Yaw]]-V335))</f>
        <v>0.96937569140838775</v>
      </c>
      <c r="Y336">
        <f>Hybrid[[#This Row],[Degree change]]+Y335</f>
        <v>266.55343149087957</v>
      </c>
    </row>
    <row r="337" spans="1:25">
      <c r="A337">
        <v>336</v>
      </c>
      <c r="B337">
        <v>-283.35998499999999</v>
      </c>
      <c r="C337">
        <v>482.38998400000003</v>
      </c>
      <c r="D337">
        <v>17.010000000000002</v>
      </c>
      <c r="E337">
        <v>2086.919922</v>
      </c>
      <c r="F337">
        <v>966.77996800000005</v>
      </c>
      <c r="G337">
        <v>8.09</v>
      </c>
      <c r="H337" s="1">
        <v>-4.0000000000000002E-4</v>
      </c>
      <c r="I337" s="1">
        <v>-1E-4</v>
      </c>
      <c r="J337" s="1">
        <v>2.0303</v>
      </c>
      <c r="K337" s="1">
        <v>-1.157E-3</v>
      </c>
      <c r="L337" s="1">
        <v>4.6420000000000003E-3</v>
      </c>
      <c r="M337" s="1">
        <v>0.24506800000000001</v>
      </c>
      <c r="N337" s="1">
        <v>0.96949399999999997</v>
      </c>
      <c r="O337">
        <v>1</v>
      </c>
      <c r="P337">
        <v>0</v>
      </c>
      <c r="Q337">
        <v>1</v>
      </c>
      <c r="R337">
        <v>1</v>
      </c>
      <c r="S337">
        <v>1</v>
      </c>
      <c r="T337" s="1">
        <f>SQRT(POWER(Hybrid[[#This Row],[angvel_X]],2) + POWER(Hybrid[[#This Row],[angvel_Y]],2) + POWER(Hybrid[[#This Row],[angvel_Z]],2))</f>
        <v>2.0303000418657335</v>
      </c>
      <c r="U337">
        <f>DEGREES(ASIN(MAX(-1,MIN(1,2 * (Hybrid[[#This Row],[quart_W]]*Hybrid[[#This Row],[quart_Y]] - Hybrid[[#This Row],[quart_Z]]*Hybrid[[#This Row],[quart_X]])))))</f>
        <v>0.54820691416614342</v>
      </c>
      <c r="V33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61.627957302769602</v>
      </c>
      <c r="W33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89.998177784981181</v>
      </c>
      <c r="X337">
        <f>IF(Hybrid[[#This Row],[Yaw]]&gt;V336,(360-ABS(Hybrid[[#This Row],[Yaw]])-ABS(V336)),ABS(Hybrid[[#This Row],[Yaw]]-V336))</f>
        <v>0.96948209972217825</v>
      </c>
      <c r="Y337">
        <f>Hybrid[[#This Row],[Degree change]]+Y336</f>
        <v>267.52291359060177</v>
      </c>
    </row>
    <row r="338" spans="1:25">
      <c r="A338">
        <v>337</v>
      </c>
      <c r="B338">
        <v>-265.91000400000001</v>
      </c>
      <c r="C338">
        <v>490.47998000000001</v>
      </c>
      <c r="D338">
        <v>17.010000000000002</v>
      </c>
      <c r="E338">
        <v>2070.2700199999999</v>
      </c>
      <c r="F338">
        <v>1001.9499510000001</v>
      </c>
      <c r="G338">
        <v>8.09</v>
      </c>
      <c r="H338" s="1">
        <v>-4.0000000000000002E-4</v>
      </c>
      <c r="I338" s="1">
        <v>-1E-4</v>
      </c>
      <c r="J338" s="1">
        <v>2.0303</v>
      </c>
      <c r="K338" s="1">
        <v>-1.1999999999999999E-3</v>
      </c>
      <c r="L338" s="1">
        <v>4.6309999999999997E-3</v>
      </c>
      <c r="M338" s="1">
        <v>0.25326199999999999</v>
      </c>
      <c r="N338" s="1">
        <v>0.96738599999999997</v>
      </c>
      <c r="O338">
        <v>1</v>
      </c>
      <c r="P338">
        <v>0</v>
      </c>
      <c r="Q338">
        <v>1</v>
      </c>
      <c r="R338">
        <v>1</v>
      </c>
      <c r="S338">
        <v>1</v>
      </c>
      <c r="T338" s="1">
        <f>SQRT(POWER(Hybrid[[#This Row],[angvel_X]],2) + POWER(Hybrid[[#This Row],[angvel_Y]],2) + POWER(Hybrid[[#This Row],[angvel_Z]],2))</f>
        <v>2.0303000418657335</v>
      </c>
      <c r="U338">
        <f>DEGREES(ASIN(MAX(-1,MIN(1,2 * (Hybrid[[#This Row],[quart_W]]*Hybrid[[#This Row],[quart_Y]] - Hybrid[[#This Row],[quart_Z]]*Hybrid[[#This Row],[quart_X]])))))</f>
        <v>0.54820051301784223</v>
      </c>
      <c r="V33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60.658397789117373</v>
      </c>
      <c r="W33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89.998625626544438</v>
      </c>
      <c r="X338">
        <f>IF(Hybrid[[#This Row],[Yaw]]&gt;V337,(360-ABS(Hybrid[[#This Row],[Yaw]])-ABS(V337)),ABS(Hybrid[[#This Row],[Yaw]]-V337))</f>
        <v>0.96955951365222859</v>
      </c>
      <c r="Y338">
        <f>Hybrid[[#This Row],[Degree change]]+Y337</f>
        <v>268.49247310425403</v>
      </c>
    </row>
    <row r="339" spans="1:25">
      <c r="A339">
        <v>338</v>
      </c>
      <c r="B339">
        <v>-248.59999099999999</v>
      </c>
      <c r="C339">
        <v>498.85998499999999</v>
      </c>
      <c r="D339">
        <v>17.010000000000002</v>
      </c>
      <c r="E339">
        <v>2053.0200199999999</v>
      </c>
      <c r="F339">
        <v>1036.829956</v>
      </c>
      <c r="G339">
        <v>8.09</v>
      </c>
      <c r="H339" s="1">
        <v>-2.9999999999999997E-4</v>
      </c>
      <c r="I339" s="1">
        <v>-1E-4</v>
      </c>
      <c r="J339" s="1">
        <v>2.0303</v>
      </c>
      <c r="K339" s="1">
        <v>-1.2440000000000001E-3</v>
      </c>
      <c r="L339" s="1">
        <v>4.6210000000000001E-3</v>
      </c>
      <c r="M339" s="1">
        <v>0.261436</v>
      </c>
      <c r="N339" s="1">
        <v>0.96520899999999998</v>
      </c>
      <c r="O339">
        <v>1</v>
      </c>
      <c r="P339">
        <v>0</v>
      </c>
      <c r="Q339">
        <v>1</v>
      </c>
      <c r="R339">
        <v>1</v>
      </c>
      <c r="S339">
        <v>1</v>
      </c>
      <c r="T339" s="1">
        <f>SQRT(POWER(Hybrid[[#This Row],[angvel_X]],2) + POWER(Hybrid[[#This Row],[angvel_Y]],2) + POWER(Hybrid[[#This Row],[angvel_Z]],2))</f>
        <v>2.0303000246269023</v>
      </c>
      <c r="U339">
        <f>DEGREES(ASIN(MAX(-1,MIN(1,2 * (Hybrid[[#This Row],[quart_W]]*Hybrid[[#This Row],[quart_Y]] - Hybrid[[#This Row],[quart_Z]]*Hybrid[[#This Row],[quart_X]])))))</f>
        <v>0.54838137049938607</v>
      </c>
      <c r="V33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59.689066501629668</v>
      </c>
      <c r="W33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89.99915476144875</v>
      </c>
      <c r="X339">
        <f>IF(Hybrid[[#This Row],[Yaw]]&gt;V338,(360-ABS(Hybrid[[#This Row],[Yaw]])-ABS(V338)),ABS(Hybrid[[#This Row],[Yaw]]-V338))</f>
        <v>0.96933128748770514</v>
      </c>
      <c r="Y339">
        <f>Hybrid[[#This Row],[Degree change]]+Y338</f>
        <v>269.46180439174174</v>
      </c>
    </row>
    <row r="340" spans="1:25">
      <c r="A340">
        <v>339</v>
      </c>
      <c r="B340">
        <v>-231.429993</v>
      </c>
      <c r="C340">
        <v>507.52999899999998</v>
      </c>
      <c r="D340">
        <v>17.010000000000002</v>
      </c>
      <c r="E340">
        <v>2035.179932</v>
      </c>
      <c r="F340">
        <v>1071.419922</v>
      </c>
      <c r="G340">
        <v>8.09</v>
      </c>
      <c r="H340" s="1">
        <v>-2.0000000000000001E-4</v>
      </c>
      <c r="I340" s="1">
        <v>-1E-4</v>
      </c>
      <c r="J340" s="1">
        <v>2.0303</v>
      </c>
      <c r="K340" s="1">
        <v>-1.281E-3</v>
      </c>
      <c r="L340" s="1">
        <v>4.6100000000000004E-3</v>
      </c>
      <c r="M340" s="1">
        <v>0.269592</v>
      </c>
      <c r="N340" s="1">
        <v>0.96296300000000001</v>
      </c>
      <c r="O340">
        <v>1</v>
      </c>
      <c r="P340">
        <v>0</v>
      </c>
      <c r="Q340">
        <v>1</v>
      </c>
      <c r="R340">
        <v>1</v>
      </c>
      <c r="S340">
        <v>1</v>
      </c>
      <c r="T340" s="1">
        <f>SQRT(POWER(Hybrid[[#This Row],[angvel_X]],2) + POWER(Hybrid[[#This Row],[angvel_Y]],2) + POWER(Hybrid[[#This Row],[angvel_Z]],2))</f>
        <v>2.0303000123134511</v>
      </c>
      <c r="U340">
        <f>DEGREES(ASIN(MAX(-1,MIN(1,2 * (Hybrid[[#This Row],[quart_W]]*Hybrid[[#This Row],[quart_Y]] - Hybrid[[#This Row],[quart_Z]]*Hybrid[[#This Row],[quart_X]])))))</f>
        <v>0.54828391840618218</v>
      </c>
      <c r="V34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58.71964128705973</v>
      </c>
      <c r="W34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89.99893843053988</v>
      </c>
      <c r="X340">
        <f>IF(Hybrid[[#This Row],[Yaw]]&gt;V339,(360-ABS(Hybrid[[#This Row],[Yaw]])-ABS(V339)),ABS(Hybrid[[#This Row],[Yaw]]-V339))</f>
        <v>0.96942521456993802</v>
      </c>
      <c r="Y340">
        <f>Hybrid[[#This Row],[Degree change]]+Y339</f>
        <v>270.43122960631166</v>
      </c>
    </row>
    <row r="341" spans="1:25">
      <c r="A341">
        <v>340</v>
      </c>
      <c r="B341">
        <v>-214.409988</v>
      </c>
      <c r="C341">
        <v>516.48999000000003</v>
      </c>
      <c r="D341">
        <v>17.010000000000002</v>
      </c>
      <c r="E341">
        <v>2016.76001</v>
      </c>
      <c r="F341">
        <v>1105.6999510000001</v>
      </c>
      <c r="G341">
        <v>8.09</v>
      </c>
      <c r="H341" s="1">
        <v>-2.0000000000000001E-4</v>
      </c>
      <c r="I341" s="1">
        <v>-1E-4</v>
      </c>
      <c r="J341" s="1">
        <v>2.0303</v>
      </c>
      <c r="K341" s="1">
        <v>-1.3190000000000001E-3</v>
      </c>
      <c r="L341" s="1">
        <v>4.5989999999999998E-3</v>
      </c>
      <c r="M341" s="1">
        <v>0.27772799999999997</v>
      </c>
      <c r="N341" s="1">
        <v>0.96064799999999995</v>
      </c>
      <c r="O341">
        <v>1</v>
      </c>
      <c r="P341">
        <v>0</v>
      </c>
      <c r="Q341">
        <v>1</v>
      </c>
      <c r="R341">
        <v>1</v>
      </c>
      <c r="S341">
        <v>1</v>
      </c>
      <c r="T341" s="1">
        <f>SQRT(POWER(Hybrid[[#This Row],[angvel_X]],2) + POWER(Hybrid[[#This Row],[angvel_Y]],2) + POWER(Hybrid[[#This Row],[angvel_Z]],2))</f>
        <v>2.0303000123134511</v>
      </c>
      <c r="U341">
        <f>DEGREES(ASIN(MAX(-1,MIN(1,2 * (Hybrid[[#This Row],[quart_W]]*Hybrid[[#This Row],[quart_Y]] - Hybrid[[#This Row],[quart_Z]]*Hybrid[[#This Row],[quart_X]])))))</f>
        <v>0.54825373383676412</v>
      </c>
      <c r="V34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57.750308192586957</v>
      </c>
      <c r="W34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89.998833821653591</v>
      </c>
      <c r="X341">
        <f>IF(Hybrid[[#This Row],[Yaw]]&gt;V340,(360-ABS(Hybrid[[#This Row],[Yaw]])-ABS(V340)),ABS(Hybrid[[#This Row],[Yaw]]-V340))</f>
        <v>0.96933309447277338</v>
      </c>
      <c r="Y341">
        <f>Hybrid[[#This Row],[Degree change]]+Y340</f>
        <v>271.40056270078446</v>
      </c>
    </row>
    <row r="342" spans="1:25">
      <c r="A342">
        <v>341</v>
      </c>
      <c r="B342">
        <v>-197.550003</v>
      </c>
      <c r="C342">
        <v>525.73999000000003</v>
      </c>
      <c r="D342">
        <v>17.010000000000002</v>
      </c>
      <c r="E342">
        <v>1997.7698969999999</v>
      </c>
      <c r="F342">
        <v>1139.660034</v>
      </c>
      <c r="G342">
        <v>8.09</v>
      </c>
      <c r="H342" s="1">
        <v>-2.0000000000000001E-4</v>
      </c>
      <c r="I342" s="1">
        <v>-1E-4</v>
      </c>
      <c r="J342" s="1">
        <v>2.0303</v>
      </c>
      <c r="K342" s="1">
        <v>-1.3569999999999999E-3</v>
      </c>
      <c r="L342" s="1">
        <v>4.5880000000000001E-3</v>
      </c>
      <c r="M342" s="1">
        <v>0.28584700000000002</v>
      </c>
      <c r="N342" s="1">
        <v>0.95826299999999998</v>
      </c>
      <c r="O342">
        <v>1</v>
      </c>
      <c r="P342">
        <v>0</v>
      </c>
      <c r="Q342">
        <v>1</v>
      </c>
      <c r="R342">
        <v>1</v>
      </c>
      <c r="S342">
        <v>1</v>
      </c>
      <c r="T342" s="1">
        <f>SQRT(POWER(Hybrid[[#This Row],[angvel_X]],2) + POWER(Hybrid[[#This Row],[angvel_Y]],2) + POWER(Hybrid[[#This Row],[angvel_Z]],2))</f>
        <v>2.0303000123134511</v>
      </c>
      <c r="U342">
        <f>DEGREES(ASIN(MAX(-1,MIN(1,2 * (Hybrid[[#This Row],[quart_W]]*Hybrid[[#This Row],[quart_Y]] - Hybrid[[#This Row],[quart_Z]]*Hybrid[[#This Row],[quart_X]])))))</f>
        <v>0.54826079746925493</v>
      </c>
      <c r="V34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56.780642615850375</v>
      </c>
      <c r="W34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89.998727615051749</v>
      </c>
      <c r="X342">
        <f>IF(Hybrid[[#This Row],[Yaw]]&gt;V341,(360-ABS(Hybrid[[#This Row],[Yaw]])-ABS(V341)),ABS(Hybrid[[#This Row],[Yaw]]-V341))</f>
        <v>0.96966557673658116</v>
      </c>
      <c r="Y342">
        <f>Hybrid[[#This Row],[Degree change]]+Y341</f>
        <v>272.37022827752105</v>
      </c>
    </row>
    <row r="343" spans="1:25">
      <c r="A343">
        <v>342</v>
      </c>
      <c r="B343">
        <v>-180.83999600000001</v>
      </c>
      <c r="C343">
        <v>535.26995799999997</v>
      </c>
      <c r="D343">
        <v>17.010000000000002</v>
      </c>
      <c r="E343">
        <v>1978.1999510000001</v>
      </c>
      <c r="F343">
        <v>1173.299927</v>
      </c>
      <c r="G343">
        <v>8.09</v>
      </c>
      <c r="H343" s="1">
        <v>-2.0000000000000001E-4</v>
      </c>
      <c r="I343" s="1">
        <v>-1E-4</v>
      </c>
      <c r="J343" s="1">
        <v>2.0303</v>
      </c>
      <c r="K343" s="1">
        <v>-1.395E-3</v>
      </c>
      <c r="L343" s="1">
        <v>4.5779999999999996E-3</v>
      </c>
      <c r="M343" s="1">
        <v>0.29394500000000001</v>
      </c>
      <c r="N343" s="1">
        <v>0.95581000000000005</v>
      </c>
      <c r="O343">
        <v>1</v>
      </c>
      <c r="P343">
        <v>0</v>
      </c>
      <c r="Q343">
        <v>1</v>
      </c>
      <c r="R343">
        <v>1</v>
      </c>
      <c r="S343">
        <v>1</v>
      </c>
      <c r="T343" s="1">
        <f>SQRT(POWER(Hybrid[[#This Row],[angvel_X]],2) + POWER(Hybrid[[#This Row],[angvel_Y]],2) + POWER(Hybrid[[#This Row],[angvel_Z]],2))</f>
        <v>2.0303000123134511</v>
      </c>
      <c r="U343">
        <f>DEGREES(ASIN(MAX(-1,MIN(1,2 * (Hybrid[[#This Row],[quart_W]]*Hybrid[[#This Row],[quart_Y]] - Hybrid[[#This Row],[quart_Z]]*Hybrid[[#This Row],[quart_X]])))))</f>
        <v>0.5484150942772793</v>
      </c>
      <c r="V34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55.811028042215035</v>
      </c>
      <c r="W34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89.998587564540344</v>
      </c>
      <c r="X343">
        <f>IF(Hybrid[[#This Row],[Yaw]]&gt;V342,(360-ABS(Hybrid[[#This Row],[Yaw]])-ABS(V342)),ABS(Hybrid[[#This Row],[Yaw]]-V342))</f>
        <v>0.96961457363534009</v>
      </c>
      <c r="Y343">
        <f>Hybrid[[#This Row],[Degree change]]+Y342</f>
        <v>273.33984285115639</v>
      </c>
    </row>
    <row r="344" spans="1:25">
      <c r="A344">
        <v>343</v>
      </c>
      <c r="B344">
        <v>-164.300003</v>
      </c>
      <c r="C344">
        <v>545.089966</v>
      </c>
      <c r="D344">
        <v>17.010000000000002</v>
      </c>
      <c r="E344">
        <v>1958.059937</v>
      </c>
      <c r="F344">
        <v>1206.599976</v>
      </c>
      <c r="G344">
        <v>8.09</v>
      </c>
      <c r="H344" s="1">
        <v>-2.0000000000000001E-4</v>
      </c>
      <c r="I344" s="1">
        <v>-1E-4</v>
      </c>
      <c r="J344" s="1">
        <v>2.0303</v>
      </c>
      <c r="K344" s="1">
        <v>-1.4319999999999999E-3</v>
      </c>
      <c r="L344" s="1">
        <v>4.5669999999999999E-3</v>
      </c>
      <c r="M344" s="1">
        <v>0.30202099999999998</v>
      </c>
      <c r="N344" s="1">
        <v>0.95328900000000005</v>
      </c>
      <c r="O344">
        <v>1</v>
      </c>
      <c r="P344">
        <v>0</v>
      </c>
      <c r="Q344">
        <v>1</v>
      </c>
      <c r="R344">
        <v>1</v>
      </c>
      <c r="S344">
        <v>1</v>
      </c>
      <c r="T344" s="1">
        <f>SQRT(POWER(Hybrid[[#This Row],[angvel_X]],2) + POWER(Hybrid[[#This Row],[angvel_Y]],2) + POWER(Hybrid[[#This Row],[angvel_Z]],2))</f>
        <v>2.0303000123134511</v>
      </c>
      <c r="U344">
        <f>DEGREES(ASIN(MAX(-1,MIN(1,2 * (Hybrid[[#This Row],[quart_W]]*Hybrid[[#This Row],[quart_Y]] - Hybrid[[#This Row],[quart_Z]]*Hybrid[[#This Row],[quart_X]])))))</f>
        <v>0.54846247776583024</v>
      </c>
      <c r="V34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54.84152446921847</v>
      </c>
      <c r="W34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89.998370426609284</v>
      </c>
      <c r="X344">
        <f>IF(Hybrid[[#This Row],[Yaw]]&gt;V343,(360-ABS(Hybrid[[#This Row],[Yaw]])-ABS(V343)),ABS(Hybrid[[#This Row],[Yaw]]-V343))</f>
        <v>0.96950357299656531</v>
      </c>
      <c r="Y344">
        <f>Hybrid[[#This Row],[Degree change]]+Y343</f>
        <v>274.30934642415298</v>
      </c>
    </row>
    <row r="345" spans="1:25">
      <c r="A345">
        <v>344</v>
      </c>
      <c r="B345">
        <v>-147.929993</v>
      </c>
      <c r="C345">
        <v>555.17999299999997</v>
      </c>
      <c r="D345">
        <v>17.010000000000002</v>
      </c>
      <c r="E345">
        <v>1937.369995</v>
      </c>
      <c r="F345">
        <v>1239.559937</v>
      </c>
      <c r="G345">
        <v>8.09</v>
      </c>
      <c r="H345" s="1">
        <v>-2.0000000000000001E-4</v>
      </c>
      <c r="I345" s="1">
        <v>-1E-4</v>
      </c>
      <c r="J345" s="1">
        <v>2.0303</v>
      </c>
      <c r="K345" s="1">
        <v>-1.47E-3</v>
      </c>
      <c r="L345" s="1">
        <v>4.5560000000000002E-3</v>
      </c>
      <c r="M345" s="1">
        <v>0.31007499999999999</v>
      </c>
      <c r="N345" s="1">
        <v>0.95069999999999999</v>
      </c>
      <c r="O345">
        <v>1</v>
      </c>
      <c r="P345">
        <v>0</v>
      </c>
      <c r="Q345">
        <v>1</v>
      </c>
      <c r="R345">
        <v>1</v>
      </c>
      <c r="S345">
        <v>1</v>
      </c>
      <c r="T345" s="1">
        <f>SQRT(POWER(Hybrid[[#This Row],[angvel_X]],2) + POWER(Hybrid[[#This Row],[angvel_Y]],2) + POWER(Hybrid[[#This Row],[angvel_Z]],2))</f>
        <v>2.0303000123134511</v>
      </c>
      <c r="U345">
        <f>DEGREES(ASIN(MAX(-1,MIN(1,2 * (Hybrid[[#This Row],[quart_W]]*Hybrid[[#This Row],[quart_Y]] - Hybrid[[#This Row],[quart_Z]]*Hybrid[[#This Row],[quart_X]])))))</f>
        <v>0.54858102988525059</v>
      </c>
      <c r="V34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53.872063910459069</v>
      </c>
      <c r="W34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89.998261256955743</v>
      </c>
      <c r="X345">
        <f>IF(Hybrid[[#This Row],[Yaw]]&gt;V344,(360-ABS(Hybrid[[#This Row],[Yaw]])-ABS(V344)),ABS(Hybrid[[#This Row],[Yaw]]-V344))</f>
        <v>0.96946055875940118</v>
      </c>
      <c r="Y345">
        <f>Hybrid[[#This Row],[Degree change]]+Y344</f>
        <v>275.27880698291239</v>
      </c>
    </row>
    <row r="346" spans="1:25">
      <c r="A346">
        <v>345</v>
      </c>
      <c r="B346">
        <v>-131.729996</v>
      </c>
      <c r="C346">
        <v>565.54998799999998</v>
      </c>
      <c r="D346">
        <v>17.010000000000002</v>
      </c>
      <c r="E346">
        <v>1916.119995</v>
      </c>
      <c r="F346">
        <v>1272.1599120000001</v>
      </c>
      <c r="G346">
        <v>8.09</v>
      </c>
      <c r="H346" s="1">
        <v>-2.0000000000000001E-4</v>
      </c>
      <c r="I346" s="1">
        <v>-1E-4</v>
      </c>
      <c r="J346" s="1">
        <v>2.0303</v>
      </c>
      <c r="K346" s="1">
        <v>-1.508E-3</v>
      </c>
      <c r="L346" s="1">
        <v>4.5450000000000004E-3</v>
      </c>
      <c r="M346" s="1">
        <v>0.318108</v>
      </c>
      <c r="N346" s="1">
        <v>0.94804200000000005</v>
      </c>
      <c r="O346">
        <v>1</v>
      </c>
      <c r="P346">
        <v>0</v>
      </c>
      <c r="Q346">
        <v>1</v>
      </c>
      <c r="R346">
        <v>1</v>
      </c>
      <c r="S346">
        <v>1</v>
      </c>
      <c r="T346" s="1">
        <f>SQRT(POWER(Hybrid[[#This Row],[angvel_X]],2) + POWER(Hybrid[[#This Row],[angvel_Y]],2) + POWER(Hybrid[[#This Row],[angvel_Z]],2))</f>
        <v>2.0303000123134511</v>
      </c>
      <c r="U346">
        <f>DEGREES(ASIN(MAX(-1,MIN(1,2 * (Hybrid[[#This Row],[quart_W]]*Hybrid[[#This Row],[quart_Y]] - Hybrid[[#This Row],[quart_Z]]*Hybrid[[#This Row],[quart_X]])))))</f>
        <v>0.54873668719491397</v>
      </c>
      <c r="V34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52.90247502556057</v>
      </c>
      <c r="W34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89.998148857604292</v>
      </c>
      <c r="X346">
        <f>IF(Hybrid[[#This Row],[Yaw]]&gt;V345,(360-ABS(Hybrid[[#This Row],[Yaw]])-ABS(V345)),ABS(Hybrid[[#This Row],[Yaw]]-V345))</f>
        <v>0.96958888489849926</v>
      </c>
      <c r="Y346">
        <f>Hybrid[[#This Row],[Degree change]]+Y345</f>
        <v>276.24839586781087</v>
      </c>
    </row>
    <row r="347" spans="1:25">
      <c r="A347">
        <v>346</v>
      </c>
      <c r="B347">
        <v>-115.709999</v>
      </c>
      <c r="C347">
        <v>576.19000200000005</v>
      </c>
      <c r="D347">
        <v>17.010000000000002</v>
      </c>
      <c r="E347">
        <v>1894.3199460000001</v>
      </c>
      <c r="F347">
        <v>1304.400024</v>
      </c>
      <c r="G347">
        <v>8.09</v>
      </c>
      <c r="H347" s="1">
        <v>-2.0000000000000001E-4</v>
      </c>
      <c r="I347" s="1">
        <v>-1E-4</v>
      </c>
      <c r="J347" s="1">
        <v>2.0303</v>
      </c>
      <c r="K347" s="1">
        <v>-1.5460000000000001E-3</v>
      </c>
      <c r="L347" s="1">
        <v>4.5339999999999998E-3</v>
      </c>
      <c r="M347" s="1">
        <v>0.32611400000000001</v>
      </c>
      <c r="N347" s="1">
        <v>0.94531799999999999</v>
      </c>
      <c r="O347">
        <v>1</v>
      </c>
      <c r="P347">
        <v>0</v>
      </c>
      <c r="Q347">
        <v>1</v>
      </c>
      <c r="R347">
        <v>1</v>
      </c>
      <c r="S347">
        <v>1</v>
      </c>
      <c r="T347" s="1">
        <f>SQRT(POWER(Hybrid[[#This Row],[angvel_X]],2) + POWER(Hybrid[[#This Row],[angvel_Y]],2) + POWER(Hybrid[[#This Row],[angvel_Z]],2))</f>
        <v>2.0303000123134511</v>
      </c>
      <c r="U347">
        <f>DEGREES(ASIN(MAX(-1,MIN(1,2 * (Hybrid[[#This Row],[quart_W]]*Hybrid[[#This Row],[quart_Y]] - Hybrid[[#This Row],[quart_Z]]*Hybrid[[#This Row],[quart_X]])))))</f>
        <v>0.54892993203572615</v>
      </c>
      <c r="V34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51.933386205109244</v>
      </c>
      <c r="W34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89.998035896710292</v>
      </c>
      <c r="X347">
        <f>IF(Hybrid[[#This Row],[Yaw]]&gt;V346,(360-ABS(Hybrid[[#This Row],[Yaw]])-ABS(V346)),ABS(Hybrid[[#This Row],[Yaw]]-V346))</f>
        <v>0.96908882045132572</v>
      </c>
      <c r="Y347">
        <f>Hybrid[[#This Row],[Degree change]]+Y346</f>
        <v>277.21748468826218</v>
      </c>
    </row>
    <row r="348" spans="1:25">
      <c r="A348">
        <v>347</v>
      </c>
      <c r="B348">
        <v>-99.869995000000003</v>
      </c>
      <c r="C348">
        <v>587.09997599999997</v>
      </c>
      <c r="D348">
        <v>17.010000000000002</v>
      </c>
      <c r="E348">
        <v>1871.9799800000001</v>
      </c>
      <c r="F348">
        <v>1336.26001</v>
      </c>
      <c r="G348">
        <v>8.09</v>
      </c>
      <c r="H348" s="1">
        <v>-2.0000000000000001E-4</v>
      </c>
      <c r="I348" s="1">
        <v>-2.0000000000000001E-4</v>
      </c>
      <c r="J348" s="1">
        <v>2.0303</v>
      </c>
      <c r="K348" s="1">
        <v>-1.583E-3</v>
      </c>
      <c r="L348" s="1">
        <v>4.5240000000000002E-3</v>
      </c>
      <c r="M348" s="1">
        <v>0.33409800000000001</v>
      </c>
      <c r="N348" s="1">
        <v>0.94252599999999997</v>
      </c>
      <c r="O348">
        <v>1</v>
      </c>
      <c r="P348">
        <v>0</v>
      </c>
      <c r="Q348">
        <v>1</v>
      </c>
      <c r="R348">
        <v>1</v>
      </c>
      <c r="S348">
        <v>1</v>
      </c>
      <c r="T348" s="1">
        <f>SQRT(POWER(Hybrid[[#This Row],[angvel_X]],2) + POWER(Hybrid[[#This Row],[angvel_Y]],2) + POWER(Hybrid[[#This Row],[angvel_Z]],2))</f>
        <v>2.0303000197015217</v>
      </c>
      <c r="U348">
        <f>DEGREES(ASIN(MAX(-1,MIN(1,2 * (Hybrid[[#This Row],[quart_W]]*Hybrid[[#This Row],[quart_Y]] - Hybrid[[#This Row],[quart_Z]]*Hybrid[[#This Row],[quart_X]])))))</f>
        <v>0.54923025615424514</v>
      </c>
      <c r="V34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50.964133121312237</v>
      </c>
      <c r="W34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89.997772158209074</v>
      </c>
      <c r="X348">
        <f>IF(Hybrid[[#This Row],[Yaw]]&gt;V347,(360-ABS(Hybrid[[#This Row],[Yaw]])-ABS(V347)),ABS(Hybrid[[#This Row],[Yaw]]-V347))</f>
        <v>0.96925308379700681</v>
      </c>
      <c r="Y348">
        <f>Hybrid[[#This Row],[Degree change]]+Y347</f>
        <v>278.18673777205919</v>
      </c>
    </row>
    <row r="349" spans="1:25">
      <c r="A349">
        <v>348</v>
      </c>
      <c r="B349">
        <v>-84.220000999999996</v>
      </c>
      <c r="C349">
        <v>598.27996800000005</v>
      </c>
      <c r="D349">
        <v>17.010000000000002</v>
      </c>
      <c r="E349">
        <v>1849.099976</v>
      </c>
      <c r="F349">
        <v>1367.73999</v>
      </c>
      <c r="G349">
        <v>8.09</v>
      </c>
      <c r="H349" s="1">
        <v>-2.0000000000000001E-4</v>
      </c>
      <c r="I349" s="1">
        <v>-2.9999999999999997E-4</v>
      </c>
      <c r="J349" s="1">
        <v>2.0303</v>
      </c>
      <c r="K349" s="1">
        <v>-1.621E-3</v>
      </c>
      <c r="L349" s="1">
        <v>4.5069999999999997E-3</v>
      </c>
      <c r="M349" s="1">
        <v>0.342061</v>
      </c>
      <c r="N349" s="1">
        <v>0.93966499999999997</v>
      </c>
      <c r="O349">
        <v>1</v>
      </c>
      <c r="P349">
        <v>0</v>
      </c>
      <c r="Q349">
        <v>1</v>
      </c>
      <c r="R349">
        <v>1</v>
      </c>
      <c r="S349">
        <v>1</v>
      </c>
      <c r="T349" s="1">
        <f>SQRT(POWER(Hybrid[[#This Row],[angvel_X]],2) + POWER(Hybrid[[#This Row],[angvel_Y]],2) + POWER(Hybrid[[#This Row],[angvel_Z]],2))</f>
        <v>2.0303000320149729</v>
      </c>
      <c r="U349">
        <f>DEGREES(ASIN(MAX(-1,MIN(1,2 * (Hybrid[[#This Row],[quart_W]]*Hybrid[[#This Row],[quart_Y]] - Hybrid[[#This Row],[quart_Z]]*Hybrid[[#This Row],[quart_X]])))))</f>
        <v>0.54885051414921815</v>
      </c>
      <c r="V34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49.994545331490812</v>
      </c>
      <c r="W34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89.997883171954115</v>
      </c>
      <c r="X349">
        <f>IF(Hybrid[[#This Row],[Yaw]]&gt;V348,(360-ABS(Hybrid[[#This Row],[Yaw]])-ABS(V348)),ABS(Hybrid[[#This Row],[Yaw]]-V348))</f>
        <v>0.96958778982142491</v>
      </c>
      <c r="Y349">
        <f>Hybrid[[#This Row],[Degree change]]+Y348</f>
        <v>279.15632556188064</v>
      </c>
    </row>
    <row r="350" spans="1:25">
      <c r="A350">
        <v>349</v>
      </c>
      <c r="B350">
        <v>-68.760002</v>
      </c>
      <c r="C350">
        <v>609.71997099999999</v>
      </c>
      <c r="D350">
        <v>17.010000000000002</v>
      </c>
      <c r="E350">
        <v>1825.6999510000001</v>
      </c>
      <c r="F350">
        <v>1398.829956</v>
      </c>
      <c r="G350">
        <v>8.09</v>
      </c>
      <c r="H350" s="1">
        <v>-2.0000000000000001E-4</v>
      </c>
      <c r="I350" s="1">
        <v>-2.9999999999999997E-4</v>
      </c>
      <c r="J350" s="1">
        <v>2.0303</v>
      </c>
      <c r="K350" s="1">
        <v>-1.6590000000000001E-3</v>
      </c>
      <c r="L350" s="1">
        <v>4.4910000000000002E-3</v>
      </c>
      <c r="M350" s="1">
        <v>0.349997</v>
      </c>
      <c r="N350" s="1">
        <v>0.93673899999999999</v>
      </c>
      <c r="O350">
        <v>1</v>
      </c>
      <c r="P350">
        <v>0</v>
      </c>
      <c r="Q350">
        <v>1</v>
      </c>
      <c r="R350">
        <v>1</v>
      </c>
      <c r="S350">
        <v>1</v>
      </c>
      <c r="T350" s="1">
        <f>SQRT(POWER(Hybrid[[#This Row],[angvel_X]],2) + POWER(Hybrid[[#This Row],[angvel_Y]],2) + POWER(Hybrid[[#This Row],[angvel_Z]],2))</f>
        <v>2.0303000320149729</v>
      </c>
      <c r="U350">
        <f>DEGREES(ASIN(MAX(-1,MIN(1,2 * (Hybrid[[#This Row],[quart_W]]*Hybrid[[#This Row],[quart_Y]] - Hybrid[[#This Row],[quart_Z]]*Hybrid[[#This Row],[quart_X]])))))</f>
        <v>0.5486200411611899</v>
      </c>
      <c r="V35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49.025223769052637</v>
      </c>
      <c r="W35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89.997961720816591</v>
      </c>
      <c r="X350">
        <f>IF(Hybrid[[#This Row],[Yaw]]&gt;V349,(360-ABS(Hybrid[[#This Row],[Yaw]])-ABS(V349)),ABS(Hybrid[[#This Row],[Yaw]]-V349))</f>
        <v>0.96932156243817502</v>
      </c>
      <c r="Y350">
        <f>Hybrid[[#This Row],[Degree change]]+Y349</f>
        <v>280.12564712431879</v>
      </c>
    </row>
    <row r="351" spans="1:25">
      <c r="A351">
        <v>350</v>
      </c>
      <c r="B351">
        <v>-53.489998</v>
      </c>
      <c r="C351">
        <v>621.419983</v>
      </c>
      <c r="D351">
        <v>17.010000000000002</v>
      </c>
      <c r="E351">
        <v>1801.7700199999999</v>
      </c>
      <c r="F351">
        <v>1429.5200199999999</v>
      </c>
      <c r="G351">
        <v>8.09</v>
      </c>
      <c r="H351" s="1">
        <v>-2.0000000000000001E-4</v>
      </c>
      <c r="I351" s="1">
        <v>-2.9999999999999997E-4</v>
      </c>
      <c r="J351" s="1">
        <v>2.0303</v>
      </c>
      <c r="K351" s="1">
        <v>-1.6969999999999999E-3</v>
      </c>
      <c r="L351" s="1">
        <v>4.4749999999999998E-3</v>
      </c>
      <c r="M351" s="1">
        <v>0.35791099999999998</v>
      </c>
      <c r="N351" s="1">
        <v>0.93374299999999999</v>
      </c>
      <c r="O351">
        <v>1</v>
      </c>
      <c r="P351">
        <v>0</v>
      </c>
      <c r="Q351">
        <v>1</v>
      </c>
      <c r="R351">
        <v>1</v>
      </c>
      <c r="S351">
        <v>1</v>
      </c>
      <c r="T351" s="1">
        <f>SQRT(POWER(Hybrid[[#This Row],[angvel_X]],2) + POWER(Hybrid[[#This Row],[angvel_Y]],2) + POWER(Hybrid[[#This Row],[angvel_Z]],2))</f>
        <v>2.0303000320149729</v>
      </c>
      <c r="U351">
        <f>DEGREES(ASIN(MAX(-1,MIN(1,2 * (Hybrid[[#This Row],[quart_W]]*Hybrid[[#This Row],[quart_Y]] - Hybrid[[#This Row],[quart_Z]]*Hybrid[[#This Row],[quart_X]])))))</f>
        <v>0.5484292397635423</v>
      </c>
      <c r="V35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48.055583611956401</v>
      </c>
      <c r="W35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89.998041557269417</v>
      </c>
      <c r="X351">
        <f>IF(Hybrid[[#This Row],[Yaw]]&gt;V350,(360-ABS(Hybrid[[#This Row],[Yaw]])-ABS(V350)),ABS(Hybrid[[#This Row],[Yaw]]-V350))</f>
        <v>0.96964015709623652</v>
      </c>
      <c r="Y351">
        <f>Hybrid[[#This Row],[Degree change]]+Y350</f>
        <v>281.09528728141504</v>
      </c>
    </row>
    <row r="352" spans="1:25">
      <c r="A352">
        <v>351</v>
      </c>
      <c r="B352">
        <v>-38.419998</v>
      </c>
      <c r="C352">
        <v>633.38000499999998</v>
      </c>
      <c r="D352">
        <v>17.010000000000002</v>
      </c>
      <c r="E352">
        <v>1777.3199460000001</v>
      </c>
      <c r="F352">
        <v>1459.799927</v>
      </c>
      <c r="G352">
        <v>8.09</v>
      </c>
      <c r="H352" s="1">
        <v>-2.0000000000000001E-4</v>
      </c>
      <c r="I352" s="1">
        <v>-2.9999999999999997E-4</v>
      </c>
      <c r="J352" s="1">
        <v>2.0303</v>
      </c>
      <c r="K352" s="1">
        <v>-1.7340000000000001E-3</v>
      </c>
      <c r="L352" s="1">
        <v>4.4590000000000003E-3</v>
      </c>
      <c r="M352" s="1">
        <v>0.36579800000000001</v>
      </c>
      <c r="N352" s="1">
        <v>0.93068200000000001</v>
      </c>
      <c r="O352">
        <v>1</v>
      </c>
      <c r="P352">
        <v>0</v>
      </c>
      <c r="Q352">
        <v>1</v>
      </c>
      <c r="R352">
        <v>1</v>
      </c>
      <c r="S352">
        <v>1</v>
      </c>
      <c r="T352" s="1">
        <f>SQRT(POWER(Hybrid[[#This Row],[angvel_X]],2) + POWER(Hybrid[[#This Row],[angvel_Y]],2) + POWER(Hybrid[[#This Row],[angvel_Z]],2))</f>
        <v>2.0303000320149729</v>
      </c>
      <c r="U352">
        <f>DEGREES(ASIN(MAX(-1,MIN(1,2 * (Hybrid[[#This Row],[quart_W]]*Hybrid[[#This Row],[quart_Y]] - Hybrid[[#This Row],[quart_Z]]*Hybrid[[#This Row],[quart_X]])))))</f>
        <v>0.54823784911520501</v>
      </c>
      <c r="V35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47.086071735712132</v>
      </c>
      <c r="W35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89.998018541709754</v>
      </c>
      <c r="X352">
        <f>IF(Hybrid[[#This Row],[Yaw]]&gt;V351,(360-ABS(Hybrid[[#This Row],[Yaw]])-ABS(V351)),ABS(Hybrid[[#This Row],[Yaw]]-V351))</f>
        <v>0.96951187624426893</v>
      </c>
      <c r="Y352">
        <f>Hybrid[[#This Row],[Degree change]]+Y351</f>
        <v>282.06479915765931</v>
      </c>
    </row>
    <row r="353" spans="1:25">
      <c r="A353">
        <v>352</v>
      </c>
      <c r="B353">
        <v>-23.559999000000001</v>
      </c>
      <c r="C353">
        <v>645.589966</v>
      </c>
      <c r="D353">
        <v>17.010000000000002</v>
      </c>
      <c r="E353">
        <v>1752.369995</v>
      </c>
      <c r="F353">
        <v>1489.669922</v>
      </c>
      <c r="G353">
        <v>8.09</v>
      </c>
      <c r="H353" s="1">
        <v>-2.0000000000000001E-4</v>
      </c>
      <c r="I353" s="1">
        <v>-2.9999999999999997E-4</v>
      </c>
      <c r="J353" s="1">
        <v>2.0303</v>
      </c>
      <c r="K353" s="1">
        <v>-1.7719999999999999E-3</v>
      </c>
      <c r="L353" s="1">
        <v>4.4429999999999999E-3</v>
      </c>
      <c r="M353" s="1">
        <v>0.37365799999999999</v>
      </c>
      <c r="N353" s="1">
        <v>0.92755399999999999</v>
      </c>
      <c r="O353">
        <v>1</v>
      </c>
      <c r="P353">
        <v>0</v>
      </c>
      <c r="Q353">
        <v>1</v>
      </c>
      <c r="R353">
        <v>1</v>
      </c>
      <c r="S353">
        <v>1</v>
      </c>
      <c r="T353" s="1">
        <f>SQRT(POWER(Hybrid[[#This Row],[angvel_X]],2) + POWER(Hybrid[[#This Row],[angvel_Y]],2) + POWER(Hybrid[[#This Row],[angvel_Z]],2))</f>
        <v>2.0303000320149729</v>
      </c>
      <c r="U353">
        <f>DEGREES(ASIN(MAX(-1,MIN(1,2 * (Hybrid[[#This Row],[quart_W]]*Hybrid[[#This Row],[quart_Y]] - Hybrid[[#This Row],[quart_Z]]*Hybrid[[#This Row],[quart_X]])))))</f>
        <v>0.54812779355333707</v>
      </c>
      <c r="V35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46.116682804496399</v>
      </c>
      <c r="W35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89.99810493490078</v>
      </c>
      <c r="X353">
        <f>IF(Hybrid[[#This Row],[Yaw]]&gt;V352,(360-ABS(Hybrid[[#This Row],[Yaw]])-ABS(V352)),ABS(Hybrid[[#This Row],[Yaw]]-V352))</f>
        <v>0.96938893121573244</v>
      </c>
      <c r="Y353">
        <f>Hybrid[[#This Row],[Degree change]]+Y352</f>
        <v>283.03418808887506</v>
      </c>
    </row>
    <row r="354" spans="1:25">
      <c r="A354">
        <v>353</v>
      </c>
      <c r="B354">
        <v>-8.91</v>
      </c>
      <c r="C354">
        <v>658.04998799999998</v>
      </c>
      <c r="D354">
        <v>17.010000000000002</v>
      </c>
      <c r="E354">
        <v>1726.9099120000001</v>
      </c>
      <c r="F354">
        <v>1519.1099850000001</v>
      </c>
      <c r="G354">
        <v>8.09</v>
      </c>
      <c r="H354" s="1">
        <v>-2.0000000000000001E-4</v>
      </c>
      <c r="I354" s="1">
        <v>-2.9999999999999997E-4</v>
      </c>
      <c r="J354" s="1">
        <v>2.0303</v>
      </c>
      <c r="K354" s="1">
        <v>-1.81E-3</v>
      </c>
      <c r="L354" s="1">
        <v>4.4260000000000002E-3</v>
      </c>
      <c r="M354" s="1">
        <v>0.381492</v>
      </c>
      <c r="N354" s="1">
        <v>0.92435999999999996</v>
      </c>
      <c r="O354">
        <v>1</v>
      </c>
      <c r="P354">
        <v>0</v>
      </c>
      <c r="Q354">
        <v>1</v>
      </c>
      <c r="R354">
        <v>1</v>
      </c>
      <c r="S354">
        <v>1</v>
      </c>
      <c r="T354" s="1">
        <f>SQRT(POWER(Hybrid[[#This Row],[angvel_X]],2) + POWER(Hybrid[[#This Row],[angvel_Y]],2) + POWER(Hybrid[[#This Row],[angvel_Z]],2))</f>
        <v>2.0303000320149729</v>
      </c>
      <c r="U354">
        <f>DEGREES(ASIN(MAX(-1,MIN(1,2 * (Hybrid[[#This Row],[quart_W]]*Hybrid[[#This Row],[quart_Y]] - Hybrid[[#This Row],[quart_Z]]*Hybrid[[#This Row],[quart_X]])))))</f>
        <v>0.54795285947342387</v>
      </c>
      <c r="V35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45.147181345035769</v>
      </c>
      <c r="W35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89.998236126976806</v>
      </c>
      <c r="X354">
        <f>IF(Hybrid[[#This Row],[Yaw]]&gt;V353,(360-ABS(Hybrid[[#This Row],[Yaw]])-ABS(V353)),ABS(Hybrid[[#This Row],[Yaw]]-V353))</f>
        <v>0.9695014594606306</v>
      </c>
      <c r="Y354">
        <f>Hybrid[[#This Row],[Degree change]]+Y353</f>
        <v>284.00368954833567</v>
      </c>
    </row>
    <row r="355" spans="1:25">
      <c r="A355">
        <v>354</v>
      </c>
      <c r="B355">
        <v>5.53</v>
      </c>
      <c r="C355">
        <v>670.76000999999997</v>
      </c>
      <c r="D355">
        <v>17.010000000000002</v>
      </c>
      <c r="E355">
        <v>1700.959961</v>
      </c>
      <c r="F355">
        <v>1548.1099850000001</v>
      </c>
      <c r="G355">
        <v>8.09</v>
      </c>
      <c r="H355" s="1">
        <v>-2.0000000000000001E-4</v>
      </c>
      <c r="I355" s="1">
        <v>-2.9999999999999997E-4</v>
      </c>
      <c r="J355" s="1">
        <v>2.0303</v>
      </c>
      <c r="K355" s="1">
        <v>-1.848E-3</v>
      </c>
      <c r="L355" s="1">
        <v>4.4099999999999999E-3</v>
      </c>
      <c r="M355" s="1">
        <v>0.38929799999999998</v>
      </c>
      <c r="N355" s="1">
        <v>0.921099</v>
      </c>
      <c r="O355">
        <v>1</v>
      </c>
      <c r="P355">
        <v>0</v>
      </c>
      <c r="Q355">
        <v>1</v>
      </c>
      <c r="R355">
        <v>1</v>
      </c>
      <c r="S355">
        <v>1</v>
      </c>
      <c r="T355" s="1">
        <f>SQRT(POWER(Hybrid[[#This Row],[angvel_X]],2) + POWER(Hybrid[[#This Row],[angvel_Y]],2) + POWER(Hybrid[[#This Row],[angvel_Z]],2))</f>
        <v>2.0303000320149729</v>
      </c>
      <c r="U355">
        <f>DEGREES(ASIN(MAX(-1,MIN(1,2 * (Hybrid[[#This Row],[quart_W]]*Hybrid[[#This Row],[quart_Y]] - Hybrid[[#This Row],[quart_Z]]*Hybrid[[#This Row],[quart_X]])))))</f>
        <v>0.54792437231346192</v>
      </c>
      <c r="V35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44.177800523459283</v>
      </c>
      <c r="W35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89.998325370846771</v>
      </c>
      <c r="X355">
        <f>IF(Hybrid[[#This Row],[Yaw]]&gt;V354,(360-ABS(Hybrid[[#This Row],[Yaw]])-ABS(V354)),ABS(Hybrid[[#This Row],[Yaw]]-V354))</f>
        <v>0.96938082157648608</v>
      </c>
      <c r="Y355">
        <f>Hybrid[[#This Row],[Degree change]]+Y354</f>
        <v>284.97307036991214</v>
      </c>
    </row>
    <row r="356" spans="1:25">
      <c r="A356">
        <v>355</v>
      </c>
      <c r="B356">
        <v>19.75</v>
      </c>
      <c r="C356">
        <v>683.70996100000002</v>
      </c>
      <c r="D356">
        <v>17.010000000000002</v>
      </c>
      <c r="E356">
        <v>1674.5200199999999</v>
      </c>
      <c r="F356">
        <v>1576.669922</v>
      </c>
      <c r="G356">
        <v>8.09</v>
      </c>
      <c r="H356" s="1">
        <v>-2.0000000000000001E-4</v>
      </c>
      <c r="I356" s="1">
        <v>-2.0000000000000001E-4</v>
      </c>
      <c r="J356" s="1">
        <v>2.0303</v>
      </c>
      <c r="K356" s="1">
        <v>-1.885E-3</v>
      </c>
      <c r="L356" s="1">
        <v>4.3940000000000003E-3</v>
      </c>
      <c r="M356" s="1">
        <v>0.39707700000000001</v>
      </c>
      <c r="N356" s="1">
        <v>0.91777299999999995</v>
      </c>
      <c r="O356">
        <v>1</v>
      </c>
      <c r="P356">
        <v>0</v>
      </c>
      <c r="Q356">
        <v>1</v>
      </c>
      <c r="R356">
        <v>1</v>
      </c>
      <c r="S356">
        <v>1</v>
      </c>
      <c r="T356" s="1">
        <f>SQRT(POWER(Hybrid[[#This Row],[angvel_X]],2) + POWER(Hybrid[[#This Row],[angvel_Y]],2) + POWER(Hybrid[[#This Row],[angvel_Z]],2))</f>
        <v>2.0303000197015217</v>
      </c>
      <c r="U356">
        <f>DEGREES(ASIN(MAX(-1,MIN(1,2 * (Hybrid[[#This Row],[quart_W]]*Hybrid[[#This Row],[quart_Y]] - Hybrid[[#This Row],[quart_Z]]*Hybrid[[#This Row],[quart_X]])))))</f>
        <v>0.54789175955429281</v>
      </c>
      <c r="V35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43.208271714167182</v>
      </c>
      <c r="W35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89.998309212134401</v>
      </c>
      <c r="X356">
        <f>IF(Hybrid[[#This Row],[Yaw]]&gt;V355,(360-ABS(Hybrid[[#This Row],[Yaw]])-ABS(V355)),ABS(Hybrid[[#This Row],[Yaw]]-V355))</f>
        <v>0.96952880929210039</v>
      </c>
      <c r="Y356">
        <f>Hybrid[[#This Row],[Degree change]]+Y355</f>
        <v>285.94259917920425</v>
      </c>
    </row>
    <row r="357" spans="1:25">
      <c r="A357">
        <v>356</v>
      </c>
      <c r="B357">
        <v>33.75</v>
      </c>
      <c r="C357">
        <v>696.89996299999996</v>
      </c>
      <c r="D357">
        <v>17.010000000000002</v>
      </c>
      <c r="E357">
        <v>1647.599976</v>
      </c>
      <c r="F357">
        <v>1604.7799070000001</v>
      </c>
      <c r="G357">
        <v>8.09</v>
      </c>
      <c r="H357" s="1">
        <v>-2.0000000000000001E-4</v>
      </c>
      <c r="I357" s="1">
        <v>-2.0000000000000001E-4</v>
      </c>
      <c r="J357" s="1">
        <v>2.0303</v>
      </c>
      <c r="K357" s="1">
        <v>-1.923E-3</v>
      </c>
      <c r="L357" s="1">
        <v>4.3779999999999999E-3</v>
      </c>
      <c r="M357" s="1">
        <v>0.40483000000000002</v>
      </c>
      <c r="N357" s="1">
        <v>0.91437999999999997</v>
      </c>
      <c r="O357">
        <v>1</v>
      </c>
      <c r="P357">
        <v>0</v>
      </c>
      <c r="Q357">
        <v>1</v>
      </c>
      <c r="R357">
        <v>1</v>
      </c>
      <c r="S357">
        <v>1</v>
      </c>
      <c r="T357" s="1">
        <f>SQRT(POWER(Hybrid[[#This Row],[angvel_X]],2) + POWER(Hybrid[[#This Row],[angvel_Y]],2) + POWER(Hybrid[[#This Row],[angvel_Z]],2))</f>
        <v>2.0303000197015217</v>
      </c>
      <c r="U357">
        <f>DEGREES(ASIN(MAX(-1,MIN(1,2 * (Hybrid[[#This Row],[quart_W]]*Hybrid[[#This Row],[quart_Y]] - Hybrid[[#This Row],[quart_Z]]*Hybrid[[#This Row],[quart_X]])))))</f>
        <v>0.54794436212073827</v>
      </c>
      <c r="V35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42.238446625420345</v>
      </c>
      <c r="W35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89.998396446985083</v>
      </c>
      <c r="X357">
        <f>IF(Hybrid[[#This Row],[Yaw]]&gt;V356,(360-ABS(Hybrid[[#This Row],[Yaw]])-ABS(V356)),ABS(Hybrid[[#This Row],[Yaw]]-V356))</f>
        <v>0.96982508874683759</v>
      </c>
      <c r="Y357">
        <f>Hybrid[[#This Row],[Degree change]]+Y356</f>
        <v>286.91242426795111</v>
      </c>
    </row>
    <row r="358" spans="1:25">
      <c r="A358">
        <v>357</v>
      </c>
      <c r="B358">
        <v>47.529998999999997</v>
      </c>
      <c r="C358">
        <v>710.32000700000003</v>
      </c>
      <c r="D358">
        <v>17.010000000000002</v>
      </c>
      <c r="E358">
        <v>1620.209961</v>
      </c>
      <c r="F358">
        <v>1632.429932</v>
      </c>
      <c r="G358">
        <v>8.09</v>
      </c>
      <c r="H358" s="1">
        <v>-2.0000000000000001E-4</v>
      </c>
      <c r="I358" s="1">
        <v>-2.0000000000000001E-4</v>
      </c>
      <c r="J358" s="1">
        <v>2.0303</v>
      </c>
      <c r="K358" s="1">
        <v>-1.9610000000000001E-3</v>
      </c>
      <c r="L358" s="1">
        <v>4.3620000000000004E-3</v>
      </c>
      <c r="M358" s="1">
        <v>0.41254999999999997</v>
      </c>
      <c r="N358" s="1">
        <v>0.91092200000000001</v>
      </c>
      <c r="O358">
        <v>1</v>
      </c>
      <c r="P358">
        <v>0</v>
      </c>
      <c r="Q358">
        <v>1</v>
      </c>
      <c r="R358">
        <v>1</v>
      </c>
      <c r="S358">
        <v>1</v>
      </c>
      <c r="T358" s="1">
        <f>SQRT(POWER(Hybrid[[#This Row],[angvel_X]],2) + POWER(Hybrid[[#This Row],[angvel_Y]],2) + POWER(Hybrid[[#This Row],[angvel_Z]],2))</f>
        <v>2.0303000197015217</v>
      </c>
      <c r="U358">
        <f>DEGREES(ASIN(MAX(-1,MIN(1,2 * (Hybrid[[#This Row],[quart_W]]*Hybrid[[#This Row],[quart_Y]] - Hybrid[[#This Row],[quart_Z]]*Hybrid[[#This Row],[quart_X]])))))</f>
        <v>0.54803702325994563</v>
      </c>
      <c r="V35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41.269166232255635</v>
      </c>
      <c r="W35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89.998484450656932</v>
      </c>
      <c r="X358">
        <f>IF(Hybrid[[#This Row],[Yaw]]&gt;V357,(360-ABS(Hybrid[[#This Row],[Yaw]])-ABS(V357)),ABS(Hybrid[[#This Row],[Yaw]]-V357))</f>
        <v>0.96928039316470915</v>
      </c>
      <c r="Y358">
        <f>Hybrid[[#This Row],[Degree change]]+Y357</f>
        <v>287.8817046611158</v>
      </c>
    </row>
    <row r="359" spans="1:25">
      <c r="A359">
        <v>358</v>
      </c>
      <c r="B359">
        <v>61.079998000000003</v>
      </c>
      <c r="C359">
        <v>723.97997999999995</v>
      </c>
      <c r="D359">
        <v>17.010000000000002</v>
      </c>
      <c r="E359">
        <v>1592.3599850000001</v>
      </c>
      <c r="F359">
        <v>1659.6099850000001</v>
      </c>
      <c r="G359">
        <v>8.09</v>
      </c>
      <c r="H359" s="1">
        <v>-2.0000000000000001E-4</v>
      </c>
      <c r="I359" s="1">
        <v>-2.0000000000000001E-4</v>
      </c>
      <c r="J359" s="1">
        <v>2.0303</v>
      </c>
      <c r="K359" s="1">
        <v>-1.9989999999999999E-3</v>
      </c>
      <c r="L359" s="1">
        <v>4.346E-3</v>
      </c>
      <c r="M359" s="1">
        <v>0.42024299999999998</v>
      </c>
      <c r="N359" s="1">
        <v>0.90739899999999996</v>
      </c>
      <c r="O359">
        <v>1</v>
      </c>
      <c r="P359">
        <v>0</v>
      </c>
      <c r="Q359">
        <v>1</v>
      </c>
      <c r="R359">
        <v>1</v>
      </c>
      <c r="S359">
        <v>1</v>
      </c>
      <c r="T359" s="1">
        <f>SQRT(POWER(Hybrid[[#This Row],[angvel_X]],2) + POWER(Hybrid[[#This Row],[angvel_Y]],2) + POWER(Hybrid[[#This Row],[angvel_Z]],2))</f>
        <v>2.0303000197015217</v>
      </c>
      <c r="U359">
        <f>DEGREES(ASIN(MAX(-1,MIN(1,2 * (Hybrid[[#This Row],[quart_W]]*Hybrid[[#This Row],[quart_Y]] - Hybrid[[#This Row],[quart_Z]]*Hybrid[[#This Row],[quart_X]])))))</f>
        <v>0.54817104387669047</v>
      </c>
      <c r="V35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40.299525701628625</v>
      </c>
      <c r="W35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89.998569204241846</v>
      </c>
      <c r="X359">
        <f>IF(Hybrid[[#This Row],[Yaw]]&gt;V358,(360-ABS(Hybrid[[#This Row],[Yaw]])-ABS(V358)),ABS(Hybrid[[#This Row],[Yaw]]-V358))</f>
        <v>0.96964053062701083</v>
      </c>
      <c r="Y359">
        <f>Hybrid[[#This Row],[Degree change]]+Y358</f>
        <v>288.85134519174284</v>
      </c>
    </row>
    <row r="360" spans="1:25">
      <c r="A360">
        <v>359</v>
      </c>
      <c r="B360">
        <v>74.389999000000003</v>
      </c>
      <c r="C360">
        <v>737.85998500000005</v>
      </c>
      <c r="D360">
        <v>17.010000000000002</v>
      </c>
      <c r="E360">
        <v>1564.049927</v>
      </c>
      <c r="F360">
        <v>1686.309937</v>
      </c>
      <c r="G360">
        <v>8.09</v>
      </c>
      <c r="H360" s="1">
        <v>-2.0000000000000001E-4</v>
      </c>
      <c r="I360" s="1">
        <v>-2.0000000000000001E-4</v>
      </c>
      <c r="J360" s="1">
        <v>2.0303</v>
      </c>
      <c r="K360" s="1">
        <v>-2.0370000000000002E-3</v>
      </c>
      <c r="L360" s="1">
        <v>4.3290000000000004E-3</v>
      </c>
      <c r="M360" s="1">
        <v>0.42790299999999998</v>
      </c>
      <c r="N360" s="1">
        <v>0.90381199999999995</v>
      </c>
      <c r="O360">
        <v>1</v>
      </c>
      <c r="P360">
        <v>0</v>
      </c>
      <c r="Q360">
        <v>1</v>
      </c>
      <c r="R360">
        <v>1</v>
      </c>
      <c r="S360">
        <v>1</v>
      </c>
      <c r="T360" s="1">
        <f>SQRT(POWER(Hybrid[[#This Row],[angvel_X]],2) + POWER(Hybrid[[#This Row],[angvel_Y]],2) + POWER(Hybrid[[#This Row],[angvel_Z]],2))</f>
        <v>2.0303000197015217</v>
      </c>
      <c r="U360">
        <f>DEGREES(ASIN(MAX(-1,MIN(1,2 * (Hybrid[[#This Row],[quart_W]]*Hybrid[[#This Row],[quart_Y]] - Hybrid[[#This Row],[quart_Z]]*Hybrid[[#This Row],[quart_X]])))))</f>
        <v>0.54824195042026314</v>
      </c>
      <c r="V36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39.330267531245667</v>
      </c>
      <c r="W36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89.998701957060305</v>
      </c>
      <c r="X360">
        <f>IF(Hybrid[[#This Row],[Yaw]]&gt;V359,(360-ABS(Hybrid[[#This Row],[Yaw]])-ABS(V359)),ABS(Hybrid[[#This Row],[Yaw]]-V359))</f>
        <v>0.96925817038295747</v>
      </c>
      <c r="Y360">
        <f>Hybrid[[#This Row],[Degree change]]+Y359</f>
        <v>289.82060336212578</v>
      </c>
    </row>
    <row r="361" spans="1:25">
      <c r="A361">
        <v>360</v>
      </c>
      <c r="B361">
        <v>87.470000999999996</v>
      </c>
      <c r="C361">
        <v>751.96997099999999</v>
      </c>
      <c r="D361">
        <v>17.010000000000002</v>
      </c>
      <c r="E361">
        <v>1535.299927</v>
      </c>
      <c r="F361">
        <v>1712.5299070000001</v>
      </c>
      <c r="G361">
        <v>8.09</v>
      </c>
      <c r="H361" s="1">
        <v>-2.0000000000000001E-4</v>
      </c>
      <c r="I361" s="1">
        <v>-2.0000000000000001E-4</v>
      </c>
      <c r="J361" s="1">
        <v>2.0303</v>
      </c>
      <c r="K361" s="1">
        <v>-2.0739999999999999E-3</v>
      </c>
      <c r="L361" s="1">
        <v>4.313E-3</v>
      </c>
      <c r="M361" s="1">
        <v>0.43553199999999997</v>
      </c>
      <c r="N361" s="1">
        <v>0.90016099999999999</v>
      </c>
      <c r="O361">
        <v>1</v>
      </c>
      <c r="P361">
        <v>0</v>
      </c>
      <c r="Q361">
        <v>1</v>
      </c>
      <c r="R361">
        <v>1</v>
      </c>
      <c r="S361">
        <v>1</v>
      </c>
      <c r="T361" s="1">
        <f>SQRT(POWER(Hybrid[[#This Row],[angvel_X]],2) + POWER(Hybrid[[#This Row],[angvel_Y]],2) + POWER(Hybrid[[#This Row],[angvel_Z]],2))</f>
        <v>2.0303000197015217</v>
      </c>
      <c r="U361">
        <f>DEGREES(ASIN(MAX(-1,MIN(1,2 * (Hybrid[[#This Row],[quart_W]]*Hybrid[[#This Row],[quart_Y]] - Hybrid[[#This Row],[quart_Z]]*Hybrid[[#This Row],[quart_X]])))))</f>
        <v>0.54840779514816551</v>
      </c>
      <c r="V36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38.361042700754616</v>
      </c>
      <c r="W36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89.998680348764807</v>
      </c>
      <c r="X361">
        <f>IF(Hybrid[[#This Row],[Yaw]]&gt;V360,(360-ABS(Hybrid[[#This Row],[Yaw]])-ABS(V360)),ABS(Hybrid[[#This Row],[Yaw]]-V360))</f>
        <v>0.96922483049105068</v>
      </c>
      <c r="Y361">
        <f>Hybrid[[#This Row],[Degree change]]+Y360</f>
        <v>290.78982819261682</v>
      </c>
    </row>
    <row r="362" spans="1:25">
      <c r="A362">
        <v>361</v>
      </c>
      <c r="B362">
        <v>100.30999799999999</v>
      </c>
      <c r="C362">
        <v>766.29998799999998</v>
      </c>
      <c r="D362">
        <v>17.010000000000002</v>
      </c>
      <c r="E362">
        <v>1506.1099850000001</v>
      </c>
      <c r="F362">
        <v>1738.26001</v>
      </c>
      <c r="G362">
        <v>8.09</v>
      </c>
      <c r="H362" s="1">
        <v>-1E-4</v>
      </c>
      <c r="I362" s="1">
        <v>-2.0000000000000001E-4</v>
      </c>
      <c r="J362" s="1">
        <v>2.0303</v>
      </c>
      <c r="K362" s="1">
        <v>-2.1120000000000002E-3</v>
      </c>
      <c r="L362" s="1">
        <v>4.2969999999999996E-3</v>
      </c>
      <c r="M362" s="1">
        <v>0.443133</v>
      </c>
      <c r="N362" s="1">
        <v>0.89644299999999999</v>
      </c>
      <c r="O362">
        <v>1</v>
      </c>
      <c r="P362">
        <v>0</v>
      </c>
      <c r="Q362">
        <v>1</v>
      </c>
      <c r="R362">
        <v>1</v>
      </c>
      <c r="S362">
        <v>1</v>
      </c>
      <c r="T362" s="1">
        <f>SQRT(POWER(Hybrid[[#This Row],[angvel_X]],2) + POWER(Hybrid[[#This Row],[angvel_Y]],2) + POWER(Hybrid[[#This Row],[angvel_Z]],2))</f>
        <v>2.0303000123134511</v>
      </c>
      <c r="U362">
        <f>DEGREES(ASIN(MAX(-1,MIN(1,2 * (Hybrid[[#This Row],[quart_W]]*Hybrid[[#This Row],[quart_Y]] - Hybrid[[#This Row],[quart_Z]]*Hybrid[[#This Row],[quart_X]])))))</f>
        <v>0.5486627393606538</v>
      </c>
      <c r="V36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37.391446861972881</v>
      </c>
      <c r="W36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89.998756064771186</v>
      </c>
      <c r="X362">
        <f>IF(Hybrid[[#This Row],[Yaw]]&gt;V361,(360-ABS(Hybrid[[#This Row],[Yaw]])-ABS(V361)),ABS(Hybrid[[#This Row],[Yaw]]-V361))</f>
        <v>0.96959583878173561</v>
      </c>
      <c r="Y362">
        <f>Hybrid[[#This Row],[Degree change]]+Y361</f>
        <v>291.75942403139857</v>
      </c>
    </row>
    <row r="363" spans="1:25">
      <c r="A363">
        <v>362</v>
      </c>
      <c r="B363">
        <v>112.89999400000001</v>
      </c>
      <c r="C363">
        <v>780.839966</v>
      </c>
      <c r="D363">
        <v>17.010000000000002</v>
      </c>
      <c r="E363">
        <v>1476.4799800000001</v>
      </c>
      <c r="F363">
        <v>1763.48999</v>
      </c>
      <c r="G363">
        <v>8.09</v>
      </c>
      <c r="H363" s="1">
        <v>-1E-4</v>
      </c>
      <c r="I363" s="1">
        <v>-2.0000000000000001E-4</v>
      </c>
      <c r="J363" s="1">
        <v>2.0303</v>
      </c>
      <c r="K363" s="1">
        <v>-2.15E-3</v>
      </c>
      <c r="L363" s="1">
        <v>4.2810000000000001E-3</v>
      </c>
      <c r="M363" s="1">
        <v>0.45070199999999999</v>
      </c>
      <c r="N363" s="1">
        <v>0.89266199999999996</v>
      </c>
      <c r="O363">
        <v>1</v>
      </c>
      <c r="P363">
        <v>0</v>
      </c>
      <c r="Q363">
        <v>1</v>
      </c>
      <c r="R363">
        <v>1</v>
      </c>
      <c r="S363">
        <v>1</v>
      </c>
      <c r="T363" s="1">
        <f>SQRT(POWER(Hybrid[[#This Row],[angvel_X]],2) + POWER(Hybrid[[#This Row],[angvel_Y]],2) + POWER(Hybrid[[#This Row],[angvel_Z]],2))</f>
        <v>2.0303000123134511</v>
      </c>
      <c r="U363">
        <f>DEGREES(ASIN(MAX(-1,MIN(1,2 * (Hybrid[[#This Row],[quart_W]]*Hybrid[[#This Row],[quart_Y]] - Hybrid[[#This Row],[quart_Z]]*Hybrid[[#This Row],[quart_X]])))))</f>
        <v>0.54895872631994869</v>
      </c>
      <c r="V36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36.421853729180775</v>
      </c>
      <c r="W36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89.998827449703896</v>
      </c>
      <c r="X363">
        <f>IF(Hybrid[[#This Row],[Yaw]]&gt;V362,(360-ABS(Hybrid[[#This Row],[Yaw]])-ABS(V362)),ABS(Hybrid[[#This Row],[Yaw]]-V362))</f>
        <v>0.96959313279210591</v>
      </c>
      <c r="Y363">
        <f>Hybrid[[#This Row],[Degree change]]+Y362</f>
        <v>292.72901716419068</v>
      </c>
    </row>
    <row r="364" spans="1:25">
      <c r="A364">
        <v>363</v>
      </c>
      <c r="B364">
        <v>125.239998</v>
      </c>
      <c r="C364">
        <v>795.589966</v>
      </c>
      <c r="D364">
        <v>17.010000000000002</v>
      </c>
      <c r="E364">
        <v>1446.429932</v>
      </c>
      <c r="F364">
        <v>1788.219971</v>
      </c>
      <c r="G364">
        <v>8.09</v>
      </c>
      <c r="H364" s="1">
        <v>0</v>
      </c>
      <c r="I364" s="1">
        <v>-2.0000000000000001E-4</v>
      </c>
      <c r="J364" s="1">
        <v>2.0303</v>
      </c>
      <c r="K364" s="1">
        <v>-2.1879999999999998E-3</v>
      </c>
      <c r="L364" s="1">
        <v>4.2649999999999997E-3</v>
      </c>
      <c r="M364" s="1">
        <v>0.45823799999999998</v>
      </c>
      <c r="N364" s="1">
        <v>0.88881600000000005</v>
      </c>
      <c r="O364">
        <v>1</v>
      </c>
      <c r="P364">
        <v>0</v>
      </c>
      <c r="Q364">
        <v>1</v>
      </c>
      <c r="R364">
        <v>1</v>
      </c>
      <c r="S364">
        <v>1</v>
      </c>
      <c r="T364" s="1">
        <f>SQRT(POWER(Hybrid[[#This Row],[angvel_X]],2) + POWER(Hybrid[[#This Row],[angvel_Y]],2) + POWER(Hybrid[[#This Row],[angvel_Z]],2))</f>
        <v>2.0303000098507606</v>
      </c>
      <c r="U364">
        <f>DEGREES(ASIN(MAX(-1,MIN(1,2 * (Hybrid[[#This Row],[quart_W]]*Hybrid[[#This Row],[quart_Y]] - Hybrid[[#This Row],[quart_Z]]*Hybrid[[#This Row],[quart_X]])))))</f>
        <v>0.54929445627495754</v>
      </c>
      <c r="V36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35.452400019137535</v>
      </c>
      <c r="W36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89.998893491788394</v>
      </c>
      <c r="X364">
        <f>IF(Hybrid[[#This Row],[Yaw]]&gt;V363,(360-ABS(Hybrid[[#This Row],[Yaw]])-ABS(V363)),ABS(Hybrid[[#This Row],[Yaw]]-V363))</f>
        <v>0.96945371004323988</v>
      </c>
      <c r="Y364">
        <f>Hybrid[[#This Row],[Degree change]]+Y363</f>
        <v>293.69847087423392</v>
      </c>
    </row>
    <row r="365" spans="1:25">
      <c r="A365">
        <v>364</v>
      </c>
      <c r="B365">
        <v>137.33000200000001</v>
      </c>
      <c r="C365">
        <v>810.54998799999998</v>
      </c>
      <c r="D365">
        <v>17.010000000000002</v>
      </c>
      <c r="E365">
        <v>1415.969971</v>
      </c>
      <c r="F365">
        <v>1812.4399410000001</v>
      </c>
      <c r="G365">
        <v>8.09</v>
      </c>
      <c r="H365" s="1">
        <v>0</v>
      </c>
      <c r="I365" s="1">
        <v>-2.0000000000000001E-4</v>
      </c>
      <c r="J365" s="1">
        <v>2.0303</v>
      </c>
      <c r="K365" s="1">
        <v>-2.225E-3</v>
      </c>
      <c r="L365" s="1">
        <v>4.2430000000000002E-3</v>
      </c>
      <c r="M365" s="1">
        <v>0.46574300000000002</v>
      </c>
      <c r="N365" s="1">
        <v>0.884907</v>
      </c>
      <c r="O365">
        <v>1</v>
      </c>
      <c r="P365">
        <v>0</v>
      </c>
      <c r="Q365">
        <v>1</v>
      </c>
      <c r="R365">
        <v>1</v>
      </c>
      <c r="S365">
        <v>1</v>
      </c>
      <c r="T365" s="1">
        <f>SQRT(POWER(Hybrid[[#This Row],[angvel_X]],2) + POWER(Hybrid[[#This Row],[angvel_Y]],2) + POWER(Hybrid[[#This Row],[angvel_Z]],2))</f>
        <v>2.0303000098507606</v>
      </c>
      <c r="U365">
        <f>DEGREES(ASIN(MAX(-1,MIN(1,2 * (Hybrid[[#This Row],[quart_W]]*Hybrid[[#This Row],[quart_Y]] - Hybrid[[#This Row],[quart_Z]]*Hybrid[[#This Row],[quart_X]])))))</f>
        <v>0.54900952181851859</v>
      </c>
      <c r="V36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34.482668972767712</v>
      </c>
      <c r="W36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89.999171525270384</v>
      </c>
      <c r="X365">
        <f>IF(Hybrid[[#This Row],[Yaw]]&gt;V364,(360-ABS(Hybrid[[#This Row],[Yaw]])-ABS(V364)),ABS(Hybrid[[#This Row],[Yaw]]-V364))</f>
        <v>0.96973104636982299</v>
      </c>
      <c r="Y365">
        <f>Hybrid[[#This Row],[Degree change]]+Y364</f>
        <v>294.66820192060374</v>
      </c>
    </row>
    <row r="366" spans="1:25">
      <c r="A366">
        <v>365</v>
      </c>
      <c r="B366">
        <v>149.16999799999999</v>
      </c>
      <c r="C366">
        <v>825.70996100000002</v>
      </c>
      <c r="D366">
        <v>17.010000000000002</v>
      </c>
      <c r="E366">
        <v>1385.099976</v>
      </c>
      <c r="F366">
        <v>1836.1400149999999</v>
      </c>
      <c r="G366">
        <v>8.09</v>
      </c>
      <c r="H366" s="1">
        <v>0</v>
      </c>
      <c r="I366" s="1">
        <v>-2.0000000000000001E-4</v>
      </c>
      <c r="J366" s="1">
        <v>2.0303</v>
      </c>
      <c r="K366" s="1">
        <v>-2.2629999999999998E-3</v>
      </c>
      <c r="L366" s="1">
        <v>4.2209999999999999E-3</v>
      </c>
      <c r="M366" s="1">
        <v>0.47321400000000002</v>
      </c>
      <c r="N366" s="1">
        <v>0.88093399999999999</v>
      </c>
      <c r="O366">
        <v>1</v>
      </c>
      <c r="P366">
        <v>0</v>
      </c>
      <c r="Q366">
        <v>1</v>
      </c>
      <c r="R366">
        <v>1</v>
      </c>
      <c r="S366">
        <v>1</v>
      </c>
      <c r="T366" s="1">
        <f>SQRT(POWER(Hybrid[[#This Row],[angvel_X]],2) + POWER(Hybrid[[#This Row],[angvel_Y]],2) + POWER(Hybrid[[#This Row],[angvel_Z]],2))</f>
        <v>2.0303000098507606</v>
      </c>
      <c r="U366">
        <f>DEGREES(ASIN(MAX(-1,MIN(1,2 * (Hybrid[[#This Row],[quart_W]]*Hybrid[[#This Row],[quart_Y]] - Hybrid[[#This Row],[quart_Z]]*Hybrid[[#This Row],[quart_X]])))))</f>
        <v>0.54882239896624996</v>
      </c>
      <c r="V36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33.513051878157</v>
      </c>
      <c r="W36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89.99955506044212</v>
      </c>
      <c r="X366">
        <f>IF(Hybrid[[#This Row],[Yaw]]&gt;V365,(360-ABS(Hybrid[[#This Row],[Yaw]])-ABS(V365)),ABS(Hybrid[[#This Row],[Yaw]]-V365))</f>
        <v>0.96961709461071166</v>
      </c>
      <c r="Y366">
        <f>Hybrid[[#This Row],[Degree change]]+Y365</f>
        <v>295.63781901521446</v>
      </c>
    </row>
    <row r="367" spans="1:25">
      <c r="A367">
        <v>366</v>
      </c>
      <c r="B367">
        <v>160.75</v>
      </c>
      <c r="C367">
        <v>841.07000700000003</v>
      </c>
      <c r="D367">
        <v>17.010000000000002</v>
      </c>
      <c r="E367">
        <v>1353.829956</v>
      </c>
      <c r="F367">
        <v>1859.309937</v>
      </c>
      <c r="G367">
        <v>8.09</v>
      </c>
      <c r="H367" s="1">
        <v>0</v>
      </c>
      <c r="I367" s="1">
        <v>-2.0000000000000001E-4</v>
      </c>
      <c r="J367" s="1">
        <v>2.0303</v>
      </c>
      <c r="K367" s="1">
        <v>-2.3010000000000001E-3</v>
      </c>
      <c r="L367" s="1">
        <v>4.1999999999999997E-3</v>
      </c>
      <c r="M367" s="1">
        <v>0.48064800000000002</v>
      </c>
      <c r="N367" s="1">
        <v>0.87690000000000001</v>
      </c>
      <c r="O367">
        <v>1</v>
      </c>
      <c r="P367">
        <v>0</v>
      </c>
      <c r="Q367">
        <v>1</v>
      </c>
      <c r="R367">
        <v>1</v>
      </c>
      <c r="S367">
        <v>1</v>
      </c>
      <c r="T367" s="1">
        <f>SQRT(POWER(Hybrid[[#This Row],[angvel_X]],2) + POWER(Hybrid[[#This Row],[angvel_Y]],2) + POWER(Hybrid[[#This Row],[angvel_Z]],2))</f>
        <v>2.0303000098507606</v>
      </c>
      <c r="U367">
        <f>DEGREES(ASIN(MAX(-1,MIN(1,2 * (Hybrid[[#This Row],[quart_W]]*Hybrid[[#This Row],[quart_Y]] - Hybrid[[#This Row],[quart_Z]]*Hybrid[[#This Row],[quart_X]])))))</f>
        <v>0.54878175743469348</v>
      </c>
      <c r="V36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32.543830405471056</v>
      </c>
      <c r="W36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89.999888302483939</v>
      </c>
      <c r="X367">
        <f>IF(Hybrid[[#This Row],[Yaw]]&gt;V366,(360-ABS(Hybrid[[#This Row],[Yaw]])-ABS(V366)),ABS(Hybrid[[#This Row],[Yaw]]-V366))</f>
        <v>0.96922147268594472</v>
      </c>
      <c r="Y367">
        <f>Hybrid[[#This Row],[Degree change]]+Y366</f>
        <v>296.60704048790041</v>
      </c>
    </row>
    <row r="368" spans="1:25">
      <c r="A368">
        <v>367</v>
      </c>
      <c r="B368">
        <v>172.06999200000001</v>
      </c>
      <c r="C368">
        <v>856.61999500000002</v>
      </c>
      <c r="D368">
        <v>17.010000000000002</v>
      </c>
      <c r="E368">
        <v>1322.179932</v>
      </c>
      <c r="F368">
        <v>1881.9499510000001</v>
      </c>
      <c r="G368">
        <v>8.09</v>
      </c>
      <c r="H368" s="1">
        <v>0</v>
      </c>
      <c r="I368" s="1">
        <v>-1E-4</v>
      </c>
      <c r="J368" s="1">
        <v>2.0303</v>
      </c>
      <c r="K368" s="1">
        <v>-2.3389999999999999E-3</v>
      </c>
      <c r="L368" s="1">
        <v>4.1780000000000003E-3</v>
      </c>
      <c r="M368" s="1">
        <v>0.48804999999999998</v>
      </c>
      <c r="N368" s="1">
        <v>0.87280199999999997</v>
      </c>
      <c r="O368">
        <v>1</v>
      </c>
      <c r="P368">
        <v>0</v>
      </c>
      <c r="Q368">
        <v>1</v>
      </c>
      <c r="R368">
        <v>1</v>
      </c>
      <c r="S368">
        <v>1</v>
      </c>
      <c r="T368" s="1">
        <f>SQRT(POWER(Hybrid[[#This Row],[angvel_X]],2) + POWER(Hybrid[[#This Row],[angvel_Y]],2) + POWER(Hybrid[[#This Row],[angvel_Z]],2))</f>
        <v>2.03030000246269</v>
      </c>
      <c r="U368">
        <f>DEGREES(ASIN(MAX(-1,MIN(1,2 * (Hybrid[[#This Row],[quart_W]]*Hybrid[[#This Row],[quart_Y]] - Hybrid[[#This Row],[quart_Z]]*Hybrid[[#This Row],[quart_X]])))))</f>
        <v>0.54868602990241833</v>
      </c>
      <c r="V36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31.574294314345646</v>
      </c>
      <c r="W36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90.000276290396599</v>
      </c>
      <c r="X368">
        <f>IF(Hybrid[[#This Row],[Yaw]]&gt;V367,(360-ABS(Hybrid[[#This Row],[Yaw]])-ABS(V367)),ABS(Hybrid[[#This Row],[Yaw]]-V367))</f>
        <v>0.96953609112540917</v>
      </c>
      <c r="Y368">
        <f>Hybrid[[#This Row],[Degree change]]+Y367</f>
        <v>297.57657657902581</v>
      </c>
    </row>
    <row r="369" spans="1:25">
      <c r="A369">
        <v>368</v>
      </c>
      <c r="B369">
        <v>183.11999499999999</v>
      </c>
      <c r="C369">
        <v>872.35998500000005</v>
      </c>
      <c r="D369">
        <v>17.010000000000002</v>
      </c>
      <c r="E369">
        <v>1290.150024</v>
      </c>
      <c r="F369">
        <v>1904.049927</v>
      </c>
      <c r="G369">
        <v>8.09</v>
      </c>
      <c r="H369" s="1">
        <v>0</v>
      </c>
      <c r="I369" s="1">
        <v>0</v>
      </c>
      <c r="J369" s="1">
        <v>2.0303</v>
      </c>
      <c r="K369" s="1">
        <v>-2.3760000000000001E-3</v>
      </c>
      <c r="L369" s="1">
        <v>4.1570000000000001E-3</v>
      </c>
      <c r="M369" s="1">
        <v>0.49541400000000002</v>
      </c>
      <c r="N369" s="1">
        <v>0.86864399999999997</v>
      </c>
      <c r="O369">
        <v>1</v>
      </c>
      <c r="P369">
        <v>0</v>
      </c>
      <c r="Q369">
        <v>1</v>
      </c>
      <c r="R369">
        <v>1</v>
      </c>
      <c r="S369">
        <v>1</v>
      </c>
      <c r="T369" s="1">
        <f>SQRT(POWER(Hybrid[[#This Row],[angvel_X]],2) + POWER(Hybrid[[#This Row],[angvel_Y]],2) + POWER(Hybrid[[#This Row],[angvel_Z]],2))</f>
        <v>2.0303</v>
      </c>
      <c r="U369">
        <f>DEGREES(ASIN(MAX(-1,MIN(1,2 * (Hybrid[[#This Row],[quart_W]]*Hybrid[[#This Row],[quart_Y]] - Hybrid[[#This Row],[quart_Z]]*Hybrid[[#This Row],[quart_X]])))))</f>
        <v>0.54867927625380652</v>
      </c>
      <c r="V36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30.605140013958181</v>
      </c>
      <c r="W36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90.000511347713072</v>
      </c>
      <c r="X369">
        <f>IF(Hybrid[[#This Row],[Yaw]]&gt;V368,(360-ABS(Hybrid[[#This Row],[Yaw]])-ABS(V368)),ABS(Hybrid[[#This Row],[Yaw]]-V368))</f>
        <v>0.96915430038746564</v>
      </c>
      <c r="Y369">
        <f>Hybrid[[#This Row],[Degree change]]+Y368</f>
        <v>298.54573087941327</v>
      </c>
    </row>
    <row r="370" spans="1:25">
      <c r="A370">
        <v>369</v>
      </c>
      <c r="B370">
        <v>193.909988</v>
      </c>
      <c r="C370">
        <v>888.28997800000002</v>
      </c>
      <c r="D370">
        <v>17.010000000000002</v>
      </c>
      <c r="E370">
        <v>1257.75</v>
      </c>
      <c r="F370">
        <v>1925.6099850000001</v>
      </c>
      <c r="G370">
        <v>8.09</v>
      </c>
      <c r="H370" s="1">
        <v>0</v>
      </c>
      <c r="I370" s="1">
        <v>0</v>
      </c>
      <c r="J370" s="1">
        <v>2.0303</v>
      </c>
      <c r="K370" s="1">
        <v>-2.4090000000000001E-3</v>
      </c>
      <c r="L370" s="1">
        <v>4.1349999999999998E-3</v>
      </c>
      <c r="M370" s="1">
        <v>0.50274600000000003</v>
      </c>
      <c r="N370" s="1">
        <v>0.86442099999999999</v>
      </c>
      <c r="O370">
        <v>1</v>
      </c>
      <c r="P370">
        <v>0</v>
      </c>
      <c r="Q370">
        <v>1</v>
      </c>
      <c r="R370">
        <v>1</v>
      </c>
      <c r="S370">
        <v>1</v>
      </c>
      <c r="T370" s="1">
        <f>SQRT(POWER(Hybrid[[#This Row],[angvel_X]],2) + POWER(Hybrid[[#This Row],[angvel_Y]],2) + POWER(Hybrid[[#This Row],[angvel_Z]],2))</f>
        <v>2.0303</v>
      </c>
      <c r="U370">
        <f>DEGREES(ASIN(MAX(-1,MIN(1,2 * (Hybrid[[#This Row],[quart_W]]*Hybrid[[#This Row],[quart_Y]] - Hybrid[[#This Row],[quart_Z]]*Hybrid[[#This Row],[quart_X]])))))</f>
        <v>0.54838581410520759</v>
      </c>
      <c r="V37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29.635555417007392</v>
      </c>
      <c r="W37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90.000405154607805</v>
      </c>
      <c r="X370">
        <f>IF(Hybrid[[#This Row],[Yaw]]&gt;V369,(360-ABS(Hybrid[[#This Row],[Yaw]])-ABS(V369)),ABS(Hybrid[[#This Row],[Yaw]]-V369))</f>
        <v>0.96958459695078858</v>
      </c>
      <c r="Y370">
        <f>Hybrid[[#This Row],[Degree change]]+Y369</f>
        <v>299.51531547636404</v>
      </c>
    </row>
    <row r="371" spans="1:25">
      <c r="A371">
        <v>370</v>
      </c>
      <c r="B371">
        <v>204.429993</v>
      </c>
      <c r="C371">
        <v>904.39996299999996</v>
      </c>
      <c r="D371">
        <v>17.010000000000002</v>
      </c>
      <c r="E371">
        <v>1224.98999</v>
      </c>
      <c r="F371">
        <v>1946.6099850000001</v>
      </c>
      <c r="G371">
        <v>8.09</v>
      </c>
      <c r="H371" s="1">
        <v>0</v>
      </c>
      <c r="I371" s="1">
        <v>0</v>
      </c>
      <c r="J371" s="1">
        <v>2.0303</v>
      </c>
      <c r="K371" s="1">
        <v>-2.441E-3</v>
      </c>
      <c r="L371" s="1">
        <v>4.1139999999999996E-3</v>
      </c>
      <c r="M371" s="1">
        <v>0.51004000000000005</v>
      </c>
      <c r="N371" s="1">
        <v>0.86013799999999996</v>
      </c>
      <c r="O371">
        <v>1</v>
      </c>
      <c r="P371">
        <v>0</v>
      </c>
      <c r="Q371">
        <v>1</v>
      </c>
      <c r="R371">
        <v>1</v>
      </c>
      <c r="S371">
        <v>1</v>
      </c>
      <c r="T371" s="1">
        <f>SQRT(POWER(Hybrid[[#This Row],[angvel_X]],2) + POWER(Hybrid[[#This Row],[angvel_Y]],2) + POWER(Hybrid[[#This Row],[angvel_Z]],2))</f>
        <v>2.0303</v>
      </c>
      <c r="U371">
        <f>DEGREES(ASIN(MAX(-1,MIN(1,2 * (Hybrid[[#This Row],[quart_W]]*Hybrid[[#This Row],[quart_Y]] - Hybrid[[#This Row],[quart_Z]]*Hybrid[[#This Row],[quart_X]])))))</f>
        <v>0.54817030598787075</v>
      </c>
      <c r="V37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28.666217577945101</v>
      </c>
      <c r="W37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90.000148093220318</v>
      </c>
      <c r="X371">
        <f>IF(Hybrid[[#This Row],[Yaw]]&gt;V370,(360-ABS(Hybrid[[#This Row],[Yaw]])-ABS(V370)),ABS(Hybrid[[#This Row],[Yaw]]-V370))</f>
        <v>0.9693378390622911</v>
      </c>
      <c r="Y371">
        <f>Hybrid[[#This Row],[Degree change]]+Y370</f>
        <v>300.48465331542633</v>
      </c>
    </row>
    <row r="372" spans="1:25">
      <c r="A372">
        <v>371</v>
      </c>
      <c r="B372">
        <v>214.66999799999999</v>
      </c>
      <c r="C372">
        <v>920.67999299999997</v>
      </c>
      <c r="D372">
        <v>17.010000000000002</v>
      </c>
      <c r="E372">
        <v>1191.880005</v>
      </c>
      <c r="F372">
        <v>1967.059937</v>
      </c>
      <c r="G372">
        <v>8.09</v>
      </c>
      <c r="H372" s="1">
        <v>0</v>
      </c>
      <c r="I372" s="1">
        <v>0</v>
      </c>
      <c r="J372" s="1">
        <v>2.0303</v>
      </c>
      <c r="K372" s="1">
        <v>-2.4740000000000001E-3</v>
      </c>
      <c r="L372" s="1">
        <v>4.0920000000000002E-3</v>
      </c>
      <c r="M372" s="1">
        <v>0.51729599999999998</v>
      </c>
      <c r="N372" s="1">
        <v>0.85579300000000003</v>
      </c>
      <c r="O372">
        <v>1</v>
      </c>
      <c r="P372">
        <v>0</v>
      </c>
      <c r="Q372">
        <v>1</v>
      </c>
      <c r="R372">
        <v>1</v>
      </c>
      <c r="S372">
        <v>1</v>
      </c>
      <c r="T372" s="1">
        <f>SQRT(POWER(Hybrid[[#This Row],[angvel_X]],2) + POWER(Hybrid[[#This Row],[angvel_Y]],2) + POWER(Hybrid[[#This Row],[angvel_Z]],2))</f>
        <v>2.0303</v>
      </c>
      <c r="U372">
        <f>DEGREES(ASIN(MAX(-1,MIN(1,2 * (Hybrid[[#This Row],[quart_W]]*Hybrid[[#This Row],[quart_Y]] - Hybrid[[#This Row],[quart_Z]]*Hybrid[[#This Row],[quart_X]])))))</f>
        <v>0.54795026729381724</v>
      </c>
      <c r="V37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27.697120223818686</v>
      </c>
      <c r="W37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90.00005233062852</v>
      </c>
      <c r="X372">
        <f>IF(Hybrid[[#This Row],[Yaw]]&gt;V371,(360-ABS(Hybrid[[#This Row],[Yaw]])-ABS(V371)),ABS(Hybrid[[#This Row],[Yaw]]-V371))</f>
        <v>0.96909735412641496</v>
      </c>
      <c r="Y372">
        <f>Hybrid[[#This Row],[Degree change]]+Y371</f>
        <v>301.45375066955273</v>
      </c>
    </row>
    <row r="373" spans="1:25">
      <c r="A373">
        <v>372</v>
      </c>
      <c r="B373">
        <v>224.62998999999999</v>
      </c>
      <c r="C373">
        <v>937.13000499999998</v>
      </c>
      <c r="D373">
        <v>17.010000000000002</v>
      </c>
      <c r="E373">
        <v>1158.429932</v>
      </c>
      <c r="F373">
        <v>1986.9399410000001</v>
      </c>
      <c r="G373">
        <v>8.09</v>
      </c>
      <c r="H373" s="1">
        <v>0</v>
      </c>
      <c r="I373" s="1">
        <v>0</v>
      </c>
      <c r="J373" s="1">
        <v>2.0303</v>
      </c>
      <c r="K373" s="1">
        <v>-2.506E-3</v>
      </c>
      <c r="L373" s="1">
        <v>4.0699999999999998E-3</v>
      </c>
      <c r="M373" s="1">
        <v>0.52451899999999996</v>
      </c>
      <c r="N373" s="1">
        <v>0.85138499999999995</v>
      </c>
      <c r="O373">
        <v>1</v>
      </c>
      <c r="P373">
        <v>0</v>
      </c>
      <c r="Q373">
        <v>1</v>
      </c>
      <c r="R373">
        <v>1</v>
      </c>
      <c r="S373">
        <v>1</v>
      </c>
      <c r="T373" s="1">
        <f>SQRT(POWER(Hybrid[[#This Row],[angvel_X]],2) + POWER(Hybrid[[#This Row],[angvel_Y]],2) + POWER(Hybrid[[#This Row],[angvel_Z]],2))</f>
        <v>2.0303</v>
      </c>
      <c r="U373">
        <f>DEGREES(ASIN(MAX(-1,MIN(1,2 * (Hybrid[[#This Row],[quart_W]]*Hybrid[[#This Row],[quart_Y]] - Hybrid[[#This Row],[quart_Z]]*Hybrid[[#This Row],[quart_X]])))))</f>
        <v>0.54770804450185318</v>
      </c>
      <c r="V37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26.72746532735593</v>
      </c>
      <c r="W37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89.999860017723051</v>
      </c>
      <c r="X373">
        <f>IF(Hybrid[[#This Row],[Yaw]]&gt;V372,(360-ABS(Hybrid[[#This Row],[Yaw]])-ABS(V372)),ABS(Hybrid[[#This Row],[Yaw]]-V372))</f>
        <v>0.96965489646275671</v>
      </c>
      <c r="Y373">
        <f>Hybrid[[#This Row],[Degree change]]+Y372</f>
        <v>302.4234055660155</v>
      </c>
    </row>
    <row r="374" spans="1:25">
      <c r="A374">
        <v>373</v>
      </c>
      <c r="B374">
        <v>234.30999800000001</v>
      </c>
      <c r="C374">
        <v>953.75</v>
      </c>
      <c r="D374">
        <v>17.010000000000002</v>
      </c>
      <c r="E374">
        <v>1124.650024</v>
      </c>
      <c r="F374">
        <v>2006.26001</v>
      </c>
      <c r="G374">
        <v>8.09</v>
      </c>
      <c r="H374" s="1">
        <v>0</v>
      </c>
      <c r="I374" s="1">
        <v>0</v>
      </c>
      <c r="J374" s="1">
        <v>2.0303</v>
      </c>
      <c r="K374" s="1">
        <v>-2.5379999999999999E-3</v>
      </c>
      <c r="L374" s="1">
        <v>4.0489999999999996E-3</v>
      </c>
      <c r="M374" s="1">
        <v>0.53170499999999998</v>
      </c>
      <c r="N374" s="1">
        <v>0.846916</v>
      </c>
      <c r="O374">
        <v>1</v>
      </c>
      <c r="P374">
        <v>0</v>
      </c>
      <c r="Q374">
        <v>1</v>
      </c>
      <c r="R374">
        <v>1</v>
      </c>
      <c r="S374">
        <v>1</v>
      </c>
      <c r="T374" s="1">
        <f>SQRT(POWER(Hybrid[[#This Row],[angvel_X]],2) + POWER(Hybrid[[#This Row],[angvel_Y]],2) + POWER(Hybrid[[#This Row],[angvel_Z]],2))</f>
        <v>2.0303</v>
      </c>
      <c r="U374">
        <f>DEGREES(ASIN(MAX(-1,MIN(1,2 * (Hybrid[[#This Row],[quart_W]]*Hybrid[[#This Row],[quart_Y]] - Hybrid[[#This Row],[quart_Z]]*Hybrid[[#This Row],[quart_X]])))))</f>
        <v>0.54759901825811064</v>
      </c>
      <c r="V37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25.757725851565141</v>
      </c>
      <c r="W37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89.999610286446469</v>
      </c>
      <c r="X374">
        <f>IF(Hybrid[[#This Row],[Yaw]]&gt;V373,(360-ABS(Hybrid[[#This Row],[Yaw]])-ABS(V373)),ABS(Hybrid[[#This Row],[Yaw]]-V373))</f>
        <v>0.96973947579078867</v>
      </c>
      <c r="Y374">
        <f>Hybrid[[#This Row],[Degree change]]+Y373</f>
        <v>303.39314504180629</v>
      </c>
    </row>
    <row r="375" spans="1:25">
      <c r="A375">
        <v>374</v>
      </c>
      <c r="B375">
        <v>243.709991</v>
      </c>
      <c r="C375">
        <v>970.52996800000005</v>
      </c>
      <c r="D375">
        <v>17.010000000000002</v>
      </c>
      <c r="E375">
        <v>1090.5399170000001</v>
      </c>
      <c r="F375">
        <v>2025</v>
      </c>
      <c r="G375">
        <v>8.09</v>
      </c>
      <c r="H375" s="1">
        <v>0</v>
      </c>
      <c r="I375" s="1">
        <v>0</v>
      </c>
      <c r="J375" s="1">
        <v>2.0303</v>
      </c>
      <c r="K375" s="1">
        <v>-2.5709999999999999E-3</v>
      </c>
      <c r="L375" s="1">
        <v>4.0270000000000002E-3</v>
      </c>
      <c r="M375" s="1">
        <v>0.53884799999999999</v>
      </c>
      <c r="N375" s="1">
        <v>0.84238999999999997</v>
      </c>
      <c r="O375">
        <v>1</v>
      </c>
      <c r="P375">
        <v>0</v>
      </c>
      <c r="Q375">
        <v>1</v>
      </c>
      <c r="R375">
        <v>1</v>
      </c>
      <c r="S375">
        <v>1</v>
      </c>
      <c r="T375" s="1">
        <f>SQRT(POWER(Hybrid[[#This Row],[angvel_X]],2) + POWER(Hybrid[[#This Row],[angvel_Y]],2) + POWER(Hybrid[[#This Row],[angvel_Z]],2))</f>
        <v>2.0303</v>
      </c>
      <c r="U375">
        <f>DEGREES(ASIN(MAX(-1,MIN(1,2 * (Hybrid[[#This Row],[quart_W]]*Hybrid[[#This Row],[quart_Y]] - Hybrid[[#This Row],[quart_Z]]*Hybrid[[#This Row],[quart_X]])))))</f>
        <v>0.54749044513206191</v>
      </c>
      <c r="V37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24.78864399391853</v>
      </c>
      <c r="W37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89.99952371213061</v>
      </c>
      <c r="X375">
        <f>IF(Hybrid[[#This Row],[Yaw]]&gt;V374,(360-ABS(Hybrid[[#This Row],[Yaw]])-ABS(V374)),ABS(Hybrid[[#This Row],[Yaw]]-V374))</f>
        <v>0.9690818576466107</v>
      </c>
      <c r="Y375">
        <f>Hybrid[[#This Row],[Degree change]]+Y374</f>
        <v>304.36222689945288</v>
      </c>
    </row>
    <row r="376" spans="1:25">
      <c r="A376">
        <v>375</v>
      </c>
      <c r="B376">
        <v>252.83000200000001</v>
      </c>
      <c r="C376">
        <v>987.46997099999999</v>
      </c>
      <c r="D376">
        <v>17.010000000000002</v>
      </c>
      <c r="E376">
        <v>1056.119995</v>
      </c>
      <c r="F376">
        <v>2043.1599120000001</v>
      </c>
      <c r="G376">
        <v>8.09</v>
      </c>
      <c r="H376" s="1">
        <v>0</v>
      </c>
      <c r="I376" s="1">
        <v>0</v>
      </c>
      <c r="J376" s="1">
        <v>2.0303</v>
      </c>
      <c r="K376" s="1">
        <v>-2.6029999999999998E-3</v>
      </c>
      <c r="L376" s="1">
        <v>4.006E-3</v>
      </c>
      <c r="M376" s="1">
        <v>0.54595300000000002</v>
      </c>
      <c r="N376" s="1">
        <v>0.83780200000000005</v>
      </c>
      <c r="O376">
        <v>1</v>
      </c>
      <c r="P376">
        <v>0</v>
      </c>
      <c r="Q376">
        <v>1</v>
      </c>
      <c r="R376">
        <v>1</v>
      </c>
      <c r="S376">
        <v>1</v>
      </c>
      <c r="T376" s="1">
        <f>SQRT(POWER(Hybrid[[#This Row],[angvel_X]],2) + POWER(Hybrid[[#This Row],[angvel_Y]],2) + POWER(Hybrid[[#This Row],[angvel_Z]],2))</f>
        <v>2.0303</v>
      </c>
      <c r="U376">
        <f>DEGREES(ASIN(MAX(-1,MIN(1,2 * (Hybrid[[#This Row],[quart_W]]*Hybrid[[#This Row],[quart_Y]] - Hybrid[[#This Row],[quart_Z]]*Hybrid[[#This Row],[quart_X]])))))</f>
        <v>0.54745236840030198</v>
      </c>
      <c r="V37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23.819524221501286</v>
      </c>
      <c r="W37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89.999279287952518</v>
      </c>
      <c r="X376">
        <f>IF(Hybrid[[#This Row],[Yaw]]&gt;V375,(360-ABS(Hybrid[[#This Row],[Yaw]])-ABS(V375)),ABS(Hybrid[[#This Row],[Yaw]]-V375))</f>
        <v>0.96911977241724401</v>
      </c>
      <c r="Y376">
        <f>Hybrid[[#This Row],[Degree change]]+Y375</f>
        <v>305.33134667187011</v>
      </c>
    </row>
    <row r="377" spans="1:25">
      <c r="A377">
        <v>376</v>
      </c>
      <c r="B377">
        <v>261.66000400000001</v>
      </c>
      <c r="C377">
        <v>1004.559998</v>
      </c>
      <c r="D377">
        <v>17.010000000000002</v>
      </c>
      <c r="E377">
        <v>1021.399963</v>
      </c>
      <c r="F377">
        <v>2060.73999</v>
      </c>
      <c r="G377">
        <v>8.09</v>
      </c>
      <c r="H377" s="1">
        <v>0</v>
      </c>
      <c r="I377" s="1">
        <v>0</v>
      </c>
      <c r="J377" s="1">
        <v>2.0303</v>
      </c>
      <c r="K377" s="1">
        <v>-2.6350000000000002E-3</v>
      </c>
      <c r="L377" s="1">
        <v>3.9839999999999997E-3</v>
      </c>
      <c r="M377" s="1">
        <v>0.55301999999999996</v>
      </c>
      <c r="N377" s="1">
        <v>0.83315399999999995</v>
      </c>
      <c r="O377">
        <v>1</v>
      </c>
      <c r="P377">
        <v>0</v>
      </c>
      <c r="Q377">
        <v>1</v>
      </c>
      <c r="R377">
        <v>1</v>
      </c>
      <c r="S377">
        <v>1</v>
      </c>
      <c r="T377" s="1">
        <f>SQRT(POWER(Hybrid[[#This Row],[angvel_X]],2) + POWER(Hybrid[[#This Row],[angvel_Y]],2) + POWER(Hybrid[[#This Row],[angvel_Z]],2))</f>
        <v>2.0303</v>
      </c>
      <c r="U377">
        <f>DEGREES(ASIN(MAX(-1,MIN(1,2 * (Hybrid[[#This Row],[quart_W]]*Hybrid[[#This Row],[quart_Y]] - Hybrid[[#This Row],[quart_Z]]*Hybrid[[#This Row],[quart_X]])))))</f>
        <v>0.54735413202178962</v>
      </c>
      <c r="V37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22.850244424539046</v>
      </c>
      <c r="W37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89.999098021285889</v>
      </c>
      <c r="X377">
        <f>IF(Hybrid[[#This Row],[Yaw]]&gt;V376,(360-ABS(Hybrid[[#This Row],[Yaw]])-ABS(V376)),ABS(Hybrid[[#This Row],[Yaw]]-V376))</f>
        <v>0.96927979696224043</v>
      </c>
      <c r="Y377">
        <f>Hybrid[[#This Row],[Degree change]]+Y376</f>
        <v>306.30062646883232</v>
      </c>
    </row>
    <row r="378" spans="1:25">
      <c r="A378">
        <v>377</v>
      </c>
      <c r="B378">
        <v>270.19998199999998</v>
      </c>
      <c r="C378">
        <v>1021.799988</v>
      </c>
      <c r="D378">
        <v>17.010000000000002</v>
      </c>
      <c r="E378">
        <v>986.38995399999999</v>
      </c>
      <c r="F378">
        <v>2077.7299800000001</v>
      </c>
      <c r="G378">
        <v>8.09</v>
      </c>
      <c r="H378" s="1">
        <v>0</v>
      </c>
      <c r="I378" s="1">
        <v>0</v>
      </c>
      <c r="J378" s="1">
        <v>2.0303</v>
      </c>
      <c r="K378" s="1">
        <v>-2.6679999999999998E-3</v>
      </c>
      <c r="L378" s="1">
        <v>3.9620000000000002E-3</v>
      </c>
      <c r="M378" s="1">
        <v>0.56004900000000002</v>
      </c>
      <c r="N378" s="1">
        <v>0.82844499999999999</v>
      </c>
      <c r="O378">
        <v>1</v>
      </c>
      <c r="P378">
        <v>0</v>
      </c>
      <c r="Q378">
        <v>1</v>
      </c>
      <c r="R378">
        <v>1</v>
      </c>
      <c r="S378">
        <v>1</v>
      </c>
      <c r="T378" s="1">
        <f>SQRT(POWER(Hybrid[[#This Row],[angvel_X]],2) + POWER(Hybrid[[#This Row],[angvel_Y]],2) + POWER(Hybrid[[#This Row],[angvel_Z]],2))</f>
        <v>2.0303</v>
      </c>
      <c r="U378">
        <f>DEGREES(ASIN(MAX(-1,MIN(1,2 * (Hybrid[[#This Row],[quart_W]]*Hybrid[[#This Row],[quart_Y]] - Hybrid[[#This Row],[quart_Z]]*Hybrid[[#This Row],[quart_X]])))))</f>
        <v>0.54735603272411837</v>
      </c>
      <c r="V37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21.880755669337375</v>
      </c>
      <c r="W37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89.999011845875998</v>
      </c>
      <c r="X378">
        <f>IF(Hybrid[[#This Row],[Yaw]]&gt;V377,(360-ABS(Hybrid[[#This Row],[Yaw]])-ABS(V377)),ABS(Hybrid[[#This Row],[Yaw]]-V377))</f>
        <v>0.96948875520167022</v>
      </c>
      <c r="Y378">
        <f>Hybrid[[#This Row],[Degree change]]+Y377</f>
        <v>307.27011522403399</v>
      </c>
    </row>
    <row r="379" spans="1:25">
      <c r="A379">
        <v>378</v>
      </c>
      <c r="B379">
        <v>278.44998199999998</v>
      </c>
      <c r="C379">
        <v>1039.179932</v>
      </c>
      <c r="D379">
        <v>17.010000000000002</v>
      </c>
      <c r="E379">
        <v>951.089966</v>
      </c>
      <c r="F379">
        <v>2094.1198730000001</v>
      </c>
      <c r="G379">
        <v>8.09</v>
      </c>
      <c r="H379" s="1">
        <v>0</v>
      </c>
      <c r="I379" s="1">
        <v>0</v>
      </c>
      <c r="J379" s="1">
        <v>2.0303</v>
      </c>
      <c r="K379" s="1">
        <v>-2.7000000000000001E-3</v>
      </c>
      <c r="L379" s="1">
        <v>3.9410000000000001E-3</v>
      </c>
      <c r="M379" s="1">
        <v>0.56703599999999998</v>
      </c>
      <c r="N379" s="1">
        <v>0.82367900000000005</v>
      </c>
      <c r="O379">
        <v>1</v>
      </c>
      <c r="P379">
        <v>0</v>
      </c>
      <c r="Q379">
        <v>1</v>
      </c>
      <c r="R379">
        <v>1</v>
      </c>
      <c r="S379">
        <v>1</v>
      </c>
      <c r="T379" s="1">
        <f>SQRT(POWER(Hybrid[[#This Row],[angvel_X]],2) + POWER(Hybrid[[#This Row],[angvel_Y]],2) + POWER(Hybrid[[#This Row],[angvel_Z]],2))</f>
        <v>2.0303</v>
      </c>
      <c r="U379">
        <f>DEGREES(ASIN(MAX(-1,MIN(1,2 * (Hybrid[[#This Row],[quart_W]]*Hybrid[[#This Row],[quart_Y]] - Hybrid[[#This Row],[quart_Z]]*Hybrid[[#This Row],[quart_X]])))))</f>
        <v>0.54742551470535661</v>
      </c>
      <c r="V37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20.911508450778872</v>
      </c>
      <c r="W37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89.998767445520699</v>
      </c>
      <c r="X379">
        <f>IF(Hybrid[[#This Row],[Yaw]]&gt;V378,(360-ABS(Hybrid[[#This Row],[Yaw]])-ABS(V378)),ABS(Hybrid[[#This Row],[Yaw]]-V378))</f>
        <v>0.96924721855850393</v>
      </c>
      <c r="Y379">
        <f>Hybrid[[#This Row],[Degree change]]+Y378</f>
        <v>308.23936244259249</v>
      </c>
    </row>
    <row r="380" spans="1:25">
      <c r="A380">
        <v>379</v>
      </c>
      <c r="B380">
        <v>286.39999399999999</v>
      </c>
      <c r="C380">
        <v>1056.6999510000001</v>
      </c>
      <c r="D380">
        <v>17.010000000000002</v>
      </c>
      <c r="E380">
        <v>915.52996800000005</v>
      </c>
      <c r="F380">
        <v>2109.9099120000001</v>
      </c>
      <c r="G380">
        <v>8.09</v>
      </c>
      <c r="H380" s="1">
        <v>0</v>
      </c>
      <c r="I380" s="1">
        <v>0</v>
      </c>
      <c r="J380" s="1">
        <v>2.0303</v>
      </c>
      <c r="K380" s="1">
        <v>-2.7320000000000001E-3</v>
      </c>
      <c r="L380" s="1">
        <v>3.9189999999999997E-3</v>
      </c>
      <c r="M380" s="1">
        <v>0.57398400000000005</v>
      </c>
      <c r="N380" s="1">
        <v>0.81885200000000002</v>
      </c>
      <c r="O380">
        <v>1</v>
      </c>
      <c r="P380">
        <v>0</v>
      </c>
      <c r="Q380">
        <v>1</v>
      </c>
      <c r="R380">
        <v>1</v>
      </c>
      <c r="S380">
        <v>1</v>
      </c>
      <c r="T380" s="1">
        <f>SQRT(POWER(Hybrid[[#This Row],[angvel_X]],2) + POWER(Hybrid[[#This Row],[angvel_Y]],2) + POWER(Hybrid[[#This Row],[angvel_Z]],2))</f>
        <v>2.0303</v>
      </c>
      <c r="U380">
        <f>DEGREES(ASIN(MAX(-1,MIN(1,2 * (Hybrid[[#This Row],[quart_W]]*Hybrid[[#This Row],[quart_Y]] - Hybrid[[#This Row],[quart_Z]]*Hybrid[[#This Row],[quart_X]])))))</f>
        <v>0.54743572951939401</v>
      </c>
      <c r="V38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19.942065421167825</v>
      </c>
      <c r="W38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89.998585917786144</v>
      </c>
      <c r="X380">
        <f>IF(Hybrid[[#This Row],[Yaw]]&gt;V379,(360-ABS(Hybrid[[#This Row],[Yaw]])-ABS(V379)),ABS(Hybrid[[#This Row],[Yaw]]-V379))</f>
        <v>0.96944302961104611</v>
      </c>
      <c r="Y380">
        <f>Hybrid[[#This Row],[Degree change]]+Y379</f>
        <v>309.20880547220355</v>
      </c>
    </row>
    <row r="381" spans="1:25">
      <c r="A381">
        <v>380</v>
      </c>
      <c r="B381">
        <v>294.04998799999998</v>
      </c>
      <c r="C381">
        <v>1074.349976</v>
      </c>
      <c r="D381">
        <v>17.010000000000002</v>
      </c>
      <c r="E381">
        <v>879.69995100000006</v>
      </c>
      <c r="F381">
        <v>2125.0998540000001</v>
      </c>
      <c r="G381">
        <v>8.09</v>
      </c>
      <c r="H381" s="1">
        <v>0</v>
      </c>
      <c r="I381" s="1">
        <v>0</v>
      </c>
      <c r="J381" s="1">
        <v>2.0303</v>
      </c>
      <c r="K381" s="1">
        <v>-2.7650000000000001E-3</v>
      </c>
      <c r="L381" s="1">
        <v>3.898E-3</v>
      </c>
      <c r="M381" s="1">
        <v>0.58089000000000002</v>
      </c>
      <c r="N381" s="1">
        <v>0.81396800000000002</v>
      </c>
      <c r="O381">
        <v>1</v>
      </c>
      <c r="P381">
        <v>0</v>
      </c>
      <c r="Q381">
        <v>1</v>
      </c>
      <c r="R381">
        <v>1</v>
      </c>
      <c r="S381">
        <v>1</v>
      </c>
      <c r="T381" s="1">
        <f>SQRT(POWER(Hybrid[[#This Row],[angvel_X]],2) + POWER(Hybrid[[#This Row],[angvel_Y]],2) + POWER(Hybrid[[#This Row],[angvel_Z]],2))</f>
        <v>2.0303</v>
      </c>
      <c r="U381">
        <f>DEGREES(ASIN(MAX(-1,MIN(1,2 * (Hybrid[[#This Row],[quart_W]]*Hybrid[[#This Row],[quart_Y]] - Hybrid[[#This Row],[quart_Z]]*Hybrid[[#This Row],[quart_X]])))))</f>
        <v>0.54764232897015752</v>
      </c>
      <c r="V38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18.972729702214778</v>
      </c>
      <c r="W38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89.998431433466962</v>
      </c>
      <c r="X381">
        <f>IF(Hybrid[[#This Row],[Yaw]]&gt;V380,(360-ABS(Hybrid[[#This Row],[Yaw]])-ABS(V380)),ABS(Hybrid[[#This Row],[Yaw]]-V380))</f>
        <v>0.96933571895304738</v>
      </c>
      <c r="Y381">
        <f>Hybrid[[#This Row],[Degree change]]+Y380</f>
        <v>310.17814119115661</v>
      </c>
    </row>
    <row r="382" spans="1:25">
      <c r="A382">
        <v>381</v>
      </c>
      <c r="B382">
        <v>301.39999399999999</v>
      </c>
      <c r="C382">
        <v>1092.119995</v>
      </c>
      <c r="D382">
        <v>17.010000000000002</v>
      </c>
      <c r="E382">
        <v>843.61999500000002</v>
      </c>
      <c r="F382">
        <v>2139.679932</v>
      </c>
      <c r="G382">
        <v>8.09</v>
      </c>
      <c r="H382" s="1">
        <v>0</v>
      </c>
      <c r="I382" s="1">
        <v>0</v>
      </c>
      <c r="J382" s="1">
        <v>2.0303</v>
      </c>
      <c r="K382" s="1">
        <v>-2.797E-3</v>
      </c>
      <c r="L382" s="1">
        <v>3.8760000000000001E-3</v>
      </c>
      <c r="M382" s="1">
        <v>0.58775200000000005</v>
      </c>
      <c r="N382" s="1">
        <v>0.80902700000000005</v>
      </c>
      <c r="O382">
        <v>1</v>
      </c>
      <c r="P382">
        <v>0</v>
      </c>
      <c r="Q382">
        <v>1</v>
      </c>
      <c r="R382">
        <v>1</v>
      </c>
      <c r="S382">
        <v>1</v>
      </c>
      <c r="T382" s="1">
        <f>SQRT(POWER(Hybrid[[#This Row],[angvel_X]],2) + POWER(Hybrid[[#This Row],[angvel_Y]],2) + POWER(Hybrid[[#This Row],[angvel_Z]],2))</f>
        <v>2.0303</v>
      </c>
      <c r="U382">
        <f>DEGREES(ASIN(MAX(-1,MIN(1,2 * (Hybrid[[#This Row],[quart_W]]*Hybrid[[#This Row],[quart_Y]] - Hybrid[[#This Row],[quart_Z]]*Hybrid[[#This Row],[quart_X]])))))</f>
        <v>0.54772516893013856</v>
      </c>
      <c r="V38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18.00375120776766</v>
      </c>
      <c r="W38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89.998249163460642</v>
      </c>
      <c r="X382">
        <f>IF(Hybrid[[#This Row],[Yaw]]&gt;V381,(360-ABS(Hybrid[[#This Row],[Yaw]])-ABS(V381)),ABS(Hybrid[[#This Row],[Yaw]]-V381))</f>
        <v>0.96897849444711781</v>
      </c>
      <c r="Y382">
        <f>Hybrid[[#This Row],[Degree change]]+Y381</f>
        <v>311.14711968560374</v>
      </c>
    </row>
    <row r="383" spans="1:25">
      <c r="A383">
        <v>382</v>
      </c>
      <c r="B383">
        <v>308.44998199999998</v>
      </c>
      <c r="C383">
        <v>1110.0200199999999</v>
      </c>
      <c r="D383">
        <v>17.010000000000002</v>
      </c>
      <c r="E383">
        <v>807.29998799999998</v>
      </c>
      <c r="F383">
        <v>2153.639893</v>
      </c>
      <c r="G383">
        <v>8.09</v>
      </c>
      <c r="H383" s="1">
        <v>0</v>
      </c>
      <c r="I383" s="1">
        <v>-1E-4</v>
      </c>
      <c r="J383" s="1">
        <v>2.0303</v>
      </c>
      <c r="K383" s="1">
        <v>-2.8300000000000001E-3</v>
      </c>
      <c r="L383" s="1">
        <v>3.8549999999999999E-3</v>
      </c>
      <c r="M383" s="1">
        <v>0.59457599999999999</v>
      </c>
      <c r="N383" s="1">
        <v>0.80402499999999999</v>
      </c>
      <c r="O383">
        <v>1</v>
      </c>
      <c r="P383">
        <v>0</v>
      </c>
      <c r="Q383">
        <v>1</v>
      </c>
      <c r="R383">
        <v>1</v>
      </c>
      <c r="S383">
        <v>1</v>
      </c>
      <c r="T383" s="1">
        <f>SQRT(POWER(Hybrid[[#This Row],[angvel_X]],2) + POWER(Hybrid[[#This Row],[angvel_Y]],2) + POWER(Hybrid[[#This Row],[angvel_Z]],2))</f>
        <v>2.03030000246269</v>
      </c>
      <c r="U383">
        <f>DEGREES(ASIN(MAX(-1,MIN(1,2 * (Hybrid[[#This Row],[quart_W]]*Hybrid[[#This Row],[quart_Y]] - Hybrid[[#This Row],[quart_Z]]*Hybrid[[#This Row],[quart_X]])))))</f>
        <v>0.54800426473303299</v>
      </c>
      <c r="V38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17.034201685050871</v>
      </c>
      <c r="W38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89.998086264370727</v>
      </c>
      <c r="X383">
        <f>IF(Hybrid[[#This Row],[Yaw]]&gt;V382,(360-ABS(Hybrid[[#This Row],[Yaw]])-ABS(V382)),ABS(Hybrid[[#This Row],[Yaw]]-V382))</f>
        <v>0.96954952271678962</v>
      </c>
      <c r="Y383">
        <f>Hybrid[[#This Row],[Degree change]]+Y382</f>
        <v>312.11666920832056</v>
      </c>
    </row>
    <row r="384" spans="1:25">
      <c r="A384">
        <v>383</v>
      </c>
      <c r="B384">
        <v>315.19998199999998</v>
      </c>
      <c r="C384">
        <v>1128.030029</v>
      </c>
      <c r="D384">
        <v>17.010000000000002</v>
      </c>
      <c r="E384">
        <v>770.75</v>
      </c>
      <c r="F384">
        <v>2166.98999</v>
      </c>
      <c r="G384">
        <v>8.09</v>
      </c>
      <c r="H384" s="1">
        <v>0</v>
      </c>
      <c r="I384" s="1">
        <v>-2.0000000000000001E-4</v>
      </c>
      <c r="J384" s="1">
        <v>2.0303</v>
      </c>
      <c r="K384" s="1">
        <v>-2.862E-3</v>
      </c>
      <c r="L384" s="1">
        <v>3.8279999999999998E-3</v>
      </c>
      <c r="M384" s="1">
        <v>0.60135799999999995</v>
      </c>
      <c r="N384" s="1">
        <v>0.79896599999999995</v>
      </c>
      <c r="O384">
        <v>1</v>
      </c>
      <c r="P384">
        <v>0</v>
      </c>
      <c r="Q384">
        <v>1</v>
      </c>
      <c r="R384">
        <v>1</v>
      </c>
      <c r="S384">
        <v>1</v>
      </c>
      <c r="T384" s="1">
        <f>SQRT(POWER(Hybrid[[#This Row],[angvel_X]],2) + POWER(Hybrid[[#This Row],[angvel_Y]],2) + POWER(Hybrid[[#This Row],[angvel_Z]],2))</f>
        <v>2.0303000098507606</v>
      </c>
      <c r="U384">
        <f>DEGREES(ASIN(MAX(-1,MIN(1,2 * (Hybrid[[#This Row],[quart_W]]*Hybrid[[#This Row],[quart_Y]] - Hybrid[[#This Row],[quart_Z]]*Hybrid[[#This Row],[quart_X]])))))</f>
        <v>0.54770195712010938</v>
      </c>
      <c r="V38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16.064556442669758</v>
      </c>
      <c r="W38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89.998240053136897</v>
      </c>
      <c r="X384">
        <f>IF(Hybrid[[#This Row],[Yaw]]&gt;V383,(360-ABS(Hybrid[[#This Row],[Yaw]])-ABS(V383)),ABS(Hybrid[[#This Row],[Yaw]]-V383))</f>
        <v>0.96964524238111238</v>
      </c>
      <c r="Y384">
        <f>Hybrid[[#This Row],[Degree change]]+Y383</f>
        <v>313.08631445070165</v>
      </c>
    </row>
    <row r="385" spans="1:25">
      <c r="A385">
        <v>384</v>
      </c>
      <c r="B385">
        <v>321.63998400000003</v>
      </c>
      <c r="C385">
        <v>1146.150024</v>
      </c>
      <c r="D385">
        <v>17.010000000000002</v>
      </c>
      <c r="E385">
        <v>733.97997999999995</v>
      </c>
      <c r="F385">
        <v>2179.719971</v>
      </c>
      <c r="G385">
        <v>8.09</v>
      </c>
      <c r="H385" s="1">
        <v>0</v>
      </c>
      <c r="I385" s="1">
        <v>-2.0000000000000001E-4</v>
      </c>
      <c r="J385" s="1">
        <v>2.0303</v>
      </c>
      <c r="K385" s="1">
        <v>-2.8939999999999999E-3</v>
      </c>
      <c r="L385" s="1">
        <v>3.8010000000000001E-3</v>
      </c>
      <c r="M385" s="1">
        <v>0.60809599999999997</v>
      </c>
      <c r="N385" s="1">
        <v>0.79384900000000003</v>
      </c>
      <c r="O385">
        <v>1</v>
      </c>
      <c r="P385">
        <v>0</v>
      </c>
      <c r="Q385">
        <v>1</v>
      </c>
      <c r="R385">
        <v>1</v>
      </c>
      <c r="S385">
        <v>1</v>
      </c>
      <c r="T385" s="1">
        <f>SQRT(POWER(Hybrid[[#This Row],[angvel_X]],2) + POWER(Hybrid[[#This Row],[angvel_Y]],2) + POWER(Hybrid[[#This Row],[angvel_Z]],2))</f>
        <v>2.0303000098507606</v>
      </c>
      <c r="U385">
        <f>DEGREES(ASIN(MAX(-1,MIN(1,2 * (Hybrid[[#This Row],[quart_W]]*Hybrid[[#This Row],[quart_Y]] - Hybrid[[#This Row],[quart_Z]]*Hybrid[[#This Row],[quart_X]])))))</f>
        <v>0.54744084019242778</v>
      </c>
      <c r="V38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15.095076261159694</v>
      </c>
      <c r="W38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89.998398637064369</v>
      </c>
      <c r="X385">
        <f>IF(Hybrid[[#This Row],[Yaw]]&gt;V384,(360-ABS(Hybrid[[#This Row],[Yaw]])-ABS(V384)),ABS(Hybrid[[#This Row],[Yaw]]-V384))</f>
        <v>0.96948018151006465</v>
      </c>
      <c r="Y385">
        <f>Hybrid[[#This Row],[Degree change]]+Y384</f>
        <v>314.0557946322117</v>
      </c>
    </row>
    <row r="386" spans="1:25">
      <c r="A386">
        <v>385</v>
      </c>
      <c r="B386">
        <v>327.76998900000001</v>
      </c>
      <c r="C386">
        <v>1164.380005</v>
      </c>
      <c r="D386">
        <v>17.010000000000002</v>
      </c>
      <c r="E386">
        <v>697</v>
      </c>
      <c r="F386">
        <v>2191.8298340000001</v>
      </c>
      <c r="G386">
        <v>8.09</v>
      </c>
      <c r="H386" s="1">
        <v>0</v>
      </c>
      <c r="I386" s="1">
        <v>-2.0000000000000001E-4</v>
      </c>
      <c r="J386" s="1">
        <v>2.0303</v>
      </c>
      <c r="K386" s="1">
        <v>-2.9269999999999999E-3</v>
      </c>
      <c r="L386" s="1">
        <v>3.774E-3</v>
      </c>
      <c r="M386" s="1">
        <v>0.61479099999999998</v>
      </c>
      <c r="N386" s="1">
        <v>0.78867600000000004</v>
      </c>
      <c r="O386">
        <v>1</v>
      </c>
      <c r="P386">
        <v>0</v>
      </c>
      <c r="Q386">
        <v>1</v>
      </c>
      <c r="R386">
        <v>1</v>
      </c>
      <c r="S386">
        <v>1</v>
      </c>
      <c r="T386" s="1">
        <f>SQRT(POWER(Hybrid[[#This Row],[angvel_X]],2) + POWER(Hybrid[[#This Row],[angvel_Y]],2) + POWER(Hybrid[[#This Row],[angvel_Z]],2))</f>
        <v>2.0303000098507606</v>
      </c>
      <c r="U386">
        <f>DEGREES(ASIN(MAX(-1,MIN(1,2 * (Hybrid[[#This Row],[quart_W]]*Hybrid[[#This Row],[quart_Y]] - Hybrid[[#This Row],[quart_Z]]*Hybrid[[#This Row],[quart_X]])))))</f>
        <v>0.54729262162307013</v>
      </c>
      <c r="V38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14.125496945849539</v>
      </c>
      <c r="W38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89.998651587508789</v>
      </c>
      <c r="X386">
        <f>IF(Hybrid[[#This Row],[Yaw]]&gt;V385,(360-ABS(Hybrid[[#This Row],[Yaw]])-ABS(V385)),ABS(Hybrid[[#This Row],[Yaw]]-V385))</f>
        <v>0.9695793153101544</v>
      </c>
      <c r="Y386">
        <f>Hybrid[[#This Row],[Degree change]]+Y385</f>
        <v>315.02537394752187</v>
      </c>
    </row>
    <row r="387" spans="1:25">
      <c r="A387">
        <v>386</v>
      </c>
      <c r="B387">
        <v>333.60000600000001</v>
      </c>
      <c r="C387">
        <v>1182.709961</v>
      </c>
      <c r="D387">
        <v>17.010000000000002</v>
      </c>
      <c r="E387">
        <v>659.80999799999995</v>
      </c>
      <c r="F387">
        <v>2203.3000489999999</v>
      </c>
      <c r="G387">
        <v>8.09</v>
      </c>
      <c r="H387" s="1">
        <v>-1E-4</v>
      </c>
      <c r="I387" s="1">
        <v>-2.0000000000000001E-4</v>
      </c>
      <c r="J387" s="1">
        <v>2.0303</v>
      </c>
      <c r="K387" s="1">
        <v>-2.9589999999999998E-3</v>
      </c>
      <c r="L387" s="1">
        <v>3.7469999999999999E-3</v>
      </c>
      <c r="M387" s="1">
        <v>0.62144200000000005</v>
      </c>
      <c r="N387" s="1">
        <v>0.78344499999999995</v>
      </c>
      <c r="O387">
        <v>1</v>
      </c>
      <c r="P387">
        <v>0</v>
      </c>
      <c r="Q387">
        <v>1</v>
      </c>
      <c r="R387">
        <v>1</v>
      </c>
      <c r="S387">
        <v>1</v>
      </c>
      <c r="T387" s="1">
        <f>SQRT(POWER(Hybrid[[#This Row],[angvel_X]],2) + POWER(Hybrid[[#This Row],[angvel_Y]],2) + POWER(Hybrid[[#This Row],[angvel_Z]],2))</f>
        <v>2.0303000123134511</v>
      </c>
      <c r="U387">
        <f>DEGREES(ASIN(MAX(-1,MIN(1,2 * (Hybrid[[#This Row],[quart_W]]*Hybrid[[#This Row],[quart_Y]] - Hybrid[[#This Row],[quart_Z]]*Hybrid[[#This Row],[quart_X]])))))</f>
        <v>0.54711600643271341</v>
      </c>
      <c r="V38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13.155941261008897</v>
      </c>
      <c r="W38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89.998816281805787</v>
      </c>
      <c r="X387">
        <f>IF(Hybrid[[#This Row],[Yaw]]&gt;V386,(360-ABS(Hybrid[[#This Row],[Yaw]])-ABS(V386)),ABS(Hybrid[[#This Row],[Yaw]]-V386))</f>
        <v>0.96955568484064258</v>
      </c>
      <c r="Y387">
        <f>Hybrid[[#This Row],[Degree change]]+Y386</f>
        <v>315.99492963236253</v>
      </c>
    </row>
    <row r="388" spans="1:25">
      <c r="A388">
        <v>387</v>
      </c>
      <c r="B388">
        <v>339.10998499999999</v>
      </c>
      <c r="C388">
        <v>1201.1400149999999</v>
      </c>
      <c r="D388">
        <v>17.010000000000002</v>
      </c>
      <c r="E388">
        <v>622.44000200000005</v>
      </c>
      <c r="F388">
        <v>2214.1499020000001</v>
      </c>
      <c r="G388">
        <v>8.09</v>
      </c>
      <c r="H388" s="1">
        <v>-1E-4</v>
      </c>
      <c r="I388" s="1">
        <v>-2.0000000000000001E-4</v>
      </c>
      <c r="J388" s="1">
        <v>2.0303</v>
      </c>
      <c r="K388" s="1">
        <v>-2.9910000000000002E-3</v>
      </c>
      <c r="L388" s="1">
        <v>3.7200000000000002E-3</v>
      </c>
      <c r="M388" s="1">
        <v>0.62804599999999999</v>
      </c>
      <c r="N388" s="1">
        <v>0.77816200000000002</v>
      </c>
      <c r="O388">
        <v>1</v>
      </c>
      <c r="P388">
        <v>0</v>
      </c>
      <c r="Q388">
        <v>1</v>
      </c>
      <c r="R388">
        <v>1</v>
      </c>
      <c r="S388">
        <v>1</v>
      </c>
      <c r="T388" s="1">
        <f>SQRT(POWER(Hybrid[[#This Row],[angvel_X]],2) + POWER(Hybrid[[#This Row],[angvel_Y]],2) + POWER(Hybrid[[#This Row],[angvel_Z]],2))</f>
        <v>2.0303000123134511</v>
      </c>
      <c r="U388">
        <f>DEGREES(ASIN(MAX(-1,MIN(1,2 * (Hybrid[[#This Row],[quart_W]]*Hybrid[[#This Row],[quart_Y]] - Hybrid[[#This Row],[quart_Z]]*Hybrid[[#This Row],[quart_X]])))))</f>
        <v>0.54698226430973251</v>
      </c>
      <c r="V38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12.186721806359875</v>
      </c>
      <c r="W38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89.99898598144415</v>
      </c>
      <c r="X388">
        <f>IF(Hybrid[[#This Row],[Yaw]]&gt;V387,(360-ABS(Hybrid[[#This Row],[Yaw]])-ABS(V387)),ABS(Hybrid[[#This Row],[Yaw]]-V387))</f>
        <v>0.96921945464902137</v>
      </c>
      <c r="Y388">
        <f>Hybrid[[#This Row],[Degree change]]+Y387</f>
        <v>316.96414908701155</v>
      </c>
    </row>
    <row r="389" spans="1:25">
      <c r="A389">
        <v>388</v>
      </c>
      <c r="B389">
        <v>344.30999800000001</v>
      </c>
      <c r="C389">
        <v>1219.6599120000001</v>
      </c>
      <c r="D389">
        <v>17.010000000000002</v>
      </c>
      <c r="E389">
        <v>584.89001499999995</v>
      </c>
      <c r="F389">
        <v>2224.3698730000001</v>
      </c>
      <c r="G389">
        <v>8.09</v>
      </c>
      <c r="H389" s="1">
        <v>-1E-4</v>
      </c>
      <c r="I389" s="1">
        <v>-1E-4</v>
      </c>
      <c r="J389" s="1">
        <v>2.0303</v>
      </c>
      <c r="K389" s="1">
        <v>-3.0240000000000002E-3</v>
      </c>
      <c r="L389" s="1">
        <v>3.6930000000000001E-3</v>
      </c>
      <c r="M389" s="1">
        <v>0.634606</v>
      </c>
      <c r="N389" s="1">
        <v>0.77282099999999998</v>
      </c>
      <c r="O389">
        <v>1</v>
      </c>
      <c r="P389">
        <v>0</v>
      </c>
      <c r="Q389">
        <v>1</v>
      </c>
      <c r="R389">
        <v>1</v>
      </c>
      <c r="S389">
        <v>1</v>
      </c>
      <c r="T389" s="1">
        <f>SQRT(POWER(Hybrid[[#This Row],[angvel_X]],2) + POWER(Hybrid[[#This Row],[angvel_Y]],2) + POWER(Hybrid[[#This Row],[angvel_Z]],2))</f>
        <v>2.0303000049253805</v>
      </c>
      <c r="U389">
        <f>DEGREES(ASIN(MAX(-1,MIN(1,2 * (Hybrid[[#This Row],[quart_W]]*Hybrid[[#This Row],[quart_Y]] - Hybrid[[#This Row],[quart_Z]]*Hybrid[[#This Row],[quart_X]])))))</f>
        <v>0.54696258471914871</v>
      </c>
      <c r="V38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11.217389116088126</v>
      </c>
      <c r="W38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89.999244892704411</v>
      </c>
      <c r="X389">
        <f>IF(Hybrid[[#This Row],[Yaw]]&gt;V388,(360-ABS(Hybrid[[#This Row],[Yaw]])-ABS(V388)),ABS(Hybrid[[#This Row],[Yaw]]-V388))</f>
        <v>0.96933269027174873</v>
      </c>
      <c r="Y389">
        <f>Hybrid[[#This Row],[Degree change]]+Y388</f>
        <v>317.9334817772833</v>
      </c>
    </row>
    <row r="390" spans="1:25">
      <c r="A390">
        <v>389</v>
      </c>
      <c r="B390">
        <v>349.19998199999998</v>
      </c>
      <c r="C390">
        <v>1238.26001</v>
      </c>
      <c r="D390">
        <v>17.010000000000002</v>
      </c>
      <c r="E390">
        <v>547.169983</v>
      </c>
      <c r="F390">
        <v>2233.9499510000001</v>
      </c>
      <c r="G390">
        <v>8.09</v>
      </c>
      <c r="H390" s="1">
        <v>-1E-4</v>
      </c>
      <c r="I390" s="1">
        <v>-1E-4</v>
      </c>
      <c r="J390" s="1">
        <v>2.0303</v>
      </c>
      <c r="K390" s="1">
        <v>-3.0560000000000001E-3</v>
      </c>
      <c r="L390" s="1">
        <v>3.666E-3</v>
      </c>
      <c r="M390" s="1">
        <v>0.641123</v>
      </c>
      <c r="N390" s="1">
        <v>0.76742299999999997</v>
      </c>
      <c r="O390">
        <v>1</v>
      </c>
      <c r="P390">
        <v>0</v>
      </c>
      <c r="Q390">
        <v>1</v>
      </c>
      <c r="R390">
        <v>1</v>
      </c>
      <c r="S390">
        <v>1</v>
      </c>
      <c r="T390" s="1">
        <f>SQRT(POWER(Hybrid[[#This Row],[angvel_X]],2) + POWER(Hybrid[[#This Row],[angvel_Y]],2) + POWER(Hybrid[[#This Row],[angvel_Z]],2))</f>
        <v>2.0303000049253805</v>
      </c>
      <c r="U390">
        <f>DEGREES(ASIN(MAX(-1,MIN(1,2 * (Hybrid[[#This Row],[quart_W]]*Hybrid[[#This Row],[quart_Y]] - Hybrid[[#This Row],[quart_Z]]*Hybrid[[#This Row],[quart_X]])))))</f>
        <v>0.54691309140114264</v>
      </c>
      <c r="V39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10.247691104367961</v>
      </c>
      <c r="W39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89.999414154904656</v>
      </c>
      <c r="X390">
        <f>IF(Hybrid[[#This Row],[Yaw]]&gt;V389,(360-ABS(Hybrid[[#This Row],[Yaw]])-ABS(V389)),ABS(Hybrid[[#This Row],[Yaw]]-V389))</f>
        <v>0.96969801172016545</v>
      </c>
      <c r="Y390">
        <f>Hybrid[[#This Row],[Degree change]]+Y389</f>
        <v>318.90317978900345</v>
      </c>
    </row>
    <row r="391" spans="1:25">
      <c r="A391">
        <v>390</v>
      </c>
      <c r="B391">
        <v>353.76998900000001</v>
      </c>
      <c r="C391">
        <v>1256.9399410000001</v>
      </c>
      <c r="D391">
        <v>17.010000000000002</v>
      </c>
      <c r="E391">
        <v>509.28997800000002</v>
      </c>
      <c r="F391">
        <v>2242.8798830000001</v>
      </c>
      <c r="G391">
        <v>8.09</v>
      </c>
      <c r="H391" s="1">
        <v>-1E-4</v>
      </c>
      <c r="I391" s="1">
        <v>0</v>
      </c>
      <c r="J391" s="1">
        <v>2.0303</v>
      </c>
      <c r="K391" s="1">
        <v>-3.0890000000000002E-3</v>
      </c>
      <c r="L391" s="1">
        <v>3.6389999999999999E-3</v>
      </c>
      <c r="M391" s="1">
        <v>0.64759100000000003</v>
      </c>
      <c r="N391" s="1">
        <v>0.76197300000000001</v>
      </c>
      <c r="O391">
        <v>1</v>
      </c>
      <c r="P391">
        <v>0</v>
      </c>
      <c r="Q391">
        <v>1</v>
      </c>
      <c r="R391">
        <v>1</v>
      </c>
      <c r="S391">
        <v>1</v>
      </c>
      <c r="T391" s="1">
        <f>SQRT(POWER(Hybrid[[#This Row],[angvel_X]],2) + POWER(Hybrid[[#This Row],[angvel_Y]],2) + POWER(Hybrid[[#This Row],[angvel_Z]],2))</f>
        <v>2.03030000246269</v>
      </c>
      <c r="U391">
        <f>DEGREES(ASIN(MAX(-1,MIN(1,2 * (Hybrid[[#This Row],[quart_W]]*Hybrid[[#This Row],[quart_Y]] - Hybrid[[#This Row],[quart_Z]]*Hybrid[[#This Row],[quart_X]])))))</f>
        <v>0.54697998612572518</v>
      </c>
      <c r="V39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9.2784532519632599</v>
      </c>
      <c r="W39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89.999673507811835</v>
      </c>
      <c r="X391">
        <f>IF(Hybrid[[#This Row],[Yaw]]&gt;V390,(360-ABS(Hybrid[[#This Row],[Yaw]])-ABS(V390)),ABS(Hybrid[[#This Row],[Yaw]]-V390))</f>
        <v>0.96923785240470117</v>
      </c>
      <c r="Y391">
        <f>Hybrid[[#This Row],[Degree change]]+Y390</f>
        <v>319.87241764140816</v>
      </c>
    </row>
    <row r="392" spans="1:25">
      <c r="A392">
        <v>391</v>
      </c>
      <c r="B392">
        <v>358.02999899999998</v>
      </c>
      <c r="C392">
        <v>1275.6999510000001</v>
      </c>
      <c r="D392">
        <v>17.010000000000002</v>
      </c>
      <c r="E392">
        <v>471.26998900000001</v>
      </c>
      <c r="F392">
        <v>2251.179932</v>
      </c>
      <c r="G392">
        <v>8.09</v>
      </c>
      <c r="H392" s="1">
        <v>-1E-4</v>
      </c>
      <c r="I392" s="1">
        <v>0</v>
      </c>
      <c r="J392" s="1">
        <v>2.0303</v>
      </c>
      <c r="K392" s="1">
        <v>-3.1210000000000001E-3</v>
      </c>
      <c r="L392" s="1">
        <v>3.6120000000000002E-3</v>
      </c>
      <c r="M392" s="1">
        <v>0.65401600000000004</v>
      </c>
      <c r="N392" s="1">
        <v>0.75646500000000005</v>
      </c>
      <c r="O392">
        <v>1</v>
      </c>
      <c r="P392">
        <v>0</v>
      </c>
      <c r="Q392">
        <v>1</v>
      </c>
      <c r="R392">
        <v>1</v>
      </c>
      <c r="S392">
        <v>1</v>
      </c>
      <c r="T392" s="1">
        <f>SQRT(POWER(Hybrid[[#This Row],[angvel_X]],2) + POWER(Hybrid[[#This Row],[angvel_Y]],2) + POWER(Hybrid[[#This Row],[angvel_Z]],2))</f>
        <v>2.03030000246269</v>
      </c>
      <c r="U392">
        <f>DEGREES(ASIN(MAX(-1,MIN(1,2 * (Hybrid[[#This Row],[quart_W]]*Hybrid[[#This Row],[quart_Y]] - Hybrid[[#This Row],[quart_Z]]*Hybrid[[#This Row],[quart_X]])))))</f>
        <v>0.5470151868190557</v>
      </c>
      <c r="V39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8.3087177096581311</v>
      </c>
      <c r="W39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89.999842025242316</v>
      </c>
      <c r="X392">
        <f>IF(Hybrid[[#This Row],[Yaw]]&gt;V391,(360-ABS(Hybrid[[#This Row],[Yaw]])-ABS(V391)),ABS(Hybrid[[#This Row],[Yaw]]-V391))</f>
        <v>0.96973554230512882</v>
      </c>
      <c r="Y392">
        <f>Hybrid[[#This Row],[Degree change]]+Y391</f>
        <v>320.84215318371326</v>
      </c>
    </row>
    <row r="393" spans="1:25">
      <c r="A393">
        <v>392</v>
      </c>
      <c r="B393">
        <v>361.97000100000002</v>
      </c>
      <c r="C393">
        <v>1294.530029</v>
      </c>
      <c r="D393">
        <v>17.010000000000002</v>
      </c>
      <c r="E393">
        <v>433.10998499999999</v>
      </c>
      <c r="F393">
        <v>2258.8298340000001</v>
      </c>
      <c r="G393">
        <v>8.09</v>
      </c>
      <c r="H393" s="1">
        <v>-1E-4</v>
      </c>
      <c r="I393" s="1">
        <v>0</v>
      </c>
      <c r="J393" s="1">
        <v>2.0303</v>
      </c>
      <c r="K393" s="1">
        <v>-3.153E-3</v>
      </c>
      <c r="L393" s="1">
        <v>3.5850000000000001E-3</v>
      </c>
      <c r="M393" s="1">
        <v>0.66039300000000001</v>
      </c>
      <c r="N393" s="1">
        <v>0.75090500000000004</v>
      </c>
      <c r="O393">
        <v>1</v>
      </c>
      <c r="P393">
        <v>0</v>
      </c>
      <c r="Q393">
        <v>1</v>
      </c>
      <c r="R393">
        <v>1</v>
      </c>
      <c r="S393">
        <v>1</v>
      </c>
      <c r="T393" s="1">
        <f>SQRT(POWER(Hybrid[[#This Row],[angvel_X]],2) + POWER(Hybrid[[#This Row],[angvel_Y]],2) + POWER(Hybrid[[#This Row],[angvel_Z]],2))</f>
        <v>2.03030000246269</v>
      </c>
      <c r="U393">
        <f>DEGREES(ASIN(MAX(-1,MIN(1,2 * (Hybrid[[#This Row],[quart_W]]*Hybrid[[#This Row],[quart_Y]] - Hybrid[[#This Row],[quart_Z]]*Hybrid[[#This Row],[quart_X]])))))</f>
        <v>0.54709288779222687</v>
      </c>
      <c r="V39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7.3391471267798281</v>
      </c>
      <c r="W39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90.000010836271812</v>
      </c>
      <c r="X393">
        <f>IF(Hybrid[[#This Row],[Yaw]]&gt;V392,(360-ABS(Hybrid[[#This Row],[Yaw]])-ABS(V392)),ABS(Hybrid[[#This Row],[Yaw]]-V392))</f>
        <v>0.969570582878303</v>
      </c>
      <c r="Y393">
        <f>Hybrid[[#This Row],[Degree change]]+Y392</f>
        <v>321.81172376659157</v>
      </c>
    </row>
    <row r="394" spans="1:25">
      <c r="A394">
        <v>393</v>
      </c>
      <c r="B394">
        <v>365.58999599999999</v>
      </c>
      <c r="C394">
        <v>1313.419922</v>
      </c>
      <c r="D394">
        <v>17.010000000000002</v>
      </c>
      <c r="E394">
        <v>394.82998700000002</v>
      </c>
      <c r="F394">
        <v>2265.8398440000001</v>
      </c>
      <c r="G394">
        <v>8.09</v>
      </c>
      <c r="H394" s="1">
        <v>-1E-4</v>
      </c>
      <c r="I394" s="1">
        <v>0</v>
      </c>
      <c r="J394" s="1">
        <v>2.0303</v>
      </c>
      <c r="K394" s="1">
        <v>-3.186E-3</v>
      </c>
      <c r="L394" s="1">
        <v>3.558E-3</v>
      </c>
      <c r="M394" s="1">
        <v>0.66672100000000001</v>
      </c>
      <c r="N394" s="1">
        <v>0.74529199999999995</v>
      </c>
      <c r="O394">
        <v>1</v>
      </c>
      <c r="P394">
        <v>0</v>
      </c>
      <c r="Q394">
        <v>1</v>
      </c>
      <c r="R394">
        <v>1</v>
      </c>
      <c r="S394">
        <v>1</v>
      </c>
      <c r="T394" s="1">
        <f>SQRT(POWER(Hybrid[[#This Row],[angvel_X]],2) + POWER(Hybrid[[#This Row],[angvel_Y]],2) + POWER(Hybrid[[#This Row],[angvel_Z]],2))</f>
        <v>2.03030000246269</v>
      </c>
      <c r="U394">
        <f>DEGREES(ASIN(MAX(-1,MIN(1,2 * (Hybrid[[#This Row],[quart_W]]*Hybrid[[#This Row],[quart_Y]] - Hybrid[[#This Row],[quart_Z]]*Hybrid[[#This Row],[quart_X]])))))</f>
        <v>0.5472886750243241</v>
      </c>
      <c r="V39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6.3698495730410771</v>
      </c>
      <c r="W39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90.000264374099842</v>
      </c>
      <c r="X394">
        <f>IF(Hybrid[[#This Row],[Yaw]]&gt;V393,(360-ABS(Hybrid[[#This Row],[Yaw]])-ABS(V393)),ABS(Hybrid[[#This Row],[Yaw]]-V393))</f>
        <v>0.96929755373875093</v>
      </c>
      <c r="Y394">
        <f>Hybrid[[#This Row],[Degree change]]+Y393</f>
        <v>322.7810213203303</v>
      </c>
    </row>
    <row r="395" spans="1:25">
      <c r="A395">
        <v>394</v>
      </c>
      <c r="B395">
        <v>368.88998400000003</v>
      </c>
      <c r="C395">
        <v>1332.369995</v>
      </c>
      <c r="D395">
        <v>17.010000000000002</v>
      </c>
      <c r="E395">
        <v>356.44000199999999</v>
      </c>
      <c r="F395">
        <v>2272.1899410000001</v>
      </c>
      <c r="G395">
        <v>8.09</v>
      </c>
      <c r="H395" s="1">
        <v>-1E-4</v>
      </c>
      <c r="I395" s="1">
        <v>0</v>
      </c>
      <c r="J395" s="1">
        <v>2.0303</v>
      </c>
      <c r="K395" s="1">
        <v>-3.2179999999999999E-3</v>
      </c>
      <c r="L395" s="1">
        <v>3.5309999999999999E-3</v>
      </c>
      <c r="M395" s="1">
        <v>0.67300099999999996</v>
      </c>
      <c r="N395" s="1">
        <v>0.73962600000000001</v>
      </c>
      <c r="O395">
        <v>1</v>
      </c>
      <c r="P395">
        <v>0</v>
      </c>
      <c r="Q395">
        <v>1</v>
      </c>
      <c r="R395">
        <v>1</v>
      </c>
      <c r="S395">
        <v>1</v>
      </c>
      <c r="T395" s="1">
        <f>SQRT(POWER(Hybrid[[#This Row],[angvel_X]],2) + POWER(Hybrid[[#This Row],[angvel_Y]],2) + POWER(Hybrid[[#This Row],[angvel_Z]],2))</f>
        <v>2.03030000246269</v>
      </c>
      <c r="U395">
        <f>DEGREES(ASIN(MAX(-1,MIN(1,2 * (Hybrid[[#This Row],[quart_W]]*Hybrid[[#This Row],[quart_Y]] - Hybrid[[#This Row],[quart_Z]]*Hybrid[[#This Row],[quart_X]])))))</f>
        <v>0.54745078157855032</v>
      </c>
      <c r="V39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5.4005969757627499</v>
      </c>
      <c r="W39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90.000429730742979</v>
      </c>
      <c r="X395">
        <f>IF(Hybrid[[#This Row],[Yaw]]&gt;V394,(360-ABS(Hybrid[[#This Row],[Yaw]])-ABS(V394)),ABS(Hybrid[[#This Row],[Yaw]]-V394))</f>
        <v>0.96925259727832724</v>
      </c>
      <c r="Y395">
        <f>Hybrid[[#This Row],[Degree change]]+Y394</f>
        <v>323.75027391760864</v>
      </c>
    </row>
    <row r="396" spans="1:25">
      <c r="A396">
        <v>395</v>
      </c>
      <c r="B396">
        <v>371.86999500000002</v>
      </c>
      <c r="C396">
        <v>1351.369995</v>
      </c>
      <c r="D396">
        <v>17.010000000000002</v>
      </c>
      <c r="E396">
        <v>317.94998199999998</v>
      </c>
      <c r="F396">
        <v>2277.8999020000001</v>
      </c>
      <c r="G396">
        <v>8.09</v>
      </c>
      <c r="H396" s="1">
        <v>-1E-4</v>
      </c>
      <c r="I396" s="1">
        <v>0</v>
      </c>
      <c r="J396" s="1">
        <v>2.0303</v>
      </c>
      <c r="K396" s="1">
        <v>-3.2499999999999999E-3</v>
      </c>
      <c r="L396" s="1">
        <v>3.5040000000000002E-3</v>
      </c>
      <c r="M396" s="1">
        <v>0.67923199999999995</v>
      </c>
      <c r="N396" s="1">
        <v>0.733908</v>
      </c>
      <c r="O396">
        <v>1</v>
      </c>
      <c r="P396">
        <v>0</v>
      </c>
      <c r="Q396">
        <v>1</v>
      </c>
      <c r="R396">
        <v>1</v>
      </c>
      <c r="S396">
        <v>1</v>
      </c>
      <c r="T396" s="1">
        <f>SQRT(POWER(Hybrid[[#This Row],[angvel_X]],2) + POWER(Hybrid[[#This Row],[angvel_Y]],2) + POWER(Hybrid[[#This Row],[angvel_Z]],2))</f>
        <v>2.03030000246269</v>
      </c>
      <c r="U396">
        <f>DEGREES(ASIN(MAX(-1,MIN(1,2 * (Hybrid[[#This Row],[quart_W]]*Hybrid[[#This Row],[quart_Y]] - Hybrid[[#This Row],[quart_Z]]*Hybrid[[#This Row],[quart_X]])))))</f>
        <v>0.54765487938182089</v>
      </c>
      <c r="V39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4.4314762076114018</v>
      </c>
      <c r="W39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90.000592702869127</v>
      </c>
      <c r="X396">
        <f>IF(Hybrid[[#This Row],[Yaw]]&gt;V395,(360-ABS(Hybrid[[#This Row],[Yaw]])-ABS(V395)),ABS(Hybrid[[#This Row],[Yaw]]-V395))</f>
        <v>0.96912076815134807</v>
      </c>
      <c r="Y396">
        <f>Hybrid[[#This Row],[Degree change]]+Y395</f>
        <v>324.71939468575999</v>
      </c>
    </row>
    <row r="397" spans="1:25">
      <c r="A397">
        <v>396</v>
      </c>
      <c r="B397">
        <v>374.51998900000001</v>
      </c>
      <c r="C397">
        <v>1370.419922</v>
      </c>
      <c r="D397">
        <v>17.010000000000002</v>
      </c>
      <c r="E397">
        <v>279.36999500000002</v>
      </c>
      <c r="F397">
        <v>2282.9499510000001</v>
      </c>
      <c r="G397">
        <v>8.09</v>
      </c>
      <c r="H397" s="1">
        <v>-1E-4</v>
      </c>
      <c r="I397" s="1">
        <v>0</v>
      </c>
      <c r="J397" s="1">
        <v>2.0303</v>
      </c>
      <c r="K397" s="1">
        <v>-3.2829999999999999E-3</v>
      </c>
      <c r="L397" s="1">
        <v>3.4770000000000001E-3</v>
      </c>
      <c r="M397" s="1">
        <v>0.68541399999999997</v>
      </c>
      <c r="N397" s="1">
        <v>0.72813799999999995</v>
      </c>
      <c r="O397">
        <v>1</v>
      </c>
      <c r="P397">
        <v>0</v>
      </c>
      <c r="Q397">
        <v>1</v>
      </c>
      <c r="R397">
        <v>1</v>
      </c>
      <c r="S397">
        <v>1</v>
      </c>
      <c r="T397" s="1">
        <f>SQRT(POWER(Hybrid[[#This Row],[angvel_X]],2) + POWER(Hybrid[[#This Row],[angvel_Y]],2) + POWER(Hybrid[[#This Row],[angvel_Z]],2))</f>
        <v>2.03030000246269</v>
      </c>
      <c r="U397">
        <f>DEGREES(ASIN(MAX(-1,MIN(1,2 * (Hybrid[[#This Row],[quart_W]]*Hybrid[[#This Row],[quart_Y]] - Hybrid[[#This Row],[quart_Z]]*Hybrid[[#This Row],[quart_X]])))))</f>
        <v>0.54797945830744876</v>
      </c>
      <c r="V39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3.4624209043457332</v>
      </c>
      <c r="W39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90.000835705874294</v>
      </c>
      <c r="X397">
        <f>IF(Hybrid[[#This Row],[Yaw]]&gt;V396,(360-ABS(Hybrid[[#This Row],[Yaw]])-ABS(V396)),ABS(Hybrid[[#This Row],[Yaw]]-V396))</f>
        <v>0.96905530326566858</v>
      </c>
      <c r="Y397">
        <f>Hybrid[[#This Row],[Degree change]]+Y396</f>
        <v>325.68844998902568</v>
      </c>
    </row>
    <row r="398" spans="1:25">
      <c r="A398">
        <v>397</v>
      </c>
      <c r="B398">
        <v>376.85000600000001</v>
      </c>
      <c r="C398">
        <v>1389.51001</v>
      </c>
      <c r="D398">
        <v>17.010000000000002</v>
      </c>
      <c r="E398">
        <v>240.709991</v>
      </c>
      <c r="F398">
        <v>2287.3498540000001</v>
      </c>
      <c r="G398">
        <v>8.09</v>
      </c>
      <c r="H398" s="1">
        <v>0</v>
      </c>
      <c r="I398" s="1">
        <v>0</v>
      </c>
      <c r="J398" s="1">
        <v>2.0303</v>
      </c>
      <c r="K398" s="1">
        <v>-3.31E-3</v>
      </c>
      <c r="L398" s="1">
        <v>3.4499999999999999E-3</v>
      </c>
      <c r="M398" s="1">
        <v>0.69154800000000005</v>
      </c>
      <c r="N398" s="1">
        <v>0.72231500000000004</v>
      </c>
      <c r="O398">
        <v>1</v>
      </c>
      <c r="P398">
        <v>0</v>
      </c>
      <c r="Q398">
        <v>1</v>
      </c>
      <c r="R398">
        <v>1</v>
      </c>
      <c r="S398">
        <v>1</v>
      </c>
      <c r="T398" s="1">
        <f>SQRT(POWER(Hybrid[[#This Row],[angvel_X]],2) + POWER(Hybrid[[#This Row],[angvel_Y]],2) + POWER(Hybrid[[#This Row],[angvel_Z]],2))</f>
        <v>2.0303</v>
      </c>
      <c r="U398">
        <f>DEGREES(ASIN(MAX(-1,MIN(1,2 * (Hybrid[[#This Row],[quart_W]]*Hybrid[[#This Row],[quart_Y]] - Hybrid[[#This Row],[quart_Z]]*Hybrid[[#This Row],[quart_X]])))))</f>
        <v>0.54787181088744263</v>
      </c>
      <c r="V39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2.493204278574833</v>
      </c>
      <c r="W39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90.000575510849728</v>
      </c>
      <c r="X398">
        <f>IF(Hybrid[[#This Row],[Yaw]]&gt;V397,(360-ABS(Hybrid[[#This Row],[Yaw]])-ABS(V397)),ABS(Hybrid[[#This Row],[Yaw]]-V397))</f>
        <v>0.96921662577090029</v>
      </c>
      <c r="Y398">
        <f>Hybrid[[#This Row],[Degree change]]+Y397</f>
        <v>326.6576666147966</v>
      </c>
    </row>
    <row r="399" spans="1:25">
      <c r="A399">
        <v>398</v>
      </c>
      <c r="B399">
        <v>378.85998499999999</v>
      </c>
      <c r="C399">
        <v>1408.6400149999999</v>
      </c>
      <c r="D399">
        <v>17.010000000000002</v>
      </c>
      <c r="E399">
        <v>201.979996</v>
      </c>
      <c r="F399">
        <v>2291.0898440000001</v>
      </c>
      <c r="G399">
        <v>8.09</v>
      </c>
      <c r="H399" s="1">
        <v>0</v>
      </c>
      <c r="I399" s="1">
        <v>0</v>
      </c>
      <c r="J399" s="1">
        <v>2.0303</v>
      </c>
      <c r="K399" s="1">
        <v>-3.3370000000000001E-3</v>
      </c>
      <c r="L399" s="1">
        <v>3.4229999999999998E-3</v>
      </c>
      <c r="M399" s="1">
        <v>0.69763299999999995</v>
      </c>
      <c r="N399" s="1">
        <v>0.71643900000000005</v>
      </c>
      <c r="O399">
        <v>1</v>
      </c>
      <c r="P399">
        <v>0</v>
      </c>
      <c r="Q399">
        <v>1</v>
      </c>
      <c r="R399">
        <v>1</v>
      </c>
      <c r="S399">
        <v>1</v>
      </c>
      <c r="T399" s="1">
        <f>SQRT(POWER(Hybrid[[#This Row],[angvel_X]],2) + POWER(Hybrid[[#This Row],[angvel_Y]],2) + POWER(Hybrid[[#This Row],[angvel_Z]],2))</f>
        <v>2.0303</v>
      </c>
      <c r="U399">
        <f>DEGREES(ASIN(MAX(-1,MIN(1,2 * (Hybrid[[#This Row],[quart_W]]*Hybrid[[#This Row],[quart_Y]] - Hybrid[[#This Row],[quart_Z]]*Hybrid[[#This Row],[quart_X]])))))</f>
        <v>0.54779862799748202</v>
      </c>
      <c r="V39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1.5239144741373474</v>
      </c>
      <c r="W39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90.000316193647819</v>
      </c>
      <c r="X399">
        <f>IF(Hybrid[[#This Row],[Yaw]]&gt;V398,(360-ABS(Hybrid[[#This Row],[Yaw]])-ABS(V398)),ABS(Hybrid[[#This Row],[Yaw]]-V398))</f>
        <v>0.96928980443748558</v>
      </c>
      <c r="Y399">
        <f>Hybrid[[#This Row],[Degree change]]+Y398</f>
        <v>327.62695641923409</v>
      </c>
    </row>
    <row r="400" spans="1:25">
      <c r="A400">
        <v>399</v>
      </c>
      <c r="B400">
        <v>380.54998799999998</v>
      </c>
      <c r="C400">
        <v>1427.799927</v>
      </c>
      <c r="D400">
        <v>17.010000000000002</v>
      </c>
      <c r="E400">
        <v>163.19000199999999</v>
      </c>
      <c r="F400">
        <v>2294.179932</v>
      </c>
      <c r="G400">
        <v>8.09</v>
      </c>
      <c r="H400" s="1">
        <v>0</v>
      </c>
      <c r="I400" s="1">
        <v>0</v>
      </c>
      <c r="J400" s="1">
        <v>2.0303</v>
      </c>
      <c r="K400" s="1">
        <v>-3.3639999999999998E-3</v>
      </c>
      <c r="L400" s="1">
        <v>3.3960000000000001E-3</v>
      </c>
      <c r="M400" s="1">
        <v>0.70367000000000002</v>
      </c>
      <c r="N400" s="1">
        <v>0.710511</v>
      </c>
      <c r="O400">
        <v>1</v>
      </c>
      <c r="P400">
        <v>0</v>
      </c>
      <c r="Q400">
        <v>1</v>
      </c>
      <c r="R400">
        <v>1</v>
      </c>
      <c r="S400">
        <v>1</v>
      </c>
      <c r="T400" s="1">
        <f>SQRT(POWER(Hybrid[[#This Row],[angvel_X]],2) + POWER(Hybrid[[#This Row],[angvel_Y]],2) + POWER(Hybrid[[#This Row],[angvel_Z]],2))</f>
        <v>2.0303</v>
      </c>
      <c r="U400">
        <f>DEGREES(ASIN(MAX(-1,MIN(1,2 * (Hybrid[[#This Row],[quart_W]]*Hybrid[[#This Row],[quart_Y]] - Hybrid[[#This Row],[quart_Z]]*Hybrid[[#This Row],[quart_X]])))))</f>
        <v>0.54776072144000643</v>
      </c>
      <c r="V40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0.55431304292173877</v>
      </c>
      <c r="W40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90.000056803798188</v>
      </c>
      <c r="X400">
        <f>IF(Hybrid[[#This Row],[Yaw]]&gt;V399,(360-ABS(Hybrid[[#This Row],[Yaw]])-ABS(V399)),ABS(Hybrid[[#This Row],[Yaw]]-V399))</f>
        <v>0.9696014312156086</v>
      </c>
      <c r="Y400">
        <f>Hybrid[[#This Row],[Degree change]]+Y399</f>
        <v>328.5965578504497</v>
      </c>
    </row>
    <row r="401" spans="1:25">
      <c r="A401">
        <v>400</v>
      </c>
      <c r="B401">
        <v>381.91000400000001</v>
      </c>
      <c r="C401">
        <v>1446.98999</v>
      </c>
      <c r="D401">
        <v>17.010000000000002</v>
      </c>
      <c r="E401">
        <v>124.349998</v>
      </c>
      <c r="F401">
        <v>2296.6198730000001</v>
      </c>
      <c r="G401">
        <v>8.09</v>
      </c>
      <c r="H401" s="1">
        <v>0</v>
      </c>
      <c r="I401" s="1">
        <v>0</v>
      </c>
      <c r="J401" s="1">
        <v>2.0303</v>
      </c>
      <c r="K401" s="1">
        <v>-3.3909999999999999E-3</v>
      </c>
      <c r="L401" s="1">
        <v>3.369E-3</v>
      </c>
      <c r="M401" s="1">
        <v>0.70965500000000004</v>
      </c>
      <c r="N401" s="1">
        <v>0.70453299999999996</v>
      </c>
      <c r="O401">
        <v>1</v>
      </c>
      <c r="P401">
        <v>0</v>
      </c>
      <c r="Q401">
        <v>1</v>
      </c>
      <c r="R401">
        <v>1</v>
      </c>
      <c r="S401">
        <v>1</v>
      </c>
      <c r="T401" s="1">
        <f>SQRT(POWER(Hybrid[[#This Row],[angvel_X]],2) + POWER(Hybrid[[#This Row],[angvel_Y]],2) + POWER(Hybrid[[#This Row],[angvel_Z]],2))</f>
        <v>2.0303</v>
      </c>
      <c r="U401">
        <f>DEGREES(ASIN(MAX(-1,MIN(1,2 * (Hybrid[[#This Row],[quart_W]]*Hybrid[[#This Row],[quart_Y]] - Hybrid[[#This Row],[quart_Z]]*Hybrid[[#This Row],[quart_X]])))))</f>
        <v>0.54775734610597981</v>
      </c>
      <c r="V40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-0.41502393091733847</v>
      </c>
      <c r="W40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89.999798734564166</v>
      </c>
      <c r="X401">
        <f>IF(Hybrid[[#This Row],[Yaw]]&gt;V400,(360-ABS(Hybrid[[#This Row],[Yaw]])-ABS(V400)),ABS(Hybrid[[#This Row],[Yaw]]-V400))</f>
        <v>0.96933697383907724</v>
      </c>
      <c r="Y401">
        <f>Hybrid[[#This Row],[Degree change]]+Y400</f>
        <v>329.56589482428876</v>
      </c>
    </row>
    <row r="402" spans="1:25">
      <c r="A402">
        <v>401</v>
      </c>
      <c r="B402">
        <v>382.94998199999998</v>
      </c>
      <c r="C402">
        <v>1466.1999510000001</v>
      </c>
      <c r="D402">
        <v>17.010000000000002</v>
      </c>
      <c r="E402">
        <v>85.479996</v>
      </c>
      <c r="F402">
        <v>2298.389893</v>
      </c>
      <c r="G402">
        <v>8.09</v>
      </c>
      <c r="H402" s="1">
        <v>0</v>
      </c>
      <c r="I402" s="1">
        <v>0</v>
      </c>
      <c r="J402" s="1">
        <v>2.0303</v>
      </c>
      <c r="K402" s="1">
        <v>-3.418E-3</v>
      </c>
      <c r="L402" s="1">
        <v>3.3419999999999999E-3</v>
      </c>
      <c r="M402" s="1">
        <v>0.71558699999999997</v>
      </c>
      <c r="N402" s="1">
        <v>0.69850699999999999</v>
      </c>
      <c r="O402">
        <v>1</v>
      </c>
      <c r="P402">
        <v>0</v>
      </c>
      <c r="Q402">
        <v>1</v>
      </c>
      <c r="R402">
        <v>1</v>
      </c>
      <c r="S402">
        <v>1</v>
      </c>
      <c r="T402" s="1">
        <f>SQRT(POWER(Hybrid[[#This Row],[angvel_X]],2) + POWER(Hybrid[[#This Row],[angvel_Y]],2) + POWER(Hybrid[[#This Row],[angvel_Z]],2))</f>
        <v>2.0303</v>
      </c>
      <c r="U402">
        <f>DEGREES(ASIN(MAX(-1,MIN(1,2 * (Hybrid[[#This Row],[quart_W]]*Hybrid[[#This Row],[quart_Y]] - Hybrid[[#This Row],[quart_Z]]*Hybrid[[#This Row],[quart_X]])))))</f>
        <v>0.54778885770379959</v>
      </c>
      <c r="V40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-1.3839972533056524</v>
      </c>
      <c r="W40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89.999542205508703</v>
      </c>
      <c r="X402">
        <f>IF(Hybrid[[#This Row],[Yaw]]&gt;V401,(360-ABS(Hybrid[[#This Row],[Yaw]])-ABS(V401)),ABS(Hybrid[[#This Row],[Yaw]]-V401))</f>
        <v>0.96897332238831391</v>
      </c>
      <c r="Y402">
        <f>Hybrid[[#This Row],[Degree change]]+Y401</f>
        <v>330.53486814667707</v>
      </c>
    </row>
    <row r="403" spans="1:25">
      <c r="A403">
        <v>402</v>
      </c>
      <c r="B403">
        <v>383.66000400000001</v>
      </c>
      <c r="C403">
        <v>1485.419922</v>
      </c>
      <c r="D403">
        <v>17.010000000000002</v>
      </c>
      <c r="E403">
        <v>46.59</v>
      </c>
      <c r="F403">
        <v>2299.51001</v>
      </c>
      <c r="G403">
        <v>8.09</v>
      </c>
      <c r="H403" s="1">
        <v>0</v>
      </c>
      <c r="I403" s="1">
        <v>0</v>
      </c>
      <c r="J403" s="1">
        <v>2.0303</v>
      </c>
      <c r="K403" s="1">
        <v>-3.4450000000000001E-3</v>
      </c>
      <c r="L403" s="1">
        <v>3.3149999999999998E-3</v>
      </c>
      <c r="M403" s="1">
        <v>0.721472</v>
      </c>
      <c r="N403" s="1">
        <v>0.69242700000000001</v>
      </c>
      <c r="O403">
        <v>1</v>
      </c>
      <c r="P403">
        <v>0</v>
      </c>
      <c r="Q403">
        <v>1</v>
      </c>
      <c r="R403">
        <v>1</v>
      </c>
      <c r="S403">
        <v>1</v>
      </c>
      <c r="T403" s="1">
        <f>SQRT(POWER(Hybrid[[#This Row],[angvel_X]],2) + POWER(Hybrid[[#This Row],[angvel_Y]],2) + POWER(Hybrid[[#This Row],[angvel_Z]],2))</f>
        <v>2.0303</v>
      </c>
      <c r="U403">
        <f>DEGREES(ASIN(MAX(-1,MIN(1,2 * (Hybrid[[#This Row],[quart_W]]*Hybrid[[#This Row],[quart_Y]] - Hybrid[[#This Row],[quart_Z]]*Hybrid[[#This Row],[quart_X]])))))</f>
        <v>0.54785529920781562</v>
      </c>
      <c r="V40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-2.3536595203724451</v>
      </c>
      <c r="W40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89.999281631064804</v>
      </c>
      <c r="X403">
        <f>IF(Hybrid[[#This Row],[Yaw]]&gt;V402,(360-ABS(Hybrid[[#This Row],[Yaw]])-ABS(V402)),ABS(Hybrid[[#This Row],[Yaw]]-V402))</f>
        <v>0.9696622670667927</v>
      </c>
      <c r="Y403">
        <f>Hybrid[[#This Row],[Degree change]]+Y402</f>
        <v>331.50453041374385</v>
      </c>
    </row>
    <row r="404" spans="1:25">
      <c r="A404">
        <v>403</v>
      </c>
      <c r="B404">
        <v>384.04998799999998</v>
      </c>
      <c r="C404">
        <v>1504.650024</v>
      </c>
      <c r="D404">
        <v>17.010000000000002</v>
      </c>
      <c r="E404">
        <v>7.68</v>
      </c>
      <c r="F404">
        <v>2299.969971</v>
      </c>
      <c r="G404">
        <v>8.09</v>
      </c>
      <c r="H404" s="1">
        <v>0</v>
      </c>
      <c r="I404" s="1">
        <v>0</v>
      </c>
      <c r="J404" s="1">
        <v>2.0303</v>
      </c>
      <c r="K404" s="1">
        <v>-3.4719999999999998E-3</v>
      </c>
      <c r="L404" s="1">
        <v>3.2880000000000001E-3</v>
      </c>
      <c r="M404" s="1">
        <v>0.72730399999999995</v>
      </c>
      <c r="N404" s="1">
        <v>0.68629899999999999</v>
      </c>
      <c r="O404">
        <v>1</v>
      </c>
      <c r="P404">
        <v>0</v>
      </c>
      <c r="Q404">
        <v>1</v>
      </c>
      <c r="R404">
        <v>1</v>
      </c>
      <c r="S404">
        <v>1</v>
      </c>
      <c r="T404" s="1">
        <f>SQRT(POWER(Hybrid[[#This Row],[angvel_X]],2) + POWER(Hybrid[[#This Row],[angvel_Y]],2) + POWER(Hybrid[[#This Row],[angvel_Z]],2))</f>
        <v>2.0303</v>
      </c>
      <c r="U404">
        <f>DEGREES(ASIN(MAX(-1,MIN(1,2 * (Hybrid[[#This Row],[quart_W]]*Hybrid[[#This Row],[quart_Y]] - Hybrid[[#This Row],[quart_Z]]*Hybrid[[#This Row],[quart_X]])))))</f>
        <v>0.54795660908070853</v>
      </c>
      <c r="V40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-3.3230969540383293</v>
      </c>
      <c r="W40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89.999020721757574</v>
      </c>
      <c r="X404">
        <f>IF(Hybrid[[#This Row],[Yaw]]&gt;V403,(360-ABS(Hybrid[[#This Row],[Yaw]])-ABS(V403)),ABS(Hybrid[[#This Row],[Yaw]]-V403))</f>
        <v>0.9694374336658842</v>
      </c>
      <c r="Y404">
        <f>Hybrid[[#This Row],[Degree change]]+Y403</f>
        <v>332.47396784740971</v>
      </c>
    </row>
    <row r="405" spans="1:25">
      <c r="A405">
        <v>404</v>
      </c>
      <c r="B405">
        <v>384.10998499999999</v>
      </c>
      <c r="C405">
        <v>1523.8900149999999</v>
      </c>
      <c r="D405">
        <v>17.010000000000002</v>
      </c>
      <c r="E405">
        <v>-31.219999000000001</v>
      </c>
      <c r="F405">
        <v>2299.7700199999999</v>
      </c>
      <c r="G405">
        <v>8.09</v>
      </c>
      <c r="H405" s="1">
        <v>0</v>
      </c>
      <c r="I405" s="1">
        <v>0</v>
      </c>
      <c r="J405" s="1">
        <v>2.0303</v>
      </c>
      <c r="K405" s="1">
        <v>-3.4989999999999999E-3</v>
      </c>
      <c r="L405" s="1">
        <v>3.261E-3</v>
      </c>
      <c r="M405" s="1">
        <v>0.73308300000000004</v>
      </c>
      <c r="N405" s="1">
        <v>0.680122</v>
      </c>
      <c r="O405">
        <v>1</v>
      </c>
      <c r="P405">
        <v>0</v>
      </c>
      <c r="Q405">
        <v>1</v>
      </c>
      <c r="R405">
        <v>1</v>
      </c>
      <c r="S405">
        <v>1</v>
      </c>
      <c r="T405" s="1">
        <f>SQRT(POWER(Hybrid[[#This Row],[angvel_X]],2) + POWER(Hybrid[[#This Row],[angvel_Y]],2) + POWER(Hybrid[[#This Row],[angvel_Z]],2))</f>
        <v>2.0303</v>
      </c>
      <c r="U405">
        <f>DEGREES(ASIN(MAX(-1,MIN(1,2 * (Hybrid[[#This Row],[quart_W]]*Hybrid[[#This Row],[quart_Y]] - Hybrid[[#This Row],[quart_Z]]*Hybrid[[#This Row],[quart_X]])))))</f>
        <v>0.54809236721237031</v>
      </c>
      <c r="V40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-4.292379802800431</v>
      </c>
      <c r="W40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89.998758139091819</v>
      </c>
      <c r="X405">
        <f>IF(Hybrid[[#This Row],[Yaw]]&gt;V404,(360-ABS(Hybrid[[#This Row],[Yaw]])-ABS(V404)),ABS(Hybrid[[#This Row],[Yaw]]-V404))</f>
        <v>0.96928284876210169</v>
      </c>
      <c r="Y405">
        <f>Hybrid[[#This Row],[Degree change]]+Y404</f>
        <v>333.44325069617179</v>
      </c>
    </row>
    <row r="406" spans="1:25">
      <c r="A406">
        <v>405</v>
      </c>
      <c r="B406">
        <v>383.83999599999999</v>
      </c>
      <c r="C406">
        <v>1543.119995</v>
      </c>
      <c r="D406">
        <v>17.010000000000002</v>
      </c>
      <c r="E406">
        <v>-70.119995000000003</v>
      </c>
      <c r="F406">
        <v>2298.9099120000001</v>
      </c>
      <c r="G406">
        <v>8.09</v>
      </c>
      <c r="H406" s="1">
        <v>0</v>
      </c>
      <c r="I406" s="1">
        <v>-1E-4</v>
      </c>
      <c r="J406" s="1">
        <v>2.0303</v>
      </c>
      <c r="K406" s="1">
        <v>-3.5260000000000001E-3</v>
      </c>
      <c r="L406" s="1">
        <v>3.2339999999999999E-3</v>
      </c>
      <c r="M406" s="1">
        <v>0.73880999999999997</v>
      </c>
      <c r="N406" s="1">
        <v>0.67389600000000005</v>
      </c>
      <c r="O406">
        <v>1</v>
      </c>
      <c r="P406">
        <v>0</v>
      </c>
      <c r="Q406">
        <v>1</v>
      </c>
      <c r="R406">
        <v>1</v>
      </c>
      <c r="S406">
        <v>1</v>
      </c>
      <c r="T406" s="1">
        <f>SQRT(POWER(Hybrid[[#This Row],[angvel_X]],2) + POWER(Hybrid[[#This Row],[angvel_Y]],2) + POWER(Hybrid[[#This Row],[angvel_Z]],2))</f>
        <v>2.03030000246269</v>
      </c>
      <c r="U406">
        <f>DEGREES(ASIN(MAX(-1,MIN(1,2 * (Hybrid[[#This Row],[quart_W]]*Hybrid[[#This Row],[quart_Y]] - Hybrid[[#This Row],[quart_Z]]*Hybrid[[#This Row],[quart_X]])))))</f>
        <v>0.54826294054411506</v>
      </c>
      <c r="V40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-5.2617398215813109</v>
      </c>
      <c r="W40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89.998492565657912</v>
      </c>
      <c r="X406">
        <f>IF(Hybrid[[#This Row],[Yaw]]&gt;V405,(360-ABS(Hybrid[[#This Row],[Yaw]])-ABS(V405)),ABS(Hybrid[[#This Row],[Yaw]]-V405))</f>
        <v>0.96936001878087996</v>
      </c>
      <c r="Y406">
        <f>Hybrid[[#This Row],[Degree change]]+Y405</f>
        <v>334.41261071495268</v>
      </c>
    </row>
    <row r="407" spans="1:25">
      <c r="A407">
        <v>406</v>
      </c>
      <c r="B407">
        <v>383.25</v>
      </c>
      <c r="C407">
        <v>1562.349976</v>
      </c>
      <c r="D407">
        <v>17.010000000000002</v>
      </c>
      <c r="E407">
        <v>-109</v>
      </c>
      <c r="F407">
        <v>2297.3999020000001</v>
      </c>
      <c r="G407">
        <v>8.09</v>
      </c>
      <c r="H407" s="1">
        <v>0</v>
      </c>
      <c r="I407" s="1">
        <v>-1E-4</v>
      </c>
      <c r="J407" s="1">
        <v>2.0303</v>
      </c>
      <c r="K407" s="1">
        <v>-3.552E-3</v>
      </c>
      <c r="L407" s="1">
        <v>3.202E-3</v>
      </c>
      <c r="M407" s="1">
        <v>0.74448499999999995</v>
      </c>
      <c r="N407" s="1">
        <v>0.66762200000000005</v>
      </c>
      <c r="O407">
        <v>1</v>
      </c>
      <c r="P407">
        <v>0</v>
      </c>
      <c r="Q407">
        <v>1</v>
      </c>
      <c r="R407">
        <v>1</v>
      </c>
      <c r="S407">
        <v>1</v>
      </c>
      <c r="T407" s="1">
        <f>SQRT(POWER(Hybrid[[#This Row],[angvel_X]],2) + POWER(Hybrid[[#This Row],[angvel_Y]],2) + POWER(Hybrid[[#This Row],[angvel_Z]],2))</f>
        <v>2.03030000246269</v>
      </c>
      <c r="U407">
        <f>DEGREES(ASIN(MAX(-1,MIN(1,2 * (Hybrid[[#This Row],[quart_W]]*Hybrid[[#This Row],[quart_Y]] - Hybrid[[#This Row],[quart_Z]]*Hybrid[[#This Row],[quart_X]])))))</f>
        <v>0.54800081640070708</v>
      </c>
      <c r="V40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-6.2312353267535547</v>
      </c>
      <c r="W40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89.998573541885989</v>
      </c>
      <c r="X407">
        <f>IF(Hybrid[[#This Row],[Yaw]]&gt;V406,(360-ABS(Hybrid[[#This Row],[Yaw]])-ABS(V406)),ABS(Hybrid[[#This Row],[Yaw]]-V406))</f>
        <v>0.96949550517224381</v>
      </c>
      <c r="Y407">
        <f>Hybrid[[#This Row],[Degree change]]+Y406</f>
        <v>335.38210622012491</v>
      </c>
    </row>
    <row r="408" spans="1:25">
      <c r="A408">
        <v>407</v>
      </c>
      <c r="B408">
        <v>382.32998700000002</v>
      </c>
      <c r="C408">
        <v>1581.559937</v>
      </c>
      <c r="D408">
        <v>17.010000000000002</v>
      </c>
      <c r="E408">
        <v>-147.84999099999999</v>
      </c>
      <c r="F408">
        <v>2295.219971</v>
      </c>
      <c r="G408">
        <v>8.09</v>
      </c>
      <c r="H408" s="1">
        <v>0</v>
      </c>
      <c r="I408" s="1">
        <v>-1E-4</v>
      </c>
      <c r="J408" s="1">
        <v>2.0303</v>
      </c>
      <c r="K408" s="1">
        <v>-3.5790000000000001E-3</v>
      </c>
      <c r="L408" s="1">
        <v>3.1689999999999999E-3</v>
      </c>
      <c r="M408" s="1">
        <v>0.75010699999999997</v>
      </c>
      <c r="N408" s="1">
        <v>0.66129899999999997</v>
      </c>
      <c r="O408">
        <v>1</v>
      </c>
      <c r="P408">
        <v>0</v>
      </c>
      <c r="Q408">
        <v>1</v>
      </c>
      <c r="R408">
        <v>1</v>
      </c>
      <c r="S408">
        <v>1</v>
      </c>
      <c r="T408" s="1">
        <f>SQRT(POWER(Hybrid[[#This Row],[angvel_X]],2) + POWER(Hybrid[[#This Row],[angvel_Y]],2) + POWER(Hybrid[[#This Row],[angvel_Z]],2))</f>
        <v>2.03030000246269</v>
      </c>
      <c r="U408">
        <f>DEGREES(ASIN(MAX(-1,MIN(1,2 * (Hybrid[[#This Row],[quart_W]]*Hybrid[[#This Row],[quart_Y]] - Hybrid[[#This Row],[quart_Z]]*Hybrid[[#This Row],[quart_X]])))))</f>
        <v>0.54778916986547321</v>
      </c>
      <c r="V40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-7.2007877974263685</v>
      </c>
      <c r="W40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89.998819657350765</v>
      </c>
      <c r="X408">
        <f>IF(Hybrid[[#This Row],[Yaw]]&gt;V407,(360-ABS(Hybrid[[#This Row],[Yaw]])-ABS(V407)),ABS(Hybrid[[#This Row],[Yaw]]-V407))</f>
        <v>0.9695524706728138</v>
      </c>
      <c r="Y408">
        <f>Hybrid[[#This Row],[Degree change]]+Y407</f>
        <v>336.35165869079771</v>
      </c>
    </row>
    <row r="409" spans="1:25">
      <c r="A409">
        <v>408</v>
      </c>
      <c r="B409">
        <v>381.08999599999999</v>
      </c>
      <c r="C409">
        <v>1600.76001</v>
      </c>
      <c r="D409">
        <v>17.010000000000002</v>
      </c>
      <c r="E409">
        <v>-186.659988</v>
      </c>
      <c r="F409">
        <v>2292.389893</v>
      </c>
      <c r="G409">
        <v>8.09</v>
      </c>
      <c r="H409" s="1">
        <v>0</v>
      </c>
      <c r="I409" s="1">
        <v>-1E-4</v>
      </c>
      <c r="J409" s="1">
        <v>2.0303</v>
      </c>
      <c r="K409" s="1">
        <v>-3.6059999999999998E-3</v>
      </c>
      <c r="L409" s="1">
        <v>3.137E-3</v>
      </c>
      <c r="M409" s="1">
        <v>0.75567600000000001</v>
      </c>
      <c r="N409" s="1">
        <v>0.65492799999999995</v>
      </c>
      <c r="O409">
        <v>1</v>
      </c>
      <c r="P409">
        <v>0</v>
      </c>
      <c r="Q409">
        <v>1</v>
      </c>
      <c r="R409">
        <v>1</v>
      </c>
      <c r="S409">
        <v>1</v>
      </c>
      <c r="T409" s="1">
        <f>SQRT(POWER(Hybrid[[#This Row],[angvel_X]],2) + POWER(Hybrid[[#This Row],[angvel_Y]],2) + POWER(Hybrid[[#This Row],[angvel_Z]],2))</f>
        <v>2.03030000246269</v>
      </c>
      <c r="U409">
        <f>DEGREES(ASIN(MAX(-1,MIN(1,2 * (Hybrid[[#This Row],[quart_W]]*Hybrid[[#This Row],[quart_Y]] - Hybrid[[#This Row],[quart_Z]]*Hybrid[[#This Row],[quart_X]])))))</f>
        <v>0.54769603796646615</v>
      </c>
      <c r="V40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-8.1704619799185352</v>
      </c>
      <c r="W40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89.998981779517351</v>
      </c>
      <c r="X409">
        <f>IF(Hybrid[[#This Row],[Yaw]]&gt;V408,(360-ABS(Hybrid[[#This Row],[Yaw]])-ABS(V408)),ABS(Hybrid[[#This Row],[Yaw]]-V408))</f>
        <v>0.96967418249216664</v>
      </c>
      <c r="Y409">
        <f>Hybrid[[#This Row],[Degree change]]+Y408</f>
        <v>337.32133287328986</v>
      </c>
    </row>
    <row r="410" spans="1:25">
      <c r="A410">
        <v>409</v>
      </c>
      <c r="B410">
        <v>379.51998900000001</v>
      </c>
      <c r="C410">
        <v>1619.929932</v>
      </c>
      <c r="D410">
        <v>17.010000000000002</v>
      </c>
      <c r="E410">
        <v>-225.409988</v>
      </c>
      <c r="F410">
        <v>2288.9099120000001</v>
      </c>
      <c r="G410">
        <v>8.09</v>
      </c>
      <c r="H410" s="1">
        <v>0</v>
      </c>
      <c r="I410" s="1">
        <v>-1E-4</v>
      </c>
      <c r="J410" s="1">
        <v>2.0303</v>
      </c>
      <c r="K410" s="1">
        <v>-3.6329999999999999E-3</v>
      </c>
      <c r="L410" s="1">
        <v>3.1050000000000001E-3</v>
      </c>
      <c r="M410" s="1">
        <v>0.76118799999999998</v>
      </c>
      <c r="N410" s="1">
        <v>0.64851400000000003</v>
      </c>
      <c r="O410">
        <v>1</v>
      </c>
      <c r="P410">
        <v>0</v>
      </c>
      <c r="Q410">
        <v>1</v>
      </c>
      <c r="R410">
        <v>1</v>
      </c>
      <c r="S410">
        <v>1</v>
      </c>
      <c r="T410" s="1">
        <f>SQRT(POWER(Hybrid[[#This Row],[angvel_X]],2) + POWER(Hybrid[[#This Row],[angvel_Y]],2) + POWER(Hybrid[[#This Row],[angvel_Z]],2))</f>
        <v>2.03030000246269</v>
      </c>
      <c r="U410">
        <f>DEGREES(ASIN(MAX(-1,MIN(1,2 * (Hybrid[[#This Row],[quart_W]]*Hybrid[[#This Row],[quart_Y]] - Hybrid[[#This Row],[quart_Z]]*Hybrid[[#This Row],[quart_X]])))))</f>
        <v>0.54764506324965534</v>
      </c>
      <c r="V41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-9.1396187125028856</v>
      </c>
      <c r="W41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89.999147700327413</v>
      </c>
      <c r="X410">
        <f>IF(Hybrid[[#This Row],[Yaw]]&gt;V409,(360-ABS(Hybrid[[#This Row],[Yaw]])-ABS(V409)),ABS(Hybrid[[#This Row],[Yaw]]-V409))</f>
        <v>0.96915673258435042</v>
      </c>
      <c r="Y410">
        <f>Hybrid[[#This Row],[Degree change]]+Y409</f>
        <v>338.2904896058742</v>
      </c>
    </row>
    <row r="411" spans="1:25">
      <c r="A411">
        <v>410</v>
      </c>
      <c r="B411">
        <v>377.63000499999998</v>
      </c>
      <c r="C411">
        <v>1639.0699460000001</v>
      </c>
      <c r="D411">
        <v>17.010000000000002</v>
      </c>
      <c r="E411">
        <v>-264.10000600000001</v>
      </c>
      <c r="F411">
        <v>2284.7700199999999</v>
      </c>
      <c r="G411">
        <v>8.09</v>
      </c>
      <c r="H411" s="1">
        <v>0</v>
      </c>
      <c r="I411" s="1">
        <v>-1E-4</v>
      </c>
      <c r="J411" s="1">
        <v>2.0303</v>
      </c>
      <c r="K411" s="1">
        <v>-3.6600000000000001E-3</v>
      </c>
      <c r="L411" s="1">
        <v>3.0720000000000001E-3</v>
      </c>
      <c r="M411" s="1">
        <v>0.76664699999999997</v>
      </c>
      <c r="N411" s="1">
        <v>0.64205100000000004</v>
      </c>
      <c r="O411">
        <v>1</v>
      </c>
      <c r="P411">
        <v>0</v>
      </c>
      <c r="Q411">
        <v>1</v>
      </c>
      <c r="R411">
        <v>1</v>
      </c>
      <c r="S411">
        <v>1</v>
      </c>
      <c r="T411" s="1">
        <f>SQRT(POWER(Hybrid[[#This Row],[angvel_X]],2) + POWER(Hybrid[[#This Row],[angvel_Y]],2) + POWER(Hybrid[[#This Row],[angvel_Z]],2))</f>
        <v>2.03030000246269</v>
      </c>
      <c r="U411">
        <f>DEGREES(ASIN(MAX(-1,MIN(1,2 * (Hybrid[[#This Row],[quart_W]]*Hybrid[[#This Row],[quart_Y]] - Hybrid[[#This Row],[quart_Z]]*Hybrid[[#This Row],[quart_X]])))))</f>
        <v>0.54756217745206448</v>
      </c>
      <c r="V41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-10.109045252135886</v>
      </c>
      <c r="W41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89.999400323696037</v>
      </c>
      <c r="X411">
        <f>IF(Hybrid[[#This Row],[Yaw]]&gt;V410,(360-ABS(Hybrid[[#This Row],[Yaw]])-ABS(V410)),ABS(Hybrid[[#This Row],[Yaw]]-V410))</f>
        <v>0.96942653963299996</v>
      </c>
      <c r="Y411">
        <f>Hybrid[[#This Row],[Degree change]]+Y410</f>
        <v>339.25991614550719</v>
      </c>
    </row>
    <row r="412" spans="1:25">
      <c r="A412">
        <v>411</v>
      </c>
      <c r="B412">
        <v>375.419983</v>
      </c>
      <c r="C412">
        <v>1658.179932</v>
      </c>
      <c r="D412">
        <v>17.010000000000002</v>
      </c>
      <c r="E412">
        <v>-302.709991</v>
      </c>
      <c r="F412">
        <v>2279.969971</v>
      </c>
      <c r="G412">
        <v>8.09</v>
      </c>
      <c r="H412" s="1">
        <v>0</v>
      </c>
      <c r="I412" s="1">
        <v>-1E-4</v>
      </c>
      <c r="J412" s="1">
        <v>2.0303</v>
      </c>
      <c r="K412" s="1">
        <v>-3.6870000000000002E-3</v>
      </c>
      <c r="L412" s="1">
        <v>3.0400000000000002E-3</v>
      </c>
      <c r="M412" s="1">
        <v>0.77204899999999999</v>
      </c>
      <c r="N412" s="1">
        <v>0.635544</v>
      </c>
      <c r="O412">
        <v>1</v>
      </c>
      <c r="P412">
        <v>0</v>
      </c>
      <c r="Q412">
        <v>1</v>
      </c>
      <c r="R412">
        <v>1</v>
      </c>
      <c r="S412">
        <v>1</v>
      </c>
      <c r="T412" s="1">
        <f>SQRT(POWER(Hybrid[[#This Row],[angvel_X]],2) + POWER(Hybrid[[#This Row],[angvel_Y]],2) + POWER(Hybrid[[#This Row],[angvel_Z]],2))</f>
        <v>2.03030000246269</v>
      </c>
      <c r="U412">
        <f>DEGREES(ASIN(MAX(-1,MIN(1,2 * (Hybrid[[#This Row],[quart_W]]*Hybrid[[#This Row],[quart_Y]] - Hybrid[[#This Row],[quart_Z]]*Hybrid[[#This Row],[quart_X]])))))</f>
        <v>0.54759537969534211</v>
      </c>
      <c r="V41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-11.078100258531292</v>
      </c>
      <c r="W41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89.999567026730389</v>
      </c>
      <c r="X412">
        <f>IF(Hybrid[[#This Row],[Yaw]]&gt;V411,(360-ABS(Hybrid[[#This Row],[Yaw]])-ABS(V411)),ABS(Hybrid[[#This Row],[Yaw]]-V411))</f>
        <v>0.96905500639540598</v>
      </c>
      <c r="Y412">
        <f>Hybrid[[#This Row],[Degree change]]+Y411</f>
        <v>340.22897115190261</v>
      </c>
    </row>
    <row r="413" spans="1:25">
      <c r="A413">
        <v>412</v>
      </c>
      <c r="B413">
        <v>372.88000499999998</v>
      </c>
      <c r="C413">
        <v>1677.25</v>
      </c>
      <c r="D413">
        <v>17.010000000000002</v>
      </c>
      <c r="E413">
        <v>-341.23998999999998</v>
      </c>
      <c r="F413">
        <v>2274.530029</v>
      </c>
      <c r="G413">
        <v>8.09</v>
      </c>
      <c r="H413" s="1">
        <v>0</v>
      </c>
      <c r="I413" s="1">
        <v>-1E-4</v>
      </c>
      <c r="J413" s="1">
        <v>2.0303</v>
      </c>
      <c r="K413" s="1">
        <v>-3.7139999999999999E-3</v>
      </c>
      <c r="L413" s="1">
        <v>3.0079999999999998E-3</v>
      </c>
      <c r="M413" s="1">
        <v>0.77739899999999995</v>
      </c>
      <c r="N413" s="1">
        <v>0.62899000000000005</v>
      </c>
      <c r="O413">
        <v>1</v>
      </c>
      <c r="P413">
        <v>0</v>
      </c>
      <c r="Q413">
        <v>1</v>
      </c>
      <c r="R413">
        <v>1</v>
      </c>
      <c r="S413">
        <v>1</v>
      </c>
      <c r="T413" s="1">
        <f>SQRT(POWER(Hybrid[[#This Row],[angvel_X]],2) + POWER(Hybrid[[#This Row],[angvel_Y]],2) + POWER(Hybrid[[#This Row],[angvel_Z]],2))</f>
        <v>2.03030000246269</v>
      </c>
      <c r="U413">
        <f>DEGREES(ASIN(MAX(-1,MIN(1,2 * (Hybrid[[#This Row],[quart_W]]*Hybrid[[#This Row],[quart_Y]] - Hybrid[[#This Row],[quart_Z]]*Hybrid[[#This Row],[quart_X]])))))</f>
        <v>0.54767140126001002</v>
      </c>
      <c r="V41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-12.047698589342916</v>
      </c>
      <c r="W41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89.999731003277802</v>
      </c>
      <c r="X413">
        <f>IF(Hybrid[[#This Row],[Yaw]]&gt;V412,(360-ABS(Hybrid[[#This Row],[Yaw]])-ABS(V412)),ABS(Hybrid[[#This Row],[Yaw]]-V412))</f>
        <v>0.96959833081162472</v>
      </c>
      <c r="Y413">
        <f>Hybrid[[#This Row],[Degree change]]+Y412</f>
        <v>341.19856948271422</v>
      </c>
    </row>
    <row r="414" spans="1:25">
      <c r="A414">
        <v>413</v>
      </c>
      <c r="B414">
        <v>370.01998900000001</v>
      </c>
      <c r="C414">
        <v>1696.2700199999999</v>
      </c>
      <c r="D414">
        <v>17.010000000000002</v>
      </c>
      <c r="E414">
        <v>-379.669983</v>
      </c>
      <c r="F414">
        <v>2268.429932</v>
      </c>
      <c r="G414">
        <v>8.09</v>
      </c>
      <c r="H414" s="1">
        <v>0</v>
      </c>
      <c r="I414" s="1">
        <v>0</v>
      </c>
      <c r="J414" s="1">
        <v>2.0303</v>
      </c>
      <c r="K414" s="1">
        <v>-3.741E-3</v>
      </c>
      <c r="L414" s="1">
        <v>2.9750000000000002E-3</v>
      </c>
      <c r="M414" s="1">
        <v>0.78269100000000003</v>
      </c>
      <c r="N414" s="1">
        <v>0.62239199999999995</v>
      </c>
      <c r="O414">
        <v>1</v>
      </c>
      <c r="P414">
        <v>0</v>
      </c>
      <c r="Q414">
        <v>1</v>
      </c>
      <c r="R414">
        <v>1</v>
      </c>
      <c r="S414">
        <v>1</v>
      </c>
      <c r="T414" s="1">
        <f>SQRT(POWER(Hybrid[[#This Row],[angvel_X]],2) + POWER(Hybrid[[#This Row],[angvel_Y]],2) + POWER(Hybrid[[#This Row],[angvel_Z]],2))</f>
        <v>2.0303</v>
      </c>
      <c r="U414">
        <f>DEGREES(ASIN(MAX(-1,MIN(1,2 * (Hybrid[[#This Row],[quart_W]]*Hybrid[[#This Row],[quart_Y]] - Hybrid[[#This Row],[quart_Z]]*Hybrid[[#This Row],[quart_X]])))))</f>
        <v>0.54771740327831253</v>
      </c>
      <c r="V41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-13.016899530216168</v>
      </c>
      <c r="W41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89.999984271246092</v>
      </c>
      <c r="X414">
        <f>IF(Hybrid[[#This Row],[Yaw]]&gt;V413,(360-ABS(Hybrid[[#This Row],[Yaw]])-ABS(V413)),ABS(Hybrid[[#This Row],[Yaw]]-V413))</f>
        <v>0.96920094087325204</v>
      </c>
      <c r="Y414">
        <f>Hybrid[[#This Row],[Degree change]]+Y413</f>
        <v>342.16777042358746</v>
      </c>
    </row>
    <row r="415" spans="1:25">
      <c r="A415">
        <v>414</v>
      </c>
      <c r="B415">
        <v>366.83999599999999</v>
      </c>
      <c r="C415">
        <v>1715.23999</v>
      </c>
      <c r="D415">
        <v>17.010000000000002</v>
      </c>
      <c r="E415">
        <v>-417.98998999999998</v>
      </c>
      <c r="F415">
        <v>2261.679932</v>
      </c>
      <c r="G415">
        <v>8.09</v>
      </c>
      <c r="H415" s="1">
        <v>0</v>
      </c>
      <c r="I415" s="1">
        <v>0</v>
      </c>
      <c r="J415" s="1">
        <v>2.0303</v>
      </c>
      <c r="K415" s="1">
        <v>-3.7680000000000001E-3</v>
      </c>
      <c r="L415" s="1">
        <v>2.9429999999999999E-3</v>
      </c>
      <c r="M415" s="1">
        <v>0.78792600000000002</v>
      </c>
      <c r="N415" s="1">
        <v>0.61575100000000005</v>
      </c>
      <c r="O415">
        <v>1</v>
      </c>
      <c r="P415">
        <v>0</v>
      </c>
      <c r="Q415">
        <v>1</v>
      </c>
      <c r="R415">
        <v>1</v>
      </c>
      <c r="S415">
        <v>1</v>
      </c>
      <c r="T415" s="1">
        <f>SQRT(POWER(Hybrid[[#This Row],[angvel_X]],2) + POWER(Hybrid[[#This Row],[angvel_Y]],2) + POWER(Hybrid[[#This Row],[angvel_Z]],2))</f>
        <v>2.0303</v>
      </c>
      <c r="U415">
        <f>DEGREES(ASIN(MAX(-1,MIN(1,2 * (Hybrid[[#This Row],[quart_W]]*Hybrid[[#This Row],[quart_Y]] - Hybrid[[#This Row],[quart_Z]]*Hybrid[[#This Row],[quart_X]])))))</f>
        <v>0.54787750990080986</v>
      </c>
      <c r="V41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-13.985909897333041</v>
      </c>
      <c r="W41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90.00014709072029</v>
      </c>
      <c r="X415">
        <f>IF(Hybrid[[#This Row],[Yaw]]&gt;V414,(360-ABS(Hybrid[[#This Row],[Yaw]])-ABS(V414)),ABS(Hybrid[[#This Row],[Yaw]]-V414))</f>
        <v>0.96901036711687283</v>
      </c>
      <c r="Y415">
        <f>Hybrid[[#This Row],[Degree change]]+Y414</f>
        <v>343.13678079070434</v>
      </c>
    </row>
    <row r="416" spans="1:25">
      <c r="A416">
        <v>415</v>
      </c>
      <c r="B416">
        <v>363.33999599999999</v>
      </c>
      <c r="C416">
        <v>1734.1499020000001</v>
      </c>
      <c r="D416">
        <v>17.010000000000002</v>
      </c>
      <c r="E416">
        <v>-456.19000199999999</v>
      </c>
      <c r="F416">
        <v>2254.280029</v>
      </c>
      <c r="G416">
        <v>8.09</v>
      </c>
      <c r="H416" s="1">
        <v>0</v>
      </c>
      <c r="I416" s="1">
        <v>0</v>
      </c>
      <c r="J416" s="1">
        <v>2.0303</v>
      </c>
      <c r="K416" s="1">
        <v>-3.7950000000000002E-3</v>
      </c>
      <c r="L416" s="1">
        <v>2.911E-3</v>
      </c>
      <c r="M416" s="1">
        <v>0.79310899999999995</v>
      </c>
      <c r="N416" s="1">
        <v>0.60906099999999996</v>
      </c>
      <c r="O416">
        <v>1</v>
      </c>
      <c r="P416">
        <v>0</v>
      </c>
      <c r="Q416">
        <v>1</v>
      </c>
      <c r="R416">
        <v>1</v>
      </c>
      <c r="S416">
        <v>1</v>
      </c>
      <c r="T416" s="1">
        <f>SQRT(POWER(Hybrid[[#This Row],[angvel_X]],2) + POWER(Hybrid[[#This Row],[angvel_Y]],2) + POWER(Hybrid[[#This Row],[angvel_Z]],2))</f>
        <v>2.0303</v>
      </c>
      <c r="U416">
        <f>DEGREES(ASIN(MAX(-1,MIN(1,2 * (Hybrid[[#This Row],[quart_W]]*Hybrid[[#This Row],[quart_Y]] - Hybrid[[#This Row],[quart_Z]]*Hybrid[[#This Row],[quart_X]])))))</f>
        <v>0.54807975778243745</v>
      </c>
      <c r="V41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-14.955722169183487</v>
      </c>
      <c r="W41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90.000303245599184</v>
      </c>
      <c r="X416">
        <f>IF(Hybrid[[#This Row],[Yaw]]&gt;V415,(360-ABS(Hybrid[[#This Row],[Yaw]])-ABS(V415)),ABS(Hybrid[[#This Row],[Yaw]]-V415))</f>
        <v>0.96981227185044538</v>
      </c>
      <c r="Y416">
        <f>Hybrid[[#This Row],[Degree change]]+Y415</f>
        <v>344.10659306255479</v>
      </c>
    </row>
    <row r="417" spans="1:25">
      <c r="A417">
        <v>416</v>
      </c>
      <c r="B417">
        <v>359.51998900000001</v>
      </c>
      <c r="C417">
        <v>1753</v>
      </c>
      <c r="D417">
        <v>17.010000000000002</v>
      </c>
      <c r="E417">
        <v>-494.25997899999999</v>
      </c>
      <c r="F417">
        <v>2246.23999</v>
      </c>
      <c r="G417">
        <v>8.09</v>
      </c>
      <c r="H417" s="1">
        <v>0</v>
      </c>
      <c r="I417" s="1">
        <v>0</v>
      </c>
      <c r="J417" s="1">
        <v>2.0303</v>
      </c>
      <c r="K417" s="1">
        <v>-3.8219999999999999E-3</v>
      </c>
      <c r="L417" s="1">
        <v>2.8779999999999999E-3</v>
      </c>
      <c r="M417" s="1">
        <v>0.798234</v>
      </c>
      <c r="N417" s="1">
        <v>0.602329</v>
      </c>
      <c r="O417">
        <v>1</v>
      </c>
      <c r="P417">
        <v>0</v>
      </c>
      <c r="Q417">
        <v>1</v>
      </c>
      <c r="R417">
        <v>1</v>
      </c>
      <c r="S417">
        <v>1</v>
      </c>
      <c r="T417" s="1">
        <f>SQRT(POWER(Hybrid[[#This Row],[angvel_X]],2) + POWER(Hybrid[[#This Row],[angvel_Y]],2) + POWER(Hybrid[[#This Row],[angvel_Z]],2))</f>
        <v>2.0303</v>
      </c>
      <c r="U417">
        <f>DEGREES(ASIN(MAX(-1,MIN(1,2 * (Hybrid[[#This Row],[quart_W]]*Hybrid[[#This Row],[quart_Y]] - Hybrid[[#This Row],[quart_Z]]*Hybrid[[#This Row],[quart_X]])))))</f>
        <v>0.5482548598649738</v>
      </c>
      <c r="V41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-15.925304581379969</v>
      </c>
      <c r="W41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90.000548229512646</v>
      </c>
      <c r="X417">
        <f>IF(Hybrid[[#This Row],[Yaw]]&gt;V416,(360-ABS(Hybrid[[#This Row],[Yaw]])-ABS(V416)),ABS(Hybrid[[#This Row],[Yaw]]-V416))</f>
        <v>0.96958241219648222</v>
      </c>
      <c r="Y417">
        <f>Hybrid[[#This Row],[Degree change]]+Y416</f>
        <v>345.07617547475127</v>
      </c>
    </row>
    <row r="418" spans="1:25">
      <c r="A418">
        <v>417</v>
      </c>
      <c r="B418">
        <v>355.38000499999998</v>
      </c>
      <c r="C418">
        <v>1771.7799070000001</v>
      </c>
      <c r="D418">
        <v>17.010000000000002</v>
      </c>
      <c r="E418">
        <v>-532.19000200000005</v>
      </c>
      <c r="F418">
        <v>2237.5600589999999</v>
      </c>
      <c r="G418">
        <v>8.09</v>
      </c>
      <c r="H418" s="1">
        <v>0</v>
      </c>
      <c r="I418" s="1">
        <v>0</v>
      </c>
      <c r="J418" s="1">
        <v>2.0303</v>
      </c>
      <c r="K418" s="1">
        <v>-3.8440000000000002E-3</v>
      </c>
      <c r="L418" s="1">
        <v>2.846E-3</v>
      </c>
      <c r="M418" s="1">
        <v>0.80330199999999996</v>
      </c>
      <c r="N418" s="1">
        <v>0.595553</v>
      </c>
      <c r="O418">
        <v>1</v>
      </c>
      <c r="P418">
        <v>0</v>
      </c>
      <c r="Q418">
        <v>1</v>
      </c>
      <c r="R418">
        <v>1</v>
      </c>
      <c r="S418">
        <v>1</v>
      </c>
      <c r="T418" s="1">
        <f>SQRT(POWER(Hybrid[[#This Row],[angvel_X]],2) + POWER(Hybrid[[#This Row],[angvel_Y]],2) + POWER(Hybrid[[#This Row],[angvel_Z]],2))</f>
        <v>2.0303</v>
      </c>
      <c r="U418">
        <f>DEGREES(ASIN(MAX(-1,MIN(1,2 * (Hybrid[[#This Row],[quart_W]]*Hybrid[[#This Row],[quart_Y]] - Hybrid[[#This Row],[quart_Z]]*Hybrid[[#This Row],[quart_X]])))))</f>
        <v>0.54808107564566133</v>
      </c>
      <c r="V41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-16.894932590908187</v>
      </c>
      <c r="W41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90.000356194364059</v>
      </c>
      <c r="X418">
        <f>IF(Hybrid[[#This Row],[Yaw]]&gt;V417,(360-ABS(Hybrid[[#This Row],[Yaw]])-ABS(V417)),ABS(Hybrid[[#This Row],[Yaw]]-V417))</f>
        <v>0.96962800952821837</v>
      </c>
      <c r="Y418">
        <f>Hybrid[[#This Row],[Degree change]]+Y417</f>
        <v>346.04580348427947</v>
      </c>
    </row>
    <row r="419" spans="1:25">
      <c r="A419">
        <v>418</v>
      </c>
      <c r="B419">
        <v>350.92999300000002</v>
      </c>
      <c r="C419">
        <v>1790.48999</v>
      </c>
      <c r="D419">
        <v>17.010000000000002</v>
      </c>
      <c r="E419">
        <v>-569.96997099999999</v>
      </c>
      <c r="F419">
        <v>2228.23999</v>
      </c>
      <c r="G419">
        <v>8.09</v>
      </c>
      <c r="H419" s="1">
        <v>0</v>
      </c>
      <c r="I419" s="1">
        <v>0</v>
      </c>
      <c r="J419" s="1">
        <v>2.0303</v>
      </c>
      <c r="K419" s="1">
        <v>-3.8649999999999999E-3</v>
      </c>
      <c r="L419" s="1">
        <v>2.813E-3</v>
      </c>
      <c r="M419" s="1">
        <v>0.80831299999999995</v>
      </c>
      <c r="N419" s="1">
        <v>0.58873399999999998</v>
      </c>
      <c r="O419">
        <v>1</v>
      </c>
      <c r="P419">
        <v>0</v>
      </c>
      <c r="Q419">
        <v>1</v>
      </c>
      <c r="R419">
        <v>1</v>
      </c>
      <c r="S419">
        <v>1</v>
      </c>
      <c r="T419" s="1">
        <f>SQRT(POWER(Hybrid[[#This Row],[angvel_X]],2) + POWER(Hybrid[[#This Row],[angvel_Y]],2) + POWER(Hybrid[[#This Row],[angvel_Z]],2))</f>
        <v>2.0303</v>
      </c>
      <c r="U419">
        <f>DEGREES(ASIN(MAX(-1,MIN(1,2 * (Hybrid[[#This Row],[quart_W]]*Hybrid[[#This Row],[quart_Y]] - Hybrid[[#This Row],[quart_Z]]*Hybrid[[#This Row],[quart_X]])))))</f>
        <v>0.54778332577264577</v>
      </c>
      <c r="V41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-17.864650911777627</v>
      </c>
      <c r="W41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90.000191656380721</v>
      </c>
      <c r="X419">
        <f>IF(Hybrid[[#This Row],[Yaw]]&gt;V418,(360-ABS(Hybrid[[#This Row],[Yaw]])-ABS(V418)),ABS(Hybrid[[#This Row],[Yaw]]-V418))</f>
        <v>0.96971832086943976</v>
      </c>
      <c r="Y419">
        <f>Hybrid[[#This Row],[Degree change]]+Y418</f>
        <v>347.01552180514892</v>
      </c>
    </row>
    <row r="420" spans="1:25">
      <c r="A420">
        <v>419</v>
      </c>
      <c r="B420">
        <v>346.16000400000001</v>
      </c>
      <c r="C420">
        <v>1809.119995</v>
      </c>
      <c r="D420">
        <v>17.010000000000002</v>
      </c>
      <c r="E420">
        <v>-607.589966</v>
      </c>
      <c r="F420">
        <v>2218.2700199999999</v>
      </c>
      <c r="G420">
        <v>8.09</v>
      </c>
      <c r="H420" s="1">
        <v>0</v>
      </c>
      <c r="I420" s="1">
        <v>0</v>
      </c>
      <c r="J420" s="1">
        <v>2.0303</v>
      </c>
      <c r="K420" s="1">
        <v>-3.8869999999999998E-3</v>
      </c>
      <c r="L420" s="1">
        <v>2.7810000000000001E-3</v>
      </c>
      <c r="M420" s="1">
        <v>0.81326299999999996</v>
      </c>
      <c r="N420" s="1">
        <v>0.58187699999999998</v>
      </c>
      <c r="O420">
        <v>1</v>
      </c>
      <c r="P420">
        <v>0</v>
      </c>
      <c r="Q420">
        <v>1</v>
      </c>
      <c r="R420">
        <v>1</v>
      </c>
      <c r="S420">
        <v>1</v>
      </c>
      <c r="T420" s="1">
        <f>SQRT(POWER(Hybrid[[#This Row],[angvel_X]],2) + POWER(Hybrid[[#This Row],[angvel_Y]],2) + POWER(Hybrid[[#This Row],[angvel_Z]],2))</f>
        <v>2.0303</v>
      </c>
      <c r="U420">
        <f>DEGREES(ASIN(MAX(-1,MIN(1,2 * (Hybrid[[#This Row],[quart_W]]*Hybrid[[#This Row],[quart_Y]] - Hybrid[[#This Row],[quart_Z]]*Hybrid[[#This Row],[quart_X]])))))</f>
        <v>0.54768187678217384</v>
      </c>
      <c r="V42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-18.833762169685933</v>
      </c>
      <c r="W42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90.000008193212409</v>
      </c>
      <c r="X420">
        <f>IF(Hybrid[[#This Row],[Yaw]]&gt;V419,(360-ABS(Hybrid[[#This Row],[Yaw]])-ABS(V419)),ABS(Hybrid[[#This Row],[Yaw]]-V419))</f>
        <v>0.9691112579083061</v>
      </c>
      <c r="Y420">
        <f>Hybrid[[#This Row],[Degree change]]+Y419</f>
        <v>347.98463306305723</v>
      </c>
    </row>
    <row r="421" spans="1:25">
      <c r="A421">
        <v>420</v>
      </c>
      <c r="B421">
        <v>341.07000699999998</v>
      </c>
      <c r="C421">
        <v>1827.669922</v>
      </c>
      <c r="D421">
        <v>17.010000000000002</v>
      </c>
      <c r="E421">
        <v>-645.02996800000005</v>
      </c>
      <c r="F421">
        <v>2207.679932</v>
      </c>
      <c r="G421">
        <v>8.09</v>
      </c>
      <c r="H421" s="1">
        <v>0</v>
      </c>
      <c r="I421" s="1">
        <v>0</v>
      </c>
      <c r="J421" s="1">
        <v>2.0303</v>
      </c>
      <c r="K421" s="1">
        <v>-3.9090000000000001E-3</v>
      </c>
      <c r="L421" s="1">
        <v>2.7490000000000001E-3</v>
      </c>
      <c r="M421" s="1">
        <v>0.81815599999999999</v>
      </c>
      <c r="N421" s="1">
        <v>0.57497699999999996</v>
      </c>
      <c r="O421">
        <v>1</v>
      </c>
      <c r="P421">
        <v>0</v>
      </c>
      <c r="Q421">
        <v>1</v>
      </c>
      <c r="R421">
        <v>1</v>
      </c>
      <c r="S421">
        <v>1</v>
      </c>
      <c r="T421" s="1">
        <f>SQRT(POWER(Hybrid[[#This Row],[angvel_X]],2) + POWER(Hybrid[[#This Row],[angvel_Y]],2) + POWER(Hybrid[[#This Row],[angvel_Z]],2))</f>
        <v>2.0303</v>
      </c>
      <c r="U421">
        <f>DEGREES(ASIN(MAX(-1,MIN(1,2 * (Hybrid[[#This Row],[quart_W]]*Hybrid[[#This Row],[quart_Y]] - Hybrid[[#This Row],[quart_Z]]*Hybrid[[#This Row],[quart_X]])))))</f>
        <v>0.54761659774995031</v>
      </c>
      <c r="V42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-19.803097411746389</v>
      </c>
      <c r="W42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89.999825153828212</v>
      </c>
      <c r="X421">
        <f>IF(Hybrid[[#This Row],[Yaw]]&gt;V420,(360-ABS(Hybrid[[#This Row],[Yaw]])-ABS(V420)),ABS(Hybrid[[#This Row],[Yaw]]-V420))</f>
        <v>0.96933524206045618</v>
      </c>
      <c r="Y421">
        <f>Hybrid[[#This Row],[Degree change]]+Y420</f>
        <v>348.95396830511771</v>
      </c>
    </row>
    <row r="422" spans="1:25">
      <c r="A422">
        <v>421</v>
      </c>
      <c r="B422">
        <v>335.669983</v>
      </c>
      <c r="C422">
        <v>1846.130005</v>
      </c>
      <c r="D422">
        <v>17.010000000000002</v>
      </c>
      <c r="E422">
        <v>-682.28997800000002</v>
      </c>
      <c r="F422">
        <v>2196.4499510000001</v>
      </c>
      <c r="G422">
        <v>8.09</v>
      </c>
      <c r="H422" s="1">
        <v>0</v>
      </c>
      <c r="I422" s="1">
        <v>0</v>
      </c>
      <c r="J422" s="1">
        <v>2.0303</v>
      </c>
      <c r="K422" s="1">
        <v>-3.9300000000000003E-3</v>
      </c>
      <c r="L422" s="1">
        <v>2.7160000000000001E-3</v>
      </c>
      <c r="M422" s="1">
        <v>0.82299100000000003</v>
      </c>
      <c r="N422" s="1">
        <v>0.56803400000000004</v>
      </c>
      <c r="O422">
        <v>1</v>
      </c>
      <c r="P422">
        <v>0</v>
      </c>
      <c r="Q422">
        <v>1</v>
      </c>
      <c r="R422">
        <v>1</v>
      </c>
      <c r="S422">
        <v>1</v>
      </c>
      <c r="T422" s="1">
        <f>SQRT(POWER(Hybrid[[#This Row],[angvel_X]],2) + POWER(Hybrid[[#This Row],[angvel_Y]],2) + POWER(Hybrid[[#This Row],[angvel_Z]],2))</f>
        <v>2.0303</v>
      </c>
      <c r="U422">
        <f>DEGREES(ASIN(MAX(-1,MIN(1,2 * (Hybrid[[#This Row],[quart_W]]*Hybrid[[#This Row],[quart_Y]] - Hybrid[[#This Row],[quart_Z]]*Hybrid[[#This Row],[quart_X]])))))</f>
        <v>0.54742767313588792</v>
      </c>
      <c r="V42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-20.772576736532034</v>
      </c>
      <c r="W42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89.999671114548107</v>
      </c>
      <c r="X422">
        <f>IF(Hybrid[[#This Row],[Yaw]]&gt;V421,(360-ABS(Hybrid[[#This Row],[Yaw]])-ABS(V421)),ABS(Hybrid[[#This Row],[Yaw]]-V421))</f>
        <v>0.96947932478564525</v>
      </c>
      <c r="Y422">
        <f>Hybrid[[#This Row],[Degree change]]+Y421</f>
        <v>349.92344762990336</v>
      </c>
    </row>
    <row r="423" spans="1:25">
      <c r="A423">
        <v>422</v>
      </c>
      <c r="B423">
        <v>329.959991</v>
      </c>
      <c r="C423">
        <v>1864.5</v>
      </c>
      <c r="D423">
        <v>17.010000000000002</v>
      </c>
      <c r="E423">
        <v>-719.34997599999997</v>
      </c>
      <c r="F423">
        <v>2184.5898440000001</v>
      </c>
      <c r="G423">
        <v>8.09</v>
      </c>
      <c r="H423" s="1">
        <v>0</v>
      </c>
      <c r="I423" s="1">
        <v>0</v>
      </c>
      <c r="J423" s="1">
        <v>2.0303</v>
      </c>
      <c r="K423" s="1">
        <v>-3.9519999999999998E-3</v>
      </c>
      <c r="L423" s="1">
        <v>2.6840000000000002E-3</v>
      </c>
      <c r="M423" s="1">
        <v>0.827766</v>
      </c>
      <c r="N423" s="1">
        <v>0.56105300000000002</v>
      </c>
      <c r="O423">
        <v>1</v>
      </c>
      <c r="P423">
        <v>0</v>
      </c>
      <c r="Q423">
        <v>1</v>
      </c>
      <c r="R423">
        <v>1</v>
      </c>
      <c r="S423">
        <v>1</v>
      </c>
      <c r="T423" s="1">
        <f>SQRT(POWER(Hybrid[[#This Row],[angvel_X]],2) + POWER(Hybrid[[#This Row],[angvel_Y]],2) + POWER(Hybrid[[#This Row],[angvel_Z]],2))</f>
        <v>2.0303</v>
      </c>
      <c r="U423">
        <f>DEGREES(ASIN(MAX(-1,MIN(1,2 * (Hybrid[[#This Row],[quart_W]]*Hybrid[[#This Row],[quart_Y]] - Hybrid[[#This Row],[quart_Z]]*Hybrid[[#This Row],[quart_X]])))))</f>
        <v>0.54743483658120851</v>
      </c>
      <c r="V42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-21.741799509639641</v>
      </c>
      <c r="W42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89.999490905136852</v>
      </c>
      <c r="X423">
        <f>IF(Hybrid[[#This Row],[Yaw]]&gt;V422,(360-ABS(Hybrid[[#This Row],[Yaw]])-ABS(V422)),ABS(Hybrid[[#This Row],[Yaw]]-V422))</f>
        <v>0.96922277310760663</v>
      </c>
      <c r="Y423">
        <f>Hybrid[[#This Row],[Degree change]]+Y422</f>
        <v>350.89267040301098</v>
      </c>
    </row>
    <row r="424" spans="1:25">
      <c r="A424">
        <v>423</v>
      </c>
      <c r="B424">
        <v>323.94000199999999</v>
      </c>
      <c r="C424">
        <v>1882.7698969999999</v>
      </c>
      <c r="D424">
        <v>17.010000000000002</v>
      </c>
      <c r="E424">
        <v>-756.20996100000002</v>
      </c>
      <c r="F424">
        <v>2172.1098630000001</v>
      </c>
      <c r="G424">
        <v>8.09</v>
      </c>
      <c r="H424" s="1">
        <v>0</v>
      </c>
      <c r="I424" s="1">
        <v>0</v>
      </c>
      <c r="J424" s="1">
        <v>2.0303</v>
      </c>
      <c r="K424" s="1">
        <v>-3.973E-3</v>
      </c>
      <c r="L424" s="1">
        <v>2.6519999999999998E-3</v>
      </c>
      <c r="M424" s="1">
        <v>0.832484</v>
      </c>
      <c r="N424" s="1">
        <v>0.55402899999999999</v>
      </c>
      <c r="O424">
        <v>1</v>
      </c>
      <c r="P424">
        <v>0</v>
      </c>
      <c r="Q424">
        <v>1</v>
      </c>
      <c r="R424">
        <v>1</v>
      </c>
      <c r="S424">
        <v>1</v>
      </c>
      <c r="T424" s="1">
        <f>SQRT(POWER(Hybrid[[#This Row],[angvel_X]],2) + POWER(Hybrid[[#This Row],[angvel_Y]],2) + POWER(Hybrid[[#This Row],[angvel_Z]],2))</f>
        <v>2.0303</v>
      </c>
      <c r="U424">
        <f>DEGREES(ASIN(MAX(-1,MIN(1,2 * (Hybrid[[#This Row],[quart_W]]*Hybrid[[#This Row],[quart_Y]] - Hybrid[[#This Row],[quart_Z]]*Hybrid[[#This Row],[quart_X]])))))</f>
        <v>0.54738285043536117</v>
      </c>
      <c r="V42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-22.711463117412258</v>
      </c>
      <c r="W42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89.999244766938872</v>
      </c>
      <c r="X424">
        <f>IF(Hybrid[[#This Row],[Yaw]]&gt;V423,(360-ABS(Hybrid[[#This Row],[Yaw]])-ABS(V423)),ABS(Hybrid[[#This Row],[Yaw]]-V423))</f>
        <v>0.96966360777261684</v>
      </c>
      <c r="Y424">
        <f>Hybrid[[#This Row],[Degree change]]+Y423</f>
        <v>351.86233401078357</v>
      </c>
    </row>
    <row r="425" spans="1:25">
      <c r="A425">
        <v>424</v>
      </c>
      <c r="B425">
        <v>317.60998499999999</v>
      </c>
      <c r="C425">
        <v>1900.929932</v>
      </c>
      <c r="D425">
        <v>17.010000000000002</v>
      </c>
      <c r="E425">
        <v>-792.84997599999997</v>
      </c>
      <c r="F425">
        <v>2159</v>
      </c>
      <c r="G425">
        <v>8.09</v>
      </c>
      <c r="H425" s="1">
        <v>0</v>
      </c>
      <c r="I425" s="1">
        <v>0</v>
      </c>
      <c r="J425" s="1">
        <v>2.0303</v>
      </c>
      <c r="K425" s="1">
        <v>-3.9950000000000003E-3</v>
      </c>
      <c r="L425" s="1">
        <v>2.6189999999999998E-3</v>
      </c>
      <c r="M425" s="1">
        <v>0.83714</v>
      </c>
      <c r="N425" s="1">
        <v>0.54696699999999998</v>
      </c>
      <c r="O425">
        <v>1</v>
      </c>
      <c r="P425">
        <v>0</v>
      </c>
      <c r="Q425">
        <v>1</v>
      </c>
      <c r="R425">
        <v>1</v>
      </c>
      <c r="S425">
        <v>1</v>
      </c>
      <c r="T425" s="1">
        <f>SQRT(POWER(Hybrid[[#This Row],[angvel_X]],2) + POWER(Hybrid[[#This Row],[angvel_Y]],2) + POWER(Hybrid[[#This Row],[angvel_Z]],2))</f>
        <v>2.0303</v>
      </c>
      <c r="U425">
        <f>DEGREES(ASIN(MAX(-1,MIN(1,2 * (Hybrid[[#This Row],[quart_W]]*Hybrid[[#This Row],[quart_Y]] - Hybrid[[#This Row],[quart_Z]]*Hybrid[[#This Row],[quart_X]])))))</f>
        <v>0.54739855397713033</v>
      </c>
      <c r="V42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-23.680700078375743</v>
      </c>
      <c r="W42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89.999159261230275</v>
      </c>
      <c r="X425">
        <f>IF(Hybrid[[#This Row],[Yaw]]&gt;V424,(360-ABS(Hybrid[[#This Row],[Yaw]])-ABS(V424)),ABS(Hybrid[[#This Row],[Yaw]]-V424))</f>
        <v>0.96923696096348522</v>
      </c>
      <c r="Y425">
        <f>Hybrid[[#This Row],[Degree change]]+Y424</f>
        <v>352.83157097174706</v>
      </c>
    </row>
    <row r="426" spans="1:25">
      <c r="A426">
        <v>425</v>
      </c>
      <c r="B426">
        <v>310.97998000000001</v>
      </c>
      <c r="C426">
        <v>1918.9799800000001</v>
      </c>
      <c r="D426">
        <v>17.010000000000002</v>
      </c>
      <c r="E426">
        <v>-829.26995799999997</v>
      </c>
      <c r="F426">
        <v>2145.280029</v>
      </c>
      <c r="G426">
        <v>8.09</v>
      </c>
      <c r="H426" s="1">
        <v>0</v>
      </c>
      <c r="I426" s="1">
        <v>0</v>
      </c>
      <c r="J426" s="1">
        <v>2.0303</v>
      </c>
      <c r="K426" s="1">
        <v>-4.0159999999999996E-3</v>
      </c>
      <c r="L426" s="1">
        <v>2.5869999999999999E-3</v>
      </c>
      <c r="M426" s="1">
        <v>0.84173600000000004</v>
      </c>
      <c r="N426" s="1">
        <v>0.53986699999999999</v>
      </c>
      <c r="O426">
        <v>1</v>
      </c>
      <c r="P426">
        <v>0</v>
      </c>
      <c r="Q426">
        <v>1</v>
      </c>
      <c r="R426">
        <v>1</v>
      </c>
      <c r="S426">
        <v>1</v>
      </c>
      <c r="T426" s="1">
        <f>SQRT(POWER(Hybrid[[#This Row],[angvel_X]],2) + POWER(Hybrid[[#This Row],[angvel_Y]],2) + POWER(Hybrid[[#This Row],[angvel_Z]],2))</f>
        <v>2.0303</v>
      </c>
      <c r="U426">
        <f>DEGREES(ASIN(MAX(-1,MIN(1,2 * (Hybrid[[#This Row],[quart_W]]*Hybrid[[#This Row],[quart_Y]] - Hybrid[[#This Row],[quart_Z]]*Hybrid[[#This Row],[quart_X]])))))</f>
        <v>0.54741767238866657</v>
      </c>
      <c r="V42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-24.649879555449782</v>
      </c>
      <c r="W42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89.998915323052856</v>
      </c>
      <c r="X426">
        <f>IF(Hybrid[[#This Row],[Yaw]]&gt;V425,(360-ABS(Hybrid[[#This Row],[Yaw]])-ABS(V425)),ABS(Hybrid[[#This Row],[Yaw]]-V425))</f>
        <v>0.9691794770740394</v>
      </c>
      <c r="Y426">
        <f>Hybrid[[#This Row],[Degree change]]+Y425</f>
        <v>353.80075044882108</v>
      </c>
    </row>
    <row r="427" spans="1:25">
      <c r="A427">
        <v>426</v>
      </c>
      <c r="B427">
        <v>304.03997800000002</v>
      </c>
      <c r="C427">
        <v>1936.919922</v>
      </c>
      <c r="D427">
        <v>17.010000000000002</v>
      </c>
      <c r="E427">
        <v>-865.44000200000005</v>
      </c>
      <c r="F427">
        <v>2130.9399410000001</v>
      </c>
      <c r="G427">
        <v>8.09</v>
      </c>
      <c r="H427" s="1">
        <v>0</v>
      </c>
      <c r="I427" s="1">
        <v>0</v>
      </c>
      <c r="J427" s="1">
        <v>2.0303</v>
      </c>
      <c r="K427" s="1">
        <v>-4.0379999999999999E-3</v>
      </c>
      <c r="L427" s="1">
        <v>2.5539999999999998E-3</v>
      </c>
      <c r="M427" s="1">
        <v>0.84627200000000002</v>
      </c>
      <c r="N427" s="1">
        <v>0.53273000000000004</v>
      </c>
      <c r="O427">
        <v>1</v>
      </c>
      <c r="P427">
        <v>0</v>
      </c>
      <c r="Q427">
        <v>1</v>
      </c>
      <c r="R427">
        <v>1</v>
      </c>
      <c r="S427">
        <v>1</v>
      </c>
      <c r="T427" s="1">
        <f>SQRT(POWER(Hybrid[[#This Row],[angvel_X]],2) + POWER(Hybrid[[#This Row],[angvel_Y]],2) + POWER(Hybrid[[#This Row],[angvel_Z]],2))</f>
        <v>2.0303</v>
      </c>
      <c r="U427">
        <f>DEGREES(ASIN(MAX(-1,MIN(1,2 * (Hybrid[[#This Row],[quart_W]]*Hybrid[[#This Row],[quart_Y]] - Hybrid[[#This Row],[quart_Z]]*Hybrid[[#This Row],[quart_X]])))))</f>
        <v>0.54750832429419194</v>
      </c>
      <c r="V42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-25.619023135006742</v>
      </c>
      <c r="W42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89.998829399737716</v>
      </c>
      <c r="X427">
        <f>IF(Hybrid[[#This Row],[Yaw]]&gt;V426,(360-ABS(Hybrid[[#This Row],[Yaw]])-ABS(V426)),ABS(Hybrid[[#This Row],[Yaw]]-V426))</f>
        <v>0.96914357955695962</v>
      </c>
      <c r="Y427">
        <f>Hybrid[[#This Row],[Degree change]]+Y426</f>
        <v>354.76989402837802</v>
      </c>
    </row>
    <row r="428" spans="1:25">
      <c r="A428">
        <v>427</v>
      </c>
      <c r="B428">
        <v>296.79998799999998</v>
      </c>
      <c r="C428">
        <v>1954.73999</v>
      </c>
      <c r="D428">
        <v>17.010000000000002</v>
      </c>
      <c r="E428">
        <v>-901.36999500000002</v>
      </c>
      <c r="F428">
        <v>2116</v>
      </c>
      <c r="G428">
        <v>8.09</v>
      </c>
      <c r="H428" s="1">
        <v>0</v>
      </c>
      <c r="I428" s="1">
        <v>-1E-4</v>
      </c>
      <c r="J428" s="1">
        <v>2.0303</v>
      </c>
      <c r="K428" s="1">
        <v>-4.0600000000000002E-3</v>
      </c>
      <c r="L428" s="1">
        <v>2.5219999999999999E-3</v>
      </c>
      <c r="M428" s="1">
        <v>0.85074899999999998</v>
      </c>
      <c r="N428" s="1">
        <v>0.52554999999999996</v>
      </c>
      <c r="O428">
        <v>1</v>
      </c>
      <c r="P428">
        <v>0</v>
      </c>
      <c r="Q428">
        <v>1</v>
      </c>
      <c r="R428">
        <v>1</v>
      </c>
      <c r="S428">
        <v>1</v>
      </c>
      <c r="T428" s="1">
        <f>SQRT(POWER(Hybrid[[#This Row],[angvel_X]],2) + POWER(Hybrid[[#This Row],[angvel_Y]],2) + POWER(Hybrid[[#This Row],[angvel_Z]],2))</f>
        <v>2.03030000246269</v>
      </c>
      <c r="U428">
        <f>DEGREES(ASIN(MAX(-1,MIN(1,2 * (Hybrid[[#This Row],[quart_W]]*Hybrid[[#This Row],[quart_Y]] - Hybrid[[#This Row],[quart_Z]]*Hybrid[[#This Row],[quart_X]])))))</f>
        <v>0.547696180983266</v>
      </c>
      <c r="V42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-26.588602546062123</v>
      </c>
      <c r="W42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89.998641342922909</v>
      </c>
      <c r="X428">
        <f>IF(Hybrid[[#This Row],[Yaw]]&gt;V427,(360-ABS(Hybrid[[#This Row],[Yaw]])-ABS(V427)),ABS(Hybrid[[#This Row],[Yaw]]-V427))</f>
        <v>0.96957941105538126</v>
      </c>
      <c r="Y428">
        <f>Hybrid[[#This Row],[Degree change]]+Y427</f>
        <v>355.73947343943343</v>
      </c>
    </row>
    <row r="429" spans="1:25">
      <c r="A429">
        <v>428</v>
      </c>
      <c r="B429">
        <v>289.25997899999999</v>
      </c>
      <c r="C429">
        <v>1972.429932</v>
      </c>
      <c r="D429">
        <v>17.010000000000002</v>
      </c>
      <c r="E429">
        <v>-937.03997800000002</v>
      </c>
      <c r="F429">
        <v>2100.4399410000001</v>
      </c>
      <c r="G429">
        <v>8.09</v>
      </c>
      <c r="H429" s="1">
        <v>0</v>
      </c>
      <c r="I429" s="1">
        <v>-1E-4</v>
      </c>
      <c r="J429" s="1">
        <v>2.0303</v>
      </c>
      <c r="K429" s="1">
        <v>-4.0810000000000004E-3</v>
      </c>
      <c r="L429" s="1">
        <v>2.49E-3</v>
      </c>
      <c r="M429" s="1">
        <v>0.85516599999999998</v>
      </c>
      <c r="N429" s="1">
        <v>0.51833099999999999</v>
      </c>
      <c r="O429">
        <v>1</v>
      </c>
      <c r="P429">
        <v>0</v>
      </c>
      <c r="Q429">
        <v>1</v>
      </c>
      <c r="R429">
        <v>1</v>
      </c>
      <c r="S429">
        <v>1</v>
      </c>
      <c r="T429" s="1">
        <f>SQRT(POWER(Hybrid[[#This Row],[angvel_X]],2) + POWER(Hybrid[[#This Row],[angvel_Y]],2) + POWER(Hybrid[[#This Row],[angvel_Z]],2))</f>
        <v>2.03030000246269</v>
      </c>
      <c r="U429">
        <f>DEGREES(ASIN(MAX(-1,MIN(1,2 * (Hybrid[[#This Row],[quart_W]]*Hybrid[[#This Row],[quart_Y]] - Hybrid[[#This Row],[quart_Z]]*Hybrid[[#This Row],[quart_X]])))))</f>
        <v>0.54782207656486848</v>
      </c>
      <c r="V42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-27.558379171051385</v>
      </c>
      <c r="W42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89.998389395991325</v>
      </c>
      <c r="X429">
        <f>IF(Hybrid[[#This Row],[Yaw]]&gt;V428,(360-ABS(Hybrid[[#This Row],[Yaw]])-ABS(V428)),ABS(Hybrid[[#This Row],[Yaw]]-V428))</f>
        <v>0.96977662498926165</v>
      </c>
      <c r="Y429">
        <f>Hybrid[[#This Row],[Degree change]]+Y428</f>
        <v>356.70925006442269</v>
      </c>
    </row>
    <row r="430" spans="1:25">
      <c r="A430">
        <v>429</v>
      </c>
      <c r="B430">
        <v>281.419983</v>
      </c>
      <c r="C430">
        <v>1989.98999</v>
      </c>
      <c r="D430">
        <v>17.010000000000002</v>
      </c>
      <c r="E430">
        <v>-972.44995100000006</v>
      </c>
      <c r="F430">
        <v>2084.290039</v>
      </c>
      <c r="G430">
        <v>8.09</v>
      </c>
      <c r="H430" s="1">
        <v>0</v>
      </c>
      <c r="I430" s="1">
        <v>-1E-4</v>
      </c>
      <c r="J430" s="1">
        <v>2.0303</v>
      </c>
      <c r="K430" s="1">
        <v>-4.1029999999999999E-3</v>
      </c>
      <c r="L430" s="1">
        <v>2.457E-3</v>
      </c>
      <c r="M430" s="1">
        <v>0.85951900000000003</v>
      </c>
      <c r="N430" s="1">
        <v>0.51108100000000001</v>
      </c>
      <c r="O430">
        <v>1</v>
      </c>
      <c r="P430">
        <v>0</v>
      </c>
      <c r="Q430">
        <v>1</v>
      </c>
      <c r="R430">
        <v>1</v>
      </c>
      <c r="S430">
        <v>1</v>
      </c>
      <c r="T430" s="1">
        <f>SQRT(POWER(Hybrid[[#This Row],[angvel_X]],2) + POWER(Hybrid[[#This Row],[angvel_Y]],2) + POWER(Hybrid[[#This Row],[angvel_Z]],2))</f>
        <v>2.03030000246269</v>
      </c>
      <c r="U430">
        <f>DEGREES(ASIN(MAX(-1,MIN(1,2 * (Hybrid[[#This Row],[quart_W]]*Hybrid[[#This Row],[quart_Y]] - Hybrid[[#This Row],[quart_Z]]*Hybrid[[#This Row],[quart_X]])))))</f>
        <v>0.54802328997930216</v>
      </c>
      <c r="V43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-28.52746982946659</v>
      </c>
      <c r="W43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89.998295620114448</v>
      </c>
      <c r="X430">
        <f>IF(Hybrid[[#This Row],[Yaw]]&gt;V429,(360-ABS(Hybrid[[#This Row],[Yaw]])-ABS(V429)),ABS(Hybrid[[#This Row],[Yaw]]-V429))</f>
        <v>0.96909065841520459</v>
      </c>
      <c r="Y430">
        <f>Hybrid[[#This Row],[Degree change]]+Y429</f>
        <v>357.6783407228379</v>
      </c>
    </row>
    <row r="431" spans="1:25">
      <c r="A431">
        <v>430</v>
      </c>
      <c r="B431">
        <v>273.27999899999998</v>
      </c>
      <c r="C431">
        <v>2007.419922</v>
      </c>
      <c r="D431">
        <v>17.010000000000002</v>
      </c>
      <c r="E431">
        <v>-1007.570007</v>
      </c>
      <c r="F431">
        <v>2067.540039</v>
      </c>
      <c r="G431">
        <v>8.09</v>
      </c>
      <c r="H431" s="1">
        <v>0</v>
      </c>
      <c r="I431" s="1">
        <v>-1E-4</v>
      </c>
      <c r="J431" s="1">
        <v>2.0303</v>
      </c>
      <c r="K431" s="1">
        <v>-4.1240000000000001E-3</v>
      </c>
      <c r="L431" s="1">
        <v>2.4250000000000001E-3</v>
      </c>
      <c r="M431" s="1">
        <v>0.863811</v>
      </c>
      <c r="N431" s="1">
        <v>0.50379200000000002</v>
      </c>
      <c r="O431">
        <v>1</v>
      </c>
      <c r="P431">
        <v>0</v>
      </c>
      <c r="Q431">
        <v>1</v>
      </c>
      <c r="R431">
        <v>1</v>
      </c>
      <c r="S431">
        <v>1</v>
      </c>
      <c r="T431" s="1">
        <f>SQRT(POWER(Hybrid[[#This Row],[angvel_X]],2) + POWER(Hybrid[[#This Row],[angvel_Y]],2) + POWER(Hybrid[[#This Row],[angvel_Z]],2))</f>
        <v>2.03030000246269</v>
      </c>
      <c r="U431">
        <f>DEGREES(ASIN(MAX(-1,MIN(1,2 * (Hybrid[[#This Row],[quart_W]]*Hybrid[[#This Row],[quart_Y]] - Hybrid[[#This Row],[quart_Z]]*Hybrid[[#This Row],[quart_X]])))))</f>
        <v>0.54822036095519588</v>
      </c>
      <c r="V43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-29.496746349752602</v>
      </c>
      <c r="W43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89.998039997331404</v>
      </c>
      <c r="X431">
        <f>IF(Hybrid[[#This Row],[Yaw]]&gt;V430,(360-ABS(Hybrid[[#This Row],[Yaw]])-ABS(V430)),ABS(Hybrid[[#This Row],[Yaw]]-V430))</f>
        <v>0.9692765202860123</v>
      </c>
      <c r="Y431">
        <f>Hybrid[[#This Row],[Degree change]]+Y430</f>
        <v>358.64761724312393</v>
      </c>
    </row>
    <row r="432" spans="1:25">
      <c r="A432">
        <v>431</v>
      </c>
      <c r="B432">
        <v>264.85000600000001</v>
      </c>
      <c r="C432">
        <v>2024.709961</v>
      </c>
      <c r="D432">
        <v>17.010000000000002</v>
      </c>
      <c r="E432">
        <v>-1042.400024</v>
      </c>
      <c r="F432">
        <v>2050.1899410000001</v>
      </c>
      <c r="G432">
        <v>8.09</v>
      </c>
      <c r="H432" s="1">
        <v>0</v>
      </c>
      <c r="I432" s="1">
        <v>-1E-4</v>
      </c>
      <c r="J432" s="1">
        <v>2.0303</v>
      </c>
      <c r="K432" s="1">
        <v>-4.1460000000000004E-3</v>
      </c>
      <c r="L432" s="1">
        <v>2.3869999999999998E-3</v>
      </c>
      <c r="M432" s="1">
        <v>0.86804300000000001</v>
      </c>
      <c r="N432" s="1">
        <v>0.49646600000000002</v>
      </c>
      <c r="O432">
        <v>1</v>
      </c>
      <c r="P432">
        <v>0</v>
      </c>
      <c r="Q432">
        <v>1</v>
      </c>
      <c r="R432">
        <v>1</v>
      </c>
      <c r="S432">
        <v>1</v>
      </c>
      <c r="T432" s="1">
        <f>SQRT(POWER(Hybrid[[#This Row],[angvel_X]],2) + POWER(Hybrid[[#This Row],[angvel_Y]],2) + POWER(Hybrid[[#This Row],[angvel_Z]],2))</f>
        <v>2.03030000246269</v>
      </c>
      <c r="U432">
        <f>DEGREES(ASIN(MAX(-1,MIN(1,2 * (Hybrid[[#This Row],[quart_W]]*Hybrid[[#This Row],[quart_Y]] - Hybrid[[#This Row],[quart_Z]]*Hybrid[[#This Row],[quart_X]])))))</f>
        <v>0.548211016273358</v>
      </c>
      <c r="V43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-30.466326485442924</v>
      </c>
      <c r="W43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89.998433392350449</v>
      </c>
      <c r="X432">
        <f>IF(Hybrid[[#This Row],[Yaw]]&gt;V431,(360-ABS(Hybrid[[#This Row],[Yaw]])-ABS(V431)),ABS(Hybrid[[#This Row],[Yaw]]-V431))</f>
        <v>0.96958013569032175</v>
      </c>
      <c r="Y432">
        <f>Hybrid[[#This Row],[Degree change]]+Y431</f>
        <v>359.61719737881424</v>
      </c>
    </row>
    <row r="433" spans="1:25">
      <c r="A433">
        <v>432</v>
      </c>
      <c r="B433">
        <v>256.13000499999998</v>
      </c>
      <c r="C433">
        <v>2041.849976</v>
      </c>
      <c r="D433">
        <v>17.010000000000002</v>
      </c>
      <c r="E433">
        <v>-1076.9399410000001</v>
      </c>
      <c r="F433">
        <v>2032.2698969999999</v>
      </c>
      <c r="G433">
        <v>8.09</v>
      </c>
      <c r="H433" s="1">
        <v>0</v>
      </c>
      <c r="I433" s="1">
        <v>-1E-4</v>
      </c>
      <c r="J433" s="1">
        <v>2.0303</v>
      </c>
      <c r="K433" s="1">
        <v>-4.1669999999999997E-3</v>
      </c>
      <c r="L433" s="1">
        <v>2.349E-3</v>
      </c>
      <c r="M433" s="1">
        <v>0.87221000000000004</v>
      </c>
      <c r="N433" s="1">
        <v>0.48910799999999999</v>
      </c>
      <c r="O433">
        <v>1</v>
      </c>
      <c r="P433">
        <v>0</v>
      </c>
      <c r="Q433">
        <v>1</v>
      </c>
      <c r="R433">
        <v>1</v>
      </c>
      <c r="S433">
        <v>1</v>
      </c>
      <c r="T433" s="1">
        <f>SQRT(POWER(Hybrid[[#This Row],[angvel_X]],2) + POWER(Hybrid[[#This Row],[angvel_Y]],2) + POWER(Hybrid[[#This Row],[angvel_Z]],2))</f>
        <v>2.03030000246269</v>
      </c>
      <c r="U433">
        <f>DEGREES(ASIN(MAX(-1,MIN(1,2 * (Hybrid[[#This Row],[quart_W]]*Hybrid[[#This Row],[quart_Y]] - Hybrid[[#This Row],[quart_Z]]*Hybrid[[#This Row],[quart_X]])))))</f>
        <v>0.54814720212630585</v>
      </c>
      <c r="V43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-31.435314897691327</v>
      </c>
      <c r="W43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89.998772868322192</v>
      </c>
      <c r="X433">
        <f>IF(Hybrid[[#This Row],[Yaw]]&gt;V432,(360-ABS(Hybrid[[#This Row],[Yaw]])-ABS(V432)),ABS(Hybrid[[#This Row],[Yaw]]-V432))</f>
        <v>0.96898841224840382</v>
      </c>
      <c r="Y433">
        <f>Hybrid[[#This Row],[Degree change]]+Y432</f>
        <v>360.58618579106263</v>
      </c>
    </row>
    <row r="434" spans="1:25">
      <c r="A434">
        <v>433</v>
      </c>
      <c r="B434">
        <v>247.11999499999999</v>
      </c>
      <c r="C434">
        <v>2058.8398440000001</v>
      </c>
      <c r="D434">
        <v>17.010000000000002</v>
      </c>
      <c r="E434">
        <v>-1111.169922</v>
      </c>
      <c r="F434">
        <v>2013.76001</v>
      </c>
      <c r="G434">
        <v>8.09</v>
      </c>
      <c r="H434" s="1">
        <v>0</v>
      </c>
      <c r="I434" s="1">
        <v>-1E-4</v>
      </c>
      <c r="J434" s="1">
        <v>2.0303</v>
      </c>
      <c r="K434" s="1">
        <v>-4.189E-3</v>
      </c>
      <c r="L434" s="1">
        <v>2.3119999999999998E-3</v>
      </c>
      <c r="M434" s="1">
        <v>0.87631700000000001</v>
      </c>
      <c r="N434" s="1">
        <v>0.481711</v>
      </c>
      <c r="O434">
        <v>1</v>
      </c>
      <c r="P434">
        <v>0</v>
      </c>
      <c r="Q434">
        <v>1</v>
      </c>
      <c r="R434">
        <v>1</v>
      </c>
      <c r="S434">
        <v>1</v>
      </c>
      <c r="T434" s="1">
        <f>SQRT(POWER(Hybrid[[#This Row],[angvel_X]],2) + POWER(Hybrid[[#This Row],[angvel_Y]],2) + POWER(Hybrid[[#This Row],[angvel_Z]],2))</f>
        <v>2.03030000246269</v>
      </c>
      <c r="U434">
        <f>DEGREES(ASIN(MAX(-1,MIN(1,2 * (Hybrid[[#This Row],[quart_W]]*Hybrid[[#This Row],[quart_Y]] - Hybrid[[#This Row],[quart_Z]]*Hybrid[[#This Row],[quart_X]])))))</f>
        <v>0.54828402876290649</v>
      </c>
      <c r="V43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-32.404852933988792</v>
      </c>
      <c r="W43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89.999065173690468</v>
      </c>
      <c r="X434">
        <f>IF(Hybrid[[#This Row],[Yaw]]&gt;V433,(360-ABS(Hybrid[[#This Row],[Yaw]])-ABS(V433)),ABS(Hybrid[[#This Row],[Yaw]]-V433))</f>
        <v>0.9695380362974646</v>
      </c>
      <c r="Y434">
        <f>Hybrid[[#This Row],[Degree change]]+Y433</f>
        <v>361.55572382736011</v>
      </c>
    </row>
    <row r="435" spans="1:25">
      <c r="A435">
        <v>434</v>
      </c>
      <c r="B435">
        <v>237.81999200000001</v>
      </c>
      <c r="C435">
        <v>2075.679932</v>
      </c>
      <c r="D435">
        <v>17.010000000000002</v>
      </c>
      <c r="E435">
        <v>-1145.079956</v>
      </c>
      <c r="F435">
        <v>1994.669922</v>
      </c>
      <c r="G435">
        <v>8.09</v>
      </c>
      <c r="H435" s="1">
        <v>0</v>
      </c>
      <c r="I435" s="1">
        <v>-1E-4</v>
      </c>
      <c r="J435" s="1">
        <v>2.0303</v>
      </c>
      <c r="K435" s="1">
        <v>-4.2110000000000003E-3</v>
      </c>
      <c r="L435" s="1">
        <v>2.274E-3</v>
      </c>
      <c r="M435" s="1">
        <v>0.88036000000000003</v>
      </c>
      <c r="N435" s="1">
        <v>0.47428300000000001</v>
      </c>
      <c r="O435">
        <v>1</v>
      </c>
      <c r="P435">
        <v>0</v>
      </c>
      <c r="Q435">
        <v>1</v>
      </c>
      <c r="R435">
        <v>1</v>
      </c>
      <c r="S435">
        <v>1</v>
      </c>
      <c r="T435" s="1">
        <f>SQRT(POWER(Hybrid[[#This Row],[angvel_X]],2) + POWER(Hybrid[[#This Row],[angvel_Y]],2) + POWER(Hybrid[[#This Row],[angvel_Z]],2))</f>
        <v>2.03030000246269</v>
      </c>
      <c r="U435">
        <f>DEGREES(ASIN(MAX(-1,MIN(1,2 * (Hybrid[[#This Row],[quart_W]]*Hybrid[[#This Row],[quart_Y]] - Hybrid[[#This Row],[quart_Z]]*Hybrid[[#This Row],[quart_X]])))))</f>
        <v>0.54841097417822604</v>
      </c>
      <c r="V43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-33.374021137698612</v>
      </c>
      <c r="W43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89.999457621671496</v>
      </c>
      <c r="X435">
        <f>IF(Hybrid[[#This Row],[Yaw]]&gt;V434,(360-ABS(Hybrid[[#This Row],[Yaw]])-ABS(V434)),ABS(Hybrid[[#This Row],[Yaw]]-V434))</f>
        <v>0.96916820370982038</v>
      </c>
      <c r="Y435">
        <f>Hybrid[[#This Row],[Degree change]]+Y434</f>
        <v>362.52489203106995</v>
      </c>
    </row>
    <row r="436" spans="1:25">
      <c r="A436">
        <v>435</v>
      </c>
      <c r="B436">
        <v>228.23999000000001</v>
      </c>
      <c r="C436">
        <v>2092.3598630000001</v>
      </c>
      <c r="D436">
        <v>17.010000000000002</v>
      </c>
      <c r="E436">
        <v>-1178.660034</v>
      </c>
      <c r="F436">
        <v>1975.01001</v>
      </c>
      <c r="G436">
        <v>8.09</v>
      </c>
      <c r="H436" s="1">
        <v>0</v>
      </c>
      <c r="I436" s="1">
        <v>-1E-4</v>
      </c>
      <c r="J436" s="1">
        <v>2.0303</v>
      </c>
      <c r="K436" s="1">
        <v>-4.2319999999999997E-3</v>
      </c>
      <c r="L436" s="1">
        <v>2.2360000000000001E-3</v>
      </c>
      <c r="M436" s="1">
        <v>0.88434100000000004</v>
      </c>
      <c r="N436" s="1">
        <v>0.46681600000000001</v>
      </c>
      <c r="O436">
        <v>1</v>
      </c>
      <c r="P436">
        <v>0</v>
      </c>
      <c r="Q436">
        <v>1</v>
      </c>
      <c r="R436">
        <v>1</v>
      </c>
      <c r="S436">
        <v>1</v>
      </c>
      <c r="T436" s="1">
        <f>SQRT(POWER(Hybrid[[#This Row],[angvel_X]],2) + POWER(Hybrid[[#This Row],[angvel_Y]],2) + POWER(Hybrid[[#This Row],[angvel_Z]],2))</f>
        <v>2.03030000246269</v>
      </c>
      <c r="U436">
        <f>DEGREES(ASIN(MAX(-1,MIN(1,2 * (Hybrid[[#This Row],[quart_W]]*Hybrid[[#This Row],[quart_Y]] - Hybrid[[#This Row],[quart_Z]]*Hybrid[[#This Row],[quart_X]])))))</f>
        <v>0.54848158712761386</v>
      </c>
      <c r="V43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-34.34360986134142</v>
      </c>
      <c r="W43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89.999791300415595</v>
      </c>
      <c r="X436">
        <f>IF(Hybrid[[#This Row],[Yaw]]&gt;V435,(360-ABS(Hybrid[[#This Row],[Yaw]])-ABS(V435)),ABS(Hybrid[[#This Row],[Yaw]]-V435))</f>
        <v>0.96958872364280779</v>
      </c>
      <c r="Y436">
        <f>Hybrid[[#This Row],[Degree change]]+Y435</f>
        <v>363.49448075471275</v>
      </c>
    </row>
    <row r="437" spans="1:25">
      <c r="A437">
        <v>436</v>
      </c>
      <c r="B437">
        <v>218.37998999999999</v>
      </c>
      <c r="C437">
        <v>2108.8798830000001</v>
      </c>
      <c r="D437">
        <v>17.010000000000002</v>
      </c>
      <c r="E437">
        <v>-1211.9099120000001</v>
      </c>
      <c r="F437">
        <v>1954.7899170000001</v>
      </c>
      <c r="G437">
        <v>8.09</v>
      </c>
      <c r="H437" s="1">
        <v>0</v>
      </c>
      <c r="I437" s="1">
        <v>0</v>
      </c>
      <c r="J437" s="1">
        <v>2.0303</v>
      </c>
      <c r="K437" s="1">
        <v>-4.254E-3</v>
      </c>
      <c r="L437" s="1">
        <v>2.1979999999999999E-3</v>
      </c>
      <c r="M437" s="1">
        <v>0.88825900000000002</v>
      </c>
      <c r="N437" s="1">
        <v>0.45931699999999998</v>
      </c>
      <c r="O437">
        <v>1</v>
      </c>
      <c r="P437">
        <v>0</v>
      </c>
      <c r="Q437">
        <v>1</v>
      </c>
      <c r="R437">
        <v>1</v>
      </c>
      <c r="S437">
        <v>1</v>
      </c>
      <c r="T437" s="1">
        <f>SQRT(POWER(Hybrid[[#This Row],[angvel_X]],2) + POWER(Hybrid[[#This Row],[angvel_Y]],2) + POWER(Hybrid[[#This Row],[angvel_Z]],2))</f>
        <v>2.0303</v>
      </c>
      <c r="U437">
        <f>DEGREES(ASIN(MAX(-1,MIN(1,2 * (Hybrid[[#This Row],[quart_W]]*Hybrid[[#This Row],[quart_Y]] - Hybrid[[#This Row],[quart_Z]]*Hybrid[[#This Row],[quart_X]])))))</f>
        <v>0.54869942008172123</v>
      </c>
      <c r="V43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-35.313162913270496</v>
      </c>
      <c r="W43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90.00017662073509</v>
      </c>
      <c r="X437">
        <f>IF(Hybrid[[#This Row],[Yaw]]&gt;V436,(360-ABS(Hybrid[[#This Row],[Yaw]])-ABS(V436)),ABS(Hybrid[[#This Row],[Yaw]]-V436))</f>
        <v>0.96955305192907559</v>
      </c>
      <c r="Y437">
        <f>Hybrid[[#This Row],[Degree change]]+Y436</f>
        <v>364.46403380664185</v>
      </c>
    </row>
    <row r="438" spans="1:25">
      <c r="A438">
        <v>437</v>
      </c>
      <c r="B438">
        <v>208.23999000000001</v>
      </c>
      <c r="C438">
        <v>2125.2299800000001</v>
      </c>
      <c r="D438">
        <v>17.010000000000002</v>
      </c>
      <c r="E438">
        <v>-1244.809937</v>
      </c>
      <c r="F438">
        <v>1934</v>
      </c>
      <c r="G438">
        <v>8.09</v>
      </c>
      <c r="H438" s="1">
        <v>0</v>
      </c>
      <c r="I438" s="1">
        <v>0</v>
      </c>
      <c r="J438" s="1">
        <v>2.0303</v>
      </c>
      <c r="K438" s="1">
        <v>-4.2700000000000004E-3</v>
      </c>
      <c r="L438" s="1">
        <v>2.1610000000000002E-3</v>
      </c>
      <c r="M438" s="1">
        <v>0.89211300000000004</v>
      </c>
      <c r="N438" s="1">
        <v>0.45178600000000002</v>
      </c>
      <c r="O438">
        <v>1</v>
      </c>
      <c r="P438">
        <v>0</v>
      </c>
      <c r="Q438">
        <v>1</v>
      </c>
      <c r="R438">
        <v>1</v>
      </c>
      <c r="S438">
        <v>1</v>
      </c>
      <c r="T438" s="1">
        <f>SQRT(POWER(Hybrid[[#This Row],[angvel_X]],2) + POWER(Hybrid[[#This Row],[angvel_Y]],2) + POWER(Hybrid[[#This Row],[angvel_Z]],2))</f>
        <v>2.0303</v>
      </c>
      <c r="U438">
        <f>DEGREES(ASIN(MAX(-1,MIN(1,2 * (Hybrid[[#This Row],[quart_W]]*Hybrid[[#This Row],[quart_Y]] - Hybrid[[#This Row],[quart_Z]]*Hybrid[[#This Row],[quart_X]])))))</f>
        <v>0.54840141153296129</v>
      </c>
      <c r="V43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-36.282607435501198</v>
      </c>
      <c r="W43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90.000145541040538</v>
      </c>
      <c r="X438">
        <f>IF(Hybrid[[#This Row],[Yaw]]&gt;V437,(360-ABS(Hybrid[[#This Row],[Yaw]])-ABS(V437)),ABS(Hybrid[[#This Row],[Yaw]]-V437))</f>
        <v>0.96944452223070243</v>
      </c>
      <c r="Y438">
        <f>Hybrid[[#This Row],[Degree change]]+Y437</f>
        <v>365.43347832887252</v>
      </c>
    </row>
    <row r="439" spans="1:25">
      <c r="A439">
        <v>438</v>
      </c>
      <c r="B439">
        <v>197.83000200000001</v>
      </c>
      <c r="C439">
        <v>2141.3999020000001</v>
      </c>
      <c r="D439">
        <v>17.010000000000002</v>
      </c>
      <c r="E439">
        <v>-1277.349976</v>
      </c>
      <c r="F439">
        <v>1912.6599120000001</v>
      </c>
      <c r="G439">
        <v>8.09</v>
      </c>
      <c r="H439" s="1">
        <v>0</v>
      </c>
      <c r="I439" s="1">
        <v>0</v>
      </c>
      <c r="J439" s="1">
        <v>2.0303</v>
      </c>
      <c r="K439" s="1">
        <v>-4.2859999999999999E-3</v>
      </c>
      <c r="L439" s="1">
        <v>2.1229999999999999E-3</v>
      </c>
      <c r="M439" s="1">
        <v>0.895903</v>
      </c>
      <c r="N439" s="1">
        <v>0.44422299999999998</v>
      </c>
      <c r="O439">
        <v>1</v>
      </c>
      <c r="P439">
        <v>0</v>
      </c>
      <c r="Q439">
        <v>1</v>
      </c>
      <c r="R439">
        <v>1</v>
      </c>
      <c r="S439">
        <v>1</v>
      </c>
      <c r="T439" s="1">
        <f>SQRT(POWER(Hybrid[[#This Row],[angvel_X]],2) + POWER(Hybrid[[#This Row],[angvel_Y]],2) + POWER(Hybrid[[#This Row],[angvel_Z]],2))</f>
        <v>2.0303</v>
      </c>
      <c r="U439">
        <f>DEGREES(ASIN(MAX(-1,MIN(1,2 * (Hybrid[[#This Row],[quart_W]]*Hybrid[[#This Row],[quart_Y]] - Hybrid[[#This Row],[quart_Z]]*Hybrid[[#This Row],[quart_X]])))))</f>
        <v>0.54809127029177884</v>
      </c>
      <c r="V43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-37.252010582223114</v>
      </c>
      <c r="W43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90.000222055255122</v>
      </c>
      <c r="X439">
        <f>IF(Hybrid[[#This Row],[Yaw]]&gt;V438,(360-ABS(Hybrid[[#This Row],[Yaw]])-ABS(V438)),ABS(Hybrid[[#This Row],[Yaw]]-V438))</f>
        <v>0.96940314672191619</v>
      </c>
      <c r="Y439">
        <f>Hybrid[[#This Row],[Degree change]]+Y438</f>
        <v>366.40288147559443</v>
      </c>
    </row>
    <row r="440" spans="1:25">
      <c r="A440">
        <v>439</v>
      </c>
      <c r="B440">
        <v>187.13999899999999</v>
      </c>
      <c r="C440">
        <v>2157.389893</v>
      </c>
      <c r="D440">
        <v>17.010000000000002</v>
      </c>
      <c r="E440">
        <v>-1309.530029</v>
      </c>
      <c r="F440">
        <v>1890.7799070000001</v>
      </c>
      <c r="G440">
        <v>8.09</v>
      </c>
      <c r="H440" s="1">
        <v>0</v>
      </c>
      <c r="I440" s="1">
        <v>0</v>
      </c>
      <c r="J440" s="1">
        <v>2.0303</v>
      </c>
      <c r="K440" s="1">
        <v>-4.3020000000000003E-3</v>
      </c>
      <c r="L440" s="1">
        <v>2.085E-3</v>
      </c>
      <c r="M440" s="1">
        <v>0.89963000000000004</v>
      </c>
      <c r="N440" s="1">
        <v>0.43662699999999999</v>
      </c>
      <c r="O440">
        <v>1</v>
      </c>
      <c r="P440">
        <v>0</v>
      </c>
      <c r="Q440">
        <v>1</v>
      </c>
      <c r="R440">
        <v>1</v>
      </c>
      <c r="S440">
        <v>1</v>
      </c>
      <c r="T440" s="1">
        <f>SQRT(POWER(Hybrid[[#This Row],[angvel_X]],2) + POWER(Hybrid[[#This Row],[angvel_Y]],2) + POWER(Hybrid[[#This Row],[angvel_Z]],2))</f>
        <v>2.0303</v>
      </c>
      <c r="U440">
        <f>DEGREES(ASIN(MAX(-1,MIN(1,2 * (Hybrid[[#This Row],[quart_W]]*Hybrid[[#This Row],[quart_Y]] - Hybrid[[#This Row],[quart_Z]]*Hybrid[[#This Row],[quart_X]])))))</f>
        <v>0.54782195268573075</v>
      </c>
      <c r="V44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-38.221637006321416</v>
      </c>
      <c r="W44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90.000302627680199</v>
      </c>
      <c r="X440">
        <f>IF(Hybrid[[#This Row],[Yaw]]&gt;V439,(360-ABS(Hybrid[[#This Row],[Yaw]])-ABS(V439)),ABS(Hybrid[[#This Row],[Yaw]]-V439))</f>
        <v>0.96962642409830124</v>
      </c>
      <c r="Y440">
        <f>Hybrid[[#This Row],[Degree change]]+Y439</f>
        <v>367.37250789969272</v>
      </c>
    </row>
    <row r="441" spans="1:25">
      <c r="A441">
        <v>440</v>
      </c>
      <c r="B441">
        <v>176.179993</v>
      </c>
      <c r="C441">
        <v>2173.1999510000001</v>
      </c>
      <c r="D441">
        <v>17.010000000000002</v>
      </c>
      <c r="E441">
        <v>-1341.329956</v>
      </c>
      <c r="F441">
        <v>1868.349976</v>
      </c>
      <c r="G441">
        <v>8.09</v>
      </c>
      <c r="H441" s="1">
        <v>0</v>
      </c>
      <c r="I441" s="1">
        <v>0</v>
      </c>
      <c r="J441" s="1">
        <v>2.0303</v>
      </c>
      <c r="K441" s="1">
        <v>-4.3189999999999999E-3</v>
      </c>
      <c r="L441" s="1">
        <v>2.0470000000000002E-3</v>
      </c>
      <c r="M441" s="1">
        <v>0.90329199999999998</v>
      </c>
      <c r="N441" s="1">
        <v>0.42899900000000002</v>
      </c>
      <c r="O441">
        <v>1</v>
      </c>
      <c r="P441">
        <v>0</v>
      </c>
      <c r="Q441">
        <v>1</v>
      </c>
      <c r="R441">
        <v>1</v>
      </c>
      <c r="S441">
        <v>1</v>
      </c>
      <c r="T441" s="1">
        <f>SQRT(POWER(Hybrid[[#This Row],[angvel_X]],2) + POWER(Hybrid[[#This Row],[angvel_Y]],2) + POWER(Hybrid[[#This Row],[angvel_Z]],2))</f>
        <v>2.0303</v>
      </c>
      <c r="U441">
        <f>DEGREES(ASIN(MAX(-1,MIN(1,2 * (Hybrid[[#This Row],[quart_W]]*Hybrid[[#This Row],[quart_Y]] - Hybrid[[#This Row],[quart_Z]]*Hybrid[[#This Row],[quart_X]])))))</f>
        <v>0.54769630257046498</v>
      </c>
      <c r="V44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-39.191233127604839</v>
      </c>
      <c r="W44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90.00043637966661</v>
      </c>
      <c r="X441">
        <f>IF(Hybrid[[#This Row],[Yaw]]&gt;V440,(360-ABS(Hybrid[[#This Row],[Yaw]])-ABS(V440)),ABS(Hybrid[[#This Row],[Yaw]]-V440))</f>
        <v>0.96959612128342343</v>
      </c>
      <c r="Y441">
        <f>Hybrid[[#This Row],[Degree change]]+Y440</f>
        <v>368.34210402097614</v>
      </c>
    </row>
    <row r="442" spans="1:25">
      <c r="A442">
        <v>441</v>
      </c>
      <c r="B442">
        <v>164.959991</v>
      </c>
      <c r="C442">
        <v>2188.820068</v>
      </c>
      <c r="D442">
        <v>17.010000000000002</v>
      </c>
      <c r="E442">
        <v>-1372.75</v>
      </c>
      <c r="F442">
        <v>1845.3900149999999</v>
      </c>
      <c r="G442">
        <v>8.09</v>
      </c>
      <c r="H442" s="1">
        <v>0</v>
      </c>
      <c r="I442" s="1">
        <v>0</v>
      </c>
      <c r="J442" s="1">
        <v>2.0303</v>
      </c>
      <c r="K442" s="1">
        <v>-4.3350000000000003E-3</v>
      </c>
      <c r="L442" s="1">
        <v>2.0100000000000001E-3</v>
      </c>
      <c r="M442" s="1">
        <v>0.90688899999999995</v>
      </c>
      <c r="N442" s="1">
        <v>0.42134300000000002</v>
      </c>
      <c r="O442">
        <v>1</v>
      </c>
      <c r="P442">
        <v>0</v>
      </c>
      <c r="Q442">
        <v>1</v>
      </c>
      <c r="R442">
        <v>1</v>
      </c>
      <c r="S442">
        <v>1</v>
      </c>
      <c r="T442" s="1">
        <f>SQRT(POWER(Hybrid[[#This Row],[angvel_X]],2) + POWER(Hybrid[[#This Row],[angvel_Y]],2) + POWER(Hybrid[[#This Row],[angvel_Z]],2))</f>
        <v>2.0303</v>
      </c>
      <c r="U442">
        <f>DEGREES(ASIN(MAX(-1,MIN(1,2 * (Hybrid[[#This Row],[quart_W]]*Hybrid[[#This Row],[quart_Y]] - Hybrid[[#This Row],[quart_Z]]*Hybrid[[#This Row],[quart_X]])))))</f>
        <v>0.5475569693716541</v>
      </c>
      <c r="V44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-40.160607837211366</v>
      </c>
      <c r="W44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90.000421144929717</v>
      </c>
      <c r="X442">
        <f>IF(Hybrid[[#This Row],[Yaw]]&gt;V441,(360-ABS(Hybrid[[#This Row],[Yaw]])-ABS(V441)),ABS(Hybrid[[#This Row],[Yaw]]-V441))</f>
        <v>0.96937470960652661</v>
      </c>
      <c r="Y442">
        <f>Hybrid[[#This Row],[Degree change]]+Y441</f>
        <v>369.31147873058268</v>
      </c>
    </row>
    <row r="443" spans="1:25">
      <c r="A443">
        <v>442</v>
      </c>
      <c r="B443">
        <v>153.479996</v>
      </c>
      <c r="C443">
        <v>2204.25</v>
      </c>
      <c r="D443">
        <v>17.010000000000002</v>
      </c>
      <c r="E443">
        <v>-1403.780029</v>
      </c>
      <c r="F443">
        <v>1821.8999020000001</v>
      </c>
      <c r="G443">
        <v>8.09</v>
      </c>
      <c r="H443" s="1">
        <v>0</v>
      </c>
      <c r="I443" s="1">
        <v>0</v>
      </c>
      <c r="J443" s="1">
        <v>2.0303</v>
      </c>
      <c r="K443" s="1">
        <v>-4.3509999999999998E-3</v>
      </c>
      <c r="L443" s="1">
        <v>1.9719999999999998E-3</v>
      </c>
      <c r="M443" s="1">
        <v>0.91042100000000004</v>
      </c>
      <c r="N443" s="1">
        <v>0.41365600000000002</v>
      </c>
      <c r="O443">
        <v>1</v>
      </c>
      <c r="P443">
        <v>0</v>
      </c>
      <c r="Q443">
        <v>1</v>
      </c>
      <c r="R443">
        <v>1</v>
      </c>
      <c r="S443">
        <v>1</v>
      </c>
      <c r="T443" s="1">
        <f>SQRT(POWER(Hybrid[[#This Row],[angvel_X]],2) + POWER(Hybrid[[#This Row],[angvel_Y]],2) + POWER(Hybrid[[#This Row],[angvel_Z]],2))</f>
        <v>2.0303</v>
      </c>
      <c r="U443">
        <f>DEGREES(ASIN(MAX(-1,MIN(1,2 * (Hybrid[[#This Row],[quart_W]]*Hybrid[[#This Row],[quart_Y]] - Hybrid[[#This Row],[quart_Z]]*Hybrid[[#This Row],[quart_X]])))))</f>
        <v>0.54740892842444921</v>
      </c>
      <c r="V443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-41.130024569546528</v>
      </c>
      <c r="W443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90.000511908899696</v>
      </c>
      <c r="X443">
        <f>IF(Hybrid[[#This Row],[Yaw]]&gt;V442,(360-ABS(Hybrid[[#This Row],[Yaw]])-ABS(V442)),ABS(Hybrid[[#This Row],[Yaw]]-V442))</f>
        <v>0.96941673233516212</v>
      </c>
      <c r="Y443">
        <f>Hybrid[[#This Row],[Degree change]]+Y442</f>
        <v>370.28089546291784</v>
      </c>
    </row>
    <row r="444" spans="1:25">
      <c r="A444">
        <v>443</v>
      </c>
      <c r="B444">
        <v>141.73999000000001</v>
      </c>
      <c r="C444">
        <v>2219.4799800000001</v>
      </c>
      <c r="D444">
        <v>17.010000000000002</v>
      </c>
      <c r="E444">
        <v>-1434.400024</v>
      </c>
      <c r="F444">
        <v>1797.8900149999999</v>
      </c>
      <c r="G444">
        <v>8.09</v>
      </c>
      <c r="H444" s="1">
        <v>0</v>
      </c>
      <c r="I444" s="1">
        <v>0</v>
      </c>
      <c r="J444" s="1">
        <v>2.0303</v>
      </c>
      <c r="K444" s="1">
        <v>-4.3670000000000002E-3</v>
      </c>
      <c r="L444" s="1">
        <v>1.934E-3</v>
      </c>
      <c r="M444" s="1">
        <v>0.913887</v>
      </c>
      <c r="N444" s="1">
        <v>0.405941</v>
      </c>
      <c r="O444">
        <v>1</v>
      </c>
      <c r="P444">
        <v>0</v>
      </c>
      <c r="Q444">
        <v>1</v>
      </c>
      <c r="R444">
        <v>1</v>
      </c>
      <c r="S444">
        <v>1</v>
      </c>
      <c r="T444" s="1">
        <f>SQRT(POWER(Hybrid[[#This Row],[angvel_X]],2) + POWER(Hybrid[[#This Row],[angvel_Y]],2) + POWER(Hybrid[[#This Row],[angvel_Z]],2))</f>
        <v>2.0303</v>
      </c>
      <c r="U444">
        <f>DEGREES(ASIN(MAX(-1,MIN(1,2 * (Hybrid[[#This Row],[quart_W]]*Hybrid[[#This Row],[quart_Y]] - Hybrid[[#This Row],[quart_Z]]*Hybrid[[#This Row],[quart_X]])))))</f>
        <v>0.54730155352584875</v>
      </c>
      <c r="V444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-42.099223719939012</v>
      </c>
      <c r="W444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90.000605860493508</v>
      </c>
      <c r="X444">
        <f>IF(Hybrid[[#This Row],[Yaw]]&gt;V443,(360-ABS(Hybrid[[#This Row],[Yaw]])-ABS(V443)),ABS(Hybrid[[#This Row],[Yaw]]-V443))</f>
        <v>0.96919915039248394</v>
      </c>
      <c r="Y444">
        <f>Hybrid[[#This Row],[Degree change]]+Y443</f>
        <v>371.25009461331035</v>
      </c>
    </row>
    <row r="445" spans="1:25">
      <c r="A445">
        <v>444</v>
      </c>
      <c r="B445">
        <v>129.73999000000001</v>
      </c>
      <c r="C445">
        <v>2234.51001</v>
      </c>
      <c r="D445">
        <v>17.010000000000002</v>
      </c>
      <c r="E445">
        <v>-1464.6099850000001</v>
      </c>
      <c r="F445">
        <v>1773.3599850000001</v>
      </c>
      <c r="G445">
        <v>8.09</v>
      </c>
      <c r="H445" s="1">
        <v>0</v>
      </c>
      <c r="I445" s="1">
        <v>0</v>
      </c>
      <c r="J445" s="1">
        <v>2.0303</v>
      </c>
      <c r="K445" s="1">
        <v>-4.3829999999999997E-3</v>
      </c>
      <c r="L445" s="1">
        <v>1.8959999999999999E-3</v>
      </c>
      <c r="M445" s="1">
        <v>0.91728900000000002</v>
      </c>
      <c r="N445" s="1">
        <v>0.39819399999999999</v>
      </c>
      <c r="O445">
        <v>1</v>
      </c>
      <c r="P445">
        <v>0</v>
      </c>
      <c r="Q445">
        <v>1</v>
      </c>
      <c r="R445">
        <v>1</v>
      </c>
      <c r="S445">
        <v>1</v>
      </c>
      <c r="T445" s="1">
        <f>SQRT(POWER(Hybrid[[#This Row],[angvel_X]],2) + POWER(Hybrid[[#This Row],[angvel_Y]],2) + POWER(Hybrid[[#This Row],[angvel_Z]],2))</f>
        <v>2.0303</v>
      </c>
      <c r="U445">
        <f>DEGREES(ASIN(MAX(-1,MIN(1,2 * (Hybrid[[#This Row],[quart_W]]*Hybrid[[#This Row],[quart_Y]] - Hybrid[[#This Row],[quart_Z]]*Hybrid[[#This Row],[quart_X]])))))</f>
        <v>0.5472349828773917</v>
      </c>
      <c r="V445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-43.068804281913366</v>
      </c>
      <c r="W445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90.00069953980676</v>
      </c>
      <c r="X445">
        <f>IF(Hybrid[[#This Row],[Yaw]]&gt;V444,(360-ABS(Hybrid[[#This Row],[Yaw]])-ABS(V444)),ABS(Hybrid[[#This Row],[Yaw]]-V444))</f>
        <v>0.96958056197435383</v>
      </c>
      <c r="Y445">
        <f>Hybrid[[#This Row],[Degree change]]+Y444</f>
        <v>372.21967517528469</v>
      </c>
    </row>
    <row r="446" spans="1:25">
      <c r="A446">
        <v>445</v>
      </c>
      <c r="B446">
        <v>117.489998</v>
      </c>
      <c r="C446">
        <v>2249.3398440000001</v>
      </c>
      <c r="D446">
        <v>17.010000000000002</v>
      </c>
      <c r="E446">
        <v>-1494.4099120000001</v>
      </c>
      <c r="F446">
        <v>1748.329956</v>
      </c>
      <c r="G446">
        <v>8.09</v>
      </c>
      <c r="H446" s="1">
        <v>0</v>
      </c>
      <c r="I446" s="1">
        <v>0</v>
      </c>
      <c r="J446" s="1">
        <v>2.0303</v>
      </c>
      <c r="K446" s="1">
        <v>-4.3990000000000001E-3</v>
      </c>
      <c r="L446" s="1">
        <v>1.859E-3</v>
      </c>
      <c r="M446" s="1">
        <v>0.920624</v>
      </c>
      <c r="N446" s="1">
        <v>0.39041999999999999</v>
      </c>
      <c r="O446">
        <v>1</v>
      </c>
      <c r="P446">
        <v>0</v>
      </c>
      <c r="Q446">
        <v>1</v>
      </c>
      <c r="R446">
        <v>1</v>
      </c>
      <c r="S446">
        <v>1</v>
      </c>
      <c r="T446" s="1">
        <f>SQRT(POWER(Hybrid[[#This Row],[angvel_X]],2) + POWER(Hybrid[[#This Row],[angvel_Y]],2) + POWER(Hybrid[[#This Row],[angvel_Z]],2))</f>
        <v>2.0303</v>
      </c>
      <c r="U446">
        <f>DEGREES(ASIN(MAX(-1,MIN(1,2 * (Hybrid[[#This Row],[quart_W]]*Hybrid[[#This Row],[quart_Y]] - Hybrid[[#This Row],[quart_Z]]*Hybrid[[#This Row],[quart_X]])))))</f>
        <v>0.54725357563294819</v>
      </c>
      <c r="V446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-44.0381146488985</v>
      </c>
      <c r="W446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90.000689593495494</v>
      </c>
      <c r="X446">
        <f>IF(Hybrid[[#This Row],[Yaw]]&gt;V445,(360-ABS(Hybrid[[#This Row],[Yaw]])-ABS(V445)),ABS(Hybrid[[#This Row],[Yaw]]-V445))</f>
        <v>0.96931036698513395</v>
      </c>
      <c r="Y446">
        <f>Hybrid[[#This Row],[Degree change]]+Y445</f>
        <v>373.18898554226985</v>
      </c>
    </row>
    <row r="447" spans="1:25">
      <c r="A447">
        <v>446</v>
      </c>
      <c r="B447">
        <v>104.989998</v>
      </c>
      <c r="C447">
        <v>2263.959961</v>
      </c>
      <c r="D447">
        <v>17.010000000000002</v>
      </c>
      <c r="E447">
        <v>-1523.7700199999999</v>
      </c>
      <c r="F447">
        <v>1722.7899170000001</v>
      </c>
      <c r="G447">
        <v>8.09</v>
      </c>
      <c r="H447" s="1">
        <v>0</v>
      </c>
      <c r="I447" s="1">
        <v>0</v>
      </c>
      <c r="J447" s="1">
        <v>2.0303</v>
      </c>
      <c r="K447" s="1">
        <v>-4.4159999999999998E-3</v>
      </c>
      <c r="L447" s="1">
        <v>1.8209999999999999E-3</v>
      </c>
      <c r="M447" s="1">
        <v>0.92389399999999999</v>
      </c>
      <c r="N447" s="1">
        <v>0.38261899999999999</v>
      </c>
      <c r="O447">
        <v>1</v>
      </c>
      <c r="P447">
        <v>0</v>
      </c>
      <c r="Q447">
        <v>1</v>
      </c>
      <c r="R447">
        <v>1</v>
      </c>
      <c r="S447">
        <v>1</v>
      </c>
      <c r="T447" s="1">
        <f>SQRT(POWER(Hybrid[[#This Row],[angvel_X]],2) + POWER(Hybrid[[#This Row],[angvel_Y]],2) + POWER(Hybrid[[#This Row],[angvel_Z]],2))</f>
        <v>2.0303</v>
      </c>
      <c r="U447">
        <f>DEGREES(ASIN(MAX(-1,MIN(1,2 * (Hybrid[[#This Row],[quart_W]]*Hybrid[[#This Row],[quart_Y]] - Hybrid[[#This Row],[quart_Z]]*Hybrid[[#This Row],[quart_X]])))))</f>
        <v>0.54737382742801444</v>
      </c>
      <c r="V447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-45.007461635506587</v>
      </c>
      <c r="W447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90.000829053904667</v>
      </c>
      <c r="X447">
        <f>IF(Hybrid[[#This Row],[Yaw]]&gt;V446,(360-ABS(Hybrid[[#This Row],[Yaw]])-ABS(V446)),ABS(Hybrid[[#This Row],[Yaw]]-V446))</f>
        <v>0.96934698660808749</v>
      </c>
      <c r="Y447">
        <f>Hybrid[[#This Row],[Degree change]]+Y446</f>
        <v>374.15833252887796</v>
      </c>
    </row>
    <row r="448" spans="1:25">
      <c r="A448">
        <v>447</v>
      </c>
      <c r="B448">
        <v>92.239998</v>
      </c>
      <c r="C448">
        <v>2278.3698730000001</v>
      </c>
      <c r="D448">
        <v>17.010000000000002</v>
      </c>
      <c r="E448">
        <v>-1552.6999510000001</v>
      </c>
      <c r="F448">
        <v>1696.7700199999999</v>
      </c>
      <c r="G448">
        <v>8.09</v>
      </c>
      <c r="H448" s="1">
        <v>0</v>
      </c>
      <c r="I448" s="1">
        <v>0</v>
      </c>
      <c r="J448" s="1">
        <v>2.0303</v>
      </c>
      <c r="K448" s="1">
        <v>-4.4320000000000002E-3</v>
      </c>
      <c r="L448" s="1">
        <v>1.7830000000000001E-3</v>
      </c>
      <c r="M448" s="1">
        <v>0.92709699999999995</v>
      </c>
      <c r="N448" s="1">
        <v>0.37479099999999999</v>
      </c>
      <c r="O448">
        <v>1</v>
      </c>
      <c r="P448">
        <v>0</v>
      </c>
      <c r="Q448">
        <v>1</v>
      </c>
      <c r="R448">
        <v>1</v>
      </c>
      <c r="S448">
        <v>1</v>
      </c>
      <c r="T448" s="1">
        <f>SQRT(POWER(Hybrid[[#This Row],[angvel_X]],2) + POWER(Hybrid[[#This Row],[angvel_Y]],2) + POWER(Hybrid[[#This Row],[angvel_Z]],2))</f>
        <v>2.0303</v>
      </c>
      <c r="U448">
        <f>DEGREES(ASIN(MAX(-1,MIN(1,2 * (Hybrid[[#This Row],[quart_W]]*Hybrid[[#This Row],[quart_Y]] - Hybrid[[#This Row],[quart_Z]]*Hybrid[[#This Row],[quart_X]])))))</f>
        <v>0.54742896613146474</v>
      </c>
      <c r="V448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-45.976672727046299</v>
      </c>
      <c r="W448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90.000923622735598</v>
      </c>
      <c r="X448">
        <f>IF(Hybrid[[#This Row],[Yaw]]&gt;V447,(360-ABS(Hybrid[[#This Row],[Yaw]])-ABS(V447)),ABS(Hybrid[[#This Row],[Yaw]]-V447))</f>
        <v>0.9692110915397123</v>
      </c>
      <c r="Y448">
        <f>Hybrid[[#This Row],[Degree change]]+Y447</f>
        <v>375.12754362041767</v>
      </c>
    </row>
    <row r="449" spans="1:25">
      <c r="A449">
        <v>448</v>
      </c>
      <c r="B449">
        <v>79.25</v>
      </c>
      <c r="C449">
        <v>2292.5600589999999</v>
      </c>
      <c r="D449">
        <v>17.010000000000002</v>
      </c>
      <c r="E449">
        <v>-1581.179932</v>
      </c>
      <c r="F449">
        <v>1670.26001</v>
      </c>
      <c r="G449">
        <v>8.09</v>
      </c>
      <c r="H449" s="1">
        <v>0</v>
      </c>
      <c r="I449" s="1">
        <v>0</v>
      </c>
      <c r="J449" s="1">
        <v>2.0303</v>
      </c>
      <c r="K449" s="1">
        <v>-4.4479999999999997E-3</v>
      </c>
      <c r="L449" s="1">
        <v>1.745E-3</v>
      </c>
      <c r="M449" s="1">
        <v>0.93023400000000001</v>
      </c>
      <c r="N449" s="1">
        <v>0.36693700000000001</v>
      </c>
      <c r="O449">
        <v>1</v>
      </c>
      <c r="P449">
        <v>0</v>
      </c>
      <c r="Q449">
        <v>1</v>
      </c>
      <c r="R449">
        <v>1</v>
      </c>
      <c r="S449">
        <v>1</v>
      </c>
      <c r="T449" s="1">
        <f>SQRT(POWER(Hybrid[[#This Row],[angvel_X]],2) + POWER(Hybrid[[#This Row],[angvel_Y]],2) + POWER(Hybrid[[#This Row],[angvel_Z]],2))</f>
        <v>2.0303</v>
      </c>
      <c r="U449">
        <f>DEGREES(ASIN(MAX(-1,MIN(1,2 * (Hybrid[[#This Row],[quart_W]]*Hybrid[[#This Row],[quart_Y]] - Hybrid[[#This Row],[quart_Z]]*Hybrid[[#This Row],[quart_X]])))))</f>
        <v>0.54752518618065749</v>
      </c>
      <c r="V449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-46.945858464806506</v>
      </c>
      <c r="W449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90.001017326827792</v>
      </c>
      <c r="X449">
        <f>IF(Hybrid[[#This Row],[Yaw]]&gt;V448,(360-ABS(Hybrid[[#This Row],[Yaw]])-ABS(V448)),ABS(Hybrid[[#This Row],[Yaw]]-V448))</f>
        <v>0.96918573776020622</v>
      </c>
      <c r="Y449">
        <f>Hybrid[[#This Row],[Degree change]]+Y448</f>
        <v>376.09672935817787</v>
      </c>
    </row>
    <row r="450" spans="1:25">
      <c r="A450">
        <v>449</v>
      </c>
      <c r="B450">
        <v>66.019997000000004</v>
      </c>
      <c r="C450">
        <v>2306.530029</v>
      </c>
      <c r="D450">
        <v>17.010000000000002</v>
      </c>
      <c r="E450">
        <v>-1609.209961</v>
      </c>
      <c r="F450">
        <v>1643.2700199999999</v>
      </c>
      <c r="G450">
        <v>8.09</v>
      </c>
      <c r="H450" s="1">
        <v>0</v>
      </c>
      <c r="I450" s="1">
        <v>0</v>
      </c>
      <c r="J450" s="1">
        <v>2.0303</v>
      </c>
      <c r="K450" s="1">
        <v>-4.4640000000000001E-3</v>
      </c>
      <c r="L450" s="1">
        <v>1.707E-3</v>
      </c>
      <c r="M450" s="1">
        <v>0.93330400000000002</v>
      </c>
      <c r="N450" s="1">
        <v>0.35905500000000001</v>
      </c>
      <c r="O450">
        <v>1</v>
      </c>
      <c r="P450">
        <v>0</v>
      </c>
      <c r="Q450">
        <v>1</v>
      </c>
      <c r="R450">
        <v>1</v>
      </c>
      <c r="S450">
        <v>1</v>
      </c>
      <c r="T450" s="1">
        <f>SQRT(POWER(Hybrid[[#This Row],[angvel_X]],2) + POWER(Hybrid[[#This Row],[angvel_Y]],2) + POWER(Hybrid[[#This Row],[angvel_Z]],2))</f>
        <v>2.0303</v>
      </c>
      <c r="U450">
        <f>DEGREES(ASIN(MAX(-1,MIN(1,2 * (Hybrid[[#This Row],[quart_W]]*Hybrid[[#This Row],[quart_Y]] - Hybrid[[#This Row],[quart_Z]]*Hybrid[[#This Row],[quart_X]])))))</f>
        <v>0.54766156140628119</v>
      </c>
      <c r="V450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-47.915129158428357</v>
      </c>
      <c r="W450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90.001108333436605</v>
      </c>
      <c r="X450">
        <f>IF(Hybrid[[#This Row],[Yaw]]&gt;V449,(360-ABS(Hybrid[[#This Row],[Yaw]])-ABS(V449)),ABS(Hybrid[[#This Row],[Yaw]]-V449))</f>
        <v>0.96927069362185136</v>
      </c>
      <c r="Y450">
        <f>Hybrid[[#This Row],[Degree change]]+Y449</f>
        <v>377.06600005179973</v>
      </c>
    </row>
    <row r="451" spans="1:25">
      <c r="A451">
        <v>450</v>
      </c>
      <c r="B451">
        <v>52.559998</v>
      </c>
      <c r="C451">
        <v>2320.2700199999999</v>
      </c>
      <c r="D451">
        <v>17.010000000000002</v>
      </c>
      <c r="E451">
        <v>-1636.7799070000001</v>
      </c>
      <c r="F451">
        <v>1615.809937</v>
      </c>
      <c r="G451">
        <v>8.09</v>
      </c>
      <c r="H451" s="1">
        <v>0</v>
      </c>
      <c r="I451" s="1">
        <v>0</v>
      </c>
      <c r="J451" s="1">
        <v>2.0303</v>
      </c>
      <c r="K451" s="1">
        <v>-4.4799999999999996E-3</v>
      </c>
      <c r="L451" s="1">
        <v>1.67E-3</v>
      </c>
      <c r="M451" s="1">
        <v>0.93630800000000003</v>
      </c>
      <c r="N451" s="1">
        <v>0.35114600000000001</v>
      </c>
      <c r="O451">
        <v>1</v>
      </c>
      <c r="P451">
        <v>0</v>
      </c>
      <c r="Q451">
        <v>1</v>
      </c>
      <c r="R451">
        <v>1</v>
      </c>
      <c r="S451">
        <v>1</v>
      </c>
      <c r="T451" s="1">
        <f>SQRT(POWER(Hybrid[[#This Row],[angvel_X]],2) + POWER(Hybrid[[#This Row],[angvel_Y]],2) + POWER(Hybrid[[#This Row],[angvel_Z]],2))</f>
        <v>2.0303</v>
      </c>
      <c r="U451">
        <f>DEGREES(ASIN(MAX(-1,MIN(1,2 * (Hybrid[[#This Row],[quart_W]]*Hybrid[[#This Row],[quart_Y]] - Hybrid[[#This Row],[quart_Z]]*Hybrid[[#This Row],[quart_X]])))))</f>
        <v>0.54787903392362902</v>
      </c>
      <c r="V451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-48.884595766616826</v>
      </c>
      <c r="W451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90.001088637495954</v>
      </c>
      <c r="X451">
        <f>IF(Hybrid[[#This Row],[Yaw]]&gt;V450,(360-ABS(Hybrid[[#This Row],[Yaw]])-ABS(V450)),ABS(Hybrid[[#This Row],[Yaw]]-V450))</f>
        <v>0.96946660818846908</v>
      </c>
      <c r="Y451">
        <f>Hybrid[[#This Row],[Degree change]]+Y450</f>
        <v>378.03546665998817</v>
      </c>
    </row>
    <row r="452" spans="1:25">
      <c r="A452">
        <v>451</v>
      </c>
      <c r="B452">
        <v>38.869999</v>
      </c>
      <c r="C452">
        <v>2333.780029</v>
      </c>
      <c r="D452">
        <v>17.010000000000002</v>
      </c>
      <c r="E452">
        <v>-1663.880005</v>
      </c>
      <c r="F452">
        <v>1587.8900149999999</v>
      </c>
      <c r="G452">
        <v>8.09</v>
      </c>
      <c r="H452" s="1">
        <v>0</v>
      </c>
      <c r="I452" s="1">
        <v>0</v>
      </c>
      <c r="J452" s="1">
        <v>2.0303</v>
      </c>
      <c r="K452" s="1">
        <v>-4.4970000000000001E-3</v>
      </c>
      <c r="L452" s="1">
        <v>1.632E-3</v>
      </c>
      <c r="M452" s="1">
        <v>0.93924600000000003</v>
      </c>
      <c r="N452" s="1">
        <v>0.34321000000000002</v>
      </c>
      <c r="O452">
        <v>1</v>
      </c>
      <c r="P452">
        <v>0</v>
      </c>
      <c r="Q452">
        <v>1</v>
      </c>
      <c r="R452">
        <v>1</v>
      </c>
      <c r="S452">
        <v>1</v>
      </c>
      <c r="T452" s="1">
        <f>SQRT(POWER(Hybrid[[#This Row],[angvel_X]],2) + POWER(Hybrid[[#This Row],[angvel_Y]],2) + POWER(Hybrid[[#This Row],[angvel_Z]],2))</f>
        <v>2.0303</v>
      </c>
      <c r="U452">
        <f>DEGREES(ASIN(MAX(-1,MIN(1,2 * (Hybrid[[#This Row],[quart_W]]*Hybrid[[#This Row],[quart_Y]] - Hybrid[[#This Row],[quart_Z]]*Hybrid[[#This Row],[quart_X]])))))</f>
        <v>0.54820383815871832</v>
      </c>
      <c r="V452">
        <f>DEGREES(ATAN2(2*(Hybrid[[#This Row],[quart_W]]*Hybrid[[#This Row],[quart_Z]]+Hybrid[[#This Row],[quart_X]]*Hybrid[[#This Row],[quart_Y]]),1 - 2*(Hybrid[[#This Row],[quart_Y]]*Hybrid[[#This Row],[quart_Y]]+Hybrid[[#This Row],[quart_Z]]*Hybrid[[#This Row],[quart_Z]])))</f>
        <v>-49.854327923643751</v>
      </c>
      <c r="W452">
        <f>DEGREES(ATAN2(2 *(Hybrid[[#This Row],[quart_W]]*Hybrid[[#This Row],[quart_X]]+Hybrid[[#This Row],[quart_Y]]*Hybrid[[#This Row],[quart_Z]]), 1 - 2*(Hybrid[[#This Row],[quart_X]]*Hybrid[[#This Row],[quart_X]]+Hybrid[[#This Row],[quart_Y]]*Hybrid[[#This Row],[quart_Y]])))</f>
        <v>90.00121081814676</v>
      </c>
      <c r="X452">
        <f>IF(Hybrid[[#This Row],[Yaw]]&gt;V451,(360-ABS(Hybrid[[#This Row],[Yaw]])-ABS(V451)),ABS(Hybrid[[#This Row],[Yaw]]-V451))</f>
        <v>0.96973215702692528</v>
      </c>
      <c r="Y452">
        <f>Hybrid[[#This Row],[Degree change]]+Y451</f>
        <v>379.00519881701507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452"/>
  <sheetViews>
    <sheetView topLeftCell="A2" workbookViewId="0">
      <selection activeCell="Y3" sqref="Y3"/>
    </sheetView>
  </sheetViews>
  <sheetFormatPr defaultRowHeight="14.5"/>
  <cols>
    <col min="8" max="9" width="11.1796875" customWidth="1"/>
    <col min="10" max="10" width="11" customWidth="1"/>
    <col min="11" max="12" width="10" customWidth="1"/>
    <col min="13" max="13" width="9.81640625" customWidth="1"/>
    <col min="14" max="14" width="10.81640625" customWidth="1"/>
    <col min="16" max="16" width="13.81640625" customWidth="1"/>
    <col min="17" max="17" width="16.54296875" customWidth="1"/>
    <col min="18" max="18" width="16.1796875" customWidth="1"/>
    <col min="19" max="19" width="10.26953125" customWidth="1"/>
    <col min="20" max="20" width="14.26953125" bestFit="1" customWidth="1"/>
    <col min="23" max="23" width="12" bestFit="1" customWidth="1"/>
    <col min="24" max="24" width="16.54296875" bestFit="1" customWidth="1"/>
    <col min="25" max="25" width="17.1796875" bestFit="1" customWidth="1"/>
  </cols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32</v>
      </c>
      <c r="V1" t="s">
        <v>31</v>
      </c>
      <c r="W1" t="s">
        <v>33</v>
      </c>
      <c r="X1" t="s">
        <v>35</v>
      </c>
      <c r="Y1" s="1" t="s">
        <v>34</v>
      </c>
    </row>
    <row r="2" spans="1:25">
      <c r="A2">
        <v>1</v>
      </c>
      <c r="B2" s="1">
        <v>865.19995100000006</v>
      </c>
      <c r="C2" s="1">
        <v>1074.48999</v>
      </c>
      <c r="D2" s="1">
        <v>17.049999</v>
      </c>
      <c r="E2" s="1">
        <v>-1179.309937</v>
      </c>
      <c r="F2" s="1">
        <v>1974.619995</v>
      </c>
      <c r="G2" s="1">
        <v>7.94</v>
      </c>
      <c r="H2" s="1">
        <v>-8.0000000000000004E-4</v>
      </c>
      <c r="I2" s="1">
        <v>-2.0000000000000001E-4</v>
      </c>
      <c r="J2" s="1">
        <v>0</v>
      </c>
      <c r="K2" s="1">
        <v>-7.28E-3</v>
      </c>
      <c r="L2" s="1">
        <v>4.1240000000000001E-3</v>
      </c>
      <c r="M2" s="1">
        <v>0.86966900000000003</v>
      </c>
      <c r="N2" s="1">
        <v>0.493564</v>
      </c>
      <c r="O2">
        <v>0</v>
      </c>
      <c r="P2">
        <v>0</v>
      </c>
      <c r="Q2">
        <v>1</v>
      </c>
      <c r="R2">
        <v>1</v>
      </c>
      <c r="S2">
        <v>1</v>
      </c>
      <c r="T2" s="1">
        <f>SQRT(POWER(Dominus[[#This Row],[angvel_X]],2) + POWER(Dominus[[#This Row],[angvel_Y]],2) + POWER(Dominus[[#This Row],[angvel_Z]],2))</f>
        <v>8.2462112512353219E-4</v>
      </c>
      <c r="U2" s="1">
        <f>DEGREES(ASIN(MAX(-1,MIN(1,2 * (Dominus[[#This Row],[quart_W]]*Dominus[[#This Row],[quart_Y]] - Dominus[[#This Row],[quart_Z]]*Dominus[[#This Row],[quart_X]])))))</f>
        <v>0.95879201516950829</v>
      </c>
      <c r="V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2" s="1" t="e">
        <f>IF(Dominus[[#This Row],[Yaw]]&gt;V1,(360-ABS(Dominus[[#This Row],[Yaw]])-ABS(V1)),ABS(Dominus[[#This Row],[Yaw]]-V1))</f>
        <v>#VALUE!</v>
      </c>
      <c r="Y2" s="1"/>
    </row>
    <row r="3" spans="1:25">
      <c r="A3">
        <v>2</v>
      </c>
      <c r="B3" s="1">
        <v>855.339966</v>
      </c>
      <c r="C3" s="1">
        <v>1091</v>
      </c>
      <c r="D3" s="1">
        <v>17.049999</v>
      </c>
      <c r="E3" s="1">
        <v>-1179.309937</v>
      </c>
      <c r="F3" s="1">
        <v>1974.619995</v>
      </c>
      <c r="G3" s="1">
        <v>7.94</v>
      </c>
      <c r="H3" s="1">
        <v>-8.0000000000000004E-4</v>
      </c>
      <c r="I3" s="1">
        <v>-2.0000000000000001E-4</v>
      </c>
      <c r="J3" s="1">
        <v>0</v>
      </c>
      <c r="K3" s="1">
        <v>-7.28E-3</v>
      </c>
      <c r="L3" s="1">
        <v>4.1240000000000001E-3</v>
      </c>
      <c r="M3" s="1">
        <v>0.86966900000000003</v>
      </c>
      <c r="N3" s="1">
        <v>0.493564</v>
      </c>
      <c r="O3">
        <v>0</v>
      </c>
      <c r="P3">
        <v>0</v>
      </c>
      <c r="Q3">
        <v>1</v>
      </c>
      <c r="R3">
        <v>1</v>
      </c>
      <c r="S3">
        <v>1</v>
      </c>
      <c r="T3" s="1">
        <f>SQRT(POWER(Dominus[[#This Row],[angvel_X]],2) + POWER(Dominus[[#This Row],[angvel_Y]],2) + POWER(Dominus[[#This Row],[angvel_Z]],2))</f>
        <v>8.2462112512353219E-4</v>
      </c>
      <c r="U3" s="1">
        <f>DEGREES(ASIN(MAX(-1,MIN(1,2 * (Dominus[[#This Row],[quart_W]]*Dominus[[#This Row],[quart_Y]] - Dominus[[#This Row],[quart_Z]]*Dominus[[#This Row],[quart_X]])))))</f>
        <v>0.95879201516950829</v>
      </c>
      <c r="V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3" s="1">
        <f>IF(Dominus[[#This Row],[Yaw]]&gt;V2,(360-ABS(Dominus[[#This Row],[Yaw]])-ABS(V2)),ABS(Dominus[[#This Row],[Yaw]]-V2))</f>
        <v>0</v>
      </c>
      <c r="Y3" s="1">
        <f>Dominus[[#This Row],[Degree change]]+Y2</f>
        <v>0</v>
      </c>
    </row>
    <row r="4" spans="1:25">
      <c r="A4">
        <v>3</v>
      </c>
      <c r="B4" s="1">
        <v>845.47997999999995</v>
      </c>
      <c r="C4" s="1">
        <v>1107.51001</v>
      </c>
      <c r="D4" s="1">
        <v>17.049999</v>
      </c>
      <c r="E4" s="1">
        <v>-1179.309937</v>
      </c>
      <c r="F4" s="1">
        <v>1974.619995</v>
      </c>
      <c r="G4" s="1">
        <v>7.94</v>
      </c>
      <c r="H4" s="1">
        <v>-8.0000000000000004E-4</v>
      </c>
      <c r="I4" s="1">
        <v>-2.0000000000000001E-4</v>
      </c>
      <c r="J4" s="1">
        <v>0</v>
      </c>
      <c r="K4" s="1">
        <v>-7.28E-3</v>
      </c>
      <c r="L4" s="1">
        <v>4.1240000000000001E-3</v>
      </c>
      <c r="M4" s="1">
        <v>0.86966900000000003</v>
      </c>
      <c r="N4" s="1">
        <v>0.493564</v>
      </c>
      <c r="O4">
        <v>0</v>
      </c>
      <c r="P4">
        <v>0</v>
      </c>
      <c r="Q4">
        <v>1</v>
      </c>
      <c r="R4">
        <v>1</v>
      </c>
      <c r="S4">
        <v>1</v>
      </c>
      <c r="T4" s="1">
        <f>SQRT(POWER(Dominus[[#This Row],[angvel_X]],2) + POWER(Dominus[[#This Row],[angvel_Y]],2) + POWER(Dominus[[#This Row],[angvel_Z]],2))</f>
        <v>8.2462112512353219E-4</v>
      </c>
      <c r="U4" s="1">
        <f>DEGREES(ASIN(MAX(-1,MIN(1,2 * (Dominus[[#This Row],[quart_W]]*Dominus[[#This Row],[quart_Y]] - Dominus[[#This Row],[quart_Z]]*Dominus[[#This Row],[quart_X]])))))</f>
        <v>0.95879201516950829</v>
      </c>
      <c r="V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4" s="1">
        <f>IF(Dominus[[#This Row],[Yaw]]&gt;V3,(360-ABS(Dominus[[#This Row],[Yaw]])-ABS(V3)),ABS(Dominus[[#This Row],[Yaw]]-V3))</f>
        <v>0</v>
      </c>
      <c r="Y4" s="1">
        <f>Dominus[[#This Row],[Degree change]]+Y3</f>
        <v>0</v>
      </c>
    </row>
    <row r="5" spans="1:25">
      <c r="A5">
        <v>4</v>
      </c>
      <c r="B5" s="1">
        <v>835.61999500000002</v>
      </c>
      <c r="C5" s="1">
        <v>1124.0200199999999</v>
      </c>
      <c r="D5" s="1">
        <v>17.049999</v>
      </c>
      <c r="E5" s="1">
        <v>-1179.309937</v>
      </c>
      <c r="F5" s="1">
        <v>1974.619995</v>
      </c>
      <c r="G5" s="1">
        <v>7.94</v>
      </c>
      <c r="H5" s="1">
        <v>-8.0000000000000004E-4</v>
      </c>
      <c r="I5" s="1">
        <v>-2.0000000000000001E-4</v>
      </c>
      <c r="J5" s="1">
        <v>0</v>
      </c>
      <c r="K5" s="1">
        <v>-7.28E-3</v>
      </c>
      <c r="L5" s="1">
        <v>4.1240000000000001E-3</v>
      </c>
      <c r="M5" s="1">
        <v>0.86966900000000003</v>
      </c>
      <c r="N5" s="1">
        <v>0.493564</v>
      </c>
      <c r="O5">
        <v>0</v>
      </c>
      <c r="P5">
        <v>0</v>
      </c>
      <c r="Q5">
        <v>1</v>
      </c>
      <c r="R5">
        <v>1</v>
      </c>
      <c r="S5">
        <v>1</v>
      </c>
      <c r="T5" s="1">
        <f>SQRT(POWER(Dominus[[#This Row],[angvel_X]],2) + POWER(Dominus[[#This Row],[angvel_Y]],2) + POWER(Dominus[[#This Row],[angvel_Z]],2))</f>
        <v>8.2462112512353219E-4</v>
      </c>
      <c r="U5" s="1">
        <f>DEGREES(ASIN(MAX(-1,MIN(1,2 * (Dominus[[#This Row],[quart_W]]*Dominus[[#This Row],[quart_Y]] - Dominus[[#This Row],[quart_Z]]*Dominus[[#This Row],[quart_X]])))))</f>
        <v>0.95879201516950829</v>
      </c>
      <c r="V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5" s="1">
        <f>IF(Dominus[[#This Row],[Yaw]]&gt;V4,(360-ABS(Dominus[[#This Row],[Yaw]])-ABS(V4)),ABS(Dominus[[#This Row],[Yaw]]-V4))</f>
        <v>0</v>
      </c>
      <c r="Y5" s="1">
        <f>Dominus[[#This Row],[Degree change]]+Y4</f>
        <v>0</v>
      </c>
    </row>
    <row r="6" spans="1:25">
      <c r="A6">
        <v>5</v>
      </c>
      <c r="B6" s="1">
        <v>825.76000999999997</v>
      </c>
      <c r="C6" s="1">
        <v>1140.530029</v>
      </c>
      <c r="D6" s="1">
        <v>17.049999</v>
      </c>
      <c r="E6" s="1">
        <v>-1179.309937</v>
      </c>
      <c r="F6" s="1">
        <v>1974.619995</v>
      </c>
      <c r="G6" s="1">
        <v>7.94</v>
      </c>
      <c r="H6" s="1">
        <v>-8.0000000000000004E-4</v>
      </c>
      <c r="I6" s="1">
        <v>-2.0000000000000001E-4</v>
      </c>
      <c r="J6" s="1">
        <v>0</v>
      </c>
      <c r="K6" s="1">
        <v>-7.28E-3</v>
      </c>
      <c r="L6" s="1">
        <v>4.1240000000000001E-3</v>
      </c>
      <c r="M6" s="1">
        <v>0.86966900000000003</v>
      </c>
      <c r="N6" s="1">
        <v>0.493564</v>
      </c>
      <c r="O6">
        <v>0</v>
      </c>
      <c r="P6">
        <v>0</v>
      </c>
      <c r="Q6">
        <v>1</v>
      </c>
      <c r="R6">
        <v>1</v>
      </c>
      <c r="S6">
        <v>1</v>
      </c>
      <c r="T6" s="1">
        <f>SQRT(POWER(Dominus[[#This Row],[angvel_X]],2) + POWER(Dominus[[#This Row],[angvel_Y]],2) + POWER(Dominus[[#This Row],[angvel_Z]],2))</f>
        <v>8.2462112512353219E-4</v>
      </c>
      <c r="U6" s="1">
        <f>DEGREES(ASIN(MAX(-1,MIN(1,2 * (Dominus[[#This Row],[quart_W]]*Dominus[[#This Row],[quart_Y]] - Dominus[[#This Row],[quart_Z]]*Dominus[[#This Row],[quart_X]])))))</f>
        <v>0.95879201516950829</v>
      </c>
      <c r="V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6" s="1">
        <f>IF(Dominus[[#This Row],[Yaw]]&gt;V5,(360-ABS(Dominus[[#This Row],[Yaw]])-ABS(V5)),ABS(Dominus[[#This Row],[Yaw]]-V5))</f>
        <v>0</v>
      </c>
      <c r="Y6" s="1">
        <f>Dominus[[#This Row],[Degree change]]+Y5</f>
        <v>0</v>
      </c>
    </row>
    <row r="7" spans="1:25">
      <c r="A7">
        <v>6</v>
      </c>
      <c r="B7" s="1">
        <v>815.89996299999996</v>
      </c>
      <c r="C7" s="1">
        <v>1157.0399170000001</v>
      </c>
      <c r="D7" s="1">
        <v>17.049999</v>
      </c>
      <c r="E7" s="1">
        <v>-1179.309937</v>
      </c>
      <c r="F7" s="1">
        <v>1974.619995</v>
      </c>
      <c r="G7" s="1">
        <v>7.94</v>
      </c>
      <c r="H7" s="1">
        <v>-8.0000000000000004E-4</v>
      </c>
      <c r="I7" s="1">
        <v>-2.0000000000000001E-4</v>
      </c>
      <c r="J7" s="1">
        <v>0</v>
      </c>
      <c r="K7" s="1">
        <v>-7.28E-3</v>
      </c>
      <c r="L7" s="1">
        <v>4.1240000000000001E-3</v>
      </c>
      <c r="M7" s="1">
        <v>0.86966900000000003</v>
      </c>
      <c r="N7" s="1">
        <v>0.493564</v>
      </c>
      <c r="O7">
        <v>0</v>
      </c>
      <c r="P7">
        <v>0</v>
      </c>
      <c r="Q7">
        <v>1</v>
      </c>
      <c r="R7">
        <v>1</v>
      </c>
      <c r="S7">
        <v>1</v>
      </c>
      <c r="T7" s="1">
        <f>SQRT(POWER(Dominus[[#This Row],[angvel_X]],2) + POWER(Dominus[[#This Row],[angvel_Y]],2) + POWER(Dominus[[#This Row],[angvel_Z]],2))</f>
        <v>8.2462112512353219E-4</v>
      </c>
      <c r="U7" s="1">
        <f>DEGREES(ASIN(MAX(-1,MIN(1,2 * (Dominus[[#This Row],[quart_W]]*Dominus[[#This Row],[quart_Y]] - Dominus[[#This Row],[quart_Z]]*Dominus[[#This Row],[quart_X]])))))</f>
        <v>0.95879201516950829</v>
      </c>
      <c r="V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7" s="1">
        <f>IF(Dominus[[#This Row],[Yaw]]&gt;V6,(360-ABS(Dominus[[#This Row],[Yaw]])-ABS(V6)),ABS(Dominus[[#This Row],[Yaw]]-V6))</f>
        <v>0</v>
      </c>
      <c r="Y7" s="1">
        <f>Dominus[[#This Row],[Degree change]]+Y6</f>
        <v>0</v>
      </c>
    </row>
    <row r="8" spans="1:25">
      <c r="A8">
        <v>7</v>
      </c>
      <c r="B8" s="1">
        <v>806.03997800000002</v>
      </c>
      <c r="C8" s="1">
        <v>1173.549927</v>
      </c>
      <c r="D8" s="1">
        <v>17.049999</v>
      </c>
      <c r="E8" s="1">
        <v>-1179.309937</v>
      </c>
      <c r="F8" s="1">
        <v>1974.619995</v>
      </c>
      <c r="G8" s="1">
        <v>7.94</v>
      </c>
      <c r="H8" s="1">
        <v>-8.0000000000000004E-4</v>
      </c>
      <c r="I8" s="1">
        <v>-2.0000000000000001E-4</v>
      </c>
      <c r="J8" s="1">
        <v>0</v>
      </c>
      <c r="K8" s="1">
        <v>-7.28E-3</v>
      </c>
      <c r="L8" s="1">
        <v>4.1240000000000001E-3</v>
      </c>
      <c r="M8" s="1">
        <v>0.86966900000000003</v>
      </c>
      <c r="N8" s="1">
        <v>0.493564</v>
      </c>
      <c r="O8">
        <v>0</v>
      </c>
      <c r="P8">
        <v>0</v>
      </c>
      <c r="Q8">
        <v>1</v>
      </c>
      <c r="R8">
        <v>1</v>
      </c>
      <c r="S8">
        <v>1</v>
      </c>
      <c r="T8" s="1">
        <f>SQRT(POWER(Dominus[[#This Row],[angvel_X]],2) + POWER(Dominus[[#This Row],[angvel_Y]],2) + POWER(Dominus[[#This Row],[angvel_Z]],2))</f>
        <v>8.2462112512353219E-4</v>
      </c>
      <c r="U8" s="1">
        <f>DEGREES(ASIN(MAX(-1,MIN(1,2 * (Dominus[[#This Row],[quart_W]]*Dominus[[#This Row],[quart_Y]] - Dominus[[#This Row],[quart_Z]]*Dominus[[#This Row],[quart_X]])))))</f>
        <v>0.95879201516950829</v>
      </c>
      <c r="V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8" s="1">
        <f>IF(Dominus[[#This Row],[Yaw]]&gt;V7,(360-ABS(Dominus[[#This Row],[Yaw]])-ABS(V7)),ABS(Dominus[[#This Row],[Yaw]]-V7))</f>
        <v>0</v>
      </c>
      <c r="Y8" s="1">
        <f>Dominus[[#This Row],[Degree change]]+Y7</f>
        <v>0</v>
      </c>
    </row>
    <row r="9" spans="1:25">
      <c r="A9">
        <v>8</v>
      </c>
      <c r="B9" s="1">
        <v>796.17999299999997</v>
      </c>
      <c r="C9" s="1">
        <v>1190.059937</v>
      </c>
      <c r="D9" s="1">
        <v>17.049999</v>
      </c>
      <c r="E9" s="1">
        <v>-1179.309937</v>
      </c>
      <c r="F9" s="1">
        <v>1974.619995</v>
      </c>
      <c r="G9" s="1">
        <v>7.94</v>
      </c>
      <c r="H9" s="1">
        <v>-8.0000000000000004E-4</v>
      </c>
      <c r="I9" s="1">
        <v>-2.0000000000000001E-4</v>
      </c>
      <c r="J9" s="1">
        <v>0</v>
      </c>
      <c r="K9" s="1">
        <v>-7.28E-3</v>
      </c>
      <c r="L9" s="1">
        <v>4.1240000000000001E-3</v>
      </c>
      <c r="M9" s="1">
        <v>0.86966900000000003</v>
      </c>
      <c r="N9" s="1">
        <v>0.493564</v>
      </c>
      <c r="O9">
        <v>0</v>
      </c>
      <c r="P9">
        <v>0</v>
      </c>
      <c r="Q9">
        <v>1</v>
      </c>
      <c r="R9">
        <v>1</v>
      </c>
      <c r="S9">
        <v>1</v>
      </c>
      <c r="T9" s="1">
        <f>SQRT(POWER(Dominus[[#This Row],[angvel_X]],2) + POWER(Dominus[[#This Row],[angvel_Y]],2) + POWER(Dominus[[#This Row],[angvel_Z]],2))</f>
        <v>8.2462112512353219E-4</v>
      </c>
      <c r="U9" s="1">
        <f>DEGREES(ASIN(MAX(-1,MIN(1,2 * (Dominus[[#This Row],[quart_W]]*Dominus[[#This Row],[quart_Y]] - Dominus[[#This Row],[quart_Z]]*Dominus[[#This Row],[quart_X]])))))</f>
        <v>0.95879201516950829</v>
      </c>
      <c r="V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9" s="1">
        <f>IF(Dominus[[#This Row],[Yaw]]&gt;V8,(360-ABS(Dominus[[#This Row],[Yaw]])-ABS(V8)),ABS(Dominus[[#This Row],[Yaw]]-V8))</f>
        <v>0</v>
      </c>
      <c r="Y9" s="1">
        <f>Dominus[[#This Row],[Degree change]]+Y8</f>
        <v>0</v>
      </c>
    </row>
    <row r="10" spans="1:25">
      <c r="A10">
        <v>9</v>
      </c>
      <c r="B10" s="1">
        <v>786.32000700000003</v>
      </c>
      <c r="C10" s="1">
        <v>1206.5699460000001</v>
      </c>
      <c r="D10" s="1">
        <v>17.049999</v>
      </c>
      <c r="E10" s="1">
        <v>-1179.309937</v>
      </c>
      <c r="F10" s="1">
        <v>1974.619995</v>
      </c>
      <c r="G10" s="1">
        <v>7.94</v>
      </c>
      <c r="H10" s="1">
        <v>-8.0000000000000004E-4</v>
      </c>
      <c r="I10" s="1">
        <v>-2.0000000000000001E-4</v>
      </c>
      <c r="J10" s="1">
        <v>0</v>
      </c>
      <c r="K10" s="1">
        <v>-7.28E-3</v>
      </c>
      <c r="L10" s="1">
        <v>4.1240000000000001E-3</v>
      </c>
      <c r="M10" s="1">
        <v>0.86966900000000003</v>
      </c>
      <c r="N10" s="1">
        <v>0.493564</v>
      </c>
      <c r="O10">
        <v>0</v>
      </c>
      <c r="P10">
        <v>0</v>
      </c>
      <c r="Q10">
        <v>1</v>
      </c>
      <c r="R10">
        <v>1</v>
      </c>
      <c r="S10">
        <v>1</v>
      </c>
      <c r="T10" s="1">
        <f>SQRT(POWER(Dominus[[#This Row],[angvel_X]],2) + POWER(Dominus[[#This Row],[angvel_Y]],2) + POWER(Dominus[[#This Row],[angvel_Z]],2))</f>
        <v>8.2462112512353219E-4</v>
      </c>
      <c r="U10" s="1">
        <f>DEGREES(ASIN(MAX(-1,MIN(1,2 * (Dominus[[#This Row],[quart_W]]*Dominus[[#This Row],[quart_Y]] - Dominus[[#This Row],[quart_Z]]*Dominus[[#This Row],[quart_X]])))))</f>
        <v>0.95879201516950829</v>
      </c>
      <c r="V1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1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10" s="1">
        <f>IF(Dominus[[#This Row],[Yaw]]&gt;V9,(360-ABS(Dominus[[#This Row],[Yaw]])-ABS(V9)),ABS(Dominus[[#This Row],[Yaw]]-V9))</f>
        <v>0</v>
      </c>
      <c r="Y10" s="1">
        <f>Dominus[[#This Row],[Degree change]]+Y9</f>
        <v>0</v>
      </c>
    </row>
    <row r="11" spans="1:25">
      <c r="A11">
        <v>10</v>
      </c>
      <c r="B11" s="1">
        <v>776.45996100000002</v>
      </c>
      <c r="C11" s="1">
        <v>1223.079956</v>
      </c>
      <c r="D11" s="1">
        <v>17.049999</v>
      </c>
      <c r="E11" s="1">
        <v>-1179.309937</v>
      </c>
      <c r="F11" s="1">
        <v>1974.619995</v>
      </c>
      <c r="G11" s="1">
        <v>7.94</v>
      </c>
      <c r="H11" s="1">
        <v>-8.0000000000000004E-4</v>
      </c>
      <c r="I11" s="1">
        <v>-2.0000000000000001E-4</v>
      </c>
      <c r="J11" s="1">
        <v>0</v>
      </c>
      <c r="K11" s="1">
        <v>-7.28E-3</v>
      </c>
      <c r="L11" s="1">
        <v>4.1240000000000001E-3</v>
      </c>
      <c r="M11" s="1">
        <v>0.86966900000000003</v>
      </c>
      <c r="N11" s="1">
        <v>0.493564</v>
      </c>
      <c r="O11">
        <v>0</v>
      </c>
      <c r="P11">
        <v>0</v>
      </c>
      <c r="Q11">
        <v>1</v>
      </c>
      <c r="R11">
        <v>1</v>
      </c>
      <c r="S11">
        <v>1</v>
      </c>
      <c r="T11" s="1">
        <f>SQRT(POWER(Dominus[[#This Row],[angvel_X]],2) + POWER(Dominus[[#This Row],[angvel_Y]],2) + POWER(Dominus[[#This Row],[angvel_Z]],2))</f>
        <v>8.2462112512353219E-4</v>
      </c>
      <c r="U11" s="1">
        <f>DEGREES(ASIN(MAX(-1,MIN(1,2 * (Dominus[[#This Row],[quart_W]]*Dominus[[#This Row],[quart_Y]] - Dominus[[#This Row],[quart_Z]]*Dominus[[#This Row],[quart_X]])))))</f>
        <v>0.95879201516950829</v>
      </c>
      <c r="V1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1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11" s="1">
        <f>IF(Dominus[[#This Row],[Yaw]]&gt;V10,(360-ABS(Dominus[[#This Row],[Yaw]])-ABS(V10)),ABS(Dominus[[#This Row],[Yaw]]-V10))</f>
        <v>0</v>
      </c>
      <c r="Y11" s="1">
        <f>Dominus[[#This Row],[Degree change]]+Y10</f>
        <v>0</v>
      </c>
    </row>
    <row r="12" spans="1:25">
      <c r="A12">
        <v>11</v>
      </c>
      <c r="B12" s="1">
        <v>766.59997599999997</v>
      </c>
      <c r="C12" s="1">
        <v>1239.589966</v>
      </c>
      <c r="D12" s="1">
        <v>17.049999</v>
      </c>
      <c r="E12" s="1">
        <v>-1179.309937</v>
      </c>
      <c r="F12" s="1">
        <v>1974.619995</v>
      </c>
      <c r="G12" s="1">
        <v>7.94</v>
      </c>
      <c r="H12" s="1">
        <v>-8.0000000000000004E-4</v>
      </c>
      <c r="I12" s="1">
        <v>-2.0000000000000001E-4</v>
      </c>
      <c r="J12" s="1">
        <v>0</v>
      </c>
      <c r="K12" s="1">
        <v>-7.28E-3</v>
      </c>
      <c r="L12" s="1">
        <v>4.1240000000000001E-3</v>
      </c>
      <c r="M12" s="1">
        <v>0.86966900000000003</v>
      </c>
      <c r="N12" s="1">
        <v>0.493564</v>
      </c>
      <c r="O12">
        <v>0</v>
      </c>
      <c r="P12">
        <v>0</v>
      </c>
      <c r="Q12">
        <v>1</v>
      </c>
      <c r="R12">
        <v>1</v>
      </c>
      <c r="S12">
        <v>1</v>
      </c>
      <c r="T12" s="1">
        <f>SQRT(POWER(Dominus[[#This Row],[angvel_X]],2) + POWER(Dominus[[#This Row],[angvel_Y]],2) + POWER(Dominus[[#This Row],[angvel_Z]],2))</f>
        <v>8.2462112512353219E-4</v>
      </c>
      <c r="U12" s="1">
        <f>DEGREES(ASIN(MAX(-1,MIN(1,2 * (Dominus[[#This Row],[quart_W]]*Dominus[[#This Row],[quart_Y]] - Dominus[[#This Row],[quart_Z]]*Dominus[[#This Row],[quart_X]])))))</f>
        <v>0.95879201516950829</v>
      </c>
      <c r="V1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1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12" s="1">
        <f>IF(Dominus[[#This Row],[Yaw]]&gt;V11,(360-ABS(Dominus[[#This Row],[Yaw]])-ABS(V11)),ABS(Dominus[[#This Row],[Yaw]]-V11))</f>
        <v>0</v>
      </c>
      <c r="Y12" s="1">
        <f>Dominus[[#This Row],[Degree change]]+Y11</f>
        <v>0</v>
      </c>
    </row>
    <row r="13" spans="1:25">
      <c r="A13">
        <v>12</v>
      </c>
      <c r="B13" s="1">
        <v>756.73999000000003</v>
      </c>
      <c r="C13" s="1">
        <v>1256.099976</v>
      </c>
      <c r="D13" s="1">
        <v>17.049999</v>
      </c>
      <c r="E13" s="1">
        <v>-1179.309937</v>
      </c>
      <c r="F13" s="1">
        <v>1974.619995</v>
      </c>
      <c r="G13" s="1">
        <v>7.94</v>
      </c>
      <c r="H13" s="1">
        <v>-8.0000000000000004E-4</v>
      </c>
      <c r="I13" s="1">
        <v>-2.0000000000000001E-4</v>
      </c>
      <c r="J13" s="1">
        <v>0</v>
      </c>
      <c r="K13" s="1">
        <v>-7.28E-3</v>
      </c>
      <c r="L13" s="1">
        <v>4.1240000000000001E-3</v>
      </c>
      <c r="M13" s="1">
        <v>0.86966900000000003</v>
      </c>
      <c r="N13" s="1">
        <v>0.493564</v>
      </c>
      <c r="O13">
        <v>0</v>
      </c>
      <c r="P13">
        <v>0</v>
      </c>
      <c r="Q13">
        <v>1</v>
      </c>
      <c r="R13">
        <v>1</v>
      </c>
      <c r="S13">
        <v>1</v>
      </c>
      <c r="T13" s="1">
        <f>SQRT(POWER(Dominus[[#This Row],[angvel_X]],2) + POWER(Dominus[[#This Row],[angvel_Y]],2) + POWER(Dominus[[#This Row],[angvel_Z]],2))</f>
        <v>8.2462112512353219E-4</v>
      </c>
      <c r="U13" s="1">
        <f>DEGREES(ASIN(MAX(-1,MIN(1,2 * (Dominus[[#This Row],[quart_W]]*Dominus[[#This Row],[quart_Y]] - Dominus[[#This Row],[quart_Z]]*Dominus[[#This Row],[quart_X]])))))</f>
        <v>0.95879201516950829</v>
      </c>
      <c r="V1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1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13" s="1">
        <f>IF(Dominus[[#This Row],[Yaw]]&gt;V12,(360-ABS(Dominus[[#This Row],[Yaw]])-ABS(V12)),ABS(Dominus[[#This Row],[Yaw]]-V12))</f>
        <v>0</v>
      </c>
      <c r="Y13" s="1">
        <f>Dominus[[#This Row],[Degree change]]+Y12</f>
        <v>0</v>
      </c>
    </row>
    <row r="14" spans="1:25">
      <c r="A14">
        <v>13</v>
      </c>
      <c r="B14" s="1">
        <v>746.88000499999998</v>
      </c>
      <c r="C14" s="1">
        <v>1272.6099850000001</v>
      </c>
      <c r="D14" s="1">
        <v>17.049999</v>
      </c>
      <c r="E14" s="1">
        <v>-1179.309937</v>
      </c>
      <c r="F14" s="1">
        <v>1974.619995</v>
      </c>
      <c r="G14" s="1">
        <v>7.94</v>
      </c>
      <c r="H14" s="1">
        <v>-8.0000000000000004E-4</v>
      </c>
      <c r="I14" s="1">
        <v>-2.0000000000000001E-4</v>
      </c>
      <c r="J14" s="1">
        <v>0</v>
      </c>
      <c r="K14" s="1">
        <v>-7.28E-3</v>
      </c>
      <c r="L14" s="1">
        <v>4.1240000000000001E-3</v>
      </c>
      <c r="M14" s="1">
        <v>0.86966900000000003</v>
      </c>
      <c r="N14" s="1">
        <v>0.493564</v>
      </c>
      <c r="O14">
        <v>0</v>
      </c>
      <c r="P14">
        <v>0</v>
      </c>
      <c r="Q14">
        <v>1</v>
      </c>
      <c r="R14">
        <v>1</v>
      </c>
      <c r="S14">
        <v>1</v>
      </c>
      <c r="T14" s="1">
        <f>SQRT(POWER(Dominus[[#This Row],[angvel_X]],2) + POWER(Dominus[[#This Row],[angvel_Y]],2) + POWER(Dominus[[#This Row],[angvel_Z]],2))</f>
        <v>8.2462112512353219E-4</v>
      </c>
      <c r="U14" s="1">
        <f>DEGREES(ASIN(MAX(-1,MIN(1,2 * (Dominus[[#This Row],[quart_W]]*Dominus[[#This Row],[quart_Y]] - Dominus[[#This Row],[quart_Z]]*Dominus[[#This Row],[quart_X]])))))</f>
        <v>0.95879201516950829</v>
      </c>
      <c r="V1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1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14" s="1">
        <f>IF(Dominus[[#This Row],[Yaw]]&gt;V13,(360-ABS(Dominus[[#This Row],[Yaw]])-ABS(V13)),ABS(Dominus[[#This Row],[Yaw]]-V13))</f>
        <v>0</v>
      </c>
      <c r="Y14" s="1">
        <f>Dominus[[#This Row],[Degree change]]+Y13</f>
        <v>0</v>
      </c>
    </row>
    <row r="15" spans="1:25">
      <c r="A15">
        <v>14</v>
      </c>
      <c r="B15" s="1">
        <v>737.01995799999997</v>
      </c>
      <c r="C15" s="1">
        <v>1289.119995</v>
      </c>
      <c r="D15" s="1">
        <v>17.049999</v>
      </c>
      <c r="E15" s="1">
        <v>-1179.309937</v>
      </c>
      <c r="F15" s="1">
        <v>1974.619995</v>
      </c>
      <c r="G15" s="1">
        <v>7.94</v>
      </c>
      <c r="H15" s="1">
        <v>-8.0000000000000004E-4</v>
      </c>
      <c r="I15" s="1">
        <v>-2.0000000000000001E-4</v>
      </c>
      <c r="J15" s="1">
        <v>0</v>
      </c>
      <c r="K15" s="1">
        <v>-7.28E-3</v>
      </c>
      <c r="L15" s="1">
        <v>4.1240000000000001E-3</v>
      </c>
      <c r="M15" s="1">
        <v>0.86966900000000003</v>
      </c>
      <c r="N15" s="1">
        <v>0.493564</v>
      </c>
      <c r="O15">
        <v>0</v>
      </c>
      <c r="P15">
        <v>0</v>
      </c>
      <c r="Q15">
        <v>1</v>
      </c>
      <c r="R15">
        <v>1</v>
      </c>
      <c r="S15">
        <v>1</v>
      </c>
      <c r="T15" s="1">
        <f>SQRT(POWER(Dominus[[#This Row],[angvel_X]],2) + POWER(Dominus[[#This Row],[angvel_Y]],2) + POWER(Dominus[[#This Row],[angvel_Z]],2))</f>
        <v>8.2462112512353219E-4</v>
      </c>
      <c r="U15" s="1">
        <f>DEGREES(ASIN(MAX(-1,MIN(1,2 * (Dominus[[#This Row],[quart_W]]*Dominus[[#This Row],[quart_Y]] - Dominus[[#This Row],[quart_Z]]*Dominus[[#This Row],[quart_X]])))))</f>
        <v>0.95879201516950829</v>
      </c>
      <c r="V1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1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15" s="1">
        <f>IF(Dominus[[#This Row],[Yaw]]&gt;V14,(360-ABS(Dominus[[#This Row],[Yaw]])-ABS(V14)),ABS(Dominus[[#This Row],[Yaw]]-V14))</f>
        <v>0</v>
      </c>
      <c r="Y15" s="1">
        <f>Dominus[[#This Row],[Degree change]]+Y14</f>
        <v>0</v>
      </c>
    </row>
    <row r="16" spans="1:25">
      <c r="A16">
        <v>15</v>
      </c>
      <c r="B16" s="1">
        <v>727.15997300000004</v>
      </c>
      <c r="C16" s="1">
        <v>1305.630005</v>
      </c>
      <c r="D16" s="1">
        <v>17.049999</v>
      </c>
      <c r="E16" s="1">
        <v>-1179.309937</v>
      </c>
      <c r="F16" s="1">
        <v>1974.619995</v>
      </c>
      <c r="G16" s="1">
        <v>7.94</v>
      </c>
      <c r="H16" s="1">
        <v>-8.0000000000000004E-4</v>
      </c>
      <c r="I16" s="1">
        <v>-2.0000000000000001E-4</v>
      </c>
      <c r="J16" s="1">
        <v>0</v>
      </c>
      <c r="K16" s="1">
        <v>-7.28E-3</v>
      </c>
      <c r="L16" s="1">
        <v>4.1240000000000001E-3</v>
      </c>
      <c r="M16" s="1">
        <v>0.86966900000000003</v>
      </c>
      <c r="N16" s="1">
        <v>0.493564</v>
      </c>
      <c r="O16">
        <v>0</v>
      </c>
      <c r="P16">
        <v>0</v>
      </c>
      <c r="Q16">
        <v>1</v>
      </c>
      <c r="R16">
        <v>1</v>
      </c>
      <c r="S16">
        <v>1</v>
      </c>
      <c r="T16" s="1">
        <f>SQRT(POWER(Dominus[[#This Row],[angvel_X]],2) + POWER(Dominus[[#This Row],[angvel_Y]],2) + POWER(Dominus[[#This Row],[angvel_Z]],2))</f>
        <v>8.2462112512353219E-4</v>
      </c>
      <c r="U16" s="1">
        <f>DEGREES(ASIN(MAX(-1,MIN(1,2 * (Dominus[[#This Row],[quart_W]]*Dominus[[#This Row],[quart_Y]] - Dominus[[#This Row],[quart_Z]]*Dominus[[#This Row],[quart_X]])))))</f>
        <v>0.95879201516950829</v>
      </c>
      <c r="V1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1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16" s="1">
        <f>IF(Dominus[[#This Row],[Yaw]]&gt;V15,(360-ABS(Dominus[[#This Row],[Yaw]])-ABS(V15)),ABS(Dominus[[#This Row],[Yaw]]-V15))</f>
        <v>0</v>
      </c>
      <c r="Y16" s="1">
        <f>Dominus[[#This Row],[Degree change]]+Y15</f>
        <v>0</v>
      </c>
    </row>
    <row r="17" spans="1:25">
      <c r="A17">
        <v>16</v>
      </c>
      <c r="B17" s="1">
        <v>717.29998799999998</v>
      </c>
      <c r="C17" s="1">
        <v>1322.1400149999999</v>
      </c>
      <c r="D17" s="1">
        <v>17.049999</v>
      </c>
      <c r="E17" s="1">
        <v>-1179.309937</v>
      </c>
      <c r="F17" s="1">
        <v>1974.619995</v>
      </c>
      <c r="G17" s="1">
        <v>7.94</v>
      </c>
      <c r="H17" s="1">
        <v>-8.0000000000000004E-4</v>
      </c>
      <c r="I17" s="1">
        <v>-2.0000000000000001E-4</v>
      </c>
      <c r="J17" s="1">
        <v>0</v>
      </c>
      <c r="K17" s="1">
        <v>-7.28E-3</v>
      </c>
      <c r="L17" s="1">
        <v>4.1240000000000001E-3</v>
      </c>
      <c r="M17" s="1">
        <v>0.86966900000000003</v>
      </c>
      <c r="N17" s="1">
        <v>0.493564</v>
      </c>
      <c r="O17">
        <v>0</v>
      </c>
      <c r="P17">
        <v>0</v>
      </c>
      <c r="Q17">
        <v>1</v>
      </c>
      <c r="R17">
        <v>1</v>
      </c>
      <c r="S17">
        <v>1</v>
      </c>
      <c r="T17" s="1">
        <f>SQRT(POWER(Dominus[[#This Row],[angvel_X]],2) + POWER(Dominus[[#This Row],[angvel_Y]],2) + POWER(Dominus[[#This Row],[angvel_Z]],2))</f>
        <v>8.2462112512353219E-4</v>
      </c>
      <c r="U17" s="1">
        <f>DEGREES(ASIN(MAX(-1,MIN(1,2 * (Dominus[[#This Row],[quart_W]]*Dominus[[#This Row],[quart_Y]] - Dominus[[#This Row],[quart_Z]]*Dominus[[#This Row],[quart_X]])))))</f>
        <v>0.95879201516950829</v>
      </c>
      <c r="V1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1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17" s="1">
        <f>IF(Dominus[[#This Row],[Yaw]]&gt;V16,(360-ABS(Dominus[[#This Row],[Yaw]])-ABS(V16)),ABS(Dominus[[#This Row],[Yaw]]-V16))</f>
        <v>0</v>
      </c>
      <c r="Y17" s="1">
        <f>Dominus[[#This Row],[Degree change]]+Y16</f>
        <v>0</v>
      </c>
    </row>
    <row r="18" spans="1:25">
      <c r="A18">
        <v>17</v>
      </c>
      <c r="B18" s="1">
        <v>707.44000200000005</v>
      </c>
      <c r="C18" s="1">
        <v>1338.650024</v>
      </c>
      <c r="D18" s="1">
        <v>17.049999</v>
      </c>
      <c r="E18" s="1">
        <v>-1179.309937</v>
      </c>
      <c r="F18" s="1">
        <v>1974.619995</v>
      </c>
      <c r="G18" s="1">
        <v>7.94</v>
      </c>
      <c r="H18" s="1">
        <v>-8.0000000000000004E-4</v>
      </c>
      <c r="I18" s="1">
        <v>-2.0000000000000001E-4</v>
      </c>
      <c r="J18" s="1">
        <v>0</v>
      </c>
      <c r="K18" s="1">
        <v>-7.28E-3</v>
      </c>
      <c r="L18" s="1">
        <v>4.1240000000000001E-3</v>
      </c>
      <c r="M18" s="1">
        <v>0.86966900000000003</v>
      </c>
      <c r="N18" s="1">
        <v>0.493564</v>
      </c>
      <c r="O18">
        <v>0</v>
      </c>
      <c r="P18">
        <v>0</v>
      </c>
      <c r="Q18">
        <v>1</v>
      </c>
      <c r="R18">
        <v>1</v>
      </c>
      <c r="S18">
        <v>1</v>
      </c>
      <c r="T18" s="1">
        <f>SQRT(POWER(Dominus[[#This Row],[angvel_X]],2) + POWER(Dominus[[#This Row],[angvel_Y]],2) + POWER(Dominus[[#This Row],[angvel_Z]],2))</f>
        <v>8.2462112512353219E-4</v>
      </c>
      <c r="U18" s="1">
        <f>DEGREES(ASIN(MAX(-1,MIN(1,2 * (Dominus[[#This Row],[quart_W]]*Dominus[[#This Row],[quart_Y]] - Dominus[[#This Row],[quart_Z]]*Dominus[[#This Row],[quart_X]])))))</f>
        <v>0.95879201516950829</v>
      </c>
      <c r="V1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1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18" s="1">
        <f>IF(Dominus[[#This Row],[Yaw]]&gt;V17,(360-ABS(Dominus[[#This Row],[Yaw]])-ABS(V17)),ABS(Dominus[[#This Row],[Yaw]]-V17))</f>
        <v>0</v>
      </c>
      <c r="Y18" s="1">
        <f>Dominus[[#This Row],[Degree change]]+Y17</f>
        <v>0</v>
      </c>
    </row>
    <row r="19" spans="1:25">
      <c r="A19">
        <v>18</v>
      </c>
      <c r="B19" s="1">
        <v>697.57995600000004</v>
      </c>
      <c r="C19" s="1">
        <v>1355.1599120000001</v>
      </c>
      <c r="D19" s="1">
        <v>17.049999</v>
      </c>
      <c r="E19" s="1">
        <v>-1179.309937</v>
      </c>
      <c r="F19" s="1">
        <v>1974.619995</v>
      </c>
      <c r="G19" s="1">
        <v>7.94</v>
      </c>
      <c r="H19" s="1">
        <v>-8.0000000000000004E-4</v>
      </c>
      <c r="I19" s="1">
        <v>-2.0000000000000001E-4</v>
      </c>
      <c r="J19" s="1">
        <v>0</v>
      </c>
      <c r="K19" s="1">
        <v>-7.28E-3</v>
      </c>
      <c r="L19" s="1">
        <v>4.1240000000000001E-3</v>
      </c>
      <c r="M19" s="1">
        <v>0.86966900000000003</v>
      </c>
      <c r="N19" s="1">
        <v>0.493564</v>
      </c>
      <c r="O19">
        <v>0</v>
      </c>
      <c r="P19">
        <v>0</v>
      </c>
      <c r="Q19">
        <v>1</v>
      </c>
      <c r="R19">
        <v>1</v>
      </c>
      <c r="S19">
        <v>1</v>
      </c>
      <c r="T19" s="1">
        <f>SQRT(POWER(Dominus[[#This Row],[angvel_X]],2) + POWER(Dominus[[#This Row],[angvel_Y]],2) + POWER(Dominus[[#This Row],[angvel_Z]],2))</f>
        <v>8.2462112512353219E-4</v>
      </c>
      <c r="U19" s="1">
        <f>DEGREES(ASIN(MAX(-1,MIN(1,2 * (Dominus[[#This Row],[quart_W]]*Dominus[[#This Row],[quart_Y]] - Dominus[[#This Row],[quart_Z]]*Dominus[[#This Row],[quart_X]])))))</f>
        <v>0.95879201516950829</v>
      </c>
      <c r="V1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1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19" s="1">
        <f>IF(Dominus[[#This Row],[Yaw]]&gt;V18,(360-ABS(Dominus[[#This Row],[Yaw]])-ABS(V18)),ABS(Dominus[[#This Row],[Yaw]]-V18))</f>
        <v>0</v>
      </c>
      <c r="Y19" s="1">
        <f>Dominus[[#This Row],[Degree change]]+Y18</f>
        <v>0</v>
      </c>
    </row>
    <row r="20" spans="1:25">
      <c r="A20">
        <v>19</v>
      </c>
      <c r="B20" s="1">
        <v>687.71997099999999</v>
      </c>
      <c r="C20" s="1">
        <v>1371.669922</v>
      </c>
      <c r="D20" s="1">
        <v>17.049999</v>
      </c>
      <c r="E20" s="1">
        <v>-1179.309937</v>
      </c>
      <c r="F20" s="1">
        <v>1974.619995</v>
      </c>
      <c r="G20" s="1">
        <v>7.94</v>
      </c>
      <c r="H20" s="1">
        <v>-8.0000000000000004E-4</v>
      </c>
      <c r="I20" s="1">
        <v>-2.0000000000000001E-4</v>
      </c>
      <c r="J20" s="1">
        <v>0</v>
      </c>
      <c r="K20" s="1">
        <v>-7.28E-3</v>
      </c>
      <c r="L20" s="1">
        <v>4.1240000000000001E-3</v>
      </c>
      <c r="M20" s="1">
        <v>0.86966900000000003</v>
      </c>
      <c r="N20" s="1">
        <v>0.493564</v>
      </c>
      <c r="O20">
        <v>0</v>
      </c>
      <c r="P20">
        <v>0</v>
      </c>
      <c r="Q20">
        <v>1</v>
      </c>
      <c r="R20">
        <v>1</v>
      </c>
      <c r="S20">
        <v>1</v>
      </c>
      <c r="T20" s="1">
        <f>SQRT(POWER(Dominus[[#This Row],[angvel_X]],2) + POWER(Dominus[[#This Row],[angvel_Y]],2) + POWER(Dominus[[#This Row],[angvel_Z]],2))</f>
        <v>8.2462112512353219E-4</v>
      </c>
      <c r="U20" s="1">
        <f>DEGREES(ASIN(MAX(-1,MIN(1,2 * (Dominus[[#This Row],[quart_W]]*Dominus[[#This Row],[quart_Y]] - Dominus[[#This Row],[quart_Z]]*Dominus[[#This Row],[quart_X]])))))</f>
        <v>0.95879201516950829</v>
      </c>
      <c r="V2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2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20" s="1">
        <f>IF(Dominus[[#This Row],[Yaw]]&gt;V19,(360-ABS(Dominus[[#This Row],[Yaw]])-ABS(V19)),ABS(Dominus[[#This Row],[Yaw]]-V19))</f>
        <v>0</v>
      </c>
      <c r="Y20" s="1">
        <f>Dominus[[#This Row],[Degree change]]+Y19</f>
        <v>0</v>
      </c>
    </row>
    <row r="21" spans="1:25">
      <c r="A21">
        <v>20</v>
      </c>
      <c r="B21" s="1">
        <v>677.85998500000005</v>
      </c>
      <c r="C21" s="1">
        <v>1388.179932</v>
      </c>
      <c r="D21" s="1">
        <v>17.049999</v>
      </c>
      <c r="E21" s="1">
        <v>-1179.309937</v>
      </c>
      <c r="F21" s="1">
        <v>1974.619995</v>
      </c>
      <c r="G21" s="1">
        <v>7.94</v>
      </c>
      <c r="H21" s="1">
        <v>-8.0000000000000004E-4</v>
      </c>
      <c r="I21" s="1">
        <v>-2.0000000000000001E-4</v>
      </c>
      <c r="J21" s="1">
        <v>0</v>
      </c>
      <c r="K21" s="1">
        <v>-7.28E-3</v>
      </c>
      <c r="L21" s="1">
        <v>4.1240000000000001E-3</v>
      </c>
      <c r="M21" s="1">
        <v>0.86966900000000003</v>
      </c>
      <c r="N21" s="1">
        <v>0.493564</v>
      </c>
      <c r="O21">
        <v>0</v>
      </c>
      <c r="P21">
        <v>0</v>
      </c>
      <c r="Q21">
        <v>1</v>
      </c>
      <c r="R21">
        <v>1</v>
      </c>
      <c r="S21">
        <v>1</v>
      </c>
      <c r="T21" s="1">
        <f>SQRT(POWER(Dominus[[#This Row],[angvel_X]],2) + POWER(Dominus[[#This Row],[angvel_Y]],2) + POWER(Dominus[[#This Row],[angvel_Z]],2))</f>
        <v>8.2462112512353219E-4</v>
      </c>
      <c r="U21" s="1">
        <f>DEGREES(ASIN(MAX(-1,MIN(1,2 * (Dominus[[#This Row],[quart_W]]*Dominus[[#This Row],[quart_Y]] - Dominus[[#This Row],[quart_Z]]*Dominus[[#This Row],[quart_X]])))))</f>
        <v>0.95879201516950829</v>
      </c>
      <c r="V2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2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21" s="1">
        <f>IF(Dominus[[#This Row],[Yaw]]&gt;V20,(360-ABS(Dominus[[#This Row],[Yaw]])-ABS(V20)),ABS(Dominus[[#This Row],[Yaw]]-V20))</f>
        <v>0</v>
      </c>
      <c r="Y21" s="1">
        <f>Dominus[[#This Row],[Degree change]]+Y20</f>
        <v>0</v>
      </c>
    </row>
    <row r="22" spans="1:25">
      <c r="A22">
        <v>21</v>
      </c>
      <c r="B22" s="1">
        <v>668</v>
      </c>
      <c r="C22" s="1">
        <v>1404.6899410000001</v>
      </c>
      <c r="D22" s="1">
        <v>17.049999</v>
      </c>
      <c r="E22" s="1">
        <v>-1179.309937</v>
      </c>
      <c r="F22" s="1">
        <v>1974.619995</v>
      </c>
      <c r="G22" s="1">
        <v>7.94</v>
      </c>
      <c r="H22" s="1">
        <v>-8.0000000000000004E-4</v>
      </c>
      <c r="I22" s="1">
        <v>-2.0000000000000001E-4</v>
      </c>
      <c r="J22" s="1">
        <v>0</v>
      </c>
      <c r="K22" s="1">
        <v>-7.28E-3</v>
      </c>
      <c r="L22" s="1">
        <v>4.1240000000000001E-3</v>
      </c>
      <c r="M22" s="1">
        <v>0.86966900000000003</v>
      </c>
      <c r="N22" s="1">
        <v>0.493564</v>
      </c>
      <c r="O22">
        <v>0</v>
      </c>
      <c r="P22">
        <v>0</v>
      </c>
      <c r="Q22">
        <v>1</v>
      </c>
      <c r="R22">
        <v>1</v>
      </c>
      <c r="S22">
        <v>1</v>
      </c>
      <c r="T22" s="1">
        <f>SQRT(POWER(Dominus[[#This Row],[angvel_X]],2) + POWER(Dominus[[#This Row],[angvel_Y]],2) + POWER(Dominus[[#This Row],[angvel_Z]],2))</f>
        <v>8.2462112512353219E-4</v>
      </c>
      <c r="U22" s="1">
        <f>DEGREES(ASIN(MAX(-1,MIN(1,2 * (Dominus[[#This Row],[quart_W]]*Dominus[[#This Row],[quart_Y]] - Dominus[[#This Row],[quart_Z]]*Dominus[[#This Row],[quart_X]])))))</f>
        <v>0.95879201516950829</v>
      </c>
      <c r="V2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2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22" s="1">
        <f>IF(Dominus[[#This Row],[Yaw]]&gt;V21,(360-ABS(Dominus[[#This Row],[Yaw]])-ABS(V21)),ABS(Dominus[[#This Row],[Yaw]]-V21))</f>
        <v>0</v>
      </c>
      <c r="Y22" s="1">
        <f>Dominus[[#This Row],[Degree change]]+Y21</f>
        <v>0</v>
      </c>
    </row>
    <row r="23" spans="1:25">
      <c r="A23">
        <v>22</v>
      </c>
      <c r="B23" s="1">
        <v>658.14001499999995</v>
      </c>
      <c r="C23" s="1">
        <v>1421.1999510000001</v>
      </c>
      <c r="D23" s="1">
        <v>17.049999</v>
      </c>
      <c r="E23" s="1">
        <v>-1179.309937</v>
      </c>
      <c r="F23" s="1">
        <v>1974.619995</v>
      </c>
      <c r="G23" s="1">
        <v>7.94</v>
      </c>
      <c r="H23" s="1">
        <v>-8.0000000000000004E-4</v>
      </c>
      <c r="I23" s="1">
        <v>-2.0000000000000001E-4</v>
      </c>
      <c r="J23" s="1">
        <v>0</v>
      </c>
      <c r="K23" s="1">
        <v>-7.28E-3</v>
      </c>
      <c r="L23" s="1">
        <v>4.1240000000000001E-3</v>
      </c>
      <c r="M23" s="1">
        <v>0.86966900000000003</v>
      </c>
      <c r="N23" s="1">
        <v>0.493564</v>
      </c>
      <c r="O23">
        <v>0</v>
      </c>
      <c r="P23">
        <v>0</v>
      </c>
      <c r="Q23">
        <v>1</v>
      </c>
      <c r="R23">
        <v>1</v>
      </c>
      <c r="S23">
        <v>1</v>
      </c>
      <c r="T23" s="1">
        <f>SQRT(POWER(Dominus[[#This Row],[angvel_X]],2) + POWER(Dominus[[#This Row],[angvel_Y]],2) + POWER(Dominus[[#This Row],[angvel_Z]],2))</f>
        <v>8.2462112512353219E-4</v>
      </c>
      <c r="U23" s="1">
        <f>DEGREES(ASIN(MAX(-1,MIN(1,2 * (Dominus[[#This Row],[quart_W]]*Dominus[[#This Row],[quart_Y]] - Dominus[[#This Row],[quart_Z]]*Dominus[[#This Row],[quart_X]])))))</f>
        <v>0.95879201516950829</v>
      </c>
      <c r="V2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2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23" s="1">
        <f>IF(Dominus[[#This Row],[Yaw]]&gt;V22,(360-ABS(Dominus[[#This Row],[Yaw]])-ABS(V22)),ABS(Dominus[[#This Row],[Yaw]]-V22))</f>
        <v>0</v>
      </c>
      <c r="Y23" s="1">
        <f>Dominus[[#This Row],[Degree change]]+Y22</f>
        <v>0</v>
      </c>
    </row>
    <row r="24" spans="1:25">
      <c r="A24">
        <v>23</v>
      </c>
      <c r="B24" s="1">
        <v>648.27996800000005</v>
      </c>
      <c r="C24" s="1">
        <v>1437.709961</v>
      </c>
      <c r="D24" s="1">
        <v>17.049999</v>
      </c>
      <c r="E24" s="1">
        <v>-1179.309937</v>
      </c>
      <c r="F24" s="1">
        <v>1974.619995</v>
      </c>
      <c r="G24" s="1">
        <v>7.94</v>
      </c>
      <c r="H24" s="1">
        <v>-8.0000000000000004E-4</v>
      </c>
      <c r="I24" s="1">
        <v>-2.0000000000000001E-4</v>
      </c>
      <c r="J24" s="1">
        <v>0</v>
      </c>
      <c r="K24" s="1">
        <v>-7.28E-3</v>
      </c>
      <c r="L24" s="1">
        <v>4.1240000000000001E-3</v>
      </c>
      <c r="M24" s="1">
        <v>0.86966900000000003</v>
      </c>
      <c r="N24" s="1">
        <v>0.493564</v>
      </c>
      <c r="O24">
        <v>0</v>
      </c>
      <c r="P24">
        <v>0</v>
      </c>
      <c r="Q24">
        <v>1</v>
      </c>
      <c r="R24">
        <v>1</v>
      </c>
      <c r="S24">
        <v>1</v>
      </c>
      <c r="T24" s="1">
        <f>SQRT(POWER(Dominus[[#This Row],[angvel_X]],2) + POWER(Dominus[[#This Row],[angvel_Y]],2) + POWER(Dominus[[#This Row],[angvel_Z]],2))</f>
        <v>8.2462112512353219E-4</v>
      </c>
      <c r="U24" s="1">
        <f>DEGREES(ASIN(MAX(-1,MIN(1,2 * (Dominus[[#This Row],[quart_W]]*Dominus[[#This Row],[quart_Y]] - Dominus[[#This Row],[quart_Z]]*Dominus[[#This Row],[quart_X]])))))</f>
        <v>0.95879201516950829</v>
      </c>
      <c r="V2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2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24" s="1">
        <f>IF(Dominus[[#This Row],[Yaw]]&gt;V23,(360-ABS(Dominus[[#This Row],[Yaw]])-ABS(V23)),ABS(Dominus[[#This Row],[Yaw]]-V23))</f>
        <v>0</v>
      </c>
      <c r="Y24" s="1">
        <f>Dominus[[#This Row],[Degree change]]+Y23</f>
        <v>0</v>
      </c>
    </row>
    <row r="25" spans="1:25">
      <c r="A25">
        <v>24</v>
      </c>
      <c r="B25" s="1">
        <v>638.419983</v>
      </c>
      <c r="C25" s="1">
        <v>1454.219971</v>
      </c>
      <c r="D25" s="1">
        <v>17.049999</v>
      </c>
      <c r="E25" s="1">
        <v>-1179.309937</v>
      </c>
      <c r="F25" s="1">
        <v>1974.619995</v>
      </c>
      <c r="G25" s="1">
        <v>7.94</v>
      </c>
      <c r="H25" s="1">
        <v>-8.0000000000000004E-4</v>
      </c>
      <c r="I25" s="1">
        <v>-2.0000000000000001E-4</v>
      </c>
      <c r="J25" s="1">
        <v>0</v>
      </c>
      <c r="K25" s="1">
        <v>-7.28E-3</v>
      </c>
      <c r="L25" s="1">
        <v>4.1240000000000001E-3</v>
      </c>
      <c r="M25" s="1">
        <v>0.86966900000000003</v>
      </c>
      <c r="N25" s="1">
        <v>0.493564</v>
      </c>
      <c r="O25">
        <v>0</v>
      </c>
      <c r="P25">
        <v>0</v>
      </c>
      <c r="Q25">
        <v>1</v>
      </c>
      <c r="R25">
        <v>1</v>
      </c>
      <c r="S25">
        <v>1</v>
      </c>
      <c r="T25" s="1">
        <f>SQRT(POWER(Dominus[[#This Row],[angvel_X]],2) + POWER(Dominus[[#This Row],[angvel_Y]],2) + POWER(Dominus[[#This Row],[angvel_Z]],2))</f>
        <v>8.2462112512353219E-4</v>
      </c>
      <c r="U25" s="1">
        <f>DEGREES(ASIN(MAX(-1,MIN(1,2 * (Dominus[[#This Row],[quart_W]]*Dominus[[#This Row],[quart_Y]] - Dominus[[#This Row],[quart_Z]]*Dominus[[#This Row],[quart_X]])))))</f>
        <v>0.95879201516950829</v>
      </c>
      <c r="V2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2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25" s="1">
        <f>IF(Dominus[[#This Row],[Yaw]]&gt;V24,(360-ABS(Dominus[[#This Row],[Yaw]])-ABS(V24)),ABS(Dominus[[#This Row],[Yaw]]-V24))</f>
        <v>0</v>
      </c>
      <c r="Y25" s="1">
        <f>Dominus[[#This Row],[Degree change]]+Y24</f>
        <v>0</v>
      </c>
    </row>
    <row r="26" spans="1:25">
      <c r="A26">
        <v>25</v>
      </c>
      <c r="B26" s="1">
        <v>628.55999799999995</v>
      </c>
      <c r="C26" s="1">
        <v>1470.7299800000001</v>
      </c>
      <c r="D26" s="1">
        <v>17.049999</v>
      </c>
      <c r="E26" s="1">
        <v>-1179.309937</v>
      </c>
      <c r="F26" s="1">
        <v>1974.619995</v>
      </c>
      <c r="G26" s="1">
        <v>7.94</v>
      </c>
      <c r="H26" s="1">
        <v>-8.0000000000000004E-4</v>
      </c>
      <c r="I26" s="1">
        <v>-2.0000000000000001E-4</v>
      </c>
      <c r="J26" s="1">
        <v>0</v>
      </c>
      <c r="K26" s="1">
        <v>-7.28E-3</v>
      </c>
      <c r="L26" s="1">
        <v>4.1240000000000001E-3</v>
      </c>
      <c r="M26" s="1">
        <v>0.86966900000000003</v>
      </c>
      <c r="N26" s="1">
        <v>0.493564</v>
      </c>
      <c r="O26">
        <v>0</v>
      </c>
      <c r="P26">
        <v>0</v>
      </c>
      <c r="Q26">
        <v>1</v>
      </c>
      <c r="R26">
        <v>1</v>
      </c>
      <c r="S26">
        <v>1</v>
      </c>
      <c r="T26" s="1">
        <f>SQRT(POWER(Dominus[[#This Row],[angvel_X]],2) + POWER(Dominus[[#This Row],[angvel_Y]],2) + POWER(Dominus[[#This Row],[angvel_Z]],2))</f>
        <v>8.2462112512353219E-4</v>
      </c>
      <c r="U26" s="1">
        <f>DEGREES(ASIN(MAX(-1,MIN(1,2 * (Dominus[[#This Row],[quart_W]]*Dominus[[#This Row],[quart_Y]] - Dominus[[#This Row],[quart_Z]]*Dominus[[#This Row],[quart_X]])))))</f>
        <v>0.95879201516950829</v>
      </c>
      <c r="V2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2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26" s="1">
        <f>IF(Dominus[[#This Row],[Yaw]]&gt;V25,(360-ABS(Dominus[[#This Row],[Yaw]])-ABS(V25)),ABS(Dominus[[#This Row],[Yaw]]-V25))</f>
        <v>0</v>
      </c>
      <c r="Y26" s="1">
        <f>Dominus[[#This Row],[Degree change]]+Y25</f>
        <v>0</v>
      </c>
    </row>
    <row r="27" spans="1:25">
      <c r="A27">
        <v>26</v>
      </c>
      <c r="B27" s="1">
        <v>618.70001200000002</v>
      </c>
      <c r="C27" s="1">
        <v>1487.23999</v>
      </c>
      <c r="D27" s="1">
        <v>17.049999</v>
      </c>
      <c r="E27" s="1">
        <v>-1179.309937</v>
      </c>
      <c r="F27" s="1">
        <v>1974.619995</v>
      </c>
      <c r="G27" s="1">
        <v>7.94</v>
      </c>
      <c r="H27" s="1">
        <v>-8.0000000000000004E-4</v>
      </c>
      <c r="I27" s="1">
        <v>-2.0000000000000001E-4</v>
      </c>
      <c r="J27" s="1">
        <v>0</v>
      </c>
      <c r="K27" s="1">
        <v>-7.28E-3</v>
      </c>
      <c r="L27" s="1">
        <v>4.1240000000000001E-3</v>
      </c>
      <c r="M27" s="1">
        <v>0.86966900000000003</v>
      </c>
      <c r="N27" s="1">
        <v>0.493564</v>
      </c>
      <c r="O27">
        <v>0</v>
      </c>
      <c r="P27">
        <v>0</v>
      </c>
      <c r="Q27">
        <v>1</v>
      </c>
      <c r="R27">
        <v>1</v>
      </c>
      <c r="S27">
        <v>1</v>
      </c>
      <c r="T27" s="1">
        <f>SQRT(POWER(Dominus[[#This Row],[angvel_X]],2) + POWER(Dominus[[#This Row],[angvel_Y]],2) + POWER(Dominus[[#This Row],[angvel_Z]],2))</f>
        <v>8.2462112512353219E-4</v>
      </c>
      <c r="U27" s="1">
        <f>DEGREES(ASIN(MAX(-1,MIN(1,2 * (Dominus[[#This Row],[quart_W]]*Dominus[[#This Row],[quart_Y]] - Dominus[[#This Row],[quart_Z]]*Dominus[[#This Row],[quart_X]])))))</f>
        <v>0.95879201516950829</v>
      </c>
      <c r="V2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2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27" s="1">
        <f>IF(Dominus[[#This Row],[Yaw]]&gt;V26,(360-ABS(Dominus[[#This Row],[Yaw]])-ABS(V26)),ABS(Dominus[[#This Row],[Yaw]]-V26))</f>
        <v>0</v>
      </c>
      <c r="Y27" s="1">
        <f>Dominus[[#This Row],[Degree change]]+Y26</f>
        <v>0</v>
      </c>
    </row>
    <row r="28" spans="1:25">
      <c r="A28">
        <v>27</v>
      </c>
      <c r="B28" s="1">
        <v>608.839966</v>
      </c>
      <c r="C28" s="1">
        <v>1503.75</v>
      </c>
      <c r="D28" s="1">
        <v>17.049999</v>
      </c>
      <c r="E28" s="1">
        <v>-1179.309937</v>
      </c>
      <c r="F28" s="1">
        <v>1974.619995</v>
      </c>
      <c r="G28" s="1">
        <v>7.94</v>
      </c>
      <c r="H28" s="1">
        <v>-8.0000000000000004E-4</v>
      </c>
      <c r="I28" s="1">
        <v>-2.0000000000000001E-4</v>
      </c>
      <c r="J28" s="1">
        <v>0</v>
      </c>
      <c r="K28" s="1">
        <v>-7.28E-3</v>
      </c>
      <c r="L28" s="1">
        <v>4.1240000000000001E-3</v>
      </c>
      <c r="M28" s="1">
        <v>0.86966900000000003</v>
      </c>
      <c r="N28" s="1">
        <v>0.493564</v>
      </c>
      <c r="O28">
        <v>0</v>
      </c>
      <c r="P28">
        <v>0</v>
      </c>
      <c r="Q28">
        <v>1</v>
      </c>
      <c r="R28">
        <v>1</v>
      </c>
      <c r="S28">
        <v>1</v>
      </c>
      <c r="T28" s="1">
        <f>SQRT(POWER(Dominus[[#This Row],[angvel_X]],2) + POWER(Dominus[[#This Row],[angvel_Y]],2) + POWER(Dominus[[#This Row],[angvel_Z]],2))</f>
        <v>8.2462112512353219E-4</v>
      </c>
      <c r="U28" s="1">
        <f>DEGREES(ASIN(MAX(-1,MIN(1,2 * (Dominus[[#This Row],[quart_W]]*Dominus[[#This Row],[quart_Y]] - Dominus[[#This Row],[quart_Z]]*Dominus[[#This Row],[quart_X]])))))</f>
        <v>0.95879201516950829</v>
      </c>
      <c r="V2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2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28" s="1">
        <f>IF(Dominus[[#This Row],[Yaw]]&gt;V27,(360-ABS(Dominus[[#This Row],[Yaw]])-ABS(V27)),ABS(Dominus[[#This Row],[Yaw]]-V27))</f>
        <v>0</v>
      </c>
      <c r="Y28" s="1">
        <f>Dominus[[#This Row],[Degree change]]+Y27</f>
        <v>0</v>
      </c>
    </row>
    <row r="29" spans="1:25">
      <c r="A29">
        <v>28</v>
      </c>
      <c r="B29" s="1">
        <v>598.97997999999995</v>
      </c>
      <c r="C29" s="1">
        <v>1520.26001</v>
      </c>
      <c r="D29" s="1">
        <v>17.049999</v>
      </c>
      <c r="E29" s="1">
        <v>-1179.309937</v>
      </c>
      <c r="F29" s="1">
        <v>1974.619995</v>
      </c>
      <c r="G29" s="1">
        <v>7.94</v>
      </c>
      <c r="H29" s="1">
        <v>-8.0000000000000004E-4</v>
      </c>
      <c r="I29" s="1">
        <v>-2.0000000000000001E-4</v>
      </c>
      <c r="J29" s="1">
        <v>0</v>
      </c>
      <c r="K29" s="1">
        <v>-7.28E-3</v>
      </c>
      <c r="L29" s="1">
        <v>4.1240000000000001E-3</v>
      </c>
      <c r="M29" s="1">
        <v>0.86966900000000003</v>
      </c>
      <c r="N29" s="1">
        <v>0.493564</v>
      </c>
      <c r="O29">
        <v>0</v>
      </c>
      <c r="P29">
        <v>0</v>
      </c>
      <c r="Q29">
        <v>1</v>
      </c>
      <c r="R29">
        <v>1</v>
      </c>
      <c r="S29">
        <v>1</v>
      </c>
      <c r="T29" s="1">
        <f>SQRT(POWER(Dominus[[#This Row],[angvel_X]],2) + POWER(Dominus[[#This Row],[angvel_Y]],2) + POWER(Dominus[[#This Row],[angvel_Z]],2))</f>
        <v>8.2462112512353219E-4</v>
      </c>
      <c r="U29" s="1">
        <f>DEGREES(ASIN(MAX(-1,MIN(1,2 * (Dominus[[#This Row],[quart_W]]*Dominus[[#This Row],[quart_Y]] - Dominus[[#This Row],[quart_Z]]*Dominus[[#This Row],[quart_X]])))))</f>
        <v>0.95879201516950829</v>
      </c>
      <c r="V2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2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29" s="1">
        <f>IF(Dominus[[#This Row],[Yaw]]&gt;V28,(360-ABS(Dominus[[#This Row],[Yaw]])-ABS(V28)),ABS(Dominus[[#This Row],[Yaw]]-V28))</f>
        <v>0</v>
      </c>
      <c r="Y29" s="1">
        <f>Dominus[[#This Row],[Degree change]]+Y28</f>
        <v>0</v>
      </c>
    </row>
    <row r="30" spans="1:25">
      <c r="A30">
        <v>29</v>
      </c>
      <c r="B30" s="1">
        <v>589.11999500000002</v>
      </c>
      <c r="C30" s="1">
        <v>1536.7700199999999</v>
      </c>
      <c r="D30" s="1">
        <v>17.049999</v>
      </c>
      <c r="E30" s="1">
        <v>-1179.309937</v>
      </c>
      <c r="F30" s="1">
        <v>1974.619995</v>
      </c>
      <c r="G30" s="1">
        <v>7.94</v>
      </c>
      <c r="H30" s="1">
        <v>-8.0000000000000004E-4</v>
      </c>
      <c r="I30" s="1">
        <v>-2.0000000000000001E-4</v>
      </c>
      <c r="J30" s="1">
        <v>0</v>
      </c>
      <c r="K30" s="1">
        <v>-7.28E-3</v>
      </c>
      <c r="L30" s="1">
        <v>4.1240000000000001E-3</v>
      </c>
      <c r="M30" s="1">
        <v>0.86966900000000003</v>
      </c>
      <c r="N30" s="1">
        <v>0.493564</v>
      </c>
      <c r="O30">
        <v>0</v>
      </c>
      <c r="P30">
        <v>0</v>
      </c>
      <c r="Q30">
        <v>1</v>
      </c>
      <c r="R30">
        <v>1</v>
      </c>
      <c r="S30">
        <v>1</v>
      </c>
      <c r="T30" s="1">
        <f>SQRT(POWER(Dominus[[#This Row],[angvel_X]],2) + POWER(Dominus[[#This Row],[angvel_Y]],2) + POWER(Dominus[[#This Row],[angvel_Z]],2))</f>
        <v>8.2462112512353219E-4</v>
      </c>
      <c r="U30" s="1">
        <f>DEGREES(ASIN(MAX(-1,MIN(1,2 * (Dominus[[#This Row],[quart_W]]*Dominus[[#This Row],[quart_Y]] - Dominus[[#This Row],[quart_Z]]*Dominus[[#This Row],[quart_X]])))))</f>
        <v>0.95879201516950829</v>
      </c>
      <c r="V3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3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30" s="1">
        <f>IF(Dominus[[#This Row],[Yaw]]&gt;V29,(360-ABS(Dominus[[#This Row],[Yaw]])-ABS(V29)),ABS(Dominus[[#This Row],[Yaw]]-V29))</f>
        <v>0</v>
      </c>
      <c r="Y30" s="1">
        <f>Dominus[[#This Row],[Degree change]]+Y29</f>
        <v>0</v>
      </c>
    </row>
    <row r="31" spans="1:25">
      <c r="A31">
        <v>30</v>
      </c>
      <c r="B31" s="1">
        <v>579.26000999999997</v>
      </c>
      <c r="C31" s="1">
        <v>1553.2799070000001</v>
      </c>
      <c r="D31" s="1">
        <v>17.049999</v>
      </c>
      <c r="E31" s="1">
        <v>-1179.309937</v>
      </c>
      <c r="F31" s="1">
        <v>1974.619995</v>
      </c>
      <c r="G31" s="1">
        <v>7.94</v>
      </c>
      <c r="H31" s="1">
        <v>-8.0000000000000004E-4</v>
      </c>
      <c r="I31" s="1">
        <v>-2.0000000000000001E-4</v>
      </c>
      <c r="J31" s="1">
        <v>0</v>
      </c>
      <c r="K31" s="1">
        <v>-7.28E-3</v>
      </c>
      <c r="L31" s="1">
        <v>4.1240000000000001E-3</v>
      </c>
      <c r="M31" s="1">
        <v>0.86966900000000003</v>
      </c>
      <c r="N31" s="1">
        <v>0.493564</v>
      </c>
      <c r="O31">
        <v>0</v>
      </c>
      <c r="P31">
        <v>0</v>
      </c>
      <c r="Q31">
        <v>1</v>
      </c>
      <c r="R31">
        <v>1</v>
      </c>
      <c r="S31">
        <v>1</v>
      </c>
      <c r="T31" s="1">
        <f>SQRT(POWER(Dominus[[#This Row],[angvel_X]],2) + POWER(Dominus[[#This Row],[angvel_Y]],2) + POWER(Dominus[[#This Row],[angvel_Z]],2))</f>
        <v>8.2462112512353219E-4</v>
      </c>
      <c r="U31" s="1">
        <f>DEGREES(ASIN(MAX(-1,MIN(1,2 * (Dominus[[#This Row],[quart_W]]*Dominus[[#This Row],[quart_Y]] - Dominus[[#This Row],[quart_Z]]*Dominus[[#This Row],[quart_X]])))))</f>
        <v>0.95879201516950829</v>
      </c>
      <c r="V3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3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31" s="1">
        <f>IF(Dominus[[#This Row],[Yaw]]&gt;V30,(360-ABS(Dominus[[#This Row],[Yaw]])-ABS(V30)),ABS(Dominus[[#This Row],[Yaw]]-V30))</f>
        <v>0</v>
      </c>
      <c r="Y31" s="1">
        <f>Dominus[[#This Row],[Degree change]]+Y30</f>
        <v>0</v>
      </c>
    </row>
    <row r="32" spans="1:25">
      <c r="A32">
        <v>31</v>
      </c>
      <c r="B32" s="1">
        <v>569.39996299999996</v>
      </c>
      <c r="C32" s="1">
        <v>1569.7899170000001</v>
      </c>
      <c r="D32" s="1">
        <v>17.049999</v>
      </c>
      <c r="E32" s="1">
        <v>-1179.309937</v>
      </c>
      <c r="F32" s="1">
        <v>1974.619995</v>
      </c>
      <c r="G32" s="1">
        <v>7.94</v>
      </c>
      <c r="H32" s="1">
        <v>-8.0000000000000004E-4</v>
      </c>
      <c r="I32" s="1">
        <v>-2.0000000000000001E-4</v>
      </c>
      <c r="J32" s="1">
        <v>0</v>
      </c>
      <c r="K32" s="1">
        <v>-7.28E-3</v>
      </c>
      <c r="L32" s="1">
        <v>4.1240000000000001E-3</v>
      </c>
      <c r="M32" s="1">
        <v>0.86966900000000003</v>
      </c>
      <c r="N32" s="1">
        <v>0.493564</v>
      </c>
      <c r="O32">
        <v>0</v>
      </c>
      <c r="P32">
        <v>0</v>
      </c>
      <c r="Q32">
        <v>1</v>
      </c>
      <c r="R32">
        <v>1</v>
      </c>
      <c r="S32">
        <v>1</v>
      </c>
      <c r="T32" s="1">
        <f>SQRT(POWER(Dominus[[#This Row],[angvel_X]],2) + POWER(Dominus[[#This Row],[angvel_Y]],2) + POWER(Dominus[[#This Row],[angvel_Z]],2))</f>
        <v>8.2462112512353219E-4</v>
      </c>
      <c r="U32" s="1">
        <f>DEGREES(ASIN(MAX(-1,MIN(1,2 * (Dominus[[#This Row],[quart_W]]*Dominus[[#This Row],[quart_Y]] - Dominus[[#This Row],[quart_Z]]*Dominus[[#This Row],[quart_X]])))))</f>
        <v>0.95879201516950829</v>
      </c>
      <c r="V3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3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32" s="1">
        <f>IF(Dominus[[#This Row],[Yaw]]&gt;V31,(360-ABS(Dominus[[#This Row],[Yaw]])-ABS(V31)),ABS(Dominus[[#This Row],[Yaw]]-V31))</f>
        <v>0</v>
      </c>
      <c r="Y32" s="1">
        <f>Dominus[[#This Row],[Degree change]]+Y31</f>
        <v>0</v>
      </c>
    </row>
    <row r="33" spans="1:25">
      <c r="A33">
        <v>32</v>
      </c>
      <c r="B33" s="1">
        <v>559.53997800000002</v>
      </c>
      <c r="C33" s="1">
        <v>1586.299927</v>
      </c>
      <c r="D33" s="1">
        <v>17.049999</v>
      </c>
      <c r="E33" s="1">
        <v>-1179.309937</v>
      </c>
      <c r="F33" s="1">
        <v>1974.619995</v>
      </c>
      <c r="G33" s="1">
        <v>7.94</v>
      </c>
      <c r="H33" s="1">
        <v>-8.0000000000000004E-4</v>
      </c>
      <c r="I33" s="1">
        <v>-2.0000000000000001E-4</v>
      </c>
      <c r="J33" s="1">
        <v>0</v>
      </c>
      <c r="K33" s="1">
        <v>-7.28E-3</v>
      </c>
      <c r="L33" s="1">
        <v>4.1240000000000001E-3</v>
      </c>
      <c r="M33" s="1">
        <v>0.86966900000000003</v>
      </c>
      <c r="N33" s="1">
        <v>0.493564</v>
      </c>
      <c r="O33">
        <v>0</v>
      </c>
      <c r="P33">
        <v>0</v>
      </c>
      <c r="Q33">
        <v>1</v>
      </c>
      <c r="R33">
        <v>1</v>
      </c>
      <c r="S33">
        <v>1</v>
      </c>
      <c r="T33" s="1">
        <f>SQRT(POWER(Dominus[[#This Row],[angvel_X]],2) + POWER(Dominus[[#This Row],[angvel_Y]],2) + POWER(Dominus[[#This Row],[angvel_Z]],2))</f>
        <v>8.2462112512353219E-4</v>
      </c>
      <c r="U33" s="1">
        <f>DEGREES(ASIN(MAX(-1,MIN(1,2 * (Dominus[[#This Row],[quart_W]]*Dominus[[#This Row],[quart_Y]] - Dominus[[#This Row],[quart_Z]]*Dominus[[#This Row],[quart_X]])))))</f>
        <v>0.95879201516950829</v>
      </c>
      <c r="V3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3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33" s="1">
        <f>IF(Dominus[[#This Row],[Yaw]]&gt;V32,(360-ABS(Dominus[[#This Row],[Yaw]])-ABS(V32)),ABS(Dominus[[#This Row],[Yaw]]-V32))</f>
        <v>0</v>
      </c>
      <c r="Y33" s="1">
        <f>Dominus[[#This Row],[Degree change]]+Y32</f>
        <v>0</v>
      </c>
    </row>
    <row r="34" spans="1:25">
      <c r="A34">
        <v>33</v>
      </c>
      <c r="B34" s="1">
        <v>549.67999299999997</v>
      </c>
      <c r="C34" s="1">
        <v>1602.809937</v>
      </c>
      <c r="D34" s="1">
        <v>17.049999</v>
      </c>
      <c r="E34" s="1">
        <v>-1179.309937</v>
      </c>
      <c r="F34" s="1">
        <v>1974.619995</v>
      </c>
      <c r="G34" s="1">
        <v>7.94</v>
      </c>
      <c r="H34" s="1">
        <v>-8.0000000000000004E-4</v>
      </c>
      <c r="I34" s="1">
        <v>-2.0000000000000001E-4</v>
      </c>
      <c r="J34" s="1">
        <v>0</v>
      </c>
      <c r="K34" s="1">
        <v>-7.28E-3</v>
      </c>
      <c r="L34" s="1">
        <v>4.1240000000000001E-3</v>
      </c>
      <c r="M34" s="1">
        <v>0.86966900000000003</v>
      </c>
      <c r="N34" s="1">
        <v>0.493564</v>
      </c>
      <c r="O34">
        <v>0</v>
      </c>
      <c r="P34">
        <v>0</v>
      </c>
      <c r="Q34">
        <v>1</v>
      </c>
      <c r="R34">
        <v>1</v>
      </c>
      <c r="S34">
        <v>1</v>
      </c>
      <c r="T34" s="1">
        <f>SQRT(POWER(Dominus[[#This Row],[angvel_X]],2) + POWER(Dominus[[#This Row],[angvel_Y]],2) + POWER(Dominus[[#This Row],[angvel_Z]],2))</f>
        <v>8.2462112512353219E-4</v>
      </c>
      <c r="U34" s="1">
        <f>DEGREES(ASIN(MAX(-1,MIN(1,2 * (Dominus[[#This Row],[quart_W]]*Dominus[[#This Row],[quart_Y]] - Dominus[[#This Row],[quart_Z]]*Dominus[[#This Row],[quart_X]])))))</f>
        <v>0.95879201516950829</v>
      </c>
      <c r="V3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3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34" s="1">
        <f>IF(Dominus[[#This Row],[Yaw]]&gt;V33,(360-ABS(Dominus[[#This Row],[Yaw]])-ABS(V33)),ABS(Dominus[[#This Row],[Yaw]]-V33))</f>
        <v>0</v>
      </c>
      <c r="Y34" s="1">
        <f>Dominus[[#This Row],[Degree change]]+Y33</f>
        <v>0</v>
      </c>
    </row>
    <row r="35" spans="1:25">
      <c r="A35">
        <v>34</v>
      </c>
      <c r="B35" s="1">
        <v>539.82000700000003</v>
      </c>
      <c r="C35" s="1">
        <v>1619.3199460000001</v>
      </c>
      <c r="D35" s="1">
        <v>17.049999</v>
      </c>
      <c r="E35" s="1">
        <v>-1179.309937</v>
      </c>
      <c r="F35" s="1">
        <v>1974.619995</v>
      </c>
      <c r="G35" s="1">
        <v>7.94</v>
      </c>
      <c r="H35" s="1">
        <v>-8.0000000000000004E-4</v>
      </c>
      <c r="I35" s="1">
        <v>-2.0000000000000001E-4</v>
      </c>
      <c r="J35" s="1">
        <v>0</v>
      </c>
      <c r="K35" s="1">
        <v>-7.28E-3</v>
      </c>
      <c r="L35" s="1">
        <v>4.1240000000000001E-3</v>
      </c>
      <c r="M35" s="1">
        <v>0.86966900000000003</v>
      </c>
      <c r="N35" s="1">
        <v>0.493564</v>
      </c>
      <c r="O35">
        <v>0</v>
      </c>
      <c r="P35">
        <v>0</v>
      </c>
      <c r="Q35">
        <v>1</v>
      </c>
      <c r="R35">
        <v>1</v>
      </c>
      <c r="S35">
        <v>1</v>
      </c>
      <c r="T35" s="1">
        <f>SQRT(POWER(Dominus[[#This Row],[angvel_X]],2) + POWER(Dominus[[#This Row],[angvel_Y]],2) + POWER(Dominus[[#This Row],[angvel_Z]],2))</f>
        <v>8.2462112512353219E-4</v>
      </c>
      <c r="U35" s="1">
        <f>DEGREES(ASIN(MAX(-1,MIN(1,2 * (Dominus[[#This Row],[quart_W]]*Dominus[[#This Row],[quart_Y]] - Dominus[[#This Row],[quart_Z]]*Dominus[[#This Row],[quart_X]])))))</f>
        <v>0.95879201516950829</v>
      </c>
      <c r="V3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3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35" s="1">
        <f>IF(Dominus[[#This Row],[Yaw]]&gt;V34,(360-ABS(Dominus[[#This Row],[Yaw]])-ABS(V34)),ABS(Dominus[[#This Row],[Yaw]]-V34))</f>
        <v>0</v>
      </c>
      <c r="Y35" s="1">
        <f>Dominus[[#This Row],[Degree change]]+Y34</f>
        <v>0</v>
      </c>
    </row>
    <row r="36" spans="1:25">
      <c r="A36">
        <v>35</v>
      </c>
      <c r="B36" s="1">
        <v>529.95996100000002</v>
      </c>
      <c r="C36" s="1">
        <v>1635.829956</v>
      </c>
      <c r="D36" s="1">
        <v>17.049999</v>
      </c>
      <c r="E36" s="1">
        <v>-1179.309937</v>
      </c>
      <c r="F36" s="1">
        <v>1974.619995</v>
      </c>
      <c r="G36" s="1">
        <v>7.94</v>
      </c>
      <c r="H36" s="1">
        <v>-8.0000000000000004E-4</v>
      </c>
      <c r="I36" s="1">
        <v>-2.0000000000000001E-4</v>
      </c>
      <c r="J36" s="1">
        <v>0</v>
      </c>
      <c r="K36" s="1">
        <v>-7.28E-3</v>
      </c>
      <c r="L36" s="1">
        <v>4.1240000000000001E-3</v>
      </c>
      <c r="M36" s="1">
        <v>0.86966900000000003</v>
      </c>
      <c r="N36" s="1">
        <v>0.493564</v>
      </c>
      <c r="O36">
        <v>0</v>
      </c>
      <c r="P36">
        <v>0</v>
      </c>
      <c r="Q36">
        <v>1</v>
      </c>
      <c r="R36">
        <v>1</v>
      </c>
      <c r="S36">
        <v>1</v>
      </c>
      <c r="T36" s="1">
        <f>SQRT(POWER(Dominus[[#This Row],[angvel_X]],2) + POWER(Dominus[[#This Row],[angvel_Y]],2) + POWER(Dominus[[#This Row],[angvel_Z]],2))</f>
        <v>8.2462112512353219E-4</v>
      </c>
      <c r="U36" s="1">
        <f>DEGREES(ASIN(MAX(-1,MIN(1,2 * (Dominus[[#This Row],[quart_W]]*Dominus[[#This Row],[quart_Y]] - Dominus[[#This Row],[quart_Z]]*Dominus[[#This Row],[quart_X]])))))</f>
        <v>0.95879201516950829</v>
      </c>
      <c r="V3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3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36" s="1">
        <f>IF(Dominus[[#This Row],[Yaw]]&gt;V35,(360-ABS(Dominus[[#This Row],[Yaw]])-ABS(V35)),ABS(Dominus[[#This Row],[Yaw]]-V35))</f>
        <v>0</v>
      </c>
      <c r="Y36" s="1">
        <f>Dominus[[#This Row],[Degree change]]+Y35</f>
        <v>0</v>
      </c>
    </row>
    <row r="37" spans="1:25">
      <c r="A37">
        <v>36</v>
      </c>
      <c r="B37" s="1">
        <v>520.09997599999997</v>
      </c>
      <c r="C37" s="1">
        <v>1652.339966</v>
      </c>
      <c r="D37" s="1">
        <v>17.049999</v>
      </c>
      <c r="E37" s="1">
        <v>-1179.309937</v>
      </c>
      <c r="F37" s="1">
        <v>1974.619995</v>
      </c>
      <c r="G37" s="1">
        <v>7.94</v>
      </c>
      <c r="H37" s="1">
        <v>-8.0000000000000004E-4</v>
      </c>
      <c r="I37" s="1">
        <v>-2.0000000000000001E-4</v>
      </c>
      <c r="J37" s="1">
        <v>0</v>
      </c>
      <c r="K37" s="1">
        <v>-7.28E-3</v>
      </c>
      <c r="L37" s="1">
        <v>4.1240000000000001E-3</v>
      </c>
      <c r="M37" s="1">
        <v>0.86966900000000003</v>
      </c>
      <c r="N37" s="1">
        <v>0.493564</v>
      </c>
      <c r="O37">
        <v>0</v>
      </c>
      <c r="P37">
        <v>0</v>
      </c>
      <c r="Q37">
        <v>1</v>
      </c>
      <c r="R37">
        <v>1</v>
      </c>
      <c r="S37">
        <v>1</v>
      </c>
      <c r="T37" s="1">
        <f>SQRT(POWER(Dominus[[#This Row],[angvel_X]],2) + POWER(Dominus[[#This Row],[angvel_Y]],2) + POWER(Dominus[[#This Row],[angvel_Z]],2))</f>
        <v>8.2462112512353219E-4</v>
      </c>
      <c r="U37" s="1">
        <f>DEGREES(ASIN(MAX(-1,MIN(1,2 * (Dominus[[#This Row],[quart_W]]*Dominus[[#This Row],[quart_Y]] - Dominus[[#This Row],[quart_Z]]*Dominus[[#This Row],[quart_X]])))))</f>
        <v>0.95879201516950829</v>
      </c>
      <c r="V3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3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37" s="1">
        <f>IF(Dominus[[#This Row],[Yaw]]&gt;V36,(360-ABS(Dominus[[#This Row],[Yaw]])-ABS(V36)),ABS(Dominus[[#This Row],[Yaw]]-V36))</f>
        <v>0</v>
      </c>
      <c r="Y37" s="1">
        <f>Dominus[[#This Row],[Degree change]]+Y36</f>
        <v>0</v>
      </c>
    </row>
    <row r="38" spans="1:25">
      <c r="A38">
        <v>37</v>
      </c>
      <c r="B38" s="1">
        <v>510.23998999999998</v>
      </c>
      <c r="C38" s="1">
        <v>1668.849976</v>
      </c>
      <c r="D38" s="1">
        <v>17.049999</v>
      </c>
      <c r="E38" s="1">
        <v>-1179.309937</v>
      </c>
      <c r="F38" s="1">
        <v>1974.619995</v>
      </c>
      <c r="G38" s="1">
        <v>7.94</v>
      </c>
      <c r="H38" s="1">
        <v>-8.0000000000000004E-4</v>
      </c>
      <c r="I38" s="1">
        <v>-2.0000000000000001E-4</v>
      </c>
      <c r="J38" s="1">
        <v>0</v>
      </c>
      <c r="K38" s="1">
        <v>-7.28E-3</v>
      </c>
      <c r="L38" s="1">
        <v>4.1240000000000001E-3</v>
      </c>
      <c r="M38" s="1">
        <v>0.86966900000000003</v>
      </c>
      <c r="N38" s="1">
        <v>0.493564</v>
      </c>
      <c r="O38">
        <v>0</v>
      </c>
      <c r="P38">
        <v>0</v>
      </c>
      <c r="Q38">
        <v>1</v>
      </c>
      <c r="R38">
        <v>1</v>
      </c>
      <c r="S38">
        <v>1</v>
      </c>
      <c r="T38" s="1">
        <f>SQRT(POWER(Dominus[[#This Row],[angvel_X]],2) + POWER(Dominus[[#This Row],[angvel_Y]],2) + POWER(Dominus[[#This Row],[angvel_Z]],2))</f>
        <v>8.2462112512353219E-4</v>
      </c>
      <c r="U38" s="1">
        <f>DEGREES(ASIN(MAX(-1,MIN(1,2 * (Dominus[[#This Row],[quart_W]]*Dominus[[#This Row],[quart_Y]] - Dominus[[#This Row],[quart_Z]]*Dominus[[#This Row],[quart_X]])))))</f>
        <v>0.95879201516950829</v>
      </c>
      <c r="V3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3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38" s="1">
        <f>IF(Dominus[[#This Row],[Yaw]]&gt;V37,(360-ABS(Dominus[[#This Row],[Yaw]])-ABS(V37)),ABS(Dominus[[#This Row],[Yaw]]-V37))</f>
        <v>0</v>
      </c>
      <c r="Y38" s="1">
        <f>Dominus[[#This Row],[Degree change]]+Y37</f>
        <v>0</v>
      </c>
    </row>
    <row r="39" spans="1:25">
      <c r="A39">
        <v>38</v>
      </c>
      <c r="B39" s="1">
        <v>500.379974</v>
      </c>
      <c r="C39" s="1">
        <v>1685.3599850000001</v>
      </c>
      <c r="D39" s="1">
        <v>17.049999</v>
      </c>
      <c r="E39" s="1">
        <v>-1179.309937</v>
      </c>
      <c r="F39" s="1">
        <v>1974.619995</v>
      </c>
      <c r="G39" s="1">
        <v>7.94</v>
      </c>
      <c r="H39" s="1">
        <v>-8.0000000000000004E-4</v>
      </c>
      <c r="I39" s="1">
        <v>-2.0000000000000001E-4</v>
      </c>
      <c r="J39" s="1">
        <v>0</v>
      </c>
      <c r="K39" s="1">
        <v>-7.28E-3</v>
      </c>
      <c r="L39" s="1">
        <v>4.1240000000000001E-3</v>
      </c>
      <c r="M39" s="1">
        <v>0.86966900000000003</v>
      </c>
      <c r="N39" s="1">
        <v>0.493564</v>
      </c>
      <c r="O39">
        <v>0</v>
      </c>
      <c r="P39">
        <v>0</v>
      </c>
      <c r="Q39">
        <v>1</v>
      </c>
      <c r="R39">
        <v>1</v>
      </c>
      <c r="S39">
        <v>1</v>
      </c>
      <c r="T39" s="1">
        <f>SQRT(POWER(Dominus[[#This Row],[angvel_X]],2) + POWER(Dominus[[#This Row],[angvel_Y]],2) + POWER(Dominus[[#This Row],[angvel_Z]],2))</f>
        <v>8.2462112512353219E-4</v>
      </c>
      <c r="U39" s="1">
        <f>DEGREES(ASIN(MAX(-1,MIN(1,2 * (Dominus[[#This Row],[quart_W]]*Dominus[[#This Row],[quart_Y]] - Dominus[[#This Row],[quart_Z]]*Dominus[[#This Row],[quart_X]])))))</f>
        <v>0.95879201516950829</v>
      </c>
      <c r="V3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3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39" s="1">
        <f>IF(Dominus[[#This Row],[Yaw]]&gt;V38,(360-ABS(Dominus[[#This Row],[Yaw]])-ABS(V38)),ABS(Dominus[[#This Row],[Yaw]]-V38))</f>
        <v>0</v>
      </c>
      <c r="Y39" s="1">
        <f>Dominus[[#This Row],[Degree change]]+Y38</f>
        <v>0</v>
      </c>
    </row>
    <row r="40" spans="1:25">
      <c r="A40">
        <v>39</v>
      </c>
      <c r="B40" s="1">
        <v>490.51998900000001</v>
      </c>
      <c r="C40" s="1">
        <v>1701.869995</v>
      </c>
      <c r="D40" s="1">
        <v>17.049999</v>
      </c>
      <c r="E40" s="1">
        <v>-1179.309937</v>
      </c>
      <c r="F40" s="1">
        <v>1974.619995</v>
      </c>
      <c r="G40" s="1">
        <v>7.94</v>
      </c>
      <c r="H40" s="1">
        <v>-8.0000000000000004E-4</v>
      </c>
      <c r="I40" s="1">
        <v>-2.0000000000000001E-4</v>
      </c>
      <c r="J40" s="1">
        <v>0</v>
      </c>
      <c r="K40" s="1">
        <v>-7.28E-3</v>
      </c>
      <c r="L40" s="1">
        <v>4.1240000000000001E-3</v>
      </c>
      <c r="M40" s="1">
        <v>0.86966900000000003</v>
      </c>
      <c r="N40" s="1">
        <v>0.493564</v>
      </c>
      <c r="O40">
        <v>0</v>
      </c>
      <c r="P40">
        <v>0</v>
      </c>
      <c r="Q40">
        <v>1</v>
      </c>
      <c r="R40">
        <v>1</v>
      </c>
      <c r="S40">
        <v>1</v>
      </c>
      <c r="T40" s="1">
        <f>SQRT(POWER(Dominus[[#This Row],[angvel_X]],2) + POWER(Dominus[[#This Row],[angvel_Y]],2) + POWER(Dominus[[#This Row],[angvel_Z]],2))</f>
        <v>8.2462112512353219E-4</v>
      </c>
      <c r="U40" s="1">
        <f>DEGREES(ASIN(MAX(-1,MIN(1,2 * (Dominus[[#This Row],[quart_W]]*Dominus[[#This Row],[quart_Y]] - Dominus[[#This Row],[quart_Z]]*Dominus[[#This Row],[quart_X]])))))</f>
        <v>0.95879201516950829</v>
      </c>
      <c r="V4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4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40" s="1">
        <f>IF(Dominus[[#This Row],[Yaw]]&gt;V39,(360-ABS(Dominus[[#This Row],[Yaw]])-ABS(V39)),ABS(Dominus[[#This Row],[Yaw]]-V39))</f>
        <v>0</v>
      </c>
      <c r="Y40" s="1">
        <f>Dominus[[#This Row],[Degree change]]+Y39</f>
        <v>0</v>
      </c>
    </row>
    <row r="41" spans="1:25">
      <c r="A41">
        <v>40</v>
      </c>
      <c r="B41" s="1">
        <v>480.66000400000001</v>
      </c>
      <c r="C41" s="1">
        <v>1718.380005</v>
      </c>
      <c r="D41" s="1">
        <v>17.049999</v>
      </c>
      <c r="E41" s="1">
        <v>-1179.309937</v>
      </c>
      <c r="F41" s="1">
        <v>1974.619995</v>
      </c>
      <c r="G41" s="1">
        <v>7.94</v>
      </c>
      <c r="H41" s="1">
        <v>-8.0000000000000004E-4</v>
      </c>
      <c r="I41" s="1">
        <v>-2.0000000000000001E-4</v>
      </c>
      <c r="J41" s="1">
        <v>0</v>
      </c>
      <c r="K41" s="1">
        <v>-7.28E-3</v>
      </c>
      <c r="L41" s="1">
        <v>4.1240000000000001E-3</v>
      </c>
      <c r="M41" s="1">
        <v>0.86966900000000003</v>
      </c>
      <c r="N41" s="1">
        <v>0.493564</v>
      </c>
      <c r="O41">
        <v>0</v>
      </c>
      <c r="P41">
        <v>0</v>
      </c>
      <c r="Q41">
        <v>1</v>
      </c>
      <c r="R41">
        <v>1</v>
      </c>
      <c r="S41">
        <v>1</v>
      </c>
      <c r="T41" s="1">
        <f>SQRT(POWER(Dominus[[#This Row],[angvel_X]],2) + POWER(Dominus[[#This Row],[angvel_Y]],2) + POWER(Dominus[[#This Row],[angvel_Z]],2))</f>
        <v>8.2462112512353219E-4</v>
      </c>
      <c r="U41" s="1">
        <f>DEGREES(ASIN(MAX(-1,MIN(1,2 * (Dominus[[#This Row],[quart_W]]*Dominus[[#This Row],[quart_Y]] - Dominus[[#This Row],[quart_Z]]*Dominus[[#This Row],[quart_X]])))))</f>
        <v>0.95879201516950829</v>
      </c>
      <c r="V4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4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41" s="1">
        <f>IF(Dominus[[#This Row],[Yaw]]&gt;V40,(360-ABS(Dominus[[#This Row],[Yaw]])-ABS(V40)),ABS(Dominus[[#This Row],[Yaw]]-V40))</f>
        <v>0</v>
      </c>
      <c r="Y41" s="1">
        <f>Dominus[[#This Row],[Degree change]]+Y40</f>
        <v>0</v>
      </c>
    </row>
    <row r="42" spans="1:25">
      <c r="A42">
        <v>41</v>
      </c>
      <c r="B42" s="1">
        <v>470.79998799999998</v>
      </c>
      <c r="C42" s="1">
        <v>1734.8900149999999</v>
      </c>
      <c r="D42" s="1">
        <v>17.049999</v>
      </c>
      <c r="E42" s="1">
        <v>-1179.309937</v>
      </c>
      <c r="F42" s="1">
        <v>1974.619995</v>
      </c>
      <c r="G42" s="1">
        <v>7.94</v>
      </c>
      <c r="H42" s="1">
        <v>-8.0000000000000004E-4</v>
      </c>
      <c r="I42" s="1">
        <v>-2.0000000000000001E-4</v>
      </c>
      <c r="J42" s="1">
        <v>0</v>
      </c>
      <c r="K42" s="1">
        <v>-7.28E-3</v>
      </c>
      <c r="L42" s="1">
        <v>4.1240000000000001E-3</v>
      </c>
      <c r="M42" s="1">
        <v>0.86966900000000003</v>
      </c>
      <c r="N42" s="1">
        <v>0.493564</v>
      </c>
      <c r="O42">
        <v>0</v>
      </c>
      <c r="P42">
        <v>0</v>
      </c>
      <c r="Q42">
        <v>1</v>
      </c>
      <c r="R42">
        <v>1</v>
      </c>
      <c r="S42">
        <v>1</v>
      </c>
      <c r="T42" s="1">
        <f>SQRT(POWER(Dominus[[#This Row],[angvel_X]],2) + POWER(Dominus[[#This Row],[angvel_Y]],2) + POWER(Dominus[[#This Row],[angvel_Z]],2))</f>
        <v>8.2462112512353219E-4</v>
      </c>
      <c r="U42" s="1">
        <f>DEGREES(ASIN(MAX(-1,MIN(1,2 * (Dominus[[#This Row],[quart_W]]*Dominus[[#This Row],[quart_Y]] - Dominus[[#This Row],[quart_Z]]*Dominus[[#This Row],[quart_X]])))))</f>
        <v>0.95879201516950829</v>
      </c>
      <c r="V4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4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42" s="1">
        <f>IF(Dominus[[#This Row],[Yaw]]&gt;V41,(360-ABS(Dominus[[#This Row],[Yaw]])-ABS(V41)),ABS(Dominus[[#This Row],[Yaw]]-V41))</f>
        <v>0</v>
      </c>
      <c r="Y42" s="1">
        <f>Dominus[[#This Row],[Degree change]]+Y41</f>
        <v>0</v>
      </c>
    </row>
    <row r="43" spans="1:25">
      <c r="A43">
        <v>42</v>
      </c>
      <c r="B43" s="1">
        <v>460.94000199999999</v>
      </c>
      <c r="C43" s="1">
        <v>1751.3999020000001</v>
      </c>
      <c r="D43" s="1">
        <v>17.049999</v>
      </c>
      <c r="E43" s="1">
        <v>-1179.309937</v>
      </c>
      <c r="F43" s="1">
        <v>1974.619995</v>
      </c>
      <c r="G43" s="1">
        <v>7.94</v>
      </c>
      <c r="H43" s="1">
        <v>-8.0000000000000004E-4</v>
      </c>
      <c r="I43" s="1">
        <v>-2.0000000000000001E-4</v>
      </c>
      <c r="J43" s="1">
        <v>0</v>
      </c>
      <c r="K43" s="1">
        <v>-7.28E-3</v>
      </c>
      <c r="L43" s="1">
        <v>4.1240000000000001E-3</v>
      </c>
      <c r="M43" s="1">
        <v>0.86966900000000003</v>
      </c>
      <c r="N43" s="1">
        <v>0.493564</v>
      </c>
      <c r="O43">
        <v>0</v>
      </c>
      <c r="P43">
        <v>0</v>
      </c>
      <c r="Q43">
        <v>1</v>
      </c>
      <c r="R43">
        <v>1</v>
      </c>
      <c r="S43">
        <v>1</v>
      </c>
      <c r="T43" s="1">
        <f>SQRT(POWER(Dominus[[#This Row],[angvel_X]],2) + POWER(Dominus[[#This Row],[angvel_Y]],2) + POWER(Dominus[[#This Row],[angvel_Z]],2))</f>
        <v>8.2462112512353219E-4</v>
      </c>
      <c r="U43" s="1">
        <f>DEGREES(ASIN(MAX(-1,MIN(1,2 * (Dominus[[#This Row],[quart_W]]*Dominus[[#This Row],[quart_Y]] - Dominus[[#This Row],[quart_Z]]*Dominus[[#This Row],[quart_X]])))))</f>
        <v>0.95879201516950829</v>
      </c>
      <c r="V4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4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43" s="1">
        <f>IF(Dominus[[#This Row],[Yaw]]&gt;V42,(360-ABS(Dominus[[#This Row],[Yaw]])-ABS(V42)),ABS(Dominus[[#This Row],[Yaw]]-V42))</f>
        <v>0</v>
      </c>
      <c r="Y43" s="1">
        <f>Dominus[[#This Row],[Degree change]]+Y42</f>
        <v>0</v>
      </c>
    </row>
    <row r="44" spans="1:25">
      <c r="A44">
        <v>43</v>
      </c>
      <c r="B44" s="1">
        <v>451.07998700000002</v>
      </c>
      <c r="C44" s="1">
        <v>1767.9099120000001</v>
      </c>
      <c r="D44" s="1">
        <v>17.049999</v>
      </c>
      <c r="E44" s="1">
        <v>-1179.309937</v>
      </c>
      <c r="F44" s="1">
        <v>1974.619995</v>
      </c>
      <c r="G44" s="1">
        <v>7.94</v>
      </c>
      <c r="H44" s="1">
        <v>-8.0000000000000004E-4</v>
      </c>
      <c r="I44" s="1">
        <v>-2.0000000000000001E-4</v>
      </c>
      <c r="J44" s="1">
        <v>0</v>
      </c>
      <c r="K44" s="1">
        <v>-7.28E-3</v>
      </c>
      <c r="L44" s="1">
        <v>4.1240000000000001E-3</v>
      </c>
      <c r="M44" s="1">
        <v>0.86966900000000003</v>
      </c>
      <c r="N44" s="1">
        <v>0.493564</v>
      </c>
      <c r="O44">
        <v>0</v>
      </c>
      <c r="P44">
        <v>0</v>
      </c>
      <c r="Q44">
        <v>1</v>
      </c>
      <c r="R44">
        <v>1</v>
      </c>
      <c r="S44">
        <v>1</v>
      </c>
      <c r="T44" s="1">
        <f>SQRT(POWER(Dominus[[#This Row],[angvel_X]],2) + POWER(Dominus[[#This Row],[angvel_Y]],2) + POWER(Dominus[[#This Row],[angvel_Z]],2))</f>
        <v>8.2462112512353219E-4</v>
      </c>
      <c r="U44" s="1">
        <f>DEGREES(ASIN(MAX(-1,MIN(1,2 * (Dominus[[#This Row],[quart_W]]*Dominus[[#This Row],[quart_Y]] - Dominus[[#This Row],[quart_Z]]*Dominus[[#This Row],[quart_X]])))))</f>
        <v>0.95879201516950829</v>
      </c>
      <c r="V4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4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44" s="1">
        <f>IF(Dominus[[#This Row],[Yaw]]&gt;V43,(360-ABS(Dominus[[#This Row],[Yaw]])-ABS(V43)),ABS(Dominus[[#This Row],[Yaw]]-V43))</f>
        <v>0</v>
      </c>
      <c r="Y44" s="1">
        <f>Dominus[[#This Row],[Degree change]]+Y43</f>
        <v>0</v>
      </c>
    </row>
    <row r="45" spans="1:25">
      <c r="A45">
        <v>44</v>
      </c>
      <c r="B45" s="1">
        <v>441.22000100000002</v>
      </c>
      <c r="C45" s="1">
        <v>1784.419922</v>
      </c>
      <c r="D45" s="1">
        <v>17.049999</v>
      </c>
      <c r="E45" s="1">
        <v>-1179.309937</v>
      </c>
      <c r="F45" s="1">
        <v>1974.619995</v>
      </c>
      <c r="G45" s="1">
        <v>7.94</v>
      </c>
      <c r="H45" s="1">
        <v>-8.0000000000000004E-4</v>
      </c>
      <c r="I45" s="1">
        <v>-2.0000000000000001E-4</v>
      </c>
      <c r="J45" s="1">
        <v>0</v>
      </c>
      <c r="K45" s="1">
        <v>-7.28E-3</v>
      </c>
      <c r="L45" s="1">
        <v>4.1240000000000001E-3</v>
      </c>
      <c r="M45" s="1">
        <v>0.86966900000000003</v>
      </c>
      <c r="N45" s="1">
        <v>0.493564</v>
      </c>
      <c r="O45">
        <v>0</v>
      </c>
      <c r="P45">
        <v>0</v>
      </c>
      <c r="Q45">
        <v>1</v>
      </c>
      <c r="R45">
        <v>1</v>
      </c>
      <c r="S45">
        <v>1</v>
      </c>
      <c r="T45" s="1">
        <f>SQRT(POWER(Dominus[[#This Row],[angvel_X]],2) + POWER(Dominus[[#This Row],[angvel_Y]],2) + POWER(Dominus[[#This Row],[angvel_Z]],2))</f>
        <v>8.2462112512353219E-4</v>
      </c>
      <c r="U45" s="1">
        <f>DEGREES(ASIN(MAX(-1,MIN(1,2 * (Dominus[[#This Row],[quart_W]]*Dominus[[#This Row],[quart_Y]] - Dominus[[#This Row],[quart_Z]]*Dominus[[#This Row],[quart_X]])))))</f>
        <v>0.95879201516950829</v>
      </c>
      <c r="V4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4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45" s="1">
        <f>IF(Dominus[[#This Row],[Yaw]]&gt;V44,(360-ABS(Dominus[[#This Row],[Yaw]])-ABS(V44)),ABS(Dominus[[#This Row],[Yaw]]-V44))</f>
        <v>0</v>
      </c>
      <c r="Y45" s="1">
        <f>Dominus[[#This Row],[Degree change]]+Y44</f>
        <v>0</v>
      </c>
    </row>
    <row r="46" spans="1:25">
      <c r="A46">
        <v>45</v>
      </c>
      <c r="B46" s="1">
        <v>431.35998499999999</v>
      </c>
      <c r="C46" s="1">
        <v>1800.929932</v>
      </c>
      <c r="D46" s="1">
        <v>17.049999</v>
      </c>
      <c r="E46" s="1">
        <v>-1179.309937</v>
      </c>
      <c r="F46" s="1">
        <v>1974.619995</v>
      </c>
      <c r="G46" s="1">
        <v>7.94</v>
      </c>
      <c r="H46" s="1">
        <v>-8.0000000000000004E-4</v>
      </c>
      <c r="I46" s="1">
        <v>-2.0000000000000001E-4</v>
      </c>
      <c r="J46" s="1">
        <v>0</v>
      </c>
      <c r="K46" s="1">
        <v>-7.28E-3</v>
      </c>
      <c r="L46" s="1">
        <v>4.1240000000000001E-3</v>
      </c>
      <c r="M46" s="1">
        <v>0.86966900000000003</v>
      </c>
      <c r="N46" s="1">
        <v>0.493564</v>
      </c>
      <c r="O46">
        <v>0</v>
      </c>
      <c r="P46">
        <v>0</v>
      </c>
      <c r="Q46">
        <v>1</v>
      </c>
      <c r="R46">
        <v>1</v>
      </c>
      <c r="S46">
        <v>1</v>
      </c>
      <c r="T46" s="1">
        <f>SQRT(POWER(Dominus[[#This Row],[angvel_X]],2) + POWER(Dominus[[#This Row],[angvel_Y]],2) + POWER(Dominus[[#This Row],[angvel_Z]],2))</f>
        <v>8.2462112512353219E-4</v>
      </c>
      <c r="U46" s="1">
        <f>DEGREES(ASIN(MAX(-1,MIN(1,2 * (Dominus[[#This Row],[quart_W]]*Dominus[[#This Row],[quart_Y]] - Dominus[[#This Row],[quart_Z]]*Dominus[[#This Row],[quart_X]])))))</f>
        <v>0.95879201516950829</v>
      </c>
      <c r="V4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4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46" s="1">
        <f>IF(Dominus[[#This Row],[Yaw]]&gt;V45,(360-ABS(Dominus[[#This Row],[Yaw]])-ABS(V45)),ABS(Dominus[[#This Row],[Yaw]]-V45))</f>
        <v>0</v>
      </c>
      <c r="Y46" s="1">
        <f>Dominus[[#This Row],[Degree change]]+Y45</f>
        <v>0</v>
      </c>
    </row>
    <row r="47" spans="1:25">
      <c r="A47">
        <v>46</v>
      </c>
      <c r="B47" s="1">
        <v>421.5</v>
      </c>
      <c r="C47" s="1">
        <v>1817.4399410000001</v>
      </c>
      <c r="D47" s="1">
        <v>17.049999</v>
      </c>
      <c r="E47" s="1">
        <v>-1179.309937</v>
      </c>
      <c r="F47" s="1">
        <v>1974.619995</v>
      </c>
      <c r="G47" s="1">
        <v>7.94</v>
      </c>
      <c r="H47" s="1">
        <v>-8.0000000000000004E-4</v>
      </c>
      <c r="I47" s="1">
        <v>-2.0000000000000001E-4</v>
      </c>
      <c r="J47" s="1">
        <v>0</v>
      </c>
      <c r="K47" s="1">
        <v>-7.28E-3</v>
      </c>
      <c r="L47" s="1">
        <v>4.1240000000000001E-3</v>
      </c>
      <c r="M47" s="1">
        <v>0.86966900000000003</v>
      </c>
      <c r="N47" s="1">
        <v>0.493564</v>
      </c>
      <c r="O47">
        <v>0</v>
      </c>
      <c r="P47">
        <v>0</v>
      </c>
      <c r="Q47">
        <v>1</v>
      </c>
      <c r="R47">
        <v>1</v>
      </c>
      <c r="S47">
        <v>1</v>
      </c>
      <c r="T47" s="1">
        <f>SQRT(POWER(Dominus[[#This Row],[angvel_X]],2) + POWER(Dominus[[#This Row],[angvel_Y]],2) + POWER(Dominus[[#This Row],[angvel_Z]],2))</f>
        <v>8.2462112512353219E-4</v>
      </c>
      <c r="U47" s="1">
        <f>DEGREES(ASIN(MAX(-1,MIN(1,2 * (Dominus[[#This Row],[quart_W]]*Dominus[[#This Row],[quart_Y]] - Dominus[[#This Row],[quart_Z]]*Dominus[[#This Row],[quart_X]])))))</f>
        <v>0.95879201516950829</v>
      </c>
      <c r="V4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4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47" s="1">
        <f>IF(Dominus[[#This Row],[Yaw]]&gt;V46,(360-ABS(Dominus[[#This Row],[Yaw]])-ABS(V46)),ABS(Dominus[[#This Row],[Yaw]]-V46))</f>
        <v>0</v>
      </c>
      <c r="Y47" s="1">
        <f>Dominus[[#This Row],[Degree change]]+Y46</f>
        <v>0</v>
      </c>
    </row>
    <row r="48" spans="1:25">
      <c r="A48">
        <v>47</v>
      </c>
      <c r="B48" s="1">
        <v>411.63998400000003</v>
      </c>
      <c r="C48" s="1">
        <v>1833.9499510000001</v>
      </c>
      <c r="D48" s="1">
        <v>17.049999</v>
      </c>
      <c r="E48" s="1">
        <v>-1179.309937</v>
      </c>
      <c r="F48" s="1">
        <v>1974.619995</v>
      </c>
      <c r="G48" s="1">
        <v>7.94</v>
      </c>
      <c r="H48" s="1">
        <v>-8.0000000000000004E-4</v>
      </c>
      <c r="I48" s="1">
        <v>-2.0000000000000001E-4</v>
      </c>
      <c r="J48" s="1">
        <v>0</v>
      </c>
      <c r="K48" s="1">
        <v>-7.28E-3</v>
      </c>
      <c r="L48" s="1">
        <v>4.1240000000000001E-3</v>
      </c>
      <c r="M48" s="1">
        <v>0.86966900000000003</v>
      </c>
      <c r="N48" s="1">
        <v>0.493564</v>
      </c>
      <c r="O48">
        <v>0</v>
      </c>
      <c r="P48">
        <v>0</v>
      </c>
      <c r="Q48">
        <v>1</v>
      </c>
      <c r="R48">
        <v>1</v>
      </c>
      <c r="S48">
        <v>1</v>
      </c>
      <c r="T48" s="1">
        <f>SQRT(POWER(Dominus[[#This Row],[angvel_X]],2) + POWER(Dominus[[#This Row],[angvel_Y]],2) + POWER(Dominus[[#This Row],[angvel_Z]],2))</f>
        <v>8.2462112512353219E-4</v>
      </c>
      <c r="U48" s="1">
        <f>DEGREES(ASIN(MAX(-1,MIN(1,2 * (Dominus[[#This Row],[quart_W]]*Dominus[[#This Row],[quart_Y]] - Dominus[[#This Row],[quart_Z]]*Dominus[[#This Row],[quart_X]])))))</f>
        <v>0.95879201516950829</v>
      </c>
      <c r="V4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4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48" s="1">
        <f>IF(Dominus[[#This Row],[Yaw]]&gt;V47,(360-ABS(Dominus[[#This Row],[Yaw]])-ABS(V47)),ABS(Dominus[[#This Row],[Yaw]]-V47))</f>
        <v>0</v>
      </c>
      <c r="Y48" s="1">
        <f>Dominus[[#This Row],[Degree change]]+Y47</f>
        <v>0</v>
      </c>
    </row>
    <row r="49" spans="1:25">
      <c r="A49">
        <v>48</v>
      </c>
      <c r="B49" s="1">
        <v>401.77999899999998</v>
      </c>
      <c r="C49" s="1">
        <v>1850.459961</v>
      </c>
      <c r="D49" s="1">
        <v>17.049999</v>
      </c>
      <c r="E49" s="1">
        <v>-1179.309937</v>
      </c>
      <c r="F49" s="1">
        <v>1974.619995</v>
      </c>
      <c r="G49" s="1">
        <v>7.94</v>
      </c>
      <c r="H49" s="1">
        <v>-8.0000000000000004E-4</v>
      </c>
      <c r="I49" s="1">
        <v>-2.0000000000000001E-4</v>
      </c>
      <c r="J49" s="1">
        <v>0</v>
      </c>
      <c r="K49" s="1">
        <v>-7.28E-3</v>
      </c>
      <c r="L49" s="1">
        <v>4.1240000000000001E-3</v>
      </c>
      <c r="M49" s="1">
        <v>0.86966900000000003</v>
      </c>
      <c r="N49" s="1">
        <v>0.493564</v>
      </c>
      <c r="O49">
        <v>0</v>
      </c>
      <c r="P49">
        <v>0</v>
      </c>
      <c r="Q49">
        <v>1</v>
      </c>
      <c r="R49">
        <v>1</v>
      </c>
      <c r="S49">
        <v>1</v>
      </c>
      <c r="T49" s="1">
        <f>SQRT(POWER(Dominus[[#This Row],[angvel_X]],2) + POWER(Dominus[[#This Row],[angvel_Y]],2) + POWER(Dominus[[#This Row],[angvel_Z]],2))</f>
        <v>8.2462112512353219E-4</v>
      </c>
      <c r="U49" s="1">
        <f>DEGREES(ASIN(MAX(-1,MIN(1,2 * (Dominus[[#This Row],[quart_W]]*Dominus[[#This Row],[quart_Y]] - Dominus[[#This Row],[quart_Z]]*Dominus[[#This Row],[quart_X]])))))</f>
        <v>0.95879201516950829</v>
      </c>
      <c r="V4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4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49" s="1">
        <f>IF(Dominus[[#This Row],[Yaw]]&gt;V48,(360-ABS(Dominus[[#This Row],[Yaw]])-ABS(V48)),ABS(Dominus[[#This Row],[Yaw]]-V48))</f>
        <v>0</v>
      </c>
      <c r="Y49" s="1">
        <f>Dominus[[#This Row],[Degree change]]+Y48</f>
        <v>0</v>
      </c>
    </row>
    <row r="50" spans="1:25">
      <c r="A50">
        <v>49</v>
      </c>
      <c r="B50" s="1">
        <v>391.919983</v>
      </c>
      <c r="C50" s="1">
        <v>1866.969971</v>
      </c>
      <c r="D50" s="1">
        <v>17.049999</v>
      </c>
      <c r="E50" s="1">
        <v>-1179.309937</v>
      </c>
      <c r="F50" s="1">
        <v>1974.619995</v>
      </c>
      <c r="G50" s="1">
        <v>7.94</v>
      </c>
      <c r="H50" s="1">
        <v>-8.0000000000000004E-4</v>
      </c>
      <c r="I50" s="1">
        <v>-2.0000000000000001E-4</v>
      </c>
      <c r="J50" s="1">
        <v>0</v>
      </c>
      <c r="K50" s="1">
        <v>-7.28E-3</v>
      </c>
      <c r="L50" s="1">
        <v>4.1240000000000001E-3</v>
      </c>
      <c r="M50" s="1">
        <v>0.86966900000000003</v>
      </c>
      <c r="N50" s="1">
        <v>0.493564</v>
      </c>
      <c r="O50">
        <v>0</v>
      </c>
      <c r="P50">
        <v>0</v>
      </c>
      <c r="Q50">
        <v>1</v>
      </c>
      <c r="R50">
        <v>1</v>
      </c>
      <c r="S50">
        <v>1</v>
      </c>
      <c r="T50" s="1">
        <f>SQRT(POWER(Dominus[[#This Row],[angvel_X]],2) + POWER(Dominus[[#This Row],[angvel_Y]],2) + POWER(Dominus[[#This Row],[angvel_Z]],2))</f>
        <v>8.2462112512353219E-4</v>
      </c>
      <c r="U50" s="1">
        <f>DEGREES(ASIN(MAX(-1,MIN(1,2 * (Dominus[[#This Row],[quart_W]]*Dominus[[#This Row],[quart_Y]] - Dominus[[#This Row],[quart_Z]]*Dominus[[#This Row],[quart_X]])))))</f>
        <v>0.95879201516950829</v>
      </c>
      <c r="V5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5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50" s="1">
        <f>IF(Dominus[[#This Row],[Yaw]]&gt;V49,(360-ABS(Dominus[[#This Row],[Yaw]])-ABS(V49)),ABS(Dominus[[#This Row],[Yaw]]-V49))</f>
        <v>0</v>
      </c>
      <c r="Y50" s="1">
        <f>Dominus[[#This Row],[Degree change]]+Y49</f>
        <v>0</v>
      </c>
    </row>
    <row r="51" spans="1:25">
      <c r="A51">
        <v>50</v>
      </c>
      <c r="B51" s="1">
        <v>382.05999800000001</v>
      </c>
      <c r="C51" s="1">
        <v>1883.4799800000001</v>
      </c>
      <c r="D51" s="1">
        <v>17.049999</v>
      </c>
      <c r="E51" s="1">
        <v>-1179.309937</v>
      </c>
      <c r="F51" s="1">
        <v>1974.619995</v>
      </c>
      <c r="G51" s="1">
        <v>7.94</v>
      </c>
      <c r="H51" s="1">
        <v>-8.0000000000000004E-4</v>
      </c>
      <c r="I51" s="1">
        <v>-2.0000000000000001E-4</v>
      </c>
      <c r="J51" s="1">
        <v>0</v>
      </c>
      <c r="K51" s="1">
        <v>-7.28E-3</v>
      </c>
      <c r="L51" s="1">
        <v>4.1240000000000001E-3</v>
      </c>
      <c r="M51" s="1">
        <v>0.86966900000000003</v>
      </c>
      <c r="N51" s="1">
        <v>0.493564</v>
      </c>
      <c r="O51">
        <v>0</v>
      </c>
      <c r="P51">
        <v>0</v>
      </c>
      <c r="Q51">
        <v>1</v>
      </c>
      <c r="R51">
        <v>1</v>
      </c>
      <c r="S51">
        <v>1</v>
      </c>
      <c r="T51" s="1">
        <f>SQRT(POWER(Dominus[[#This Row],[angvel_X]],2) + POWER(Dominus[[#This Row],[angvel_Y]],2) + POWER(Dominus[[#This Row],[angvel_Z]],2))</f>
        <v>8.2462112512353219E-4</v>
      </c>
      <c r="U51" s="1">
        <f>DEGREES(ASIN(MAX(-1,MIN(1,2 * (Dominus[[#This Row],[quart_W]]*Dominus[[#This Row],[quart_Y]] - Dominus[[#This Row],[quart_Z]]*Dominus[[#This Row],[quart_X]])))))</f>
        <v>0.95879201516950829</v>
      </c>
      <c r="V5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5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51" s="1">
        <f>IF(Dominus[[#This Row],[Yaw]]&gt;V50,(360-ABS(Dominus[[#This Row],[Yaw]])-ABS(V50)),ABS(Dominus[[#This Row],[Yaw]]-V50))</f>
        <v>0</v>
      </c>
      <c r="Y51" s="1">
        <f>Dominus[[#This Row],[Degree change]]+Y50</f>
        <v>0</v>
      </c>
    </row>
    <row r="52" spans="1:25">
      <c r="A52">
        <v>51</v>
      </c>
      <c r="B52" s="1">
        <v>372.19998199999998</v>
      </c>
      <c r="C52" s="1">
        <v>1899.98999</v>
      </c>
      <c r="D52" s="1">
        <v>17.049999</v>
      </c>
      <c r="E52" s="1">
        <v>-1179.309937</v>
      </c>
      <c r="F52" s="1">
        <v>1974.619995</v>
      </c>
      <c r="G52" s="1">
        <v>7.94</v>
      </c>
      <c r="H52" s="1">
        <v>-8.0000000000000004E-4</v>
      </c>
      <c r="I52" s="1">
        <v>-2.0000000000000001E-4</v>
      </c>
      <c r="J52" s="1">
        <v>0</v>
      </c>
      <c r="K52" s="1">
        <v>-7.28E-3</v>
      </c>
      <c r="L52" s="1">
        <v>4.1240000000000001E-3</v>
      </c>
      <c r="M52" s="1">
        <v>0.86966900000000003</v>
      </c>
      <c r="N52" s="1">
        <v>0.493564</v>
      </c>
      <c r="O52">
        <v>1</v>
      </c>
      <c r="P52">
        <v>0</v>
      </c>
      <c r="Q52">
        <v>1</v>
      </c>
      <c r="R52">
        <v>1</v>
      </c>
      <c r="S52">
        <v>1</v>
      </c>
      <c r="T52" s="1">
        <f>SQRT(POWER(Dominus[[#This Row],[angvel_X]],2) + POWER(Dominus[[#This Row],[angvel_Y]],2) + POWER(Dominus[[#This Row],[angvel_Z]],2))</f>
        <v>8.2462112512353219E-4</v>
      </c>
      <c r="U52" s="1">
        <f>DEGREES(ASIN(MAX(-1,MIN(1,2 * (Dominus[[#This Row],[quart_W]]*Dominus[[#This Row],[quart_Y]] - Dominus[[#This Row],[quart_Z]]*Dominus[[#This Row],[quart_X]])))))</f>
        <v>0.95879201516950829</v>
      </c>
      <c r="V5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5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52" s="1">
        <f>IF(Dominus[[#This Row],[Yaw]]&gt;V51,(360-ABS(Dominus[[#This Row],[Yaw]])-ABS(V51)),ABS(Dominus[[#This Row],[Yaw]]-V51))</f>
        <v>0</v>
      </c>
      <c r="Y52" s="1">
        <f>Dominus[[#This Row],[Degree change]]+Y51</f>
        <v>0</v>
      </c>
    </row>
    <row r="53" spans="1:25">
      <c r="A53">
        <v>52</v>
      </c>
      <c r="B53" s="1">
        <v>362.33999599999999</v>
      </c>
      <c r="C53" s="1">
        <v>1916.5</v>
      </c>
      <c r="D53" s="1">
        <v>17.049999</v>
      </c>
      <c r="E53" s="1">
        <v>-1188.75</v>
      </c>
      <c r="F53" s="1">
        <v>1968.959961</v>
      </c>
      <c r="G53" s="1">
        <v>7.95</v>
      </c>
      <c r="H53" s="1">
        <v>-3.0999999999999999E-3</v>
      </c>
      <c r="I53" s="1">
        <v>3.7000000000000002E-3</v>
      </c>
      <c r="J53" s="1">
        <v>0.27300000000000002</v>
      </c>
      <c r="K53" s="1">
        <v>-7.28E-3</v>
      </c>
      <c r="L53" s="1">
        <v>4.1240000000000001E-3</v>
      </c>
      <c r="M53" s="1">
        <v>0.86966900000000003</v>
      </c>
      <c r="N53" s="1">
        <v>0.493564</v>
      </c>
      <c r="O53">
        <v>1</v>
      </c>
      <c r="P53">
        <v>0</v>
      </c>
      <c r="Q53">
        <v>1</v>
      </c>
      <c r="R53">
        <v>1</v>
      </c>
      <c r="S53">
        <v>1</v>
      </c>
      <c r="T53" s="1">
        <f>SQRT(POWER(Dominus[[#This Row],[angvel_X]],2) + POWER(Dominus[[#This Row],[angvel_Y]],2) + POWER(Dominus[[#This Row],[angvel_Z]],2))</f>
        <v>0.27304267065790289</v>
      </c>
      <c r="U53" s="1">
        <f>DEGREES(ASIN(MAX(-1,MIN(1,2 * (Dominus[[#This Row],[quart_W]]*Dominus[[#This Row],[quart_Y]] - Dominus[[#This Row],[quart_Z]]*Dominus[[#This Row],[quart_X]])))))</f>
        <v>0.95879201516950829</v>
      </c>
      <c r="V5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-30.847477582320504</v>
      </c>
      <c r="W5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90.000759958905576</v>
      </c>
      <c r="X53" s="1">
        <f>IF(Dominus[[#This Row],[Yaw]]&gt;V52,(360-ABS(Dominus[[#This Row],[Yaw]])-ABS(V52)),ABS(Dominus[[#This Row],[Yaw]]-V52))</f>
        <v>0</v>
      </c>
      <c r="Y53" s="1">
        <f>Dominus[[#This Row],[Degree change]]+Y52</f>
        <v>0</v>
      </c>
    </row>
    <row r="54" spans="1:25">
      <c r="A54">
        <v>53</v>
      </c>
      <c r="B54" s="1">
        <v>352.39999399999999</v>
      </c>
      <c r="C54" s="1">
        <v>1932.969971</v>
      </c>
      <c r="D54" s="1">
        <v>17.049999</v>
      </c>
      <c r="E54" s="1">
        <v>-1196.849976</v>
      </c>
      <c r="F54" s="1">
        <v>1964.0399170000001</v>
      </c>
      <c r="G54" s="1">
        <v>7.96</v>
      </c>
      <c r="H54" s="1">
        <v>-4.1000000000000003E-3</v>
      </c>
      <c r="I54" s="1">
        <v>5.4000000000000003E-3</v>
      </c>
      <c r="J54" s="1">
        <v>0.49359999999999998</v>
      </c>
      <c r="K54" s="1">
        <v>-7.28E-3</v>
      </c>
      <c r="L54" s="1">
        <v>4.1349999999999998E-3</v>
      </c>
      <c r="M54" s="1">
        <v>0.87022900000000003</v>
      </c>
      <c r="N54" s="1">
        <v>0.49257600000000001</v>
      </c>
      <c r="O54">
        <v>1</v>
      </c>
      <c r="P54">
        <v>0</v>
      </c>
      <c r="Q54">
        <v>1</v>
      </c>
      <c r="R54">
        <v>1</v>
      </c>
      <c r="S54">
        <v>1</v>
      </c>
      <c r="T54" s="1">
        <f>SQRT(POWER(Dominus[[#This Row],[angvel_X]],2) + POWER(Dominus[[#This Row],[angvel_Y]],2) + POWER(Dominus[[#This Row],[angvel_Z]],2))</f>
        <v>0.49364656384907613</v>
      </c>
      <c r="U54" s="1">
        <f>DEGREES(ASIN(MAX(-1,MIN(1,2 * (Dominus[[#This Row],[quart_W]]*Dominus[[#This Row],[quart_Y]] - Dominus[[#This Row],[quart_Z]]*Dominus[[#This Row],[quart_X]])))))</f>
        <v>0.95941325996229077</v>
      </c>
      <c r="V5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-30.97764483298316</v>
      </c>
      <c r="W5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89.998573864531124</v>
      </c>
      <c r="X54" s="1">
        <f>IF(Dominus[[#This Row],[Yaw]]&gt;V53,(360-ABS(Dominus[[#This Row],[Yaw]])-ABS(V53)),ABS(Dominus[[#This Row],[Yaw]]-V53))</f>
        <v>0.13016725066265522</v>
      </c>
      <c r="Y54" s="1">
        <f>Dominus[[#This Row],[Degree change]]+Y53</f>
        <v>0.13016725066265522</v>
      </c>
    </row>
    <row r="55" spans="1:25">
      <c r="A55">
        <v>54</v>
      </c>
      <c r="B55" s="1">
        <v>342.38998400000003</v>
      </c>
      <c r="C55" s="1">
        <v>1949.3999020000001</v>
      </c>
      <c r="D55" s="1">
        <v>17.049999</v>
      </c>
      <c r="E55" s="1">
        <v>-1204.9099120000001</v>
      </c>
      <c r="F55" s="1">
        <v>1959.099976</v>
      </c>
      <c r="G55" s="1">
        <v>7.96</v>
      </c>
      <c r="H55" s="1">
        <v>-4.3E-3</v>
      </c>
      <c r="I55" s="1">
        <v>5.8999999999999999E-3</v>
      </c>
      <c r="J55" s="1">
        <v>0.68220000000000003</v>
      </c>
      <c r="K55" s="1">
        <v>-7.2750000000000002E-3</v>
      </c>
      <c r="L55" s="1">
        <v>4.1460000000000004E-3</v>
      </c>
      <c r="M55" s="1">
        <v>0.87124000000000001</v>
      </c>
      <c r="N55" s="1">
        <v>0.49078500000000003</v>
      </c>
      <c r="O55">
        <v>1</v>
      </c>
      <c r="P55">
        <v>0</v>
      </c>
      <c r="Q55">
        <v>1</v>
      </c>
      <c r="R55">
        <v>1</v>
      </c>
      <c r="S55">
        <v>1</v>
      </c>
      <c r="T55" s="1">
        <f>SQRT(POWER(Dominus[[#This Row],[angvel_X]],2) + POWER(Dominus[[#This Row],[angvel_Y]],2) + POWER(Dominus[[#This Row],[angvel_Z]],2))</f>
        <v>0.68223906367196541</v>
      </c>
      <c r="U55" s="1">
        <f>DEGREES(ASIN(MAX(-1,MIN(1,2 * (Dominus[[#This Row],[quart_W]]*Dominus[[#This Row],[quart_Y]] - Dominus[[#This Row],[quart_Z]]*Dominus[[#This Row],[quart_X]])))))</f>
        <v>0.95952749282346206</v>
      </c>
      <c r="V5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-31.213328586997889</v>
      </c>
      <c r="W5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89.995220842911465</v>
      </c>
      <c r="X55" s="1">
        <f>IF(Dominus[[#This Row],[Yaw]]&gt;V54,(360-ABS(Dominus[[#This Row],[Yaw]])-ABS(V54)),ABS(Dominus[[#This Row],[Yaw]]-V54))</f>
        <v>0.23568375401472963</v>
      </c>
      <c r="Y55" s="1">
        <f>Dominus[[#This Row],[Degree change]]+Y54</f>
        <v>0.36585100467738485</v>
      </c>
    </row>
    <row r="56" spans="1:25">
      <c r="A56">
        <v>55</v>
      </c>
      <c r="B56" s="1">
        <v>332.30999800000001</v>
      </c>
      <c r="C56" s="1">
        <v>1965.7799070000001</v>
      </c>
      <c r="D56" s="1">
        <v>17.049999</v>
      </c>
      <c r="E56" s="1">
        <v>-1213.459961</v>
      </c>
      <c r="F56" s="1">
        <v>1953.8199460000001</v>
      </c>
      <c r="G56" s="1">
        <v>7.96</v>
      </c>
      <c r="H56" s="1">
        <v>-4.1000000000000003E-3</v>
      </c>
      <c r="I56" s="1">
        <v>5.4999999999999997E-3</v>
      </c>
      <c r="J56" s="1">
        <v>0.84379999999999999</v>
      </c>
      <c r="K56" s="1">
        <v>-7.2750000000000002E-3</v>
      </c>
      <c r="L56" s="1">
        <v>4.1510000000000002E-3</v>
      </c>
      <c r="M56" s="1">
        <v>0.87263000000000002</v>
      </c>
      <c r="N56" s="1">
        <v>0.48830899999999999</v>
      </c>
      <c r="O56">
        <v>1</v>
      </c>
      <c r="P56">
        <v>0</v>
      </c>
      <c r="Q56">
        <v>1</v>
      </c>
      <c r="R56">
        <v>1</v>
      </c>
      <c r="S56">
        <v>1</v>
      </c>
      <c r="T56" s="1">
        <f>SQRT(POWER(Dominus[[#This Row],[angvel_X]],2) + POWER(Dominus[[#This Row],[angvel_Y]],2) + POWER(Dominus[[#This Row],[angvel_Z]],2))</f>
        <v>0.84382788529415165</v>
      </c>
      <c r="U56" s="1">
        <f>DEGREES(ASIN(MAX(-1,MIN(1,2 * (Dominus[[#This Row],[quart_W]]*Dominus[[#This Row],[quart_Y]] - Dominus[[#This Row],[quart_Z]]*Dominus[[#This Row],[quart_X]])))))</f>
        <v>0.95978974935870254</v>
      </c>
      <c r="V5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-31.538737908154111</v>
      </c>
      <c r="W5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89.991995899321353</v>
      </c>
      <c r="X56" s="1">
        <f>IF(Dominus[[#This Row],[Yaw]]&gt;V55,(360-ABS(Dominus[[#This Row],[Yaw]])-ABS(V55)),ABS(Dominus[[#This Row],[Yaw]]-V55))</f>
        <v>0.32540932115622212</v>
      </c>
      <c r="Y56" s="1">
        <f>Dominus[[#This Row],[Degree change]]+Y55</f>
        <v>0.69126032583360697</v>
      </c>
    </row>
    <row r="57" spans="1:25">
      <c r="A57">
        <v>56</v>
      </c>
      <c r="B57" s="1">
        <v>322.16000400000001</v>
      </c>
      <c r="C57" s="1">
        <v>1982.119995</v>
      </c>
      <c r="D57" s="1">
        <v>17.049999</v>
      </c>
      <c r="E57" s="1">
        <v>-1222.849976</v>
      </c>
      <c r="F57" s="1">
        <v>1947.959961</v>
      </c>
      <c r="G57" s="1">
        <v>7.96</v>
      </c>
      <c r="H57" s="1">
        <v>-3.5000000000000001E-3</v>
      </c>
      <c r="I57" s="1">
        <v>4.7000000000000002E-3</v>
      </c>
      <c r="J57" s="1">
        <v>0.98250000000000004</v>
      </c>
      <c r="K57" s="1">
        <v>-7.28E-3</v>
      </c>
      <c r="L57" s="1">
        <v>4.1510000000000002E-3</v>
      </c>
      <c r="M57" s="1">
        <v>0.87434100000000003</v>
      </c>
      <c r="N57" s="1">
        <v>0.48524</v>
      </c>
      <c r="O57">
        <v>1</v>
      </c>
      <c r="P57">
        <v>0</v>
      </c>
      <c r="Q57">
        <v>1</v>
      </c>
      <c r="R57">
        <v>1</v>
      </c>
      <c r="S57">
        <v>1</v>
      </c>
      <c r="T57" s="1">
        <f>SQRT(POWER(Dominus[[#This Row],[angvel_X]],2) + POWER(Dominus[[#This Row],[angvel_Y]],2) + POWER(Dominus[[#This Row],[angvel_Z]],2))</f>
        <v>0.98251747567155268</v>
      </c>
      <c r="U57" s="1">
        <f>DEGREES(ASIN(MAX(-1,MIN(1,2 * (Dominus[[#This Row],[quart_W]]*Dominus[[#This Row],[quart_Y]] - Dominus[[#This Row],[quart_Z]]*Dominus[[#This Row],[quart_X]])))))</f>
        <v>0.96025732689619525</v>
      </c>
      <c r="V5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-31.941486141538523</v>
      </c>
      <c r="W5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89.988901132104203</v>
      </c>
      <c r="X57" s="1">
        <f>IF(Dominus[[#This Row],[Yaw]]&gt;V56,(360-ABS(Dominus[[#This Row],[Yaw]])-ABS(V56)),ABS(Dominus[[#This Row],[Yaw]]-V56))</f>
        <v>0.40274823338441124</v>
      </c>
      <c r="Y57" s="1">
        <f>Dominus[[#This Row],[Degree change]]+Y56</f>
        <v>1.0940085592180182</v>
      </c>
    </row>
    <row r="58" spans="1:25">
      <c r="A58">
        <v>57</v>
      </c>
      <c r="B58" s="1">
        <v>311.92999300000002</v>
      </c>
      <c r="C58" s="1">
        <v>1998.4099120000001</v>
      </c>
      <c r="D58" s="1">
        <v>17.049999</v>
      </c>
      <c r="E58" s="1">
        <v>-1233.309937</v>
      </c>
      <c r="F58" s="1">
        <v>1941.349976</v>
      </c>
      <c r="G58" s="1">
        <v>7.96</v>
      </c>
      <c r="H58" s="1">
        <v>-2.8E-3</v>
      </c>
      <c r="I58" s="1">
        <v>3.5999999999999999E-3</v>
      </c>
      <c r="J58" s="1">
        <v>1.1020000000000001</v>
      </c>
      <c r="K58" s="1">
        <v>-7.2859999999999999E-3</v>
      </c>
      <c r="L58" s="1">
        <v>4.1460000000000004E-3</v>
      </c>
      <c r="M58" s="1">
        <v>0.87631899999999996</v>
      </c>
      <c r="N58" s="1">
        <v>0.481657</v>
      </c>
      <c r="O58">
        <v>1</v>
      </c>
      <c r="P58">
        <v>0</v>
      </c>
      <c r="Q58">
        <v>1</v>
      </c>
      <c r="R58">
        <v>1</v>
      </c>
      <c r="S58">
        <v>1</v>
      </c>
      <c r="T58" s="1">
        <f>SQRT(POWER(Dominus[[#This Row],[angvel_X]],2) + POWER(Dominus[[#This Row],[angvel_Y]],2) + POWER(Dominus[[#This Row],[angvel_Z]],2))</f>
        <v>1.10200943734616</v>
      </c>
      <c r="U58" s="1">
        <f>DEGREES(ASIN(MAX(-1,MIN(1,2 * (Dominus[[#This Row],[quart_W]]*Dominus[[#This Row],[quart_Y]] - Dominus[[#This Row],[quart_Z]]*Dominus[[#This Row],[quart_X]])))))</f>
        <v>0.96052968466304889</v>
      </c>
      <c r="V5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-32.410445832668842</v>
      </c>
      <c r="W5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89.985804044581428</v>
      </c>
      <c r="X58" s="1">
        <f>IF(Dominus[[#This Row],[Yaw]]&gt;V57,(360-ABS(Dominus[[#This Row],[Yaw]])-ABS(V57)),ABS(Dominus[[#This Row],[Yaw]]-V57))</f>
        <v>0.4689596911303191</v>
      </c>
      <c r="Y58" s="1">
        <f>Dominus[[#This Row],[Degree change]]+Y57</f>
        <v>1.5629682503483373</v>
      </c>
    </row>
    <row r="59" spans="1:25">
      <c r="A59">
        <v>58</v>
      </c>
      <c r="B59" s="1">
        <v>301.61999500000002</v>
      </c>
      <c r="C59" s="1">
        <v>2014.6499020000001</v>
      </c>
      <c r="D59" s="1">
        <v>17.049999</v>
      </c>
      <c r="E59" s="1">
        <v>-1244.969971</v>
      </c>
      <c r="F59" s="1">
        <v>1933.8999020000001</v>
      </c>
      <c r="G59" s="1">
        <v>7.97</v>
      </c>
      <c r="H59" s="1">
        <v>-2E-3</v>
      </c>
      <c r="I59" s="1">
        <v>2.3999999999999998E-3</v>
      </c>
      <c r="J59" s="1">
        <v>1.2053</v>
      </c>
      <c r="K59" s="1">
        <v>-7.2960000000000004E-3</v>
      </c>
      <c r="L59" s="1">
        <v>4.13E-3</v>
      </c>
      <c r="M59" s="1">
        <v>0.87852200000000003</v>
      </c>
      <c r="N59" s="1">
        <v>0.47762700000000002</v>
      </c>
      <c r="O59">
        <v>1</v>
      </c>
      <c r="P59">
        <v>0</v>
      </c>
      <c r="Q59">
        <v>1</v>
      </c>
      <c r="R59">
        <v>1</v>
      </c>
      <c r="S59">
        <v>1</v>
      </c>
      <c r="T59" s="1">
        <f>SQRT(POWER(Dominus[[#This Row],[angvel_X]],2) + POWER(Dominus[[#This Row],[angvel_Y]],2) + POWER(Dominus[[#This Row],[angvel_Z]],2))</f>
        <v>1.2053040487777347</v>
      </c>
      <c r="U59" s="1">
        <f>DEGREES(ASIN(MAX(-1,MIN(1,2 * (Dominus[[#This Row],[quart_W]]*Dominus[[#This Row],[quart_Y]] - Dominus[[#This Row],[quart_Z]]*Dominus[[#This Row],[quart_X]])))))</f>
        <v>0.96058536863059563</v>
      </c>
      <c r="V5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-32.936784856404302</v>
      </c>
      <c r="W5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89.983550445436336</v>
      </c>
      <c r="X59" s="1">
        <f>IF(Dominus[[#This Row],[Yaw]]&gt;V58,(360-ABS(Dominus[[#This Row],[Yaw]])-ABS(V58)),ABS(Dominus[[#This Row],[Yaw]]-V58))</f>
        <v>0.52633902373545993</v>
      </c>
      <c r="Y59" s="1">
        <f>Dominus[[#This Row],[Degree change]]+Y58</f>
        <v>2.0893072740837972</v>
      </c>
    </row>
    <row r="60" spans="1:25">
      <c r="A60">
        <v>59</v>
      </c>
      <c r="B60" s="1">
        <v>291.209991</v>
      </c>
      <c r="C60" s="1">
        <v>2030.8199460000001</v>
      </c>
      <c r="D60" s="1">
        <v>17.049999</v>
      </c>
      <c r="E60" s="1">
        <v>-1257.880005</v>
      </c>
      <c r="F60" s="1">
        <v>1925.5198969999999</v>
      </c>
      <c r="G60" s="1">
        <v>7.97</v>
      </c>
      <c r="H60" s="1">
        <v>-1.1999999999999999E-3</v>
      </c>
      <c r="I60" s="1">
        <v>1.2999999999999999E-3</v>
      </c>
      <c r="J60" s="1">
        <v>1.2950999999999999</v>
      </c>
      <c r="K60" s="1">
        <v>-7.3130000000000001E-3</v>
      </c>
      <c r="L60" s="1">
        <v>4.1029999999999999E-3</v>
      </c>
      <c r="M60" s="1">
        <v>0.88090999999999997</v>
      </c>
      <c r="N60" s="1">
        <v>0.47320899999999999</v>
      </c>
      <c r="O60">
        <v>1</v>
      </c>
      <c r="P60">
        <v>0</v>
      </c>
      <c r="Q60">
        <v>1</v>
      </c>
      <c r="R60">
        <v>1</v>
      </c>
      <c r="S60">
        <v>1</v>
      </c>
      <c r="T60" s="1">
        <f>SQRT(POWER(Dominus[[#This Row],[angvel_X]],2) + POWER(Dominus[[#This Row],[angvel_Y]],2) + POWER(Dominus[[#This Row],[angvel_Z]],2))</f>
        <v>1.2951012084003319</v>
      </c>
      <c r="U60" s="1">
        <f>DEGREES(ASIN(MAX(-1,MIN(1,2 * (Dominus[[#This Row],[quart_W]]*Dominus[[#This Row],[quart_Y]] - Dominus[[#This Row],[quart_Z]]*Dominus[[#This Row],[quart_X]])))))</f>
        <v>0.9607429925678459</v>
      </c>
      <c r="V6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-33.512340111607223</v>
      </c>
      <c r="W6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89.982373762513916</v>
      </c>
      <c r="X60" s="1">
        <f>IF(Dominus[[#This Row],[Yaw]]&gt;V59,(360-ABS(Dominus[[#This Row],[Yaw]])-ABS(V59)),ABS(Dominus[[#This Row],[Yaw]]-V59))</f>
        <v>0.5755552552029215</v>
      </c>
      <c r="Y60" s="1">
        <f>Dominus[[#This Row],[Degree change]]+Y59</f>
        <v>2.6648625292867187</v>
      </c>
    </row>
    <row r="61" spans="1:25">
      <c r="A61">
        <v>60</v>
      </c>
      <c r="B61" s="1">
        <v>280.69000199999999</v>
      </c>
      <c r="C61" s="1">
        <v>2046.919922</v>
      </c>
      <c r="D61" s="1">
        <v>17.049999</v>
      </c>
      <c r="E61" s="1">
        <v>-1272.0399170000001</v>
      </c>
      <c r="F61" s="1">
        <v>1916.1999510000001</v>
      </c>
      <c r="G61" s="1">
        <v>7.98</v>
      </c>
      <c r="H61" s="1">
        <v>-5.0000000000000001E-4</v>
      </c>
      <c r="I61" s="1">
        <v>2.9999999999999997E-4</v>
      </c>
      <c r="J61" s="1">
        <v>1.3734</v>
      </c>
      <c r="K61" s="1">
        <v>-7.3340000000000002E-3</v>
      </c>
      <c r="L61" s="1">
        <v>4.0699999999999998E-3</v>
      </c>
      <c r="M61" s="1">
        <v>0.88344999999999996</v>
      </c>
      <c r="N61" s="1">
        <v>0.46845100000000001</v>
      </c>
      <c r="O61">
        <v>1</v>
      </c>
      <c r="P61">
        <v>0</v>
      </c>
      <c r="Q61">
        <v>1</v>
      </c>
      <c r="R61">
        <v>1</v>
      </c>
      <c r="S61">
        <v>1</v>
      </c>
      <c r="T61" s="1">
        <f>SQRT(POWER(Dominus[[#This Row],[angvel_X]],2) + POWER(Dominus[[#This Row],[angvel_Y]],2) + POWER(Dominus[[#This Row],[angvel_Z]],2))</f>
        <v>1.3734001237803934</v>
      </c>
      <c r="U61" s="1">
        <f>DEGREES(ASIN(MAX(-1,MIN(1,2 * (Dominus[[#This Row],[quart_W]]*Dominus[[#This Row],[quart_Y]] - Dominus[[#This Row],[quart_Z]]*Dominus[[#This Row],[quart_X]])))))</f>
        <v>0.96098899943192284</v>
      </c>
      <c r="V6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-34.130473656631942</v>
      </c>
      <c r="W6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89.981660265032247</v>
      </c>
      <c r="X61" s="1">
        <f>IF(Dominus[[#This Row],[Yaw]]&gt;V60,(360-ABS(Dominus[[#This Row],[Yaw]])-ABS(V60)),ABS(Dominus[[#This Row],[Yaw]]-V60))</f>
        <v>0.61813354502471896</v>
      </c>
      <c r="Y61" s="1">
        <f>Dominus[[#This Row],[Degree change]]+Y60</f>
        <v>3.2829960743114377</v>
      </c>
    </row>
    <row r="62" spans="1:25">
      <c r="A62">
        <v>61</v>
      </c>
      <c r="B62" s="1">
        <v>270.04998799999998</v>
      </c>
      <c r="C62" s="1">
        <v>2062.9499510000001</v>
      </c>
      <c r="D62" s="1">
        <v>17.049999</v>
      </c>
      <c r="E62" s="1">
        <v>-1287.4099120000001</v>
      </c>
      <c r="F62" s="1">
        <v>1905.8999020000001</v>
      </c>
      <c r="G62" s="1">
        <v>7.98</v>
      </c>
      <c r="H62" s="1">
        <v>0</v>
      </c>
      <c r="I62" s="1">
        <v>-4.0000000000000002E-4</v>
      </c>
      <c r="J62" s="1">
        <v>1.4419999999999999</v>
      </c>
      <c r="K62" s="1">
        <v>-7.3559999999999997E-3</v>
      </c>
      <c r="L62" s="1">
        <v>4.0330000000000001E-3</v>
      </c>
      <c r="M62" s="1">
        <v>0.88611700000000004</v>
      </c>
      <c r="N62" s="1">
        <v>0.46338499999999999</v>
      </c>
      <c r="O62">
        <v>1</v>
      </c>
      <c r="P62">
        <v>0</v>
      </c>
      <c r="Q62">
        <v>1</v>
      </c>
      <c r="R62">
        <v>1</v>
      </c>
      <c r="S62">
        <v>1</v>
      </c>
      <c r="T62" s="1">
        <f>SQRT(POWER(Dominus[[#This Row],[angvel_X]],2) + POWER(Dominus[[#This Row],[angvel_Y]],2) + POWER(Dominus[[#This Row],[angvel_Z]],2))</f>
        <v>1.4420000554785011</v>
      </c>
      <c r="U62" s="1">
        <f>DEGREES(ASIN(MAX(-1,MIN(1,2 * (Dominus[[#This Row],[quart_W]]*Dominus[[#This Row],[quart_Y]] - Dominus[[#This Row],[quart_Z]]*Dominus[[#This Row],[quart_X]])))))</f>
        <v>0.96113689915501199</v>
      </c>
      <c r="V6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-34.786497622111355</v>
      </c>
      <c r="W6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89.981084024218816</v>
      </c>
      <c r="X62" s="1">
        <f>IF(Dominus[[#This Row],[Yaw]]&gt;V61,(360-ABS(Dominus[[#This Row],[Yaw]])-ABS(V61)),ABS(Dominus[[#This Row],[Yaw]]-V61))</f>
        <v>0.65602396547941311</v>
      </c>
      <c r="Y62" s="1">
        <f>Dominus[[#This Row],[Degree change]]+Y61</f>
        <v>3.9390200397908508</v>
      </c>
    </row>
    <row r="63" spans="1:25">
      <c r="A63">
        <v>62</v>
      </c>
      <c r="B63" s="1">
        <v>259.27999899999998</v>
      </c>
      <c r="C63" s="1">
        <v>2078.889893</v>
      </c>
      <c r="D63" s="1">
        <v>17.049999</v>
      </c>
      <c r="E63" s="1">
        <v>-1303.9399410000001</v>
      </c>
      <c r="F63" s="1">
        <v>1894.630005</v>
      </c>
      <c r="G63" s="1">
        <v>7.99</v>
      </c>
      <c r="H63" s="1">
        <v>5.0000000000000001E-4</v>
      </c>
      <c r="I63" s="1">
        <v>-1E-3</v>
      </c>
      <c r="J63" s="1">
        <v>1.5023</v>
      </c>
      <c r="K63" s="1">
        <v>-7.3829999999999998E-3</v>
      </c>
      <c r="L63" s="1">
        <v>3.9890000000000004E-3</v>
      </c>
      <c r="M63" s="1">
        <v>0.88888400000000001</v>
      </c>
      <c r="N63" s="1">
        <v>0.45805499999999999</v>
      </c>
      <c r="O63">
        <v>1</v>
      </c>
      <c r="P63">
        <v>0</v>
      </c>
      <c r="Q63">
        <v>1</v>
      </c>
      <c r="R63">
        <v>1</v>
      </c>
      <c r="S63">
        <v>1</v>
      </c>
      <c r="T63" s="1">
        <f>SQRT(POWER(Dominus[[#This Row],[angvel_X]],2) + POWER(Dominus[[#This Row],[angvel_Y]],2) + POWER(Dominus[[#This Row],[angvel_Z]],2))</f>
        <v>1.5023004160286981</v>
      </c>
      <c r="U63" s="1">
        <f>DEGREES(ASIN(MAX(-1,MIN(1,2 * (Dominus[[#This Row],[quart_W]]*Dominus[[#This Row],[quart_Y]] - Dominus[[#This Row],[quart_Z]]*Dominus[[#This Row],[quart_X]])))))</f>
        <v>0.96144675364958609</v>
      </c>
      <c r="V6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-35.474703094667063</v>
      </c>
      <c r="W6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89.981211419276775</v>
      </c>
      <c r="X63" s="1">
        <f>IF(Dominus[[#This Row],[Yaw]]&gt;V62,(360-ABS(Dominus[[#This Row],[Yaw]])-ABS(V62)),ABS(Dominus[[#This Row],[Yaw]]-V62))</f>
        <v>0.6882054725557083</v>
      </c>
      <c r="Y63" s="1">
        <f>Dominus[[#This Row],[Degree change]]+Y62</f>
        <v>4.6272255123465591</v>
      </c>
    </row>
    <row r="64" spans="1:25">
      <c r="A64">
        <v>63</v>
      </c>
      <c r="B64" s="1">
        <v>248.36999499999999</v>
      </c>
      <c r="C64" s="1">
        <v>2094.7299800000001</v>
      </c>
      <c r="D64" s="1">
        <v>17.049999</v>
      </c>
      <c r="E64" s="1">
        <v>-1321.549927</v>
      </c>
      <c r="F64" s="1">
        <v>1882.3900149999999</v>
      </c>
      <c r="G64" s="1">
        <v>7.99</v>
      </c>
      <c r="H64" s="1">
        <v>8.9999999999999998E-4</v>
      </c>
      <c r="I64" s="1">
        <v>-1.5E-3</v>
      </c>
      <c r="J64" s="1">
        <v>1.5555000000000001</v>
      </c>
      <c r="K64" s="1">
        <v>-7.4099999999999999E-3</v>
      </c>
      <c r="L64" s="1">
        <v>3.9410000000000001E-3</v>
      </c>
      <c r="M64" s="1">
        <v>0.89173400000000003</v>
      </c>
      <c r="N64" s="1">
        <v>0.452482</v>
      </c>
      <c r="O64">
        <v>1</v>
      </c>
      <c r="P64">
        <v>0</v>
      </c>
      <c r="Q64">
        <v>1</v>
      </c>
      <c r="R64">
        <v>1</v>
      </c>
      <c r="S64">
        <v>1</v>
      </c>
      <c r="T64" s="1">
        <f>SQRT(POWER(Dominus[[#This Row],[angvel_X]],2) + POWER(Dominus[[#This Row],[angvel_Y]],2) + POWER(Dominus[[#This Row],[angvel_Z]],2))</f>
        <v>1.5555009836062466</v>
      </c>
      <c r="U64" s="1">
        <f>DEGREES(ASIN(MAX(-1,MIN(1,2 * (Dominus[[#This Row],[quart_W]]*Dominus[[#This Row],[quart_Y]] - Dominus[[#This Row],[quart_Z]]*Dominus[[#This Row],[quart_X]])))))</f>
        <v>0.96158067675437875</v>
      </c>
      <c r="V6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-36.192025120075634</v>
      </c>
      <c r="W6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89.981498641150552</v>
      </c>
      <c r="X64" s="1">
        <f>IF(Dominus[[#This Row],[Yaw]]&gt;V63,(360-ABS(Dominus[[#This Row],[Yaw]])-ABS(V63)),ABS(Dominus[[#This Row],[Yaw]]-V63))</f>
        <v>0.7173220254085706</v>
      </c>
      <c r="Y64" s="1">
        <f>Dominus[[#This Row],[Degree change]]+Y63</f>
        <v>5.3445475377551297</v>
      </c>
    </row>
    <row r="65" spans="1:25">
      <c r="A65">
        <v>64</v>
      </c>
      <c r="B65" s="1">
        <v>237.31999200000001</v>
      </c>
      <c r="C65" s="1">
        <v>2110.469971</v>
      </c>
      <c r="D65" s="1">
        <v>17.049999</v>
      </c>
      <c r="E65" s="1">
        <v>-1340.150024</v>
      </c>
      <c r="F65" s="1">
        <v>1869.1999510000001</v>
      </c>
      <c r="G65" s="1">
        <v>8</v>
      </c>
      <c r="H65" s="1">
        <v>1.1999999999999999E-3</v>
      </c>
      <c r="I65" s="1">
        <v>-1.8E-3</v>
      </c>
      <c r="J65" s="1">
        <v>1.6027</v>
      </c>
      <c r="K65" s="1">
        <v>-7.437E-3</v>
      </c>
      <c r="L65" s="1">
        <v>3.8869999999999998E-3</v>
      </c>
      <c r="M65" s="1">
        <v>0.894648</v>
      </c>
      <c r="N65" s="1">
        <v>0.44669399999999998</v>
      </c>
      <c r="O65">
        <v>1</v>
      </c>
      <c r="P65">
        <v>0</v>
      </c>
      <c r="Q65">
        <v>1</v>
      </c>
      <c r="R65">
        <v>1</v>
      </c>
      <c r="S65">
        <v>1</v>
      </c>
      <c r="T65" s="1">
        <f>SQRT(POWER(Dominus[[#This Row],[angvel_X]],2) + POWER(Dominus[[#This Row],[angvel_Y]],2) + POWER(Dominus[[#This Row],[angvel_Z]],2))</f>
        <v>1.6027014600355238</v>
      </c>
      <c r="U65" s="1">
        <f>DEGREES(ASIN(MAX(-1,MIN(1,2 * (Dominus[[#This Row],[quart_W]]*Dominus[[#This Row],[quart_Y]] - Dominus[[#This Row],[quart_Z]]*Dominus[[#This Row],[quart_X]])))))</f>
        <v>0.96144501012273187</v>
      </c>
      <c r="V6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-36.934665858439175</v>
      </c>
      <c r="W6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89.982186124887633</v>
      </c>
      <c r="X65" s="1">
        <f>IF(Dominus[[#This Row],[Yaw]]&gt;V64,(360-ABS(Dominus[[#This Row],[Yaw]])-ABS(V64)),ABS(Dominus[[#This Row],[Yaw]]-V64))</f>
        <v>0.74264073836354072</v>
      </c>
      <c r="Y65" s="1">
        <f>Dominus[[#This Row],[Degree change]]+Y64</f>
        <v>6.0871882761186704</v>
      </c>
    </row>
    <row r="66" spans="1:25">
      <c r="A66">
        <v>65</v>
      </c>
      <c r="B66" s="1">
        <v>226.11000100000001</v>
      </c>
      <c r="C66" s="1">
        <v>2126.0998540000001</v>
      </c>
      <c r="D66" s="1">
        <v>17.049999</v>
      </c>
      <c r="E66" s="1">
        <v>-1359.650024</v>
      </c>
      <c r="F66" s="1">
        <v>1855.059937</v>
      </c>
      <c r="G66" s="1">
        <v>8</v>
      </c>
      <c r="H66" s="1">
        <v>1.4E-3</v>
      </c>
      <c r="I66" s="1">
        <v>-2E-3</v>
      </c>
      <c r="J66" s="1">
        <v>1.6447000000000001</v>
      </c>
      <c r="K66" s="1">
        <v>-7.4689999999999999E-3</v>
      </c>
      <c r="L66" s="1">
        <v>3.8279999999999998E-3</v>
      </c>
      <c r="M66" s="1">
        <v>0.89761000000000002</v>
      </c>
      <c r="N66" s="1">
        <v>0.44071100000000002</v>
      </c>
      <c r="O66">
        <v>1</v>
      </c>
      <c r="P66">
        <v>0</v>
      </c>
      <c r="Q66">
        <v>1</v>
      </c>
      <c r="R66">
        <v>1</v>
      </c>
      <c r="S66">
        <v>1</v>
      </c>
      <c r="T66" s="1">
        <f>SQRT(POWER(Dominus[[#This Row],[angvel_X]],2) + POWER(Dominus[[#This Row],[angvel_Y]],2) + POWER(Dominus[[#This Row],[angvel_Z]],2))</f>
        <v>1.6447018118795882</v>
      </c>
      <c r="U66" s="1">
        <f>DEGREES(ASIN(MAX(-1,MIN(1,2 * (Dominus[[#This Row],[quart_W]]*Dominus[[#This Row],[quart_Y]] - Dominus[[#This Row],[quart_Z]]*Dominus[[#This Row],[quart_X]])))))</f>
        <v>0.96161623906509786</v>
      </c>
      <c r="V6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-37.699672989203506</v>
      </c>
      <c r="W6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89.983452868861647</v>
      </c>
      <c r="X66" s="1">
        <f>IF(Dominus[[#This Row],[Yaw]]&gt;V65,(360-ABS(Dominus[[#This Row],[Yaw]])-ABS(V65)),ABS(Dominus[[#This Row],[Yaw]]-V65))</f>
        <v>0.76500713076433158</v>
      </c>
      <c r="Y66" s="1">
        <f>Dominus[[#This Row],[Degree change]]+Y65</f>
        <v>6.852195406883002</v>
      </c>
    </row>
    <row r="67" spans="1:25">
      <c r="A67">
        <v>66</v>
      </c>
      <c r="B67" s="1">
        <v>214.73999000000001</v>
      </c>
      <c r="C67" s="1">
        <v>2141.6098630000001</v>
      </c>
      <c r="D67" s="1">
        <v>17.049999</v>
      </c>
      <c r="E67" s="1">
        <v>-1379.959961</v>
      </c>
      <c r="F67" s="1">
        <v>1840</v>
      </c>
      <c r="G67" s="1">
        <v>8.01</v>
      </c>
      <c r="H67" s="1">
        <v>1.5E-3</v>
      </c>
      <c r="I67" s="1">
        <v>-2.0999999999999999E-3</v>
      </c>
      <c r="J67" s="1">
        <v>1.6820999999999999</v>
      </c>
      <c r="K67" s="1">
        <v>-7.5009999999999999E-3</v>
      </c>
      <c r="L67" s="1">
        <v>3.7680000000000001E-3</v>
      </c>
      <c r="M67" s="1">
        <v>0.90060899999999999</v>
      </c>
      <c r="N67" s="1">
        <v>0.43454999999999999</v>
      </c>
      <c r="O67">
        <v>1</v>
      </c>
      <c r="P67">
        <v>0</v>
      </c>
      <c r="Q67">
        <v>1</v>
      </c>
      <c r="R67">
        <v>1</v>
      </c>
      <c r="S67">
        <v>1</v>
      </c>
      <c r="T67" s="1">
        <f>SQRT(POWER(Dominus[[#This Row],[angvel_X]],2) + POWER(Dominus[[#This Row],[angvel_Y]],2) + POWER(Dominus[[#This Row],[angvel_Z]],2))</f>
        <v>1.6821019796671068</v>
      </c>
      <c r="U67" s="1">
        <f>DEGREES(ASIN(MAX(-1,MIN(1,2 * (Dominus[[#This Row],[quart_W]]*Dominus[[#This Row],[quart_Y]] - Dominus[[#This Row],[quart_Z]]*Dominus[[#This Row],[quart_X]])))))</f>
        <v>0.96179522317569199</v>
      </c>
      <c r="V6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-38.484907925206734</v>
      </c>
      <c r="W6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89.984649998136206</v>
      </c>
      <c r="X67" s="1">
        <f>IF(Dominus[[#This Row],[Yaw]]&gt;V66,(360-ABS(Dominus[[#This Row],[Yaw]])-ABS(V66)),ABS(Dominus[[#This Row],[Yaw]]-V66))</f>
        <v>0.7852349360032278</v>
      </c>
      <c r="Y67" s="1">
        <f>Dominus[[#This Row],[Degree change]]+Y66</f>
        <v>7.6374303428862298</v>
      </c>
    </row>
    <row r="68" spans="1:25">
      <c r="A68">
        <v>67</v>
      </c>
      <c r="B68" s="1">
        <v>203.199997</v>
      </c>
      <c r="C68" s="1">
        <v>2157</v>
      </c>
      <c r="D68" s="1">
        <v>17.049999</v>
      </c>
      <c r="E68" s="1">
        <v>-1400.98999</v>
      </c>
      <c r="F68" s="1">
        <v>1824.0399170000001</v>
      </c>
      <c r="G68" s="1">
        <v>8.01</v>
      </c>
      <c r="H68" s="1">
        <v>1.6000000000000001E-3</v>
      </c>
      <c r="I68" s="1">
        <v>-2.0999999999999999E-3</v>
      </c>
      <c r="J68" s="1">
        <v>1.7156</v>
      </c>
      <c r="K68" s="1">
        <v>-7.5339999999999999E-3</v>
      </c>
      <c r="L68" s="1">
        <v>3.7039999999999998E-3</v>
      </c>
      <c r="M68" s="1">
        <v>0.90363199999999999</v>
      </c>
      <c r="N68" s="1">
        <v>0.42822700000000002</v>
      </c>
      <c r="O68">
        <v>1</v>
      </c>
      <c r="P68">
        <v>0</v>
      </c>
      <c r="Q68">
        <v>1</v>
      </c>
      <c r="R68">
        <v>1</v>
      </c>
      <c r="S68">
        <v>1</v>
      </c>
      <c r="T68" s="1">
        <f>SQRT(POWER(Dominus[[#This Row],[angvel_X]],2) + POWER(Dominus[[#This Row],[angvel_Y]],2) + POWER(Dominus[[#This Row],[angvel_Z]],2))</f>
        <v>1.7156020313580886</v>
      </c>
      <c r="U68" s="1">
        <f>DEGREES(ASIN(MAX(-1,MIN(1,2 * (Dominus[[#This Row],[quart_W]]*Dominus[[#This Row],[quart_Y]] - Dominus[[#This Row],[quart_Z]]*Dominus[[#This Row],[quart_X]])))))</f>
        <v>0.96194006290782352</v>
      </c>
      <c r="V6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-39.28798917572982</v>
      </c>
      <c r="W6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89.986156453086821</v>
      </c>
      <c r="X68" s="1">
        <f>IF(Dominus[[#This Row],[Yaw]]&gt;V67,(360-ABS(Dominus[[#This Row],[Yaw]])-ABS(V67)),ABS(Dominus[[#This Row],[Yaw]]-V67))</f>
        <v>0.80308125052308554</v>
      </c>
      <c r="Y68" s="1">
        <f>Dominus[[#This Row],[Degree change]]+Y67</f>
        <v>8.4405115934093153</v>
      </c>
    </row>
    <row r="69" spans="1:25">
      <c r="A69">
        <v>68</v>
      </c>
      <c r="B69" s="1">
        <v>191.479996</v>
      </c>
      <c r="C69" s="1">
        <v>2172.25</v>
      </c>
      <c r="D69" s="1">
        <v>17.049999</v>
      </c>
      <c r="E69" s="1">
        <v>-1422.650024</v>
      </c>
      <c r="F69" s="1">
        <v>1807.1999510000001</v>
      </c>
      <c r="G69" s="1">
        <v>8.01</v>
      </c>
      <c r="H69" s="1">
        <v>1.6000000000000001E-3</v>
      </c>
      <c r="I69" s="1">
        <v>-2E-3</v>
      </c>
      <c r="J69" s="1">
        <v>1.7457</v>
      </c>
      <c r="K69" s="1">
        <v>-7.5659999999999998E-3</v>
      </c>
      <c r="L69" s="1">
        <v>3.6389999999999999E-3</v>
      </c>
      <c r="M69" s="1">
        <v>0.90666899999999995</v>
      </c>
      <c r="N69" s="1">
        <v>0.421759</v>
      </c>
      <c r="O69">
        <v>1</v>
      </c>
      <c r="P69">
        <v>0</v>
      </c>
      <c r="Q69">
        <v>1</v>
      </c>
      <c r="R69">
        <v>1</v>
      </c>
      <c r="S69">
        <v>1</v>
      </c>
      <c r="T69" s="1">
        <f>SQRT(POWER(Dominus[[#This Row],[angvel_X]],2) + POWER(Dominus[[#This Row],[angvel_Y]],2) + POWER(Dominus[[#This Row],[angvel_Z]],2))</f>
        <v>1.7457018789014349</v>
      </c>
      <c r="U69" s="1">
        <f>DEGREES(ASIN(MAX(-1,MIN(1,2 * (Dominus[[#This Row],[quart_W]]*Dominus[[#This Row],[quart_Y]] - Dominus[[#This Row],[quart_Z]]*Dominus[[#This Row],[quart_X]])))))</f>
        <v>0.96199992927763545</v>
      </c>
      <c r="V6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-40.1068317925278</v>
      </c>
      <c r="W6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89.987583412084348</v>
      </c>
      <c r="X69" s="1">
        <f>IF(Dominus[[#This Row],[Yaw]]&gt;V68,(360-ABS(Dominus[[#This Row],[Yaw]])-ABS(V68)),ABS(Dominus[[#This Row],[Yaw]]-V68))</f>
        <v>0.81884261679797987</v>
      </c>
      <c r="Y69" s="1">
        <f>Dominus[[#This Row],[Degree change]]+Y68</f>
        <v>9.2593542102072952</v>
      </c>
    </row>
    <row r="70" spans="1:25">
      <c r="A70">
        <v>69</v>
      </c>
      <c r="B70" s="1">
        <v>179.58000200000001</v>
      </c>
      <c r="C70" s="1">
        <v>2187.3598630000001</v>
      </c>
      <c r="D70" s="1">
        <v>17.049999</v>
      </c>
      <c r="E70" s="1">
        <v>-1444.849976</v>
      </c>
      <c r="F70" s="1">
        <v>1789.5</v>
      </c>
      <c r="G70" s="1">
        <v>8.01</v>
      </c>
      <c r="H70" s="1">
        <v>1.5E-3</v>
      </c>
      <c r="I70" s="1">
        <v>-1.8E-3</v>
      </c>
      <c r="J70" s="1">
        <v>1.7726999999999999</v>
      </c>
      <c r="K70" s="1">
        <v>-7.5989999999999999E-3</v>
      </c>
      <c r="L70" s="1">
        <v>3.5739999999999999E-3</v>
      </c>
      <c r="M70" s="1">
        <v>0.90971400000000002</v>
      </c>
      <c r="N70" s="1">
        <v>0.41515000000000002</v>
      </c>
      <c r="O70">
        <v>1</v>
      </c>
      <c r="P70">
        <v>0</v>
      </c>
      <c r="Q70">
        <v>1</v>
      </c>
      <c r="R70">
        <v>1</v>
      </c>
      <c r="S70">
        <v>1</v>
      </c>
      <c r="T70" s="1">
        <f>SQRT(POWER(Dominus[[#This Row],[angvel_X]],2) + POWER(Dominus[[#This Row],[angvel_Y]],2) + POWER(Dominus[[#This Row],[angvel_Z]],2))</f>
        <v>1.7727015484846849</v>
      </c>
      <c r="U70" s="1">
        <f>DEGREES(ASIN(MAX(-1,MIN(1,2 * (Dominus[[#This Row],[quart_W]]*Dominus[[#This Row],[quart_Y]] - Dominus[[#This Row],[quart_Z]]*Dominus[[#This Row],[quart_X]])))))</f>
        <v>0.96223191031017585</v>
      </c>
      <c r="V7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-40.940695390557657</v>
      </c>
      <c r="W7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89.988929697963755</v>
      </c>
      <c r="X70" s="1">
        <f>IF(Dominus[[#This Row],[Yaw]]&gt;V69,(360-ABS(Dominus[[#This Row],[Yaw]])-ABS(V69)),ABS(Dominus[[#This Row],[Yaw]]-V69))</f>
        <v>0.83386359802985766</v>
      </c>
      <c r="Y70" s="1">
        <f>Dominus[[#This Row],[Degree change]]+Y69</f>
        <v>10.093217808237153</v>
      </c>
    </row>
    <row r="71" spans="1:25">
      <c r="A71">
        <v>70</v>
      </c>
      <c r="B71" s="1">
        <v>167.48999000000001</v>
      </c>
      <c r="C71" s="1">
        <v>2202.320068</v>
      </c>
      <c r="D71" s="1">
        <v>17.049999</v>
      </c>
      <c r="E71" s="1">
        <v>-1467.51001</v>
      </c>
      <c r="F71" s="1">
        <v>1770.959961</v>
      </c>
      <c r="G71" s="1">
        <v>8.01</v>
      </c>
      <c r="H71" s="1">
        <v>1.4E-3</v>
      </c>
      <c r="I71" s="1">
        <v>-1.6000000000000001E-3</v>
      </c>
      <c r="J71" s="1">
        <v>1.7970999999999999</v>
      </c>
      <c r="K71" s="1">
        <v>-7.6309999999999998E-3</v>
      </c>
      <c r="L71" s="1">
        <v>3.509E-3</v>
      </c>
      <c r="M71" s="1">
        <v>0.91275700000000004</v>
      </c>
      <c r="N71" s="1">
        <v>0.40841699999999997</v>
      </c>
      <c r="O71">
        <v>1</v>
      </c>
      <c r="P71">
        <v>0</v>
      </c>
      <c r="Q71">
        <v>1</v>
      </c>
      <c r="R71">
        <v>1</v>
      </c>
      <c r="S71">
        <v>1</v>
      </c>
      <c r="T71" s="1">
        <f>SQRT(POWER(Dominus[[#This Row],[angvel_X]],2) + POWER(Dominus[[#This Row],[angvel_Y]],2) + POWER(Dominus[[#This Row],[angvel_Z]],2))</f>
        <v>1.7971012575812193</v>
      </c>
      <c r="U71" s="1">
        <f>DEGREES(ASIN(MAX(-1,MIN(1,2 * (Dominus[[#This Row],[quart_W]]*Dominus[[#This Row],[quart_Y]] - Dominus[[#This Row],[quart_Z]]*Dominus[[#This Row],[quart_X]])))))</f>
        <v>0.96242916556073976</v>
      </c>
      <c r="V7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-41.787433227494276</v>
      </c>
      <c r="W7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89.990116895870969</v>
      </c>
      <c r="X71" s="1">
        <f>IF(Dominus[[#This Row],[Yaw]]&gt;V70,(360-ABS(Dominus[[#This Row],[Yaw]])-ABS(V70)),ABS(Dominus[[#This Row],[Yaw]]-V70))</f>
        <v>0.84673783693661875</v>
      </c>
      <c r="Y71" s="1">
        <f>Dominus[[#This Row],[Degree change]]+Y70</f>
        <v>10.939955645173772</v>
      </c>
    </row>
    <row r="72" spans="1:25">
      <c r="A72">
        <v>71</v>
      </c>
      <c r="B72" s="1">
        <v>155.209991</v>
      </c>
      <c r="C72" s="1">
        <v>2217.1298830000001</v>
      </c>
      <c r="D72" s="1">
        <v>17.049999</v>
      </c>
      <c r="E72" s="1">
        <v>-1490.559937</v>
      </c>
      <c r="F72" s="1">
        <v>1751.6099850000001</v>
      </c>
      <c r="G72" s="1">
        <v>8.01</v>
      </c>
      <c r="H72" s="1">
        <v>1.2999999999999999E-3</v>
      </c>
      <c r="I72" s="1">
        <v>-1.4E-3</v>
      </c>
      <c r="J72" s="1">
        <v>1.8190999999999999</v>
      </c>
      <c r="K72" s="1">
        <v>-7.6629999999999997E-3</v>
      </c>
      <c r="L72" s="1">
        <v>3.4450000000000001E-3</v>
      </c>
      <c r="M72" s="1">
        <v>0.91578899999999996</v>
      </c>
      <c r="N72" s="1">
        <v>0.40157100000000001</v>
      </c>
      <c r="O72">
        <v>1</v>
      </c>
      <c r="P72">
        <v>0</v>
      </c>
      <c r="Q72">
        <v>1</v>
      </c>
      <c r="R72">
        <v>1</v>
      </c>
      <c r="S72">
        <v>1</v>
      </c>
      <c r="T72" s="1">
        <f>SQRT(POWER(Dominus[[#This Row],[angvel_X]],2) + POWER(Dominus[[#This Row],[angvel_Y]],2) + POWER(Dominus[[#This Row],[angvel_Z]],2))</f>
        <v>1.8191010032430854</v>
      </c>
      <c r="U72" s="1">
        <f>DEGREES(ASIN(MAX(-1,MIN(1,2 * (Dominus[[#This Row],[quart_W]]*Dominus[[#This Row],[quart_Y]] - Dominus[[#This Row],[quart_Z]]*Dominus[[#This Row],[quart_X]])))))</f>
        <v>0.96274081630512298</v>
      </c>
      <c r="V7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-42.645405388622869</v>
      </c>
      <c r="W7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89.991100189716249</v>
      </c>
      <c r="X72" s="1">
        <f>IF(Dominus[[#This Row],[Yaw]]&gt;V71,(360-ABS(Dominus[[#This Row],[Yaw]])-ABS(V71)),ABS(Dominus[[#This Row],[Yaw]]-V71))</f>
        <v>0.85797216112859331</v>
      </c>
      <c r="Y72" s="1">
        <f>Dominus[[#This Row],[Degree change]]+Y71</f>
        <v>11.797927806302365</v>
      </c>
    </row>
    <row r="73" spans="1:25">
      <c r="A73">
        <v>72</v>
      </c>
      <c r="B73" s="1">
        <v>142.73999000000001</v>
      </c>
      <c r="C73" s="1">
        <v>2231.780029</v>
      </c>
      <c r="D73" s="1">
        <v>17.049999</v>
      </c>
      <c r="E73" s="1">
        <v>-1513.919922</v>
      </c>
      <c r="F73" s="1">
        <v>1731.459961</v>
      </c>
      <c r="G73" s="1">
        <v>8.01</v>
      </c>
      <c r="H73" s="1">
        <v>1.1999999999999999E-3</v>
      </c>
      <c r="I73" s="1">
        <v>-1.1999999999999999E-3</v>
      </c>
      <c r="J73" s="1">
        <v>1.839</v>
      </c>
      <c r="K73" s="1">
        <v>-7.6899999999999998E-3</v>
      </c>
      <c r="L73" s="1">
        <v>3.3800000000000002E-3</v>
      </c>
      <c r="M73" s="1">
        <v>0.91880700000000004</v>
      </c>
      <c r="N73" s="1">
        <v>0.394617</v>
      </c>
      <c r="O73">
        <v>1</v>
      </c>
      <c r="P73">
        <v>0</v>
      </c>
      <c r="Q73">
        <v>1</v>
      </c>
      <c r="R73">
        <v>1</v>
      </c>
      <c r="S73">
        <v>1</v>
      </c>
      <c r="T73" s="1">
        <f>SQRT(POWER(Dominus[[#This Row],[angvel_X]],2) + POWER(Dominus[[#This Row],[angvel_Y]],2) + POWER(Dominus[[#This Row],[angvel_Z]],2))</f>
        <v>1.8390007830340909</v>
      </c>
      <c r="U73" s="1">
        <f>DEGREES(ASIN(MAX(-1,MIN(1,2 * (Dominus[[#This Row],[quart_W]]*Dominus[[#This Row],[quart_Y]] - Dominus[[#This Row],[quart_Z]]*Dominus[[#This Row],[quart_X]])))))</f>
        <v>0.96254920225828489</v>
      </c>
      <c r="V7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-43.514115971769399</v>
      </c>
      <c r="W7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89.991867099549808</v>
      </c>
      <c r="X73" s="1">
        <f>IF(Dominus[[#This Row],[Yaw]]&gt;V72,(360-ABS(Dominus[[#This Row],[Yaw]])-ABS(V72)),ABS(Dominus[[#This Row],[Yaw]]-V72))</f>
        <v>0.86871058314653027</v>
      </c>
      <c r="Y73" s="1">
        <f>Dominus[[#This Row],[Degree change]]+Y72</f>
        <v>12.666638389448895</v>
      </c>
    </row>
    <row r="74" spans="1:25">
      <c r="A74">
        <v>73</v>
      </c>
      <c r="B74" s="1">
        <v>130.08000200000001</v>
      </c>
      <c r="C74" s="1">
        <v>2246.26001</v>
      </c>
      <c r="D74" s="1">
        <v>17.049999</v>
      </c>
      <c r="E74" s="1">
        <v>-1537.5200199999999</v>
      </c>
      <c r="F74" s="1">
        <v>1710.5399170000001</v>
      </c>
      <c r="G74" s="1">
        <v>8.01</v>
      </c>
      <c r="H74" s="1">
        <v>1.1999999999999999E-3</v>
      </c>
      <c r="I74" s="1">
        <v>-1.1000000000000001E-3</v>
      </c>
      <c r="J74" s="1">
        <v>1.8571</v>
      </c>
      <c r="K74" s="1">
        <v>-7.7169999999999999E-3</v>
      </c>
      <c r="L74" s="1">
        <v>3.3149999999999998E-3</v>
      </c>
      <c r="M74" s="1">
        <v>0.92180300000000004</v>
      </c>
      <c r="N74" s="1">
        <v>0.38756600000000002</v>
      </c>
      <c r="O74">
        <v>1</v>
      </c>
      <c r="P74">
        <v>0</v>
      </c>
      <c r="Q74">
        <v>1</v>
      </c>
      <c r="R74">
        <v>1</v>
      </c>
      <c r="S74">
        <v>1</v>
      </c>
      <c r="T74" s="1">
        <f>SQRT(POWER(Dominus[[#This Row],[angvel_X]],2) + POWER(Dominus[[#This Row],[angvel_Y]],2) + POWER(Dominus[[#This Row],[angvel_Z]],2))</f>
        <v>1.8571007134778661</v>
      </c>
      <c r="U74" s="1">
        <f>DEGREES(ASIN(MAX(-1,MIN(1,2 * (Dominus[[#This Row],[quart_W]]*Dominus[[#This Row],[quart_Y]] - Dominus[[#This Row],[quart_Z]]*Dominus[[#This Row],[quart_X]])))))</f>
        <v>0.96242356364963721</v>
      </c>
      <c r="V7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-44.392012990906956</v>
      </c>
      <c r="W7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89.992558506154012</v>
      </c>
      <c r="X74" s="1">
        <f>IF(Dominus[[#This Row],[Yaw]]&gt;V73,(360-ABS(Dominus[[#This Row],[Yaw]])-ABS(V73)),ABS(Dominus[[#This Row],[Yaw]]-V73))</f>
        <v>0.87789701913755636</v>
      </c>
      <c r="Y74" s="1">
        <f>Dominus[[#This Row],[Degree change]]+Y73</f>
        <v>13.544535408586452</v>
      </c>
    </row>
    <row r="75" spans="1:25">
      <c r="A75">
        <v>74</v>
      </c>
      <c r="B75" s="1">
        <v>117.219994</v>
      </c>
      <c r="C75" s="1">
        <v>2260.5600589999999</v>
      </c>
      <c r="D75" s="1">
        <v>17.049999</v>
      </c>
      <c r="E75" s="1">
        <v>-1561.2899170000001</v>
      </c>
      <c r="F75" s="1">
        <v>1688.8599850000001</v>
      </c>
      <c r="G75" s="1">
        <v>8.02</v>
      </c>
      <c r="H75" s="1">
        <v>1.1000000000000001E-3</v>
      </c>
      <c r="I75" s="1">
        <v>-1E-3</v>
      </c>
      <c r="J75" s="1">
        <v>1.8734999999999999</v>
      </c>
      <c r="K75" s="1">
        <v>-7.744E-3</v>
      </c>
      <c r="L75" s="1">
        <v>3.2499999999999999E-3</v>
      </c>
      <c r="M75" s="1">
        <v>0.92477399999999998</v>
      </c>
      <c r="N75" s="1">
        <v>0.38042399999999998</v>
      </c>
      <c r="O75">
        <v>1</v>
      </c>
      <c r="P75">
        <v>0</v>
      </c>
      <c r="Q75">
        <v>1</v>
      </c>
      <c r="R75">
        <v>1</v>
      </c>
      <c r="S75">
        <v>1</v>
      </c>
      <c r="T75" s="1">
        <f>SQRT(POWER(Dominus[[#This Row],[angvel_X]],2) + POWER(Dominus[[#This Row],[angvel_Y]],2) + POWER(Dominus[[#This Row],[angvel_Z]],2))</f>
        <v>1.8735005898050845</v>
      </c>
      <c r="U75" s="1">
        <f>DEGREES(ASIN(MAX(-1,MIN(1,2 * (Dominus[[#This Row],[quart_W]]*Dominus[[#This Row],[quart_Y]] - Dominus[[#This Row],[quart_Z]]*Dominus[[#This Row],[quart_X]])))))</f>
        <v>0.9623654363300137</v>
      </c>
      <c r="V7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-45.278491305854764</v>
      </c>
      <c r="W7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89.99317945999627</v>
      </c>
      <c r="X75" s="1">
        <f>IF(Dominus[[#This Row],[Yaw]]&gt;V74,(360-ABS(Dominus[[#This Row],[Yaw]])-ABS(V74)),ABS(Dominus[[#This Row],[Yaw]]-V74))</f>
        <v>0.8864783149478086</v>
      </c>
      <c r="Y75" s="1">
        <f>Dominus[[#This Row],[Degree change]]+Y74</f>
        <v>14.43101372353426</v>
      </c>
    </row>
    <row r="76" spans="1:25">
      <c r="A76">
        <v>75</v>
      </c>
      <c r="B76" s="1">
        <v>104.15999600000001</v>
      </c>
      <c r="C76" s="1">
        <v>2274.679932</v>
      </c>
      <c r="D76" s="1">
        <v>17.049999</v>
      </c>
      <c r="E76" s="1">
        <v>-1585.1899410000001</v>
      </c>
      <c r="F76" s="1">
        <v>1666.459961</v>
      </c>
      <c r="G76" s="1">
        <v>8.02</v>
      </c>
      <c r="H76" s="1">
        <v>1E-3</v>
      </c>
      <c r="I76" s="1">
        <v>-8.9999999999999998E-4</v>
      </c>
      <c r="J76" s="1">
        <v>1.8884000000000001</v>
      </c>
      <c r="K76" s="1">
        <v>-7.7710000000000001E-3</v>
      </c>
      <c r="L76" s="1">
        <v>3.186E-3</v>
      </c>
      <c r="M76" s="1">
        <v>0.92771499999999996</v>
      </c>
      <c r="N76" s="1">
        <v>0.373195</v>
      </c>
      <c r="O76">
        <v>1</v>
      </c>
      <c r="P76">
        <v>0</v>
      </c>
      <c r="Q76">
        <v>1</v>
      </c>
      <c r="R76">
        <v>1</v>
      </c>
      <c r="S76">
        <v>1</v>
      </c>
      <c r="T76" s="1">
        <f>SQRT(POWER(Dominus[[#This Row],[angvel_X]],2) + POWER(Dominus[[#This Row],[angvel_Y]],2) + POWER(Dominus[[#This Row],[angvel_Z]],2))</f>
        <v>1.8884004792416254</v>
      </c>
      <c r="U76" s="1">
        <f>DEGREES(ASIN(MAX(-1,MIN(1,2 * (Dominus[[#This Row],[quart_W]]*Dominus[[#This Row],[quart_Y]] - Dominus[[#This Row],[quart_Z]]*Dominus[[#This Row],[quart_X]])))))</f>
        <v>0.96241639997904849</v>
      </c>
      <c r="V7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-46.172844884448836</v>
      </c>
      <c r="W7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89.993627621838471</v>
      </c>
      <c r="X76" s="1">
        <f>IF(Dominus[[#This Row],[Yaw]]&gt;V75,(360-ABS(Dominus[[#This Row],[Yaw]])-ABS(V75)),ABS(Dominus[[#This Row],[Yaw]]-V75))</f>
        <v>0.89435357859407105</v>
      </c>
      <c r="Y76" s="1">
        <f>Dominus[[#This Row],[Degree change]]+Y75</f>
        <v>15.325367302128331</v>
      </c>
    </row>
    <row r="77" spans="1:25">
      <c r="A77">
        <v>76</v>
      </c>
      <c r="B77" s="1">
        <v>90.900002000000001</v>
      </c>
      <c r="C77" s="1">
        <v>2288.6098630000001</v>
      </c>
      <c r="D77" s="1">
        <v>17.049999</v>
      </c>
      <c r="E77" s="1">
        <v>-1609.1400149999999</v>
      </c>
      <c r="F77" s="1">
        <v>1643.339966</v>
      </c>
      <c r="G77" s="1">
        <v>8.02</v>
      </c>
      <c r="H77" s="1">
        <v>8.9999999999999998E-4</v>
      </c>
      <c r="I77" s="1">
        <v>-8.0000000000000004E-4</v>
      </c>
      <c r="J77" s="1">
        <v>1.9018999999999999</v>
      </c>
      <c r="K77" s="1">
        <v>-7.7980000000000002E-3</v>
      </c>
      <c r="L77" s="1">
        <v>3.1210000000000001E-3</v>
      </c>
      <c r="M77" s="1">
        <v>0.93062199999999995</v>
      </c>
      <c r="N77" s="1">
        <v>0.36588500000000002</v>
      </c>
      <c r="O77">
        <v>1</v>
      </c>
      <c r="P77">
        <v>0</v>
      </c>
      <c r="Q77">
        <v>1</v>
      </c>
      <c r="R77">
        <v>1</v>
      </c>
      <c r="S77">
        <v>1</v>
      </c>
      <c r="T77" s="1">
        <f>SQRT(POWER(Dominus[[#This Row],[angvel_X]],2) + POWER(Dominus[[#This Row],[angvel_Y]],2) + POWER(Dominus[[#This Row],[angvel_Z]],2))</f>
        <v>1.9019003811977113</v>
      </c>
      <c r="U77" s="1">
        <f>DEGREES(ASIN(MAX(-1,MIN(1,2 * (Dominus[[#This Row],[quart_W]]*Dominus[[#This Row],[quart_Y]] - Dominus[[#This Row],[quart_Z]]*Dominus[[#This Row],[quart_X]])))))</f>
        <v>0.96249031119061035</v>
      </c>
      <c r="V7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-47.074326491285817</v>
      </c>
      <c r="W7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89.994120619801649</v>
      </c>
      <c r="X77" s="1">
        <f>IF(Dominus[[#This Row],[Yaw]]&gt;V76,(360-ABS(Dominus[[#This Row],[Yaw]])-ABS(V76)),ABS(Dominus[[#This Row],[Yaw]]-V76))</f>
        <v>0.90148160683698109</v>
      </c>
      <c r="Y77" s="1">
        <f>Dominus[[#This Row],[Degree change]]+Y76</f>
        <v>16.226848908965312</v>
      </c>
    </row>
    <row r="78" spans="1:25">
      <c r="A78">
        <v>77</v>
      </c>
      <c r="B78" s="1">
        <v>77.439994999999996</v>
      </c>
      <c r="C78" s="1">
        <v>2302.3498540000001</v>
      </c>
      <c r="D78" s="1">
        <v>17.049999</v>
      </c>
      <c r="E78" s="1">
        <v>-1633.099976</v>
      </c>
      <c r="F78" s="1">
        <v>1619.5299070000001</v>
      </c>
      <c r="G78" s="1">
        <v>8.02</v>
      </c>
      <c r="H78" s="1">
        <v>8.9999999999999998E-4</v>
      </c>
      <c r="I78" s="1">
        <v>-6.9999999999999999E-4</v>
      </c>
      <c r="J78" s="1">
        <v>1.9141999999999999</v>
      </c>
      <c r="K78" s="1">
        <v>-7.8250000000000004E-3</v>
      </c>
      <c r="L78" s="1">
        <v>3.0560000000000001E-3</v>
      </c>
      <c r="M78" s="1">
        <v>0.93349199999999999</v>
      </c>
      <c r="N78" s="1">
        <v>0.35849900000000001</v>
      </c>
      <c r="O78">
        <v>1</v>
      </c>
      <c r="P78">
        <v>0</v>
      </c>
      <c r="Q78">
        <v>1</v>
      </c>
      <c r="R78">
        <v>1</v>
      </c>
      <c r="S78">
        <v>1</v>
      </c>
      <c r="T78" s="1">
        <f>SQRT(POWER(Dominus[[#This Row],[angvel_X]],2) + POWER(Dominus[[#This Row],[angvel_Y]],2) + POWER(Dominus[[#This Row],[angvel_Z]],2))</f>
        <v>1.9142003395674132</v>
      </c>
      <c r="U78" s="1">
        <f>DEGREES(ASIN(MAX(-1,MIN(1,2 * (Dominus[[#This Row],[quart_W]]*Dominus[[#This Row],[quart_Y]] - Dominus[[#This Row],[quart_Z]]*Dominus[[#This Row],[quart_X]])))))</f>
        <v>0.96263132488765379</v>
      </c>
      <c r="V7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-47.982371580489414</v>
      </c>
      <c r="W7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89.994556490537747</v>
      </c>
      <c r="X78" s="1">
        <f>IF(Dominus[[#This Row],[Yaw]]&gt;V77,(360-ABS(Dominus[[#This Row],[Yaw]])-ABS(V77)),ABS(Dominus[[#This Row],[Yaw]]-V77))</f>
        <v>0.90804508920359694</v>
      </c>
      <c r="Y78" s="1">
        <f>Dominus[[#This Row],[Degree change]]+Y77</f>
        <v>17.134893998168909</v>
      </c>
    </row>
    <row r="79" spans="1:25">
      <c r="A79">
        <v>78</v>
      </c>
      <c r="B79" s="1">
        <v>63.779998999999997</v>
      </c>
      <c r="C79" s="1">
        <v>2315.889893</v>
      </c>
      <c r="D79" s="1">
        <v>17.049999</v>
      </c>
      <c r="E79" s="1">
        <v>-1657.0200199999999</v>
      </c>
      <c r="F79" s="1">
        <v>1595.049927</v>
      </c>
      <c r="G79" s="1">
        <v>8.02</v>
      </c>
      <c r="H79" s="1">
        <v>8.9999999999999998E-4</v>
      </c>
      <c r="I79" s="1">
        <v>-5.9999999999999995E-4</v>
      </c>
      <c r="J79" s="1">
        <v>1.9254</v>
      </c>
      <c r="K79" s="1">
        <v>-7.8519999999999996E-3</v>
      </c>
      <c r="L79" s="1">
        <v>2.9910000000000002E-3</v>
      </c>
      <c r="M79" s="1">
        <v>0.93632099999999996</v>
      </c>
      <c r="N79" s="1">
        <v>0.35104299999999999</v>
      </c>
      <c r="O79">
        <v>1</v>
      </c>
      <c r="P79">
        <v>0</v>
      </c>
      <c r="Q79">
        <v>1</v>
      </c>
      <c r="R79">
        <v>1</v>
      </c>
      <c r="S79">
        <v>1</v>
      </c>
      <c r="T79" s="1">
        <f>SQRT(POWER(Dominus[[#This Row],[angvel_X]],2) + POWER(Dominus[[#This Row],[angvel_Y]],2) + POWER(Dominus[[#This Row],[angvel_Z]],2))</f>
        <v>1.9254003038329459</v>
      </c>
      <c r="U79" s="1">
        <f>DEGREES(ASIN(MAX(-1,MIN(1,2 * (Dominus[[#This Row],[quart_W]]*Dominus[[#This Row],[quart_Y]] - Dominus[[#This Row],[quart_Z]]*Dominus[[#This Row],[quart_X]])))))</f>
        <v>0.9628392532364155</v>
      </c>
      <c r="V7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-48.896209255741347</v>
      </c>
      <c r="W7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89.994940472212221</v>
      </c>
      <c r="X79" s="1">
        <f>IF(Dominus[[#This Row],[Yaw]]&gt;V78,(360-ABS(Dominus[[#This Row],[Yaw]])-ABS(V78)),ABS(Dominus[[#This Row],[Yaw]]-V78))</f>
        <v>0.91383767525193349</v>
      </c>
      <c r="Y79" s="1">
        <f>Dominus[[#This Row],[Degree change]]+Y78</f>
        <v>18.048731673420843</v>
      </c>
    </row>
    <row r="80" spans="1:25">
      <c r="A80">
        <v>79</v>
      </c>
      <c r="B80" s="1">
        <v>49.919998</v>
      </c>
      <c r="C80" s="1">
        <v>2329.2299800000001</v>
      </c>
      <c r="D80" s="1">
        <v>17.049999</v>
      </c>
      <c r="E80" s="1">
        <v>-1680.8599850000001</v>
      </c>
      <c r="F80" s="1">
        <v>1569.9099120000001</v>
      </c>
      <c r="G80" s="1">
        <v>8.02</v>
      </c>
      <c r="H80" s="1">
        <v>8.9999999999999998E-4</v>
      </c>
      <c r="I80" s="1">
        <v>-5.0000000000000001E-4</v>
      </c>
      <c r="J80" s="1">
        <v>1.9357</v>
      </c>
      <c r="K80" s="1">
        <v>-7.8790000000000006E-3</v>
      </c>
      <c r="L80" s="1">
        <v>2.9269999999999999E-3</v>
      </c>
      <c r="M80" s="1">
        <v>0.93910700000000003</v>
      </c>
      <c r="N80" s="1">
        <v>0.34352300000000002</v>
      </c>
      <c r="O80">
        <v>1</v>
      </c>
      <c r="P80">
        <v>0</v>
      </c>
      <c r="Q80">
        <v>1</v>
      </c>
      <c r="R80">
        <v>1</v>
      </c>
      <c r="S80">
        <v>1</v>
      </c>
      <c r="T80" s="1">
        <f>SQRT(POWER(Dominus[[#This Row],[angvel_X]],2) + POWER(Dominus[[#This Row],[angvel_Y]],2) + POWER(Dominus[[#This Row],[angvel_Z]],2))</f>
        <v>1.9357002738027393</v>
      </c>
      <c r="U80" s="1">
        <f>DEGREES(ASIN(MAX(-1,MIN(1,2 * (Dominus[[#This Row],[quart_W]]*Dominus[[#This Row],[quart_Y]] - Dominus[[#This Row],[quart_Z]]*Dominus[[#This Row],[quart_X]])))))</f>
        <v>0.96315485649581867</v>
      </c>
      <c r="V8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-49.815277385766379</v>
      </c>
      <c r="W8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89.995169458377788</v>
      </c>
      <c r="X80" s="1">
        <f>IF(Dominus[[#This Row],[Yaw]]&gt;V79,(360-ABS(Dominus[[#This Row],[Yaw]])-ABS(V79)),ABS(Dominus[[#This Row],[Yaw]]-V79))</f>
        <v>0.91906813002503185</v>
      </c>
      <c r="Y80" s="1">
        <f>Dominus[[#This Row],[Degree change]]+Y79</f>
        <v>18.967799803445875</v>
      </c>
    </row>
    <row r="81" spans="1:25">
      <c r="A81">
        <v>80</v>
      </c>
      <c r="B81" s="1">
        <v>35.860000999999997</v>
      </c>
      <c r="C81" s="1">
        <v>2342.3598630000001</v>
      </c>
      <c r="D81" s="1">
        <v>17.049999</v>
      </c>
      <c r="E81" s="1">
        <v>-1704.5699460000001</v>
      </c>
      <c r="F81" s="1">
        <v>1544.1400149999999</v>
      </c>
      <c r="G81" s="1">
        <v>8.02</v>
      </c>
      <c r="H81" s="1">
        <v>8.9999999999999998E-4</v>
      </c>
      <c r="I81" s="1">
        <v>-4.0000000000000002E-4</v>
      </c>
      <c r="J81" s="1">
        <v>1.9451000000000001</v>
      </c>
      <c r="K81" s="1">
        <v>-7.901E-3</v>
      </c>
      <c r="L81" s="1">
        <v>2.8570000000000002E-3</v>
      </c>
      <c r="M81" s="1">
        <v>0.94184699999999999</v>
      </c>
      <c r="N81" s="1">
        <v>0.33593800000000001</v>
      </c>
      <c r="O81">
        <v>1</v>
      </c>
      <c r="P81">
        <v>0</v>
      </c>
      <c r="Q81">
        <v>1</v>
      </c>
      <c r="R81">
        <v>1</v>
      </c>
      <c r="S81">
        <v>1</v>
      </c>
      <c r="T81" s="1">
        <f>SQRT(POWER(Dominus[[#This Row],[angvel_X]],2) + POWER(Dominus[[#This Row],[angvel_Y]],2) + POWER(Dominus[[#This Row],[angvel_Z]],2))</f>
        <v>1.9451002493444907</v>
      </c>
      <c r="U81" s="1">
        <f>DEGREES(ASIN(MAX(-1,MIN(1,2 * (Dominus[[#This Row],[quart_W]]*Dominus[[#This Row],[quart_Y]] - Dominus[[#This Row],[quart_Z]]*Dominus[[#This Row],[quart_X]])))))</f>
        <v>0.96276428923060275</v>
      </c>
      <c r="V8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-50.739457675213053</v>
      </c>
      <c r="W8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89.995804125760358</v>
      </c>
      <c r="X81" s="1">
        <f>IF(Dominus[[#This Row],[Yaw]]&gt;V80,(360-ABS(Dominus[[#This Row],[Yaw]])-ABS(V80)),ABS(Dominus[[#This Row],[Yaw]]-V80))</f>
        <v>0.92418028944667441</v>
      </c>
      <c r="Y81" s="1">
        <f>Dominus[[#This Row],[Degree change]]+Y80</f>
        <v>19.891980092892549</v>
      </c>
    </row>
    <row r="82" spans="1:25">
      <c r="A82">
        <v>81</v>
      </c>
      <c r="B82" s="1">
        <v>21.6</v>
      </c>
      <c r="C82" s="1">
        <v>2355.2700199999999</v>
      </c>
      <c r="D82" s="1">
        <v>17.049999</v>
      </c>
      <c r="E82" s="1">
        <v>-1728.1099850000001</v>
      </c>
      <c r="F82" s="1">
        <v>1517.73999</v>
      </c>
      <c r="G82" s="1">
        <v>8.02</v>
      </c>
      <c r="H82" s="1">
        <v>8.0000000000000004E-4</v>
      </c>
      <c r="I82" s="1">
        <v>-2.9999999999999997E-4</v>
      </c>
      <c r="J82" s="1">
        <v>1.9536</v>
      </c>
      <c r="K82" s="1">
        <v>-7.9220000000000002E-3</v>
      </c>
      <c r="L82" s="1">
        <v>2.7859999999999998E-3</v>
      </c>
      <c r="M82" s="1">
        <v>0.94453799999999999</v>
      </c>
      <c r="N82" s="1">
        <v>0.328293</v>
      </c>
      <c r="O82">
        <v>1</v>
      </c>
      <c r="P82">
        <v>0</v>
      </c>
      <c r="Q82">
        <v>1</v>
      </c>
      <c r="R82">
        <v>1</v>
      </c>
      <c r="S82">
        <v>1</v>
      </c>
      <c r="T82" s="1">
        <f>SQRT(POWER(Dominus[[#This Row],[angvel_X]],2) + POWER(Dominus[[#This Row],[angvel_Y]],2) + POWER(Dominus[[#This Row],[angvel_Z]],2))</f>
        <v>1.9536001868345529</v>
      </c>
      <c r="U82" s="1">
        <f>DEGREES(ASIN(MAX(-1,MIN(1,2 * (Dominus[[#This Row],[quart_W]]*Dominus[[#This Row],[quart_Y]] - Dominus[[#This Row],[quart_Z]]*Dominus[[#This Row],[quart_X]])))))</f>
        <v>0.96229970627884887</v>
      </c>
      <c r="V8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-51.668160789818103</v>
      </c>
      <c r="W8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89.996476302805675</v>
      </c>
      <c r="X82" s="1">
        <f>IF(Dominus[[#This Row],[Yaw]]&gt;V81,(360-ABS(Dominus[[#This Row],[Yaw]])-ABS(V81)),ABS(Dominus[[#This Row],[Yaw]]-V81))</f>
        <v>0.92870311460504951</v>
      </c>
      <c r="Y82" s="1">
        <f>Dominus[[#This Row],[Degree change]]+Y81</f>
        <v>20.820683207497598</v>
      </c>
    </row>
    <row r="83" spans="1:25">
      <c r="A83">
        <v>82</v>
      </c>
      <c r="B83" s="1">
        <v>7.15</v>
      </c>
      <c r="C83" s="1">
        <v>2367.959961</v>
      </c>
      <c r="D83" s="1">
        <v>17.049999</v>
      </c>
      <c r="E83" s="1">
        <v>-1751.4499510000001</v>
      </c>
      <c r="F83" s="1">
        <v>1490.73999</v>
      </c>
      <c r="G83" s="1">
        <v>8.02</v>
      </c>
      <c r="H83" s="1">
        <v>6.9999999999999999E-4</v>
      </c>
      <c r="I83" s="1">
        <v>-2.0000000000000001E-4</v>
      </c>
      <c r="J83" s="1">
        <v>1.9614</v>
      </c>
      <c r="K83" s="1">
        <v>-7.9439999999999997E-3</v>
      </c>
      <c r="L83" s="1">
        <v>2.7160000000000001E-3</v>
      </c>
      <c r="M83" s="1">
        <v>0.94717899999999999</v>
      </c>
      <c r="N83" s="1">
        <v>0.32059500000000002</v>
      </c>
      <c r="O83">
        <v>1</v>
      </c>
      <c r="P83">
        <v>0</v>
      </c>
      <c r="Q83">
        <v>1</v>
      </c>
      <c r="R83">
        <v>1</v>
      </c>
      <c r="S83">
        <v>1</v>
      </c>
      <c r="T83" s="1">
        <f>SQRT(POWER(Dominus[[#This Row],[angvel_X]],2) + POWER(Dominus[[#This Row],[angvel_Y]],2) + POWER(Dominus[[#This Row],[angvel_Z]],2))</f>
        <v>1.9614001351075716</v>
      </c>
      <c r="U83" s="1">
        <f>DEGREES(ASIN(MAX(-1,MIN(1,2 * (Dominus[[#This Row],[quart_W]]*Dominus[[#This Row],[quart_Y]] - Dominus[[#This Row],[quart_Z]]*Dominus[[#This Row],[quart_X]])))))</f>
        <v>0.96205578231553723</v>
      </c>
      <c r="V8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-52.60081781170723</v>
      </c>
      <c r="W8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89.997050973417828</v>
      </c>
      <c r="X83" s="1">
        <f>IF(Dominus[[#This Row],[Yaw]]&gt;V82,(360-ABS(Dominus[[#This Row],[Yaw]])-ABS(V82)),ABS(Dominus[[#This Row],[Yaw]]-V82))</f>
        <v>0.93265702188912769</v>
      </c>
      <c r="Y83" s="1">
        <f>Dominus[[#This Row],[Degree change]]+Y82</f>
        <v>21.753340229386726</v>
      </c>
    </row>
    <row r="84" spans="1:25">
      <c r="A84">
        <v>83</v>
      </c>
      <c r="B84" s="1">
        <v>-7.5</v>
      </c>
      <c r="C84" s="1">
        <v>2380.419922</v>
      </c>
      <c r="D84" s="1">
        <v>17.049999</v>
      </c>
      <c r="E84" s="1">
        <v>-1774.559937</v>
      </c>
      <c r="F84" s="1">
        <v>1463.1599120000001</v>
      </c>
      <c r="G84" s="1">
        <v>8.02</v>
      </c>
      <c r="H84" s="1">
        <v>5.9999999999999995E-4</v>
      </c>
      <c r="I84" s="1">
        <v>-2.0000000000000001E-4</v>
      </c>
      <c r="J84" s="1">
        <v>1.9684999999999999</v>
      </c>
      <c r="K84" s="1">
        <v>-7.9649999999999999E-3</v>
      </c>
      <c r="L84" s="1">
        <v>2.6459999999999999E-3</v>
      </c>
      <c r="M84" s="1">
        <v>0.94976799999999995</v>
      </c>
      <c r="N84" s="1">
        <v>0.31284299999999998</v>
      </c>
      <c r="O84">
        <v>1</v>
      </c>
      <c r="P84">
        <v>0</v>
      </c>
      <c r="Q84">
        <v>1</v>
      </c>
      <c r="R84">
        <v>1</v>
      </c>
      <c r="S84">
        <v>1</v>
      </c>
      <c r="T84" s="1">
        <f>SQRT(POWER(Dominus[[#This Row],[angvel_X]],2) + POWER(Dominus[[#This Row],[angvel_Y]],2) + POWER(Dominus[[#This Row],[angvel_Z]],2))</f>
        <v>1.9685001016002004</v>
      </c>
      <c r="U84" s="1">
        <f>DEGREES(ASIN(MAX(-1,MIN(1,2 * (Dominus[[#This Row],[quart_W]]*Dominus[[#This Row],[quart_Y]] - Dominus[[#This Row],[quart_Z]]*Dominus[[#This Row],[quart_X]])))))</f>
        <v>0.96177599074197939</v>
      </c>
      <c r="V8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-53.53742091017039</v>
      </c>
      <c r="W8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89.997559814796105</v>
      </c>
      <c r="X84" s="1">
        <f>IF(Dominus[[#This Row],[Yaw]]&gt;V83,(360-ABS(Dominus[[#This Row],[Yaw]])-ABS(V83)),ABS(Dominus[[#This Row],[Yaw]]-V83))</f>
        <v>0.93660309846315926</v>
      </c>
      <c r="Y84" s="1">
        <f>Dominus[[#This Row],[Degree change]]+Y83</f>
        <v>22.689943327849885</v>
      </c>
    </row>
    <row r="85" spans="1:25">
      <c r="A85">
        <v>84</v>
      </c>
      <c r="B85" s="1">
        <v>-22.34</v>
      </c>
      <c r="C85" s="1">
        <v>2392.6499020000001</v>
      </c>
      <c r="D85" s="1">
        <v>17.049999</v>
      </c>
      <c r="E85" s="1">
        <v>-1797.3999020000001</v>
      </c>
      <c r="F85" s="1">
        <v>1435.01001</v>
      </c>
      <c r="G85" s="1">
        <v>8.02</v>
      </c>
      <c r="H85" s="1">
        <v>5.0000000000000001E-4</v>
      </c>
      <c r="I85" s="1">
        <v>-1E-4</v>
      </c>
      <c r="J85" s="1">
        <v>1.9750000000000001</v>
      </c>
      <c r="K85" s="1">
        <v>-7.9869999999999993E-3</v>
      </c>
      <c r="L85" s="1">
        <v>2.5760000000000002E-3</v>
      </c>
      <c r="M85" s="1">
        <v>0.95230199999999998</v>
      </c>
      <c r="N85" s="1">
        <v>0.30504199999999998</v>
      </c>
      <c r="O85">
        <v>1</v>
      </c>
      <c r="P85">
        <v>0</v>
      </c>
      <c r="Q85">
        <v>1</v>
      </c>
      <c r="R85">
        <v>1</v>
      </c>
      <c r="S85">
        <v>1</v>
      </c>
      <c r="T85" s="1">
        <f>SQRT(POWER(Dominus[[#This Row],[angvel_X]],2) + POWER(Dominus[[#This Row],[angvel_Y]],2) + POWER(Dominus[[#This Row],[angvel_Z]],2))</f>
        <v>1.9750000658227838</v>
      </c>
      <c r="U85" s="1">
        <f>DEGREES(ASIN(MAX(-1,MIN(1,2 * (Dominus[[#This Row],[quart_W]]*Dominus[[#This Row],[quart_Y]] - Dominus[[#This Row],[quart_Z]]*Dominus[[#This Row],[quart_X]])))))</f>
        <v>0.96167737860619218</v>
      </c>
      <c r="V8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-54.477349736667598</v>
      </c>
      <c r="W8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89.998079232444979</v>
      </c>
      <c r="X85" s="1">
        <f>IF(Dominus[[#This Row],[Yaw]]&gt;V84,(360-ABS(Dominus[[#This Row],[Yaw]])-ABS(V84)),ABS(Dominus[[#This Row],[Yaw]]-V84))</f>
        <v>0.93992882649720855</v>
      </c>
      <c r="Y85" s="1">
        <f>Dominus[[#This Row],[Degree change]]+Y84</f>
        <v>23.629872154347094</v>
      </c>
    </row>
    <row r="86" spans="1:25">
      <c r="A86">
        <v>85</v>
      </c>
      <c r="B86" s="1">
        <v>-37.369999</v>
      </c>
      <c r="C86" s="1">
        <v>2404.6499020000001</v>
      </c>
      <c r="D86" s="1">
        <v>17.049999</v>
      </c>
      <c r="E86" s="1">
        <v>-1819.9399410000001</v>
      </c>
      <c r="F86" s="1">
        <v>1406.309937</v>
      </c>
      <c r="G86" s="1">
        <v>8.02</v>
      </c>
      <c r="H86" s="1">
        <v>4.0000000000000002E-4</v>
      </c>
      <c r="I86" s="1">
        <v>-1E-4</v>
      </c>
      <c r="J86" s="1">
        <v>1.9810000000000001</v>
      </c>
      <c r="K86" s="1">
        <v>-8.0090000000000005E-3</v>
      </c>
      <c r="L86" s="1">
        <v>2.506E-3</v>
      </c>
      <c r="M86" s="1">
        <v>0.95478099999999999</v>
      </c>
      <c r="N86" s="1">
        <v>0.29719200000000001</v>
      </c>
      <c r="O86">
        <v>1</v>
      </c>
      <c r="P86">
        <v>0</v>
      </c>
      <c r="Q86">
        <v>1</v>
      </c>
      <c r="R86">
        <v>1</v>
      </c>
      <c r="S86">
        <v>1</v>
      </c>
      <c r="T86" s="1">
        <f>SQRT(POWER(Dominus[[#This Row],[angvel_X]],2) + POWER(Dominus[[#This Row],[angvel_Y]],2) + POWER(Dominus[[#This Row],[angvel_Z]],2))</f>
        <v>1.981000042907622</v>
      </c>
      <c r="U86" s="1">
        <f>DEGREES(ASIN(MAX(-1,MIN(1,2 * (Dominus[[#This Row],[quart_W]]*Dominus[[#This Row],[quart_Y]] - Dominus[[#This Row],[quart_Z]]*Dominus[[#This Row],[quart_X]])))))</f>
        <v>0.96165215517016123</v>
      </c>
      <c r="V8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-55.42071756815055</v>
      </c>
      <c r="W8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89.998570789474527</v>
      </c>
      <c r="X86" s="1">
        <f>IF(Dominus[[#This Row],[Yaw]]&gt;V85,(360-ABS(Dominus[[#This Row],[Yaw]])-ABS(V85)),ABS(Dominus[[#This Row],[Yaw]]-V85))</f>
        <v>0.94336783148295211</v>
      </c>
      <c r="Y86" s="1">
        <f>Dominus[[#This Row],[Degree change]]+Y85</f>
        <v>24.573239985830046</v>
      </c>
    </row>
    <row r="87" spans="1:25">
      <c r="A87">
        <v>86</v>
      </c>
      <c r="B87" s="1">
        <v>-52.59</v>
      </c>
      <c r="C87" s="1">
        <v>2416.4099120000001</v>
      </c>
      <c r="D87" s="1">
        <v>17.049999</v>
      </c>
      <c r="E87" s="1">
        <v>-1842.1599120000001</v>
      </c>
      <c r="F87" s="1">
        <v>1377.079956</v>
      </c>
      <c r="G87" s="1">
        <v>8.02</v>
      </c>
      <c r="H87" s="1">
        <v>2.9999999999999997E-4</v>
      </c>
      <c r="I87" s="1">
        <v>0</v>
      </c>
      <c r="J87" s="1">
        <v>1.9864999999999999</v>
      </c>
      <c r="K87" s="1">
        <v>-8.0300000000000007E-3</v>
      </c>
      <c r="L87" s="1">
        <v>2.4359999999999998E-3</v>
      </c>
      <c r="M87" s="1">
        <v>0.957202</v>
      </c>
      <c r="N87" s="1">
        <v>0.2893</v>
      </c>
      <c r="O87">
        <v>1</v>
      </c>
      <c r="P87">
        <v>0</v>
      </c>
      <c r="Q87">
        <v>1</v>
      </c>
      <c r="R87">
        <v>1</v>
      </c>
      <c r="S87">
        <v>1</v>
      </c>
      <c r="T87" s="1">
        <f>SQRT(POWER(Dominus[[#This Row],[angvel_X]],2) + POWER(Dominus[[#This Row],[angvel_Y]],2) + POWER(Dominus[[#This Row],[angvel_Z]],2))</f>
        <v>1.9865000226529068</v>
      </c>
      <c r="U87" s="1">
        <f>DEGREES(ASIN(MAX(-1,MIN(1,2 * (Dominus[[#This Row],[quart_W]]*Dominus[[#This Row],[quart_Y]] - Dominus[[#This Row],[quart_Z]]*Dominus[[#This Row],[quart_X]])))))</f>
        <v>0.96159057404605341</v>
      </c>
      <c r="V8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-56.366711720454717</v>
      </c>
      <c r="W8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89.999006916034546</v>
      </c>
      <c r="X87" s="1">
        <f>IF(Dominus[[#This Row],[Yaw]]&gt;V86,(360-ABS(Dominus[[#This Row],[Yaw]])-ABS(V86)),ABS(Dominus[[#This Row],[Yaw]]-V86))</f>
        <v>0.94599415230416639</v>
      </c>
      <c r="Y87" s="1">
        <f>Dominus[[#This Row],[Degree change]]+Y86</f>
        <v>25.519234138134212</v>
      </c>
    </row>
    <row r="88" spans="1:25">
      <c r="A88">
        <v>87</v>
      </c>
      <c r="B88" s="1">
        <v>-68</v>
      </c>
      <c r="C88" s="1">
        <v>2427.919922</v>
      </c>
      <c r="D88" s="1">
        <v>17.049999</v>
      </c>
      <c r="E88" s="1">
        <v>-1864.0299070000001</v>
      </c>
      <c r="F88" s="1">
        <v>1347.3199460000001</v>
      </c>
      <c r="G88" s="1">
        <v>8.02</v>
      </c>
      <c r="H88" s="1">
        <v>2.0000000000000001E-4</v>
      </c>
      <c r="I88" s="1">
        <v>0</v>
      </c>
      <c r="J88" s="1">
        <v>1.9915</v>
      </c>
      <c r="K88" s="1">
        <v>-8.0520000000000001E-3</v>
      </c>
      <c r="L88" s="1">
        <v>2.366E-3</v>
      </c>
      <c r="M88" s="1">
        <v>0.95956300000000005</v>
      </c>
      <c r="N88" s="1">
        <v>0.28136899999999998</v>
      </c>
      <c r="O88">
        <v>1</v>
      </c>
      <c r="P88">
        <v>0</v>
      </c>
      <c r="Q88">
        <v>1</v>
      </c>
      <c r="R88">
        <v>1</v>
      </c>
      <c r="S88">
        <v>1</v>
      </c>
      <c r="T88" s="1">
        <f>SQRT(POWER(Dominus[[#This Row],[angvel_X]],2) + POWER(Dominus[[#This Row],[angvel_Y]],2) + POWER(Dominus[[#This Row],[angvel_Z]],2))</f>
        <v>1.9915000100426814</v>
      </c>
      <c r="U88" s="1">
        <f>DEGREES(ASIN(MAX(-1,MIN(1,2 * (Dominus[[#This Row],[quart_W]]*Dominus[[#This Row],[quart_Y]] - Dominus[[#This Row],[quart_Z]]*Dominus[[#This Row],[quart_X]])))))</f>
        <v>0.96171130982108544</v>
      </c>
      <c r="V8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-57.314970091557207</v>
      </c>
      <c r="W8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89.999456430562375</v>
      </c>
      <c r="X88" s="1">
        <f>IF(Dominus[[#This Row],[Yaw]]&gt;V87,(360-ABS(Dominus[[#This Row],[Yaw]])-ABS(V87)),ABS(Dominus[[#This Row],[Yaw]]-V87))</f>
        <v>0.94825837110249012</v>
      </c>
      <c r="Y88" s="1">
        <f>Dominus[[#This Row],[Degree change]]+Y87</f>
        <v>26.467492509236703</v>
      </c>
    </row>
    <row r="89" spans="1:25">
      <c r="A89">
        <v>88</v>
      </c>
      <c r="B89" s="1">
        <v>-83.589995999999999</v>
      </c>
      <c r="C89" s="1">
        <v>2439.179932</v>
      </c>
      <c r="D89" s="1">
        <v>17.049999</v>
      </c>
      <c r="E89" s="1">
        <v>-1885.5399170000001</v>
      </c>
      <c r="F89" s="1">
        <v>1317.0699460000001</v>
      </c>
      <c r="G89" s="1">
        <v>8.02</v>
      </c>
      <c r="H89" s="1">
        <v>1E-4</v>
      </c>
      <c r="I89" s="1">
        <v>0</v>
      </c>
      <c r="J89" s="1">
        <v>1.9961</v>
      </c>
      <c r="K89" s="1">
        <v>-8.0730000000000003E-3</v>
      </c>
      <c r="L89" s="1">
        <v>2.2950000000000002E-3</v>
      </c>
      <c r="M89" s="1">
        <v>0.96186499999999997</v>
      </c>
      <c r="N89" s="1">
        <v>0.27339599999999997</v>
      </c>
      <c r="O89">
        <v>1</v>
      </c>
      <c r="P89">
        <v>0</v>
      </c>
      <c r="Q89">
        <v>1</v>
      </c>
      <c r="R89">
        <v>1</v>
      </c>
      <c r="S89">
        <v>1</v>
      </c>
      <c r="T89" s="1">
        <f>SQRT(POWER(Dominus[[#This Row],[angvel_X]],2) + POWER(Dominus[[#This Row],[angvel_Y]],2) + POWER(Dominus[[#This Row],[angvel_Z]],2))</f>
        <v>1.9961000025048845</v>
      </c>
      <c r="U89" s="1">
        <f>DEGREES(ASIN(MAX(-1,MIN(1,2 * (Dominus[[#This Row],[quart_W]]*Dominus[[#This Row],[quart_Y]] - Dominus[[#This Row],[quart_Z]]*Dominus[[#This Row],[quart_X]])))))</f>
        <v>0.96176398753318615</v>
      </c>
      <c r="V8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-58.265959372679426</v>
      </c>
      <c r="W8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89.999959398272168</v>
      </c>
      <c r="X89" s="1">
        <f>IF(Dominus[[#This Row],[Yaw]]&gt;V88,(360-ABS(Dominus[[#This Row],[Yaw]])-ABS(V88)),ABS(Dominus[[#This Row],[Yaw]]-V88))</f>
        <v>0.9509892811222187</v>
      </c>
      <c r="Y89" s="1">
        <f>Dominus[[#This Row],[Degree change]]+Y88</f>
        <v>27.418481790358921</v>
      </c>
    </row>
    <row r="90" spans="1:25">
      <c r="A90">
        <v>89</v>
      </c>
      <c r="B90" s="1">
        <v>-99.360000999999997</v>
      </c>
      <c r="C90" s="1">
        <v>2450.1899410000001</v>
      </c>
      <c r="D90" s="1">
        <v>17.049999</v>
      </c>
      <c r="E90" s="1">
        <v>-1906.6400149999999</v>
      </c>
      <c r="F90" s="1">
        <v>1286.3199460000001</v>
      </c>
      <c r="G90" s="1">
        <v>8.02</v>
      </c>
      <c r="H90" s="1">
        <v>0</v>
      </c>
      <c r="I90" s="1">
        <v>0</v>
      </c>
      <c r="J90" s="1">
        <v>2.0003000000000002</v>
      </c>
      <c r="K90" s="1">
        <v>-8.09E-3</v>
      </c>
      <c r="L90" s="1">
        <v>2.225E-3</v>
      </c>
      <c r="M90" s="1">
        <v>0.96410600000000002</v>
      </c>
      <c r="N90" s="1">
        <v>0.26538499999999998</v>
      </c>
      <c r="O90">
        <v>1</v>
      </c>
      <c r="P90">
        <v>0</v>
      </c>
      <c r="Q90">
        <v>1</v>
      </c>
      <c r="R90">
        <v>1</v>
      </c>
      <c r="S90">
        <v>1</v>
      </c>
      <c r="T90" s="1">
        <f>SQRT(POWER(Dominus[[#This Row],[angvel_X]],2) + POWER(Dominus[[#This Row],[angvel_Y]],2) + POWER(Dominus[[#This Row],[angvel_Z]],2))</f>
        <v>2.0003000000000002</v>
      </c>
      <c r="U90" s="1">
        <f>DEGREES(ASIN(MAX(-1,MIN(1,2 * (Dominus[[#This Row],[quart_W]]*Dominus[[#This Row],[quart_Y]] - Dominus[[#This Row],[quart_Z]]*Dominus[[#This Row],[quart_X]])))))</f>
        <v>0.96147966875035862</v>
      </c>
      <c r="V9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-59.219225234505856</v>
      </c>
      <c r="W9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90.00020959455351</v>
      </c>
      <c r="X90" s="1">
        <f>IF(Dominus[[#This Row],[Yaw]]&gt;V89,(360-ABS(Dominus[[#This Row],[Yaw]])-ABS(V89)),ABS(Dominus[[#This Row],[Yaw]]-V89))</f>
        <v>0.95326586182643069</v>
      </c>
      <c r="Y90" s="1">
        <f>Dominus[[#This Row],[Degree change]]+Y89</f>
        <v>28.371747652185352</v>
      </c>
    </row>
    <row r="91" spans="1:25">
      <c r="A91">
        <v>90</v>
      </c>
      <c r="B91" s="1">
        <v>-115.30999799999999</v>
      </c>
      <c r="C91" s="1">
        <v>2460.9399410000001</v>
      </c>
      <c r="D91" s="1">
        <v>17.049999</v>
      </c>
      <c r="E91" s="1">
        <v>-1927.339966</v>
      </c>
      <c r="F91" s="1">
        <v>1255.099976</v>
      </c>
      <c r="G91" s="1">
        <v>8.02</v>
      </c>
      <c r="H91" s="1">
        <v>0</v>
      </c>
      <c r="I91" s="1">
        <v>0</v>
      </c>
      <c r="J91" s="1">
        <v>2.0042</v>
      </c>
      <c r="K91" s="1">
        <v>-8.1060000000000004E-3</v>
      </c>
      <c r="L91" s="1">
        <v>2.1549999999999998E-3</v>
      </c>
      <c r="M91" s="1">
        <v>0.96628400000000003</v>
      </c>
      <c r="N91" s="1">
        <v>0.25734099999999999</v>
      </c>
      <c r="O91">
        <v>1</v>
      </c>
      <c r="P91">
        <v>0</v>
      </c>
      <c r="Q91">
        <v>1</v>
      </c>
      <c r="R91">
        <v>1</v>
      </c>
      <c r="S91">
        <v>1</v>
      </c>
      <c r="T91" s="1">
        <f>SQRT(POWER(Dominus[[#This Row],[angvel_X]],2) + POWER(Dominus[[#This Row],[angvel_Y]],2) + POWER(Dominus[[#This Row],[angvel_Z]],2))</f>
        <v>2.0042</v>
      </c>
      <c r="U91" s="1">
        <f>DEGREES(ASIN(MAX(-1,MIN(1,2 * (Dominus[[#This Row],[quart_W]]*Dominus[[#This Row],[quart_Y]] - Dominus[[#This Row],[quart_Z]]*Dominus[[#This Row],[quart_X]])))))</f>
        <v>0.96115519077064138</v>
      </c>
      <c r="V9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-60.174211942388752</v>
      </c>
      <c r="W9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90.000419936996991</v>
      </c>
      <c r="X91" s="1">
        <f>IF(Dominus[[#This Row],[Yaw]]&gt;V90,(360-ABS(Dominus[[#This Row],[Yaw]])-ABS(V90)),ABS(Dominus[[#This Row],[Yaw]]-V90))</f>
        <v>0.9549867078828953</v>
      </c>
      <c r="Y91" s="1">
        <f>Dominus[[#This Row],[Degree change]]+Y90</f>
        <v>29.326734360068247</v>
      </c>
    </row>
    <row r="92" spans="1:25">
      <c r="A92">
        <v>91</v>
      </c>
      <c r="B92" s="1">
        <v>-131.429993</v>
      </c>
      <c r="C92" s="1">
        <v>2471.429932</v>
      </c>
      <c r="D92" s="1">
        <v>17.049999</v>
      </c>
      <c r="E92" s="1">
        <v>-1947.599976</v>
      </c>
      <c r="F92" s="1">
        <v>1223.419922</v>
      </c>
      <c r="G92" s="1">
        <v>8.02</v>
      </c>
      <c r="H92" s="1">
        <v>-1E-4</v>
      </c>
      <c r="I92" s="1">
        <v>0</v>
      </c>
      <c r="J92" s="1">
        <v>2.0076999999999998</v>
      </c>
      <c r="K92" s="1">
        <v>-8.1220000000000007E-3</v>
      </c>
      <c r="L92" s="1">
        <v>2.085E-3</v>
      </c>
      <c r="M92" s="1">
        <v>0.96839900000000001</v>
      </c>
      <c r="N92" s="1">
        <v>0.24926499999999999</v>
      </c>
      <c r="O92">
        <v>1</v>
      </c>
      <c r="P92">
        <v>0</v>
      </c>
      <c r="Q92">
        <v>1</v>
      </c>
      <c r="R92">
        <v>1</v>
      </c>
      <c r="S92">
        <v>1</v>
      </c>
      <c r="T92" s="1">
        <f>SQRT(POWER(Dominus[[#This Row],[angvel_X]],2) + POWER(Dominus[[#This Row],[angvel_Y]],2) + POWER(Dominus[[#This Row],[angvel_Z]],2))</f>
        <v>2.0077000024904117</v>
      </c>
      <c r="U92" s="1">
        <f>DEGREES(ASIN(MAX(-1,MIN(1,2 * (Dominus[[#This Row],[quart_W]]*Dominus[[#This Row],[quart_Y]] - Dominus[[#This Row],[quart_Z]]*Dominus[[#This Row],[quart_X]])))))</f>
        <v>0.96090147733062337</v>
      </c>
      <c r="V9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-61.130910947225317</v>
      </c>
      <c r="W9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90.000620991951266</v>
      </c>
      <c r="X92" s="1">
        <f>IF(Dominus[[#This Row],[Yaw]]&gt;V91,(360-ABS(Dominus[[#This Row],[Yaw]])-ABS(V91)),ABS(Dominus[[#This Row],[Yaw]]-V91))</f>
        <v>0.95669900483656534</v>
      </c>
      <c r="Y92" s="1">
        <f>Dominus[[#This Row],[Degree change]]+Y91</f>
        <v>30.283433364904813</v>
      </c>
    </row>
    <row r="93" spans="1:25">
      <c r="A93">
        <v>92</v>
      </c>
      <c r="B93" s="1">
        <v>-147.720001</v>
      </c>
      <c r="C93" s="1">
        <v>2481.6599120000001</v>
      </c>
      <c r="D93" s="1">
        <v>17.049999</v>
      </c>
      <c r="E93" s="1">
        <v>-1967.4099120000001</v>
      </c>
      <c r="F93" s="1">
        <v>1191.309937</v>
      </c>
      <c r="G93" s="1">
        <v>8.02</v>
      </c>
      <c r="H93" s="1">
        <v>-1E-4</v>
      </c>
      <c r="I93" s="1">
        <v>0</v>
      </c>
      <c r="J93" s="1">
        <v>2.0110000000000001</v>
      </c>
      <c r="K93" s="1">
        <v>-8.1379999999999994E-3</v>
      </c>
      <c r="L93" s="1">
        <v>2.0149999999999999E-3</v>
      </c>
      <c r="M93" s="1">
        <v>0.97045000000000003</v>
      </c>
      <c r="N93" s="1">
        <v>0.24115600000000001</v>
      </c>
      <c r="O93">
        <v>1</v>
      </c>
      <c r="P93">
        <v>0</v>
      </c>
      <c r="Q93">
        <v>1</v>
      </c>
      <c r="R93">
        <v>1</v>
      </c>
      <c r="S93">
        <v>1</v>
      </c>
      <c r="T93" s="1">
        <f>SQRT(POWER(Dominus[[#This Row],[angvel_X]],2) + POWER(Dominus[[#This Row],[angvel_Y]],2) + POWER(Dominus[[#This Row],[angvel_Z]],2))</f>
        <v>2.0110000024863255</v>
      </c>
      <c r="U93" s="1">
        <f>DEGREES(ASIN(MAX(-1,MIN(1,2 * (Dominus[[#This Row],[quart_W]]*Dominus[[#This Row],[quart_Y]] - Dominus[[#This Row],[quart_Z]]*Dominus[[#This Row],[quart_X]])))))</f>
        <v>0.96071778839280497</v>
      </c>
      <c r="V9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-62.089423466317612</v>
      </c>
      <c r="W9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90.000810365391231</v>
      </c>
      <c r="X93" s="1">
        <f>IF(Dominus[[#This Row],[Yaw]]&gt;V92,(360-ABS(Dominus[[#This Row],[Yaw]])-ABS(V92)),ABS(Dominus[[#This Row],[Yaw]]-V92))</f>
        <v>0.95851251909229518</v>
      </c>
      <c r="Y93" s="1">
        <f>Dominus[[#This Row],[Degree change]]+Y92</f>
        <v>31.241945883997108</v>
      </c>
    </row>
    <row r="94" spans="1:25">
      <c r="A94">
        <v>93</v>
      </c>
      <c r="B94" s="1">
        <v>-164.179993</v>
      </c>
      <c r="C94" s="1">
        <v>2491.6198730000001</v>
      </c>
      <c r="D94" s="1">
        <v>17.049999</v>
      </c>
      <c r="E94" s="1">
        <v>-1986.75</v>
      </c>
      <c r="F94" s="1">
        <v>1158.7700199999999</v>
      </c>
      <c r="G94" s="1">
        <v>8.02</v>
      </c>
      <c r="H94" s="1">
        <v>-2.0000000000000001E-4</v>
      </c>
      <c r="I94" s="1">
        <v>0</v>
      </c>
      <c r="J94" s="1">
        <v>2.0139999999999998</v>
      </c>
      <c r="K94" s="1">
        <v>-8.1539999999999998E-3</v>
      </c>
      <c r="L94" s="1">
        <v>1.9449999999999999E-3</v>
      </c>
      <c r="M94" s="1">
        <v>0.972437</v>
      </c>
      <c r="N94" s="1">
        <v>0.233016</v>
      </c>
      <c r="O94">
        <v>1</v>
      </c>
      <c r="P94">
        <v>0</v>
      </c>
      <c r="Q94">
        <v>1</v>
      </c>
      <c r="R94">
        <v>1</v>
      </c>
      <c r="S94">
        <v>1</v>
      </c>
      <c r="T94" s="1">
        <f>SQRT(POWER(Dominus[[#This Row],[angvel_X]],2) + POWER(Dominus[[#This Row],[angvel_Y]],2) + POWER(Dominus[[#This Row],[angvel_Z]],2))</f>
        <v>2.0140000099304864</v>
      </c>
      <c r="U94" s="1">
        <f>DEGREES(ASIN(MAX(-1,MIN(1,2 * (Dominus[[#This Row],[quart_W]]*Dominus[[#This Row],[quart_Y]] - Dominus[[#This Row],[quart_Z]]*Dominus[[#This Row],[quart_X]])))))</f>
        <v>0.96060501192608605</v>
      </c>
      <c r="V9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-63.049641503253028</v>
      </c>
      <c r="W9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90.000988204486731</v>
      </c>
      <c r="X94" s="1">
        <f>IF(Dominus[[#This Row],[Yaw]]&gt;V93,(360-ABS(Dominus[[#This Row],[Yaw]])-ABS(V93)),ABS(Dominus[[#This Row],[Yaw]]-V93))</f>
        <v>0.96021803693541585</v>
      </c>
      <c r="Y94" s="1">
        <f>Dominus[[#This Row],[Degree change]]+Y93</f>
        <v>32.20216392093252</v>
      </c>
    </row>
    <row r="95" spans="1:25">
      <c r="A95">
        <v>94</v>
      </c>
      <c r="B95" s="1">
        <v>-180.800003</v>
      </c>
      <c r="C95" s="1">
        <v>2501.3100589999999</v>
      </c>
      <c r="D95" s="1">
        <v>17.049999</v>
      </c>
      <c r="E95" s="1">
        <v>-2005.6099850000001</v>
      </c>
      <c r="F95" s="1">
        <v>1125.809937</v>
      </c>
      <c r="G95" s="1">
        <v>8.02</v>
      </c>
      <c r="H95" s="1">
        <v>-2.9999999999999997E-4</v>
      </c>
      <c r="I95" s="1">
        <v>0</v>
      </c>
      <c r="J95" s="1">
        <v>2.0167000000000002</v>
      </c>
      <c r="K95" s="1">
        <v>-8.1700000000000002E-3</v>
      </c>
      <c r="L95" s="1">
        <v>1.8749999999999999E-3</v>
      </c>
      <c r="M95" s="1">
        <v>0.97435799999999995</v>
      </c>
      <c r="N95" s="1">
        <v>0.22484799999999999</v>
      </c>
      <c r="O95">
        <v>1</v>
      </c>
      <c r="P95">
        <v>0</v>
      </c>
      <c r="Q95">
        <v>1</v>
      </c>
      <c r="R95">
        <v>1</v>
      </c>
      <c r="S95">
        <v>1</v>
      </c>
      <c r="T95" s="1">
        <f>SQRT(POWER(Dominus[[#This Row],[angvel_X]],2) + POWER(Dominus[[#This Row],[angvel_Y]],2) + POWER(Dominus[[#This Row],[angvel_Z]],2))</f>
        <v>2.0167000223136808</v>
      </c>
      <c r="U95" s="1">
        <f>DEGREES(ASIN(MAX(-1,MIN(1,2 * (Dominus[[#This Row],[quart_W]]*Dominus[[#This Row],[quart_Y]] - Dominus[[#This Row],[quart_Z]]*Dominus[[#This Row],[quart_X]])))))</f>
        <v>0.96056231392346814</v>
      </c>
      <c r="V9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-64.011196229417607</v>
      </c>
      <c r="W9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90.001156037199294</v>
      </c>
      <c r="X95" s="1">
        <f>IF(Dominus[[#This Row],[Yaw]]&gt;V94,(360-ABS(Dominus[[#This Row],[Yaw]])-ABS(V94)),ABS(Dominus[[#This Row],[Yaw]]-V94))</f>
        <v>0.96155472616457871</v>
      </c>
      <c r="Y95" s="1">
        <f>Dominus[[#This Row],[Degree change]]+Y94</f>
        <v>33.163718647097099</v>
      </c>
    </row>
    <row r="96" spans="1:25">
      <c r="A96">
        <v>95</v>
      </c>
      <c r="B96" s="1">
        <v>-197.58000200000001</v>
      </c>
      <c r="C96" s="1">
        <v>2510.719971</v>
      </c>
      <c r="D96" s="1">
        <v>17.049999</v>
      </c>
      <c r="E96" s="1">
        <v>-2023.969971</v>
      </c>
      <c r="F96" s="1">
        <v>1092.459961</v>
      </c>
      <c r="G96" s="1">
        <v>8.02</v>
      </c>
      <c r="H96" s="1">
        <v>-2.9999999999999997E-4</v>
      </c>
      <c r="I96" s="1">
        <v>0</v>
      </c>
      <c r="J96" s="1">
        <v>2.0192000000000001</v>
      </c>
      <c r="K96" s="1">
        <v>-8.1869999999999998E-3</v>
      </c>
      <c r="L96" s="1">
        <v>1.805E-3</v>
      </c>
      <c r="M96" s="1">
        <v>0.976213</v>
      </c>
      <c r="N96" s="1">
        <v>0.21665300000000001</v>
      </c>
      <c r="O96">
        <v>1</v>
      </c>
      <c r="P96">
        <v>0</v>
      </c>
      <c r="Q96">
        <v>1</v>
      </c>
      <c r="R96">
        <v>1</v>
      </c>
      <c r="S96">
        <v>1</v>
      </c>
      <c r="T96" s="1">
        <f>SQRT(POWER(Dominus[[#This Row],[angvel_X]],2) + POWER(Dominus[[#This Row],[angvel_Y]],2) + POWER(Dominus[[#This Row],[angvel_Z]],2))</f>
        <v>2.019200022286054</v>
      </c>
      <c r="U96" s="1">
        <f>DEGREES(ASIN(MAX(-1,MIN(1,2 * (Dominus[[#This Row],[quart_W]]*Dominus[[#This Row],[quart_Y]] - Dominus[[#This Row],[quart_Z]]*Dominus[[#This Row],[quart_X]])))))</f>
        <v>0.96070209356008984</v>
      </c>
      <c r="V9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-64.974071740993281</v>
      </c>
      <c r="W9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90.001337889361508</v>
      </c>
      <c r="X96" s="1">
        <f>IF(Dominus[[#This Row],[Yaw]]&gt;V95,(360-ABS(Dominus[[#This Row],[Yaw]])-ABS(V95)),ABS(Dominus[[#This Row],[Yaw]]-V95))</f>
        <v>0.96287551157567464</v>
      </c>
      <c r="Y96" s="1">
        <f>Dominus[[#This Row],[Degree change]]+Y95</f>
        <v>34.126594158672773</v>
      </c>
    </row>
    <row r="97" spans="1:25">
      <c r="A97">
        <v>96</v>
      </c>
      <c r="B97" s="1">
        <v>-214.509995</v>
      </c>
      <c r="C97" s="1">
        <v>2519.8498540000001</v>
      </c>
      <c r="D97" s="1">
        <v>17.049999</v>
      </c>
      <c r="E97" s="1">
        <v>-2041.8199460000001</v>
      </c>
      <c r="F97" s="1">
        <v>1058.719971</v>
      </c>
      <c r="G97" s="1">
        <v>8.02</v>
      </c>
      <c r="H97" s="1">
        <v>-2.9999999999999997E-4</v>
      </c>
      <c r="I97" s="1">
        <v>0</v>
      </c>
      <c r="J97" s="1">
        <v>2.0215000000000001</v>
      </c>
      <c r="K97" s="1">
        <v>-8.2030000000000002E-3</v>
      </c>
      <c r="L97" s="1">
        <v>1.7340000000000001E-3</v>
      </c>
      <c r="M97" s="1">
        <v>0.97800100000000001</v>
      </c>
      <c r="N97" s="1">
        <v>0.20843100000000001</v>
      </c>
      <c r="O97">
        <v>1</v>
      </c>
      <c r="P97">
        <v>0</v>
      </c>
      <c r="Q97">
        <v>1</v>
      </c>
      <c r="R97">
        <v>1</v>
      </c>
      <c r="S97">
        <v>1</v>
      </c>
      <c r="T97" s="1">
        <f>SQRT(POWER(Dominus[[#This Row],[angvel_X]],2) + POWER(Dominus[[#This Row],[angvel_Y]],2) + POWER(Dominus[[#This Row],[angvel_Z]],2))</f>
        <v>2.0215000222606974</v>
      </c>
      <c r="U97" s="1">
        <f>DEGREES(ASIN(MAX(-1,MIN(1,2 * (Dominus[[#This Row],[quart_W]]*Dominus[[#This Row],[quart_Y]] - Dominus[[#This Row],[quart_Z]]*Dominus[[#This Row],[quart_X]])))))</f>
        <v>0.96077625171406689</v>
      </c>
      <c r="V9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-65.938277438433545</v>
      </c>
      <c r="W9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90.001593706665133</v>
      </c>
      <c r="X97" s="1">
        <f>IF(Dominus[[#This Row],[Yaw]]&gt;V96,(360-ABS(Dominus[[#This Row],[Yaw]])-ABS(V96)),ABS(Dominus[[#This Row],[Yaw]]-V96))</f>
        <v>0.96420569744026352</v>
      </c>
      <c r="Y97" s="1">
        <f>Dominus[[#This Row],[Degree change]]+Y96</f>
        <v>35.090799856113037</v>
      </c>
    </row>
    <row r="98" spans="1:25">
      <c r="A98">
        <v>97</v>
      </c>
      <c r="B98" s="1">
        <v>-231.58999600000001</v>
      </c>
      <c r="C98" s="1">
        <v>2528.6999510000001</v>
      </c>
      <c r="D98" s="1">
        <v>17.049999</v>
      </c>
      <c r="E98" s="1">
        <v>-2059.139893</v>
      </c>
      <c r="F98" s="1">
        <v>1024.6099850000001</v>
      </c>
      <c r="G98" s="1">
        <v>8.02</v>
      </c>
      <c r="H98" s="1">
        <v>-4.0000000000000002E-4</v>
      </c>
      <c r="I98" s="1">
        <v>0</v>
      </c>
      <c r="J98" s="1">
        <v>2.0236000000000001</v>
      </c>
      <c r="K98" s="1">
        <v>-8.2190000000000006E-3</v>
      </c>
      <c r="L98" s="1">
        <v>1.6639999999999999E-3</v>
      </c>
      <c r="M98" s="1">
        <v>0.97972099999999995</v>
      </c>
      <c r="N98" s="1">
        <v>0.200188</v>
      </c>
      <c r="O98">
        <v>1</v>
      </c>
      <c r="P98">
        <v>0</v>
      </c>
      <c r="Q98">
        <v>1</v>
      </c>
      <c r="R98">
        <v>1</v>
      </c>
      <c r="S98">
        <v>1</v>
      </c>
      <c r="T98" s="1">
        <f>SQRT(POWER(Dominus[[#This Row],[angvel_X]],2) + POWER(Dominus[[#This Row],[angvel_Y]],2) + POWER(Dominus[[#This Row],[angvel_Z]],2))</f>
        <v>2.0236000395335041</v>
      </c>
      <c r="U98" s="1">
        <f>DEGREES(ASIN(MAX(-1,MIN(1,2 * (Dominus[[#This Row],[quart_W]]*Dominus[[#This Row],[quart_Y]] - Dominus[[#This Row],[quart_Z]]*Dominus[[#This Row],[quart_X]])))))</f>
        <v>0.9609456617990576</v>
      </c>
      <c r="V9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-66.903215038836848</v>
      </c>
      <c r="W9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90.001729364299564</v>
      </c>
      <c r="X98" s="1">
        <f>IF(Dominus[[#This Row],[Yaw]]&gt;V97,(360-ABS(Dominus[[#This Row],[Yaw]])-ABS(V97)),ABS(Dominus[[#This Row],[Yaw]]-V97))</f>
        <v>0.96493760040330301</v>
      </c>
      <c r="Y98" s="1">
        <f>Dominus[[#This Row],[Degree change]]+Y97</f>
        <v>36.05573745651634</v>
      </c>
    </row>
    <row r="99" spans="1:25">
      <c r="A99">
        <v>98</v>
      </c>
      <c r="B99" s="1">
        <v>-248.80999800000001</v>
      </c>
      <c r="C99" s="1">
        <v>2537.2700199999999</v>
      </c>
      <c r="D99" s="1">
        <v>17.049999</v>
      </c>
      <c r="E99" s="1">
        <v>-2075.9399410000001</v>
      </c>
      <c r="F99" s="1">
        <v>990.14996299999996</v>
      </c>
      <c r="G99" s="1">
        <v>8.02</v>
      </c>
      <c r="H99" s="1">
        <v>-4.0000000000000002E-4</v>
      </c>
      <c r="I99" s="1">
        <v>0</v>
      </c>
      <c r="J99" s="1">
        <v>2.0255000000000001</v>
      </c>
      <c r="K99" s="1">
        <v>-8.2349999999999993E-3</v>
      </c>
      <c r="L99" s="1">
        <v>1.5939999999999999E-3</v>
      </c>
      <c r="M99" s="1">
        <v>0.981375</v>
      </c>
      <c r="N99" s="1">
        <v>0.19191800000000001</v>
      </c>
      <c r="O99">
        <v>1</v>
      </c>
      <c r="P99">
        <v>0</v>
      </c>
      <c r="Q99">
        <v>1</v>
      </c>
      <c r="R99">
        <v>1</v>
      </c>
      <c r="S99">
        <v>1</v>
      </c>
      <c r="T99" s="1">
        <f>SQRT(POWER(Dominus[[#This Row],[angvel_X]],2) + POWER(Dominus[[#This Row],[angvel_Y]],2) + POWER(Dominus[[#This Row],[angvel_Z]],2))</f>
        <v>2.0255000394964204</v>
      </c>
      <c r="U99" s="1">
        <f>DEGREES(ASIN(MAX(-1,MIN(1,2 * (Dominus[[#This Row],[quart_W]]*Dominus[[#This Row],[quart_Y]] - Dominus[[#This Row],[quart_Z]]*Dominus[[#This Row],[quart_X]])))))</f>
        <v>0.96118641655131631</v>
      </c>
      <c r="V9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-67.869713080170399</v>
      </c>
      <c r="W9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90.001848963500862</v>
      </c>
      <c r="X99" s="1">
        <f>IF(Dominus[[#This Row],[Yaw]]&gt;V98,(360-ABS(Dominus[[#This Row],[Yaw]])-ABS(V98)),ABS(Dominus[[#This Row],[Yaw]]-V98))</f>
        <v>0.96649804133355133</v>
      </c>
      <c r="Y99" s="1">
        <f>Dominus[[#This Row],[Degree change]]+Y98</f>
        <v>37.022235497849891</v>
      </c>
    </row>
    <row r="100" spans="1:25">
      <c r="A100">
        <v>99</v>
      </c>
      <c r="B100" s="1">
        <v>-266.169983</v>
      </c>
      <c r="C100" s="1">
        <v>2545.5500489999999</v>
      </c>
      <c r="D100" s="1">
        <v>17.049999</v>
      </c>
      <c r="E100" s="1">
        <v>-2092.179932</v>
      </c>
      <c r="F100" s="1">
        <v>955.339966</v>
      </c>
      <c r="G100" s="1">
        <v>8.02</v>
      </c>
      <c r="H100" s="1">
        <v>-4.0000000000000002E-4</v>
      </c>
      <c r="I100" s="1">
        <v>0</v>
      </c>
      <c r="J100" s="1">
        <v>2.0272999999999999</v>
      </c>
      <c r="K100" s="1">
        <v>-8.2459999999999999E-3</v>
      </c>
      <c r="L100" s="1">
        <v>1.524E-3</v>
      </c>
      <c r="M100" s="1">
        <v>0.98295900000000003</v>
      </c>
      <c r="N100" s="1">
        <v>0.18363099999999999</v>
      </c>
      <c r="O100">
        <v>1</v>
      </c>
      <c r="P100">
        <v>0</v>
      </c>
      <c r="Q100">
        <v>1</v>
      </c>
      <c r="R100">
        <v>1</v>
      </c>
      <c r="S100">
        <v>1</v>
      </c>
      <c r="T100" s="1">
        <f>SQRT(POWER(Dominus[[#This Row],[angvel_X]],2) + POWER(Dominus[[#This Row],[angvel_Y]],2) + POWER(Dominus[[#This Row],[angvel_Z]],2))</f>
        <v>2.0273000394613523</v>
      </c>
      <c r="U100" s="1">
        <f>DEGREES(ASIN(MAX(-1,MIN(1,2 * (Dominus[[#This Row],[quart_W]]*Dominus[[#This Row],[quart_Y]] - Dominus[[#This Row],[quart_Z]]*Dominus[[#This Row],[quart_X]])))))</f>
        <v>0.96093349355812796</v>
      </c>
      <c r="V10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-68.836547857659681</v>
      </c>
      <c r="W10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90.001855694273019</v>
      </c>
      <c r="X100" s="1">
        <f>IF(Dominus[[#This Row],[Yaw]]&gt;V99,(360-ABS(Dominus[[#This Row],[Yaw]])-ABS(V99)),ABS(Dominus[[#This Row],[Yaw]]-V99))</f>
        <v>0.96683477748928226</v>
      </c>
      <c r="Y100" s="1">
        <f>Dominus[[#This Row],[Degree change]]+Y99</f>
        <v>37.989070275339174</v>
      </c>
    </row>
    <row r="101" spans="1:25">
      <c r="A101">
        <v>100</v>
      </c>
      <c r="B101" s="1">
        <v>-283.669983</v>
      </c>
      <c r="C101" s="1">
        <v>2553.540039</v>
      </c>
      <c r="D101" s="1">
        <v>17.049999</v>
      </c>
      <c r="E101" s="1">
        <v>-2107.8698730000001</v>
      </c>
      <c r="F101" s="1">
        <v>920.20996100000002</v>
      </c>
      <c r="G101" s="1">
        <v>8.02</v>
      </c>
      <c r="H101" s="1">
        <v>-4.0000000000000002E-4</v>
      </c>
      <c r="I101" s="1">
        <v>0</v>
      </c>
      <c r="J101" s="1">
        <v>2.0289000000000001</v>
      </c>
      <c r="K101" s="1">
        <v>-8.2570000000000005E-3</v>
      </c>
      <c r="L101" s="1">
        <v>1.454E-3</v>
      </c>
      <c r="M101" s="1">
        <v>0.98447499999999999</v>
      </c>
      <c r="N101" s="1">
        <v>0.17532300000000001</v>
      </c>
      <c r="O101">
        <v>1</v>
      </c>
      <c r="P101">
        <v>0</v>
      </c>
      <c r="Q101">
        <v>1</v>
      </c>
      <c r="R101">
        <v>1</v>
      </c>
      <c r="S101">
        <v>1</v>
      </c>
      <c r="T101" s="1">
        <f>SQRT(POWER(Dominus[[#This Row],[angvel_X]],2) + POWER(Dominus[[#This Row],[angvel_Y]],2) + POWER(Dominus[[#This Row],[angvel_Z]],2))</f>
        <v>2.028900039430233</v>
      </c>
      <c r="U101" s="1">
        <f>DEGREES(ASIN(MAX(-1,MIN(1,2 * (Dominus[[#This Row],[quart_W]]*Dominus[[#This Row],[quart_Y]] - Dominus[[#This Row],[quart_Z]]*Dominus[[#This Row],[quart_X]])))))</f>
        <v>0.96074968107151926</v>
      </c>
      <c r="V10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-69.804340830230601</v>
      </c>
      <c r="W10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90.001858404759105</v>
      </c>
      <c r="X101" s="1">
        <f>IF(Dominus[[#This Row],[Yaw]]&gt;V100,(360-ABS(Dominus[[#This Row],[Yaw]])-ABS(V100)),ABS(Dominus[[#This Row],[Yaw]]-V100))</f>
        <v>0.96779297257091912</v>
      </c>
      <c r="Y101" s="1">
        <f>Dominus[[#This Row],[Degree change]]+Y100</f>
        <v>38.956863247910093</v>
      </c>
    </row>
    <row r="102" spans="1:25">
      <c r="A102">
        <v>101</v>
      </c>
      <c r="B102" s="1">
        <v>-301.29998799999998</v>
      </c>
      <c r="C102" s="1">
        <v>2561.2299800000001</v>
      </c>
      <c r="D102" s="1">
        <v>17.049999</v>
      </c>
      <c r="E102" s="1">
        <v>-2122.98999</v>
      </c>
      <c r="F102" s="1">
        <v>884.76000999999997</v>
      </c>
      <c r="G102" s="1">
        <v>8.02</v>
      </c>
      <c r="H102" s="1">
        <v>-4.0000000000000002E-4</v>
      </c>
      <c r="I102" s="1">
        <v>0</v>
      </c>
      <c r="J102" s="1">
        <v>2.0304000000000002</v>
      </c>
      <c r="K102" s="1">
        <v>-8.2679999999999993E-3</v>
      </c>
      <c r="L102" s="1">
        <v>1.384E-3</v>
      </c>
      <c r="M102" s="1">
        <v>0.98592199999999997</v>
      </c>
      <c r="N102" s="1">
        <v>0.166994</v>
      </c>
      <c r="O102">
        <v>1</v>
      </c>
      <c r="P102">
        <v>0</v>
      </c>
      <c r="Q102">
        <v>1</v>
      </c>
      <c r="R102">
        <v>1</v>
      </c>
      <c r="S102">
        <v>1</v>
      </c>
      <c r="T102" s="1">
        <f>SQRT(POWER(Dominus[[#This Row],[angvel_X]],2) + POWER(Dominus[[#This Row],[angvel_Y]],2) + POWER(Dominus[[#This Row],[angvel_Z]],2))</f>
        <v>2.030400039401103</v>
      </c>
      <c r="U102" s="1">
        <f>DEGREES(ASIN(MAX(-1,MIN(1,2 * (Dominus[[#This Row],[quart_W]]*Dominus[[#This Row],[quart_Y]] - Dominus[[#This Row],[quart_Z]]*Dominus[[#This Row],[quart_X]])))))</f>
        <v>0.96063427974434612</v>
      </c>
      <c r="V10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-70.773107806261649</v>
      </c>
      <c r="W10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90.00185553755631</v>
      </c>
      <c r="X102" s="1">
        <f>IF(Dominus[[#This Row],[Yaw]]&gt;V101,(360-ABS(Dominus[[#This Row],[Yaw]])-ABS(V101)),ABS(Dominus[[#This Row],[Yaw]]-V101))</f>
        <v>0.96876697603104844</v>
      </c>
      <c r="Y102" s="1">
        <f>Dominus[[#This Row],[Degree change]]+Y101</f>
        <v>39.925630223941141</v>
      </c>
    </row>
    <row r="103" spans="1:25">
      <c r="A103">
        <v>102</v>
      </c>
      <c r="B103" s="1">
        <v>-319.05999800000001</v>
      </c>
      <c r="C103" s="1">
        <v>2568.6298830000001</v>
      </c>
      <c r="D103" s="1">
        <v>17.049999</v>
      </c>
      <c r="E103" s="1">
        <v>-2137.540039</v>
      </c>
      <c r="F103" s="1">
        <v>849.01000999999997</v>
      </c>
      <c r="G103" s="1">
        <v>8.02</v>
      </c>
      <c r="H103" s="1">
        <v>-4.0000000000000002E-4</v>
      </c>
      <c r="I103" s="1">
        <v>0</v>
      </c>
      <c r="J103" s="1">
        <v>2.0318000000000001</v>
      </c>
      <c r="K103" s="1">
        <v>-8.2780000000000006E-3</v>
      </c>
      <c r="L103" s="1">
        <v>1.3140000000000001E-3</v>
      </c>
      <c r="M103" s="1">
        <v>0.98729999999999996</v>
      </c>
      <c r="N103" s="1">
        <v>0.15864800000000001</v>
      </c>
      <c r="O103">
        <v>1</v>
      </c>
      <c r="P103">
        <v>0</v>
      </c>
      <c r="Q103">
        <v>1</v>
      </c>
      <c r="R103">
        <v>1</v>
      </c>
      <c r="S103">
        <v>1</v>
      </c>
      <c r="T103" s="1">
        <f>SQRT(POWER(Dominus[[#This Row],[angvel_X]],2) + POWER(Dominus[[#This Row],[angvel_Y]],2) + POWER(Dominus[[#This Row],[angvel_Z]],2))</f>
        <v>2.0318000393739539</v>
      </c>
      <c r="U103" s="1">
        <f>DEGREES(ASIN(MAX(-1,MIN(1,2 * (Dominus[[#This Row],[quart_W]]*Dominus[[#This Row],[quart_Y]] - Dominus[[#This Row],[quart_Z]]*Dominus[[#This Row],[quart_X]])))))</f>
        <v>0.96047498425936284</v>
      </c>
      <c r="V10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-71.742497626533662</v>
      </c>
      <c r="W10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90.001830965586791</v>
      </c>
      <c r="X103" s="1">
        <f>IF(Dominus[[#This Row],[Yaw]]&gt;V102,(360-ABS(Dominus[[#This Row],[Yaw]])-ABS(V102)),ABS(Dominus[[#This Row],[Yaw]]-V102))</f>
        <v>0.96938982027201348</v>
      </c>
      <c r="Y103" s="1">
        <f>Dominus[[#This Row],[Degree change]]+Y102</f>
        <v>40.895020044213155</v>
      </c>
    </row>
    <row r="104" spans="1:25">
      <c r="A104">
        <v>103</v>
      </c>
      <c r="B104" s="1">
        <v>-336.94000199999999</v>
      </c>
      <c r="C104" s="1">
        <v>2575.7299800000001</v>
      </c>
      <c r="D104" s="1">
        <v>17.049999</v>
      </c>
      <c r="E104" s="1">
        <v>-2151.51001</v>
      </c>
      <c r="F104" s="1">
        <v>812.96997099999999</v>
      </c>
      <c r="G104" s="1">
        <v>8.02</v>
      </c>
      <c r="H104" s="1">
        <v>-4.0000000000000002E-4</v>
      </c>
      <c r="I104" s="1">
        <v>0</v>
      </c>
      <c r="J104" s="1">
        <v>2.0331000000000001</v>
      </c>
      <c r="K104" s="1">
        <v>-8.2889999999999995E-3</v>
      </c>
      <c r="L104" s="1">
        <v>1.2440000000000001E-3</v>
      </c>
      <c r="M104" s="1">
        <v>0.98860700000000001</v>
      </c>
      <c r="N104" s="1">
        <v>0.150286</v>
      </c>
      <c r="O104">
        <v>1</v>
      </c>
      <c r="P104">
        <v>0</v>
      </c>
      <c r="Q104">
        <v>1</v>
      </c>
      <c r="R104">
        <v>1</v>
      </c>
      <c r="S104">
        <v>1</v>
      </c>
      <c r="T104" s="1">
        <f>SQRT(POWER(Dominus[[#This Row],[angvel_X]],2) + POWER(Dominus[[#This Row],[angvel_Y]],2) + POWER(Dominus[[#This Row],[angvel_Z]],2))</f>
        <v>2.0331000393487777</v>
      </c>
      <c r="U104" s="1">
        <f>DEGREES(ASIN(MAX(-1,MIN(1,2 * (Dominus[[#This Row],[quart_W]]*Dominus[[#This Row],[quart_Y]] - Dominus[[#This Row],[quart_Z]]*Dominus[[#This Row],[quart_X]])))))</f>
        <v>0.96049633967808834</v>
      </c>
      <c r="V10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-72.712369116659005</v>
      </c>
      <c r="W10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90.001821522156263</v>
      </c>
      <c r="X104" s="1">
        <f>IF(Dominus[[#This Row],[Yaw]]&gt;V103,(360-ABS(Dominus[[#This Row],[Yaw]])-ABS(V103)),ABS(Dominus[[#This Row],[Yaw]]-V103))</f>
        <v>0.96987149012534246</v>
      </c>
      <c r="Y104" s="1">
        <f>Dominus[[#This Row],[Degree change]]+Y103</f>
        <v>41.864891534338497</v>
      </c>
    </row>
    <row r="105" spans="1:25">
      <c r="A105">
        <v>104</v>
      </c>
      <c r="B105" s="1">
        <v>-354.92999300000002</v>
      </c>
      <c r="C105" s="1">
        <v>2582.530029</v>
      </c>
      <c r="D105" s="1">
        <v>17.049999</v>
      </c>
      <c r="E105" s="1">
        <v>-2164.8798830000001</v>
      </c>
      <c r="F105" s="1">
        <v>776.65997300000004</v>
      </c>
      <c r="G105" s="1">
        <v>8.02</v>
      </c>
      <c r="H105" s="1">
        <v>-4.0000000000000002E-4</v>
      </c>
      <c r="I105" s="1">
        <v>0</v>
      </c>
      <c r="J105" s="1">
        <v>2.0343</v>
      </c>
      <c r="K105" s="1">
        <v>-8.3000000000000001E-3</v>
      </c>
      <c r="L105" s="1">
        <v>1.173E-3</v>
      </c>
      <c r="M105" s="1">
        <v>0.98984399999999995</v>
      </c>
      <c r="N105" s="1">
        <v>0.14190800000000001</v>
      </c>
      <c r="O105">
        <v>1</v>
      </c>
      <c r="P105">
        <v>0</v>
      </c>
      <c r="Q105">
        <v>1</v>
      </c>
      <c r="R105">
        <v>1</v>
      </c>
      <c r="S105">
        <v>1</v>
      </c>
      <c r="T105" s="1">
        <f>SQRT(POWER(Dominus[[#This Row],[angvel_X]],2) + POWER(Dominus[[#This Row],[angvel_Y]],2) + POWER(Dominus[[#This Row],[angvel_Z]],2))</f>
        <v>2.0343000393255659</v>
      </c>
      <c r="U105" s="1">
        <f>DEGREES(ASIN(MAX(-1,MIN(1,2 * (Dominus[[#This Row],[quart_W]]*Dominus[[#This Row],[quart_Y]] - Dominus[[#This Row],[quart_Z]]*Dominus[[#This Row],[quart_X]])))))</f>
        <v>0.96057015583832739</v>
      </c>
      <c r="V10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-73.682851362533384</v>
      </c>
      <c r="W10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90.00191960824904</v>
      </c>
      <c r="X105" s="1">
        <f>IF(Dominus[[#This Row],[Yaw]]&gt;V104,(360-ABS(Dominus[[#This Row],[Yaw]])-ABS(V104)),ABS(Dominus[[#This Row],[Yaw]]-V104))</f>
        <v>0.97048224587437915</v>
      </c>
      <c r="Y105" s="1">
        <f>Dominus[[#This Row],[Degree change]]+Y104</f>
        <v>42.835373780212876</v>
      </c>
    </row>
    <row r="106" spans="1:25">
      <c r="A106">
        <v>105</v>
      </c>
      <c r="B106" s="1">
        <v>-373.03997800000002</v>
      </c>
      <c r="C106" s="1">
        <v>2589.0200199999999</v>
      </c>
      <c r="D106" s="1">
        <v>17.049999</v>
      </c>
      <c r="E106" s="1">
        <v>-2177.6499020000001</v>
      </c>
      <c r="F106" s="1">
        <v>740.089966</v>
      </c>
      <c r="G106" s="1">
        <v>8.02</v>
      </c>
      <c r="H106" s="1">
        <v>-4.0000000000000002E-4</v>
      </c>
      <c r="I106" s="1">
        <v>0</v>
      </c>
      <c r="J106" s="1">
        <v>2.0354000000000001</v>
      </c>
      <c r="K106" s="1">
        <v>-8.3110000000000007E-3</v>
      </c>
      <c r="L106" s="1">
        <v>1.103E-3</v>
      </c>
      <c r="M106" s="1">
        <v>0.991012</v>
      </c>
      <c r="N106" s="1">
        <v>0.13351399999999999</v>
      </c>
      <c r="O106">
        <v>1</v>
      </c>
      <c r="P106">
        <v>0</v>
      </c>
      <c r="Q106">
        <v>1</v>
      </c>
      <c r="R106">
        <v>1</v>
      </c>
      <c r="S106">
        <v>1</v>
      </c>
      <c r="T106" s="1">
        <f>SQRT(POWER(Dominus[[#This Row],[angvel_X]],2) + POWER(Dominus[[#This Row],[angvel_Y]],2) + POWER(Dominus[[#This Row],[angvel_Z]],2))</f>
        <v>2.0354000393043132</v>
      </c>
      <c r="U106" s="1">
        <f>DEGREES(ASIN(MAX(-1,MIN(1,2 * (Dominus[[#This Row],[quart_W]]*Dominus[[#This Row],[quart_Y]] - Dominus[[#This Row],[quart_Z]]*Dominus[[#This Row],[quart_X]])))))</f>
        <v>0.96073099509306725</v>
      </c>
      <c r="V10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-74.654064841104244</v>
      </c>
      <c r="W10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90.001896598556939</v>
      </c>
      <c r="X106" s="1">
        <f>IF(Dominus[[#This Row],[Yaw]]&gt;V105,(360-ABS(Dominus[[#This Row],[Yaw]])-ABS(V105)),ABS(Dominus[[#This Row],[Yaw]]-V105))</f>
        <v>0.97121347857085993</v>
      </c>
      <c r="Y106" s="1">
        <f>Dominus[[#This Row],[Degree change]]+Y105</f>
        <v>43.806587258783736</v>
      </c>
    </row>
    <row r="107" spans="1:25">
      <c r="A107">
        <v>106</v>
      </c>
      <c r="B107" s="1">
        <v>-391.25</v>
      </c>
      <c r="C107" s="1">
        <v>2595.209961</v>
      </c>
      <c r="D107" s="1">
        <v>17.049999</v>
      </c>
      <c r="E107" s="1">
        <v>-2189.820068</v>
      </c>
      <c r="F107" s="1">
        <v>703.26995799999997</v>
      </c>
      <c r="G107" s="1">
        <v>8.02</v>
      </c>
      <c r="H107" s="1">
        <v>-4.0000000000000002E-4</v>
      </c>
      <c r="I107" s="1">
        <v>0</v>
      </c>
      <c r="J107" s="1">
        <v>2.0364</v>
      </c>
      <c r="K107" s="1">
        <v>-8.3219999999999995E-3</v>
      </c>
      <c r="L107" s="1">
        <v>1.0330000000000001E-3</v>
      </c>
      <c r="M107" s="1">
        <v>0.99210799999999999</v>
      </c>
      <c r="N107" s="1">
        <v>0.12510299999999999</v>
      </c>
      <c r="O107">
        <v>1</v>
      </c>
      <c r="P107">
        <v>0</v>
      </c>
      <c r="Q107">
        <v>1</v>
      </c>
      <c r="R107">
        <v>1</v>
      </c>
      <c r="S107">
        <v>1</v>
      </c>
      <c r="T107" s="1">
        <f>SQRT(POWER(Dominus[[#This Row],[angvel_X]],2) + POWER(Dominus[[#This Row],[angvel_Y]],2) + POWER(Dominus[[#This Row],[angvel_Z]],2))</f>
        <v>2.0364000392850121</v>
      </c>
      <c r="U107" s="1">
        <f>DEGREES(ASIN(MAX(-1,MIN(1,2 * (Dominus[[#This Row],[quart_W]]*Dominus[[#This Row],[quart_Y]] - Dominus[[#This Row],[quart_Z]]*Dominus[[#This Row],[quart_X]])))))</f>
        <v>0.96095877796013496</v>
      </c>
      <c r="V10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-75.626054835389851</v>
      </c>
      <c r="W10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90.001863475231147</v>
      </c>
      <c r="X107" s="1">
        <f>IF(Dominus[[#This Row],[Yaw]]&gt;V106,(360-ABS(Dominus[[#This Row],[Yaw]])-ABS(V106)),ABS(Dominus[[#This Row],[Yaw]]-V106))</f>
        <v>0.97198999428560739</v>
      </c>
      <c r="Y107" s="1">
        <f>Dominus[[#This Row],[Degree change]]+Y106</f>
        <v>44.778577253069344</v>
      </c>
    </row>
    <row r="108" spans="1:25">
      <c r="A108">
        <v>107</v>
      </c>
      <c r="B108" s="1">
        <v>-409.56997699999999</v>
      </c>
      <c r="C108" s="1">
        <v>2601.0898440000001</v>
      </c>
      <c r="D108" s="1">
        <v>17.049999</v>
      </c>
      <c r="E108" s="1">
        <v>-2201.3798830000001</v>
      </c>
      <c r="F108" s="1">
        <v>666.20996100000002</v>
      </c>
      <c r="G108" s="1">
        <v>8.02</v>
      </c>
      <c r="H108" s="1">
        <v>-4.0000000000000002E-4</v>
      </c>
      <c r="I108" s="1">
        <v>0</v>
      </c>
      <c r="J108" s="1">
        <v>2.0373000000000001</v>
      </c>
      <c r="K108" s="1">
        <v>-8.3320000000000009E-3</v>
      </c>
      <c r="L108" s="1">
        <v>9.6299999999999999E-4</v>
      </c>
      <c r="M108" s="1">
        <v>0.99313399999999996</v>
      </c>
      <c r="N108" s="1">
        <v>0.11668199999999999</v>
      </c>
      <c r="O108">
        <v>1</v>
      </c>
      <c r="P108">
        <v>0</v>
      </c>
      <c r="Q108">
        <v>1</v>
      </c>
      <c r="R108">
        <v>1</v>
      </c>
      <c r="S108">
        <v>1</v>
      </c>
      <c r="T108" s="1">
        <f>SQRT(POWER(Dominus[[#This Row],[angvel_X]],2) + POWER(Dominus[[#This Row],[angvel_Y]],2) + POWER(Dominus[[#This Row],[angvel_Z]],2))</f>
        <v>2.0373000392676577</v>
      </c>
      <c r="U108" s="1">
        <f>DEGREES(ASIN(MAX(-1,MIN(1,2 * (Dominus[[#This Row],[quart_W]]*Dominus[[#This Row],[quart_Y]] - Dominus[[#This Row],[quart_Z]]*Dominus[[#This Row],[quart_X]])))))</f>
        <v>0.96114250312694083</v>
      </c>
      <c r="V10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-76.598215338326867</v>
      </c>
      <c r="W10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90.001811532836527</v>
      </c>
      <c r="X108" s="1">
        <f>IF(Dominus[[#This Row],[Yaw]]&gt;V107,(360-ABS(Dominus[[#This Row],[Yaw]])-ABS(V107)),ABS(Dominus[[#This Row],[Yaw]]-V107))</f>
        <v>0.97216050293701528</v>
      </c>
      <c r="Y108" s="1">
        <f>Dominus[[#This Row],[Degree change]]+Y107</f>
        <v>45.750737756006359</v>
      </c>
    </row>
    <row r="109" spans="1:25">
      <c r="A109">
        <v>108</v>
      </c>
      <c r="B109" s="1">
        <v>-427.97998000000001</v>
      </c>
      <c r="C109" s="1">
        <v>2606.6599120000001</v>
      </c>
      <c r="D109" s="1">
        <v>17.049999</v>
      </c>
      <c r="E109" s="1">
        <v>-2212.320068</v>
      </c>
      <c r="F109" s="1">
        <v>628.92999299999997</v>
      </c>
      <c r="G109" s="1">
        <v>8.02</v>
      </c>
      <c r="H109" s="1">
        <v>-4.0000000000000002E-4</v>
      </c>
      <c r="I109" s="1">
        <v>0</v>
      </c>
      <c r="J109" s="1">
        <v>2.0381</v>
      </c>
      <c r="K109" s="1">
        <v>-8.3379999999999999E-3</v>
      </c>
      <c r="L109" s="1">
        <v>8.9300000000000002E-4</v>
      </c>
      <c r="M109" s="1">
        <v>0.99408799999999997</v>
      </c>
      <c r="N109" s="1">
        <v>0.10825</v>
      </c>
      <c r="O109">
        <v>1</v>
      </c>
      <c r="P109">
        <v>0</v>
      </c>
      <c r="Q109">
        <v>1</v>
      </c>
      <c r="R109">
        <v>1</v>
      </c>
      <c r="S109">
        <v>1</v>
      </c>
      <c r="T109" s="1">
        <f>SQRT(POWER(Dominus[[#This Row],[angvel_X]],2) + POWER(Dominus[[#This Row],[angvel_Y]],2) + POWER(Dominus[[#This Row],[angvel_Z]],2))</f>
        <v>2.0381000392522446</v>
      </c>
      <c r="U109" s="1">
        <f>DEGREES(ASIN(MAX(-1,MIN(1,2 * (Dominus[[#This Row],[quart_W]]*Dominus[[#This Row],[quart_Y]] - Dominus[[#This Row],[quart_Z]]*Dominus[[#This Row],[quart_X]])))))</f>
        <v>0.96093801322648753</v>
      </c>
      <c r="V10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-77.570643497414096</v>
      </c>
      <c r="W10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90.001703977319721</v>
      </c>
      <c r="X109" s="1">
        <f>IF(Dominus[[#This Row],[Yaw]]&gt;V108,(360-ABS(Dominus[[#This Row],[Yaw]])-ABS(V108)),ABS(Dominus[[#This Row],[Yaw]]-V108))</f>
        <v>0.97242815908722946</v>
      </c>
      <c r="Y109" s="1">
        <f>Dominus[[#This Row],[Degree change]]+Y108</f>
        <v>46.723165915093588</v>
      </c>
    </row>
    <row r="110" spans="1:25">
      <c r="A110">
        <v>109</v>
      </c>
      <c r="B110" s="1">
        <v>-446.47998000000001</v>
      </c>
      <c r="C110" s="1">
        <v>2611.919922</v>
      </c>
      <c r="D110" s="1">
        <v>17.049999</v>
      </c>
      <c r="E110" s="1">
        <v>-2222.639893</v>
      </c>
      <c r="F110" s="1">
        <v>591.44000200000005</v>
      </c>
      <c r="G110" s="1">
        <v>8.02</v>
      </c>
      <c r="H110" s="1">
        <v>-4.0000000000000002E-4</v>
      </c>
      <c r="I110" s="1">
        <v>0</v>
      </c>
      <c r="J110" s="1">
        <v>2.0388999999999999</v>
      </c>
      <c r="K110" s="1">
        <v>-8.3429999999999997E-3</v>
      </c>
      <c r="L110" s="1">
        <v>8.2299999999999995E-4</v>
      </c>
      <c r="M110" s="1">
        <v>0.99497199999999997</v>
      </c>
      <c r="N110" s="1">
        <v>9.9801000000000001E-2</v>
      </c>
      <c r="O110">
        <v>1</v>
      </c>
      <c r="P110">
        <v>0</v>
      </c>
      <c r="Q110">
        <v>1</v>
      </c>
      <c r="R110">
        <v>1</v>
      </c>
      <c r="S110">
        <v>1</v>
      </c>
      <c r="T110" s="1">
        <f>SQRT(POWER(Dominus[[#This Row],[angvel_X]],2) + POWER(Dominus[[#This Row],[angvel_Y]],2) + POWER(Dominus[[#This Row],[angvel_Z]],2))</f>
        <v>2.038900039236843</v>
      </c>
      <c r="U110" s="1">
        <f>DEGREES(ASIN(MAX(-1,MIN(1,2 * (Dominus[[#This Row],[quart_W]]*Dominus[[#This Row],[quart_Y]] - Dominus[[#This Row],[quart_Z]]*Dominus[[#This Row],[quart_X]])))))</f>
        <v>0.96068755248284998</v>
      </c>
      <c r="V11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-78.544156881639537</v>
      </c>
      <c r="W11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90.001579040051126</v>
      </c>
      <c r="X110" s="1">
        <f>IF(Dominus[[#This Row],[Yaw]]&gt;V109,(360-ABS(Dominus[[#This Row],[Yaw]])-ABS(V109)),ABS(Dominus[[#This Row],[Yaw]]-V109))</f>
        <v>0.97351338422544131</v>
      </c>
      <c r="Y110" s="1">
        <f>Dominus[[#This Row],[Degree change]]+Y109</f>
        <v>47.69667929931903</v>
      </c>
    </row>
    <row r="111" spans="1:25">
      <c r="A111">
        <v>110</v>
      </c>
      <c r="B111" s="1">
        <v>-465.06997699999999</v>
      </c>
      <c r="C111" s="1">
        <v>2616.8598630000001</v>
      </c>
      <c r="D111" s="1">
        <v>17.049999</v>
      </c>
      <c r="E111" s="1">
        <v>-2232.320068</v>
      </c>
      <c r="F111" s="1">
        <v>553.75</v>
      </c>
      <c r="G111" s="1">
        <v>8.02</v>
      </c>
      <c r="H111" s="1">
        <v>-4.0000000000000002E-4</v>
      </c>
      <c r="I111" s="1">
        <v>0</v>
      </c>
      <c r="J111" s="1">
        <v>2.0396000000000001</v>
      </c>
      <c r="K111" s="1">
        <v>-8.3479999999999995E-3</v>
      </c>
      <c r="L111" s="1">
        <v>7.5299999999999998E-4</v>
      </c>
      <c r="M111" s="1">
        <v>0.995784</v>
      </c>
      <c r="N111" s="1">
        <v>9.1347999999999999E-2</v>
      </c>
      <c r="O111">
        <v>1</v>
      </c>
      <c r="P111">
        <v>0</v>
      </c>
      <c r="Q111">
        <v>1</v>
      </c>
      <c r="R111">
        <v>1</v>
      </c>
      <c r="S111">
        <v>1</v>
      </c>
      <c r="T111" s="1">
        <f>SQRT(POWER(Dominus[[#This Row],[angvel_X]],2) + POWER(Dominus[[#This Row],[angvel_Y]],2) + POWER(Dominus[[#This Row],[angvel_Z]],2))</f>
        <v>2.0396000392233766</v>
      </c>
      <c r="U111" s="1">
        <f>DEGREES(ASIN(MAX(-1,MIN(1,2 * (Dominus[[#This Row],[quart_W]]*Dominus[[#This Row],[quart_Y]] - Dominus[[#This Row],[quart_Z]]*Dominus[[#This Row],[quart_X]])))))</f>
        <v>0.96050443888699943</v>
      </c>
      <c r="V11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-79.517303566544982</v>
      </c>
      <c r="W11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90.001460990062412</v>
      </c>
      <c r="X111" s="1">
        <f>IF(Dominus[[#This Row],[Yaw]]&gt;V110,(360-ABS(Dominus[[#This Row],[Yaw]])-ABS(V110)),ABS(Dominus[[#This Row],[Yaw]]-V110))</f>
        <v>0.9731466849054442</v>
      </c>
      <c r="Y111" s="1">
        <f>Dominus[[#This Row],[Degree change]]+Y110</f>
        <v>48.669825984224474</v>
      </c>
    </row>
    <row r="112" spans="1:25">
      <c r="A112">
        <v>111</v>
      </c>
      <c r="B112" s="1">
        <v>-483.73998999999998</v>
      </c>
      <c r="C112" s="1">
        <v>2621.48999</v>
      </c>
      <c r="D112" s="1">
        <v>17.049999</v>
      </c>
      <c r="E112" s="1">
        <v>-2241.3798830000001</v>
      </c>
      <c r="F112" s="1">
        <v>515.88000499999998</v>
      </c>
      <c r="G112" s="1">
        <v>8.02</v>
      </c>
      <c r="H112" s="1">
        <v>-4.0000000000000002E-4</v>
      </c>
      <c r="I112" s="1">
        <v>0</v>
      </c>
      <c r="J112" s="1">
        <v>2.0402</v>
      </c>
      <c r="K112" s="1">
        <v>-8.3540000000000003E-3</v>
      </c>
      <c r="L112" s="1">
        <v>6.8199999999999999E-4</v>
      </c>
      <c r="M112" s="1">
        <v>0.99652399999999997</v>
      </c>
      <c r="N112" s="1">
        <v>8.2882999999999998E-2</v>
      </c>
      <c r="O112">
        <v>1</v>
      </c>
      <c r="P112">
        <v>0</v>
      </c>
      <c r="Q112">
        <v>1</v>
      </c>
      <c r="R112">
        <v>1</v>
      </c>
      <c r="S112">
        <v>1</v>
      </c>
      <c r="T112" s="1">
        <f>SQRT(POWER(Dominus[[#This Row],[angvel_X]],2) + POWER(Dominus[[#This Row],[angvel_Y]],2) + POWER(Dominus[[#This Row],[angvel_Z]],2))</f>
        <v>2.0402000392118418</v>
      </c>
      <c r="U112" s="1">
        <f>DEGREES(ASIN(MAX(-1,MIN(1,2 * (Dominus[[#This Row],[quart_W]]*Dominus[[#This Row],[quart_Y]] - Dominus[[#This Row],[quart_Z]]*Dominus[[#This Row],[quart_X]])))))</f>
        <v>0.96049272896368332</v>
      </c>
      <c r="V11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-80.491051763988352</v>
      </c>
      <c r="W11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90.001464137413137</v>
      </c>
      <c r="X112" s="1">
        <f>IF(Dominus[[#This Row],[Yaw]]&gt;V111,(360-ABS(Dominus[[#This Row],[Yaw]])-ABS(V111)),ABS(Dominus[[#This Row],[Yaw]]-V111))</f>
        <v>0.9737481974433706</v>
      </c>
      <c r="Y112" s="1">
        <f>Dominus[[#This Row],[Degree change]]+Y111</f>
        <v>49.643574181667844</v>
      </c>
    </row>
    <row r="113" spans="1:25">
      <c r="A113">
        <v>112</v>
      </c>
      <c r="B113" s="1">
        <v>-502.48998999999998</v>
      </c>
      <c r="C113" s="1">
        <v>2625.8000489999999</v>
      </c>
      <c r="D113" s="1">
        <v>17.049999</v>
      </c>
      <c r="E113" s="1">
        <v>-2249.8000489999999</v>
      </c>
      <c r="F113" s="1">
        <v>477.83999599999999</v>
      </c>
      <c r="G113" s="1">
        <v>8.0299999999999994</v>
      </c>
      <c r="H113" s="1">
        <v>-4.0000000000000002E-4</v>
      </c>
      <c r="I113" s="1">
        <v>0</v>
      </c>
      <c r="J113" s="1">
        <v>2.0407999999999999</v>
      </c>
      <c r="K113" s="1">
        <v>-8.3590000000000001E-3</v>
      </c>
      <c r="L113" s="1">
        <v>6.1200000000000002E-4</v>
      </c>
      <c r="M113" s="1">
        <v>0.997193</v>
      </c>
      <c r="N113" s="1">
        <v>7.4408000000000002E-2</v>
      </c>
      <c r="O113">
        <v>1</v>
      </c>
      <c r="P113">
        <v>0</v>
      </c>
      <c r="Q113">
        <v>1</v>
      </c>
      <c r="R113">
        <v>1</v>
      </c>
      <c r="S113">
        <v>1</v>
      </c>
      <c r="T113" s="1">
        <f>SQRT(POWER(Dominus[[#This Row],[angvel_X]],2) + POWER(Dominus[[#This Row],[angvel_Y]],2) + POWER(Dominus[[#This Row],[angvel_Z]],2))</f>
        <v>2.0408000392003132</v>
      </c>
      <c r="U113" s="1">
        <f>DEGREES(ASIN(MAX(-1,MIN(1,2 * (Dominus[[#This Row],[quart_W]]*Dominus[[#This Row],[quart_Y]] - Dominus[[#This Row],[quart_Z]]*Dominus[[#This Row],[quart_X]])))))</f>
        <v>0.96044531359653917</v>
      </c>
      <c r="V11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-81.465280770979248</v>
      </c>
      <c r="W11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90.001340262785618</v>
      </c>
      <c r="X113" s="1">
        <f>IF(Dominus[[#This Row],[Yaw]]&gt;V112,(360-ABS(Dominus[[#This Row],[Yaw]])-ABS(V112)),ABS(Dominus[[#This Row],[Yaw]]-V112))</f>
        <v>0.9742290069908961</v>
      </c>
      <c r="Y113" s="1">
        <f>Dominus[[#This Row],[Degree change]]+Y112</f>
        <v>50.617803188658741</v>
      </c>
    </row>
    <row r="114" spans="1:25">
      <c r="A114">
        <v>113</v>
      </c>
      <c r="B114" s="1">
        <v>-521.30999799999995</v>
      </c>
      <c r="C114" s="1">
        <v>2629.790039</v>
      </c>
      <c r="D114" s="1">
        <v>17.049999</v>
      </c>
      <c r="E114" s="1">
        <v>-2257.570068</v>
      </c>
      <c r="F114" s="1">
        <v>439.63000499999998</v>
      </c>
      <c r="G114" s="1">
        <v>8.0299999999999994</v>
      </c>
      <c r="H114" s="1">
        <v>-4.0000000000000002E-4</v>
      </c>
      <c r="I114" s="1">
        <v>0</v>
      </c>
      <c r="J114" s="1">
        <v>2.0413000000000001</v>
      </c>
      <c r="K114" s="1">
        <v>-8.3649999999999992E-3</v>
      </c>
      <c r="L114" s="1">
        <v>5.4199999999999995E-4</v>
      </c>
      <c r="M114" s="1">
        <v>0.99778900000000004</v>
      </c>
      <c r="N114" s="1">
        <v>6.5926999999999999E-2</v>
      </c>
      <c r="O114">
        <v>1</v>
      </c>
      <c r="P114">
        <v>0</v>
      </c>
      <c r="Q114">
        <v>1</v>
      </c>
      <c r="R114">
        <v>1</v>
      </c>
      <c r="S114">
        <v>1</v>
      </c>
      <c r="T114" s="1">
        <f>SQRT(POWER(Dominus[[#This Row],[angvel_X]],2) + POWER(Dominus[[#This Row],[angvel_Y]],2) + POWER(Dominus[[#This Row],[angvel_Z]],2))</f>
        <v>2.0413000391907112</v>
      </c>
      <c r="U114" s="1">
        <f>DEGREES(ASIN(MAX(-1,MIN(1,2 * (Dominus[[#This Row],[quart_W]]*Dominus[[#This Row],[quart_Y]] - Dominus[[#This Row],[quart_Z]]*Dominus[[#This Row],[quart_X]])))))</f>
        <v>0.9605786522775811</v>
      </c>
      <c r="V11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-82.439557331868414</v>
      </c>
      <c r="W11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90.001223748215878</v>
      </c>
      <c r="X114" s="1">
        <f>IF(Dominus[[#This Row],[Yaw]]&gt;V113,(360-ABS(Dominus[[#This Row],[Yaw]])-ABS(V113)),ABS(Dominus[[#This Row],[Yaw]]-V113))</f>
        <v>0.97427656088916592</v>
      </c>
      <c r="Y114" s="1">
        <f>Dominus[[#This Row],[Degree change]]+Y113</f>
        <v>51.592079749547906</v>
      </c>
    </row>
    <row r="115" spans="1:25">
      <c r="A115">
        <v>114</v>
      </c>
      <c r="B115" s="1">
        <v>-540.19000200000005</v>
      </c>
      <c r="C115" s="1">
        <v>2633.459961</v>
      </c>
      <c r="D115" s="1">
        <v>17.049999</v>
      </c>
      <c r="E115" s="1">
        <v>-2264.6999510000001</v>
      </c>
      <c r="F115" s="1">
        <v>401.27999899999998</v>
      </c>
      <c r="G115" s="1">
        <v>8.0299999999999994</v>
      </c>
      <c r="H115" s="1">
        <v>-4.0000000000000002E-4</v>
      </c>
      <c r="I115" s="1">
        <v>0</v>
      </c>
      <c r="J115" s="1">
        <v>2.0417999999999998</v>
      </c>
      <c r="K115" s="1">
        <v>-8.3700000000000007E-3</v>
      </c>
      <c r="L115" s="1">
        <v>4.7199999999999998E-4</v>
      </c>
      <c r="M115" s="1">
        <v>0.99831400000000003</v>
      </c>
      <c r="N115" s="1">
        <v>5.7436000000000001E-2</v>
      </c>
      <c r="O115">
        <v>1</v>
      </c>
      <c r="P115">
        <v>0</v>
      </c>
      <c r="Q115">
        <v>1</v>
      </c>
      <c r="R115">
        <v>1</v>
      </c>
      <c r="S115">
        <v>1</v>
      </c>
      <c r="T115" s="1">
        <f>SQRT(POWER(Dominus[[#This Row],[angvel_X]],2) + POWER(Dominus[[#This Row],[angvel_Y]],2) + POWER(Dominus[[#This Row],[angvel_Z]],2))</f>
        <v>2.0418000391811142</v>
      </c>
      <c r="U115" s="1">
        <f>DEGREES(ASIN(MAX(-1,MIN(1,2 * (Dominus[[#This Row],[quart_W]]*Dominus[[#This Row],[quart_Y]] - Dominus[[#This Row],[quart_Z]]*Dominus[[#This Row],[quart_X]])))))</f>
        <v>0.96066581748233237</v>
      </c>
      <c r="V11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-83.414454448074963</v>
      </c>
      <c r="W11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90.001092796952278</v>
      </c>
      <c r="X115" s="1">
        <f>IF(Dominus[[#This Row],[Yaw]]&gt;V114,(360-ABS(Dominus[[#This Row],[Yaw]])-ABS(V114)),ABS(Dominus[[#This Row],[Yaw]]-V114))</f>
        <v>0.97489711620654873</v>
      </c>
      <c r="Y115" s="1">
        <f>Dominus[[#This Row],[Degree change]]+Y114</f>
        <v>52.566976865754455</v>
      </c>
    </row>
    <row r="116" spans="1:25">
      <c r="A116">
        <v>115</v>
      </c>
      <c r="B116" s="1">
        <v>-559.13000499999998</v>
      </c>
      <c r="C116" s="1">
        <v>2636.8100589999999</v>
      </c>
      <c r="D116" s="1">
        <v>17.049999</v>
      </c>
      <c r="E116" s="1">
        <v>-2271.1899410000001</v>
      </c>
      <c r="F116" s="1">
        <v>362.78997800000002</v>
      </c>
      <c r="G116" s="1">
        <v>8.0299999999999994</v>
      </c>
      <c r="H116" s="1">
        <v>-2.9999999999999997E-4</v>
      </c>
      <c r="I116" s="1">
        <v>0</v>
      </c>
      <c r="J116" s="1">
        <v>2.0423</v>
      </c>
      <c r="K116" s="1">
        <v>-8.3750000000000005E-3</v>
      </c>
      <c r="L116" s="1">
        <v>4.0200000000000001E-4</v>
      </c>
      <c r="M116" s="1">
        <v>0.99876600000000004</v>
      </c>
      <c r="N116" s="1">
        <v>4.8939000000000003E-2</v>
      </c>
      <c r="O116">
        <v>1</v>
      </c>
      <c r="P116">
        <v>0</v>
      </c>
      <c r="Q116">
        <v>1</v>
      </c>
      <c r="R116">
        <v>1</v>
      </c>
      <c r="S116">
        <v>1</v>
      </c>
      <c r="T116" s="1">
        <f>SQRT(POWER(Dominus[[#This Row],[angvel_X]],2) + POWER(Dominus[[#This Row],[angvel_Y]],2) + POWER(Dominus[[#This Row],[angvel_Z]],2))</f>
        <v>2.0423000220339813</v>
      </c>
      <c r="U116" s="1">
        <f>DEGREES(ASIN(MAX(-1,MIN(1,2 * (Dominus[[#This Row],[quart_W]]*Dominus[[#This Row],[quart_Y]] - Dominus[[#This Row],[quart_Z]]*Dominus[[#This Row],[quart_X]])))))</f>
        <v>0.96081947840455517</v>
      </c>
      <c r="V11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-84.38954765382239</v>
      </c>
      <c r="W11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90.000958142268615</v>
      </c>
      <c r="X116" s="1">
        <f>IF(Dominus[[#This Row],[Yaw]]&gt;V115,(360-ABS(Dominus[[#This Row],[Yaw]])-ABS(V115)),ABS(Dominus[[#This Row],[Yaw]]-V115))</f>
        <v>0.97509320574742731</v>
      </c>
      <c r="Y116" s="1">
        <f>Dominus[[#This Row],[Degree change]]+Y115</f>
        <v>53.542070071501882</v>
      </c>
    </row>
    <row r="117" spans="1:25">
      <c r="A117">
        <v>116</v>
      </c>
      <c r="B117" s="1">
        <v>-578.13000499999998</v>
      </c>
      <c r="C117" s="1">
        <v>2639.8398440000001</v>
      </c>
      <c r="D117" s="1">
        <v>17.049999</v>
      </c>
      <c r="E117" s="1">
        <v>-2277.0200199999999</v>
      </c>
      <c r="F117" s="1">
        <v>324.17999300000002</v>
      </c>
      <c r="G117" s="1">
        <v>8.0299999999999994</v>
      </c>
      <c r="H117" s="1">
        <v>-2.9999999999999997E-4</v>
      </c>
      <c r="I117" s="1">
        <v>0</v>
      </c>
      <c r="J117" s="1">
        <v>2.0427</v>
      </c>
      <c r="K117" s="1">
        <v>-8.3809999999999996E-3</v>
      </c>
      <c r="L117" s="1">
        <v>3.3199999999999999E-4</v>
      </c>
      <c r="M117" s="1">
        <v>0.99914700000000001</v>
      </c>
      <c r="N117" s="1">
        <v>4.0437000000000001E-2</v>
      </c>
      <c r="O117">
        <v>1</v>
      </c>
      <c r="P117">
        <v>0</v>
      </c>
      <c r="Q117">
        <v>1</v>
      </c>
      <c r="R117">
        <v>1</v>
      </c>
      <c r="S117">
        <v>1</v>
      </c>
      <c r="T117" s="1">
        <f>SQRT(POWER(Dominus[[#This Row],[angvel_X]],2) + POWER(Dominus[[#This Row],[angvel_Y]],2) + POWER(Dominus[[#This Row],[angvel_Z]],2))</f>
        <v>2.0427000220296665</v>
      </c>
      <c r="U117" s="1">
        <f>DEGREES(ASIN(MAX(-1,MIN(1,2 * (Dominus[[#This Row],[quart_W]]*Dominus[[#This Row],[quart_Y]] - Dominus[[#This Row],[quart_Z]]*Dominus[[#This Row],[quart_X]])))))</f>
        <v>0.96115612276033269</v>
      </c>
      <c r="V11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-85.364828940598187</v>
      </c>
      <c r="W11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90.000823535637238</v>
      </c>
      <c r="X117" s="1">
        <f>IF(Dominus[[#This Row],[Yaw]]&gt;V116,(360-ABS(Dominus[[#This Row],[Yaw]])-ABS(V116)),ABS(Dominus[[#This Row],[Yaw]]-V116))</f>
        <v>0.97528128677579673</v>
      </c>
      <c r="Y117" s="1">
        <f>Dominus[[#This Row],[Degree change]]+Y116</f>
        <v>54.517351358277679</v>
      </c>
    </row>
    <row r="118" spans="1:25">
      <c r="A118">
        <v>117</v>
      </c>
      <c r="B118" s="1">
        <v>-597.169983</v>
      </c>
      <c r="C118" s="1">
        <v>2642.5500489999999</v>
      </c>
      <c r="D118" s="1">
        <v>17.049999</v>
      </c>
      <c r="E118" s="1">
        <v>-2282.1999510000001</v>
      </c>
      <c r="F118" s="1">
        <v>285.459991</v>
      </c>
      <c r="G118" s="1">
        <v>8.0299999999999994</v>
      </c>
      <c r="H118" s="1">
        <v>-2.0000000000000001E-4</v>
      </c>
      <c r="I118" s="1">
        <v>0</v>
      </c>
      <c r="J118" s="1">
        <v>2.0430999999999999</v>
      </c>
      <c r="K118" s="1">
        <v>-8.3809999999999996E-3</v>
      </c>
      <c r="L118" s="1">
        <v>2.6200000000000003E-4</v>
      </c>
      <c r="M118" s="1">
        <v>0.99945499999999998</v>
      </c>
      <c r="N118" s="1">
        <v>3.1928999999999999E-2</v>
      </c>
      <c r="O118">
        <v>1</v>
      </c>
      <c r="P118">
        <v>0</v>
      </c>
      <c r="Q118">
        <v>1</v>
      </c>
      <c r="R118">
        <v>1</v>
      </c>
      <c r="S118">
        <v>1</v>
      </c>
      <c r="T118" s="1">
        <f>SQRT(POWER(Dominus[[#This Row],[angvel_X]],2) + POWER(Dominus[[#This Row],[angvel_Y]],2) + POWER(Dominus[[#This Row],[angvel_Z]],2))</f>
        <v>2.0431000097890459</v>
      </c>
      <c r="U118" s="1">
        <f>DEGREES(ASIN(MAX(-1,MIN(1,2 * (Dominus[[#This Row],[quart_W]]*Dominus[[#This Row],[quart_Y]] - Dominus[[#This Row],[quart_Z]]*Dominus[[#This Row],[quart_X]])))))</f>
        <v>0.96087208619221598</v>
      </c>
      <c r="V11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-86.340450319660363</v>
      </c>
      <c r="W11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90.0006578181425</v>
      </c>
      <c r="X118" s="1">
        <f>IF(Dominus[[#This Row],[Yaw]]&gt;V117,(360-ABS(Dominus[[#This Row],[Yaw]])-ABS(V117)),ABS(Dominus[[#This Row],[Yaw]]-V117))</f>
        <v>0.97562137906217572</v>
      </c>
      <c r="Y118" s="1">
        <f>Dominus[[#This Row],[Degree change]]+Y117</f>
        <v>55.492972737339855</v>
      </c>
    </row>
    <row r="119" spans="1:25">
      <c r="A119">
        <v>118</v>
      </c>
      <c r="B119" s="1">
        <v>-616.26000999999997</v>
      </c>
      <c r="C119" s="1">
        <v>2644.929932</v>
      </c>
      <c r="D119" s="1">
        <v>17.049999</v>
      </c>
      <c r="E119" s="1">
        <v>-2286.719971</v>
      </c>
      <c r="F119" s="1">
        <v>246.63999899999999</v>
      </c>
      <c r="G119" s="1">
        <v>8.0299999999999994</v>
      </c>
      <c r="H119" s="1">
        <v>-2.0000000000000001E-4</v>
      </c>
      <c r="I119" s="1">
        <v>0</v>
      </c>
      <c r="J119" s="1">
        <v>2.0434999999999999</v>
      </c>
      <c r="K119" s="1">
        <v>-8.3809999999999996E-3</v>
      </c>
      <c r="L119" s="1">
        <v>1.92E-4</v>
      </c>
      <c r="M119" s="1">
        <v>0.99968999999999997</v>
      </c>
      <c r="N119" s="1">
        <v>2.3421999999999998E-2</v>
      </c>
      <c r="O119">
        <v>1</v>
      </c>
      <c r="P119">
        <v>0</v>
      </c>
      <c r="Q119">
        <v>1</v>
      </c>
      <c r="R119">
        <v>1</v>
      </c>
      <c r="S119">
        <v>1</v>
      </c>
      <c r="T119" s="1">
        <f>SQRT(POWER(Dominus[[#This Row],[angvel_X]],2) + POWER(Dominus[[#This Row],[angvel_Y]],2) + POWER(Dominus[[#This Row],[angvel_Z]],2))</f>
        <v>2.0435000097871296</v>
      </c>
      <c r="U119" s="1">
        <f>DEGREES(ASIN(MAX(-1,MIN(1,2 * (Dominus[[#This Row],[quart_W]]*Dominus[[#This Row],[quart_Y]] - Dominus[[#This Row],[quart_Z]]*Dominus[[#This Row],[quart_X]])))))</f>
        <v>0.96065446467595605</v>
      </c>
      <c r="V11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-87.315688343132578</v>
      </c>
      <c r="W11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90.000499609435565</v>
      </c>
      <c r="X119" s="1">
        <f>IF(Dominus[[#This Row],[Yaw]]&gt;V118,(360-ABS(Dominus[[#This Row],[Yaw]])-ABS(V118)),ABS(Dominus[[#This Row],[Yaw]]-V118))</f>
        <v>0.97523802347221533</v>
      </c>
      <c r="Y119" s="1">
        <f>Dominus[[#This Row],[Degree change]]+Y118</f>
        <v>56.46821076081207</v>
      </c>
    </row>
    <row r="120" spans="1:25">
      <c r="A120">
        <v>119</v>
      </c>
      <c r="B120" s="1">
        <v>-635.38000499999998</v>
      </c>
      <c r="C120" s="1">
        <v>2646.98999</v>
      </c>
      <c r="D120" s="1">
        <v>17.049999</v>
      </c>
      <c r="E120" s="1">
        <v>-2290.5798340000001</v>
      </c>
      <c r="F120" s="1">
        <v>207.73999000000001</v>
      </c>
      <c r="G120" s="1">
        <v>8.0299999999999994</v>
      </c>
      <c r="H120" s="1">
        <v>-1E-4</v>
      </c>
      <c r="I120" s="1">
        <v>0</v>
      </c>
      <c r="J120" s="1">
        <v>2.0438000000000001</v>
      </c>
      <c r="K120" s="1">
        <v>-8.3809999999999996E-3</v>
      </c>
      <c r="L120" s="1">
        <v>1.21E-4</v>
      </c>
      <c r="M120" s="1">
        <v>0.99985400000000002</v>
      </c>
      <c r="N120" s="1">
        <v>1.4909E-2</v>
      </c>
      <c r="O120">
        <v>1</v>
      </c>
      <c r="P120">
        <v>0</v>
      </c>
      <c r="Q120">
        <v>1</v>
      </c>
      <c r="R120">
        <v>1</v>
      </c>
      <c r="S120">
        <v>1</v>
      </c>
      <c r="T120" s="1">
        <f>SQRT(POWER(Dominus[[#This Row],[angvel_X]],2) + POWER(Dominus[[#This Row],[angvel_Y]],2) + POWER(Dominus[[#This Row],[angvel_Z]],2))</f>
        <v>2.0438000024464231</v>
      </c>
      <c r="U120" s="1">
        <f>DEGREES(ASIN(MAX(-1,MIN(1,2 * (Dominus[[#This Row],[quart_W]]*Dominus[[#This Row],[quart_Y]] - Dominus[[#This Row],[quart_Z]]*Dominus[[#This Row],[quart_X]])))))</f>
        <v>0.96050334862430353</v>
      </c>
      <c r="V12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-88.291428734137043</v>
      </c>
      <c r="W12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90.000454991848002</v>
      </c>
      <c r="X120" s="1">
        <f>IF(Dominus[[#This Row],[Yaw]]&gt;V119,(360-ABS(Dominus[[#This Row],[Yaw]])-ABS(V119)),ABS(Dominus[[#This Row],[Yaw]]-V119))</f>
        <v>0.97574039100446441</v>
      </c>
      <c r="Y120" s="1">
        <f>Dominus[[#This Row],[Degree change]]+Y119</f>
        <v>57.443951151816535</v>
      </c>
    </row>
    <row r="121" spans="1:25">
      <c r="A121">
        <v>120</v>
      </c>
      <c r="B121" s="1">
        <v>-654.53997800000002</v>
      </c>
      <c r="C121" s="1">
        <v>2648.719971</v>
      </c>
      <c r="D121" s="1">
        <v>17.049999</v>
      </c>
      <c r="E121" s="1">
        <v>-2293.780029</v>
      </c>
      <c r="F121" s="1">
        <v>168.76998900000001</v>
      </c>
      <c r="G121" s="1">
        <v>8.0299999999999994</v>
      </c>
      <c r="H121" s="1">
        <v>-1E-4</v>
      </c>
      <c r="I121" s="1">
        <v>0</v>
      </c>
      <c r="J121" s="1">
        <v>2.0440999999999998</v>
      </c>
      <c r="K121" s="1">
        <v>-8.3809999999999996E-3</v>
      </c>
      <c r="L121" s="1">
        <v>5.1E-5</v>
      </c>
      <c r="M121" s="1">
        <v>0.99994400000000006</v>
      </c>
      <c r="N121" s="1">
        <v>6.3959999999999998E-3</v>
      </c>
      <c r="O121">
        <v>1</v>
      </c>
      <c r="P121">
        <v>0</v>
      </c>
      <c r="Q121">
        <v>1</v>
      </c>
      <c r="R121">
        <v>1</v>
      </c>
      <c r="S121">
        <v>1</v>
      </c>
      <c r="T121" s="1">
        <f>SQRT(POWER(Dominus[[#This Row],[angvel_X]],2) + POWER(Dominus[[#This Row],[angvel_Y]],2) + POWER(Dominus[[#This Row],[angvel_Z]],2))</f>
        <v>2.044100002446064</v>
      </c>
      <c r="U121" s="1">
        <f>DEGREES(ASIN(MAX(-1,MIN(1,2 * (Dominus[[#This Row],[quart_W]]*Dominus[[#This Row],[quart_Y]] - Dominus[[#This Row],[quart_Z]]*Dominus[[#This Row],[quart_X]])))))</f>
        <v>0.96042042963749563</v>
      </c>
      <c r="V12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-89.267038214224115</v>
      </c>
      <c r="W12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90.000298866062352</v>
      </c>
      <c r="X121" s="1">
        <f>IF(Dominus[[#This Row],[Yaw]]&gt;V120,(360-ABS(Dominus[[#This Row],[Yaw]])-ABS(V120)),ABS(Dominus[[#This Row],[Yaw]]-V120))</f>
        <v>0.97560948008707271</v>
      </c>
      <c r="Y121" s="1">
        <f>Dominus[[#This Row],[Degree change]]+Y120</f>
        <v>58.419560631903607</v>
      </c>
    </row>
    <row r="122" spans="1:25">
      <c r="A122">
        <v>121</v>
      </c>
      <c r="B122" s="1">
        <v>-673.71997099999999</v>
      </c>
      <c r="C122" s="1">
        <v>2650.1298830000001</v>
      </c>
      <c r="D122" s="1">
        <v>17.049999</v>
      </c>
      <c r="E122" s="1">
        <v>-2296.320068</v>
      </c>
      <c r="F122" s="1">
        <v>129.73999000000001</v>
      </c>
      <c r="G122" s="1">
        <v>8.0299999999999994</v>
      </c>
      <c r="H122" s="1">
        <v>0</v>
      </c>
      <c r="I122" s="1">
        <v>-1E-4</v>
      </c>
      <c r="J122" s="1">
        <v>2.0444</v>
      </c>
      <c r="K122" s="1">
        <v>-8.3809999999999996E-3</v>
      </c>
      <c r="L122" s="1">
        <v>-1.9000000000000001E-5</v>
      </c>
      <c r="M122" s="1">
        <v>0.99996300000000005</v>
      </c>
      <c r="N122" s="1">
        <v>-2.1229999999999999E-3</v>
      </c>
      <c r="O122">
        <v>1</v>
      </c>
      <c r="P122">
        <v>0</v>
      </c>
      <c r="Q122">
        <v>1</v>
      </c>
      <c r="R122">
        <v>1</v>
      </c>
      <c r="S122">
        <v>1</v>
      </c>
      <c r="T122" s="1">
        <f>SQRT(POWER(Dominus[[#This Row],[angvel_X]],2) + POWER(Dominus[[#This Row],[angvel_Y]],2) + POWER(Dominus[[#This Row],[angvel_Z]],2))</f>
        <v>2.0444000024457054</v>
      </c>
      <c r="U122" s="1">
        <f>DEGREES(ASIN(MAX(-1,MIN(1,2 * (Dominus[[#This Row],[quart_W]]*Dominus[[#This Row],[quart_Y]] - Dominus[[#This Row],[quart_Z]]*Dominus[[#This Row],[quart_X]])))))</f>
        <v>0.96040591801562247</v>
      </c>
      <c r="V12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-90.243285174544397</v>
      </c>
      <c r="W12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90.000138266577025</v>
      </c>
      <c r="X122" s="1">
        <f>IF(Dominus[[#This Row],[Yaw]]&gt;V121,(360-ABS(Dominus[[#This Row],[Yaw]])-ABS(V121)),ABS(Dominus[[#This Row],[Yaw]]-V121))</f>
        <v>0.97624696032028169</v>
      </c>
      <c r="Y122" s="1">
        <f>Dominus[[#This Row],[Degree change]]+Y121</f>
        <v>59.395807592223889</v>
      </c>
    </row>
    <row r="123" spans="1:25">
      <c r="A123">
        <v>122</v>
      </c>
      <c r="B123" s="1">
        <v>-692.919983</v>
      </c>
      <c r="C123" s="1">
        <v>2651.209961</v>
      </c>
      <c r="D123" s="1">
        <v>17.049999</v>
      </c>
      <c r="E123" s="1">
        <v>-2298.1899410000001</v>
      </c>
      <c r="F123" s="1">
        <v>90.659996000000007</v>
      </c>
      <c r="G123" s="1">
        <v>8.0299999999999994</v>
      </c>
      <c r="H123" s="1">
        <v>0</v>
      </c>
      <c r="I123" s="1">
        <v>-1E-4</v>
      </c>
      <c r="J123" s="1">
        <v>2.0446</v>
      </c>
      <c r="K123" s="1">
        <v>-8.3809999999999996E-3</v>
      </c>
      <c r="L123" s="1">
        <v>-8.8999999999999995E-5</v>
      </c>
      <c r="M123" s="1">
        <v>0.99990800000000002</v>
      </c>
      <c r="N123" s="1">
        <v>-1.0640999999999999E-2</v>
      </c>
      <c r="O123">
        <v>1</v>
      </c>
      <c r="P123">
        <v>0</v>
      </c>
      <c r="Q123">
        <v>1</v>
      </c>
      <c r="R123">
        <v>1</v>
      </c>
      <c r="S123">
        <v>1</v>
      </c>
      <c r="T123" s="1">
        <f>SQRT(POWER(Dominus[[#This Row],[angvel_X]],2) + POWER(Dominus[[#This Row],[angvel_Y]],2) + POWER(Dominus[[#This Row],[angvel_Z]],2))</f>
        <v>2.044600002445466</v>
      </c>
      <c r="U123" s="1">
        <f>DEGREES(ASIN(MAX(-1,MIN(1,2 * (Dominus[[#This Row],[quart_W]]*Dominus[[#This Row],[quart_Y]] - Dominus[[#This Row],[quart_Z]]*Dominus[[#This Row],[quart_X]])))))</f>
        <v>0.96045700518246713</v>
      </c>
      <c r="V12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-91.219435745650685</v>
      </c>
      <c r="W12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89.999978177669846</v>
      </c>
      <c r="X123" s="1">
        <f>IF(Dominus[[#This Row],[Yaw]]&gt;V122,(360-ABS(Dominus[[#This Row],[Yaw]])-ABS(V122)),ABS(Dominus[[#This Row],[Yaw]]-V122))</f>
        <v>0.97615057110628811</v>
      </c>
      <c r="Y123" s="1">
        <f>Dominus[[#This Row],[Degree change]]+Y122</f>
        <v>60.371958163330177</v>
      </c>
    </row>
    <row r="124" spans="1:25">
      <c r="A124">
        <v>123</v>
      </c>
      <c r="B124" s="1">
        <v>-712.13995399999999</v>
      </c>
      <c r="C124" s="1">
        <v>2651.959961</v>
      </c>
      <c r="D124" s="1">
        <v>17.049999</v>
      </c>
      <c r="E124" s="1">
        <v>-2299.3999020000001</v>
      </c>
      <c r="F124" s="1">
        <v>51.539997</v>
      </c>
      <c r="G124" s="1">
        <v>8.0299999999999994</v>
      </c>
      <c r="H124" s="1">
        <v>0</v>
      </c>
      <c r="I124" s="1">
        <v>-1E-4</v>
      </c>
      <c r="J124" s="1">
        <v>2.0448</v>
      </c>
      <c r="K124" s="1">
        <v>-8.3809999999999996E-3</v>
      </c>
      <c r="L124" s="1">
        <v>-1.5899999999999999E-4</v>
      </c>
      <c r="M124" s="1">
        <v>0.99978100000000003</v>
      </c>
      <c r="N124" s="1">
        <v>-1.916E-2</v>
      </c>
      <c r="O124">
        <v>1</v>
      </c>
      <c r="P124">
        <v>0</v>
      </c>
      <c r="Q124">
        <v>1</v>
      </c>
      <c r="R124">
        <v>1</v>
      </c>
      <c r="S124">
        <v>1</v>
      </c>
      <c r="T124" s="1">
        <f>SQRT(POWER(Dominus[[#This Row],[angvel_X]],2) + POWER(Dominus[[#This Row],[angvel_Y]],2) + POWER(Dominus[[#This Row],[angvel_Z]],2))</f>
        <v>2.0448000024452266</v>
      </c>
      <c r="U124" s="1">
        <f>DEGREES(ASIN(MAX(-1,MIN(1,2 * (Dominus[[#This Row],[quart_W]]*Dominus[[#This Row],[quart_Y]] - Dominus[[#This Row],[quart_Z]]*Dominus[[#This Row],[quart_X]])))))</f>
        <v>0.96057562457228163</v>
      </c>
      <c r="V12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-92.195789245257131</v>
      </c>
      <c r="W12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89.999814933719833</v>
      </c>
      <c r="X124" s="1">
        <f>IF(Dominus[[#This Row],[Yaw]]&gt;V123,(360-ABS(Dominus[[#This Row],[Yaw]])-ABS(V123)),ABS(Dominus[[#This Row],[Yaw]]-V123))</f>
        <v>0.97635349960644646</v>
      </c>
      <c r="Y124" s="1">
        <f>Dominus[[#This Row],[Degree change]]+Y123</f>
        <v>61.348311662936624</v>
      </c>
    </row>
    <row r="125" spans="1:25">
      <c r="A125">
        <v>124</v>
      </c>
      <c r="B125" s="1">
        <v>-731.36999500000002</v>
      </c>
      <c r="C125" s="1">
        <v>2652.389893</v>
      </c>
      <c r="D125" s="1">
        <v>17.049999</v>
      </c>
      <c r="E125" s="1">
        <v>-2299.9499510000001</v>
      </c>
      <c r="F125" s="1">
        <v>12.4</v>
      </c>
      <c r="G125" s="1">
        <v>8.0299999999999994</v>
      </c>
      <c r="H125" s="1">
        <v>0</v>
      </c>
      <c r="I125" s="1">
        <v>-1E-4</v>
      </c>
      <c r="J125" s="1">
        <v>2.0449999999999999</v>
      </c>
      <c r="K125" s="1">
        <v>-8.3809999999999996E-3</v>
      </c>
      <c r="L125" s="1">
        <v>-2.2900000000000001E-4</v>
      </c>
      <c r="M125" s="1">
        <v>0.99958199999999997</v>
      </c>
      <c r="N125" s="1">
        <v>-2.7678000000000001E-2</v>
      </c>
      <c r="O125">
        <v>1</v>
      </c>
      <c r="P125">
        <v>0</v>
      </c>
      <c r="Q125">
        <v>1</v>
      </c>
      <c r="R125">
        <v>1</v>
      </c>
      <c r="S125">
        <v>1</v>
      </c>
      <c r="T125" s="1">
        <f>SQRT(POWER(Dominus[[#This Row],[angvel_X]],2) + POWER(Dominus[[#This Row],[angvel_Y]],2) + POWER(Dominus[[#This Row],[angvel_Z]],2))</f>
        <v>2.0450000024449877</v>
      </c>
      <c r="U125" s="1">
        <f>DEGREES(ASIN(MAX(-1,MIN(1,2 * (Dominus[[#This Row],[quart_W]]*Dominus[[#This Row],[quart_Y]] - Dominus[[#This Row],[quart_Z]]*Dominus[[#This Row],[quart_X]])))))</f>
        <v>0.96076174776939682</v>
      </c>
      <c r="V12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-93.172182162786754</v>
      </c>
      <c r="W12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89.999648722902862</v>
      </c>
      <c r="X125" s="1">
        <f>IF(Dominus[[#This Row],[Yaw]]&gt;V124,(360-ABS(Dominus[[#This Row],[Yaw]])-ABS(V124)),ABS(Dominus[[#This Row],[Yaw]]-V124))</f>
        <v>0.97639291752962265</v>
      </c>
      <c r="Y125" s="1">
        <f>Dominus[[#This Row],[Degree change]]+Y124</f>
        <v>62.324704580466246</v>
      </c>
    </row>
    <row r="126" spans="1:25">
      <c r="A126">
        <v>125</v>
      </c>
      <c r="B126" s="1">
        <v>-750.59997599999997</v>
      </c>
      <c r="C126" s="1">
        <v>2652.48999</v>
      </c>
      <c r="D126" s="1">
        <v>17.049999</v>
      </c>
      <c r="E126" s="1">
        <v>-2299.8298340000001</v>
      </c>
      <c r="F126" s="1">
        <v>-26.74</v>
      </c>
      <c r="G126" s="1">
        <v>8.0299999999999994</v>
      </c>
      <c r="H126" s="1">
        <v>0</v>
      </c>
      <c r="I126" s="1">
        <v>-1E-4</v>
      </c>
      <c r="J126" s="1">
        <v>2.0451999999999999</v>
      </c>
      <c r="K126" s="1">
        <v>-8.3809999999999996E-3</v>
      </c>
      <c r="L126" s="1">
        <v>-2.99E-4</v>
      </c>
      <c r="M126" s="1">
        <v>0.999309</v>
      </c>
      <c r="N126" s="1">
        <v>-3.6197E-2</v>
      </c>
      <c r="O126">
        <v>1</v>
      </c>
      <c r="P126">
        <v>0</v>
      </c>
      <c r="Q126">
        <v>1</v>
      </c>
      <c r="R126">
        <v>1</v>
      </c>
      <c r="S126">
        <v>1</v>
      </c>
      <c r="T126" s="1">
        <f>SQRT(POWER(Dominus[[#This Row],[angvel_X]],2) + POWER(Dominus[[#This Row],[angvel_Y]],2) + POWER(Dominus[[#This Row],[angvel_Z]],2))</f>
        <v>2.0452000024447488</v>
      </c>
      <c r="U126" s="1">
        <f>DEGREES(ASIN(MAX(-1,MIN(1,2 * (Dominus[[#This Row],[quart_W]]*Dominus[[#This Row],[quart_Y]] - Dominus[[#This Row],[quart_Z]]*Dominus[[#This Row],[quart_X]])))))</f>
        <v>0.96101349819869542</v>
      </c>
      <c r="V12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-94.148933358931544</v>
      </c>
      <c r="W12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89.999475822751251</v>
      </c>
      <c r="X126" s="1">
        <f>IF(Dominus[[#This Row],[Yaw]]&gt;V125,(360-ABS(Dominus[[#This Row],[Yaw]])-ABS(V125)),ABS(Dominus[[#This Row],[Yaw]]-V125))</f>
        <v>0.97675119614478945</v>
      </c>
      <c r="Y126" s="1">
        <f>Dominus[[#This Row],[Degree change]]+Y125</f>
        <v>63.301455776611036</v>
      </c>
    </row>
    <row r="127" spans="1:25">
      <c r="A127">
        <v>126</v>
      </c>
      <c r="B127" s="1">
        <v>-769.82995600000004</v>
      </c>
      <c r="C127" s="1">
        <v>2652.26001</v>
      </c>
      <c r="D127" s="1">
        <v>17.049999</v>
      </c>
      <c r="E127" s="1">
        <v>-2299.040039</v>
      </c>
      <c r="F127" s="1">
        <v>-65.889999000000003</v>
      </c>
      <c r="G127" s="1">
        <v>8.0299999999999994</v>
      </c>
      <c r="H127" s="1">
        <v>0</v>
      </c>
      <c r="I127" s="1">
        <v>-1E-4</v>
      </c>
      <c r="J127" s="1">
        <v>2.0453999999999999</v>
      </c>
      <c r="K127" s="1">
        <v>-8.3809999999999996E-3</v>
      </c>
      <c r="L127" s="1">
        <v>-3.6999999999999999E-4</v>
      </c>
      <c r="M127" s="1">
        <v>0.99896499999999999</v>
      </c>
      <c r="N127" s="1">
        <v>-4.471E-2</v>
      </c>
      <c r="O127">
        <v>1</v>
      </c>
      <c r="P127">
        <v>0</v>
      </c>
      <c r="Q127">
        <v>1</v>
      </c>
      <c r="R127">
        <v>1</v>
      </c>
      <c r="S127">
        <v>1</v>
      </c>
      <c r="T127" s="1">
        <f>SQRT(POWER(Dominus[[#This Row],[angvel_X]],2) + POWER(Dominus[[#This Row],[angvel_Y]],2) + POWER(Dominus[[#This Row],[angvel_Z]],2))</f>
        <v>2.0454000024445094</v>
      </c>
      <c r="U127" s="1">
        <f>DEGREES(ASIN(MAX(-1,MIN(1,2 * (Dominus[[#This Row],[quart_W]]*Dominus[[#This Row],[quart_Y]] - Dominus[[#This Row],[quart_Z]]*Dominus[[#This Row],[quart_X]])))))</f>
        <v>0.96133860960165585</v>
      </c>
      <c r="V12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-95.125279118328194</v>
      </c>
      <c r="W12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89.999415791880679</v>
      </c>
      <c r="X127" s="1">
        <f>IF(Dominus[[#This Row],[Yaw]]&gt;V126,(360-ABS(Dominus[[#This Row],[Yaw]])-ABS(V126)),ABS(Dominus[[#This Row],[Yaw]]-V126))</f>
        <v>0.97634575939665069</v>
      </c>
      <c r="Y127" s="1">
        <f>Dominus[[#This Row],[Degree change]]+Y126</f>
        <v>64.277801536007686</v>
      </c>
    </row>
    <row r="128" spans="1:25">
      <c r="A128">
        <v>127</v>
      </c>
      <c r="B128" s="1">
        <v>-789.05999799999995</v>
      </c>
      <c r="C128" s="1">
        <v>2651.6999510000001</v>
      </c>
      <c r="D128" s="1">
        <v>17.049999</v>
      </c>
      <c r="E128" s="1">
        <v>-2297.5798340000001</v>
      </c>
      <c r="F128" s="1">
        <v>-105.019997</v>
      </c>
      <c r="G128" s="1">
        <v>8.0299999999999994</v>
      </c>
      <c r="H128" s="1">
        <v>0</v>
      </c>
      <c r="I128" s="1">
        <v>0</v>
      </c>
      <c r="J128" s="1">
        <v>2.0455999999999999</v>
      </c>
      <c r="K128" s="1">
        <v>-8.3750000000000005E-3</v>
      </c>
      <c r="L128" s="1">
        <v>-4.4000000000000002E-4</v>
      </c>
      <c r="M128" s="1">
        <v>0.99854699999999996</v>
      </c>
      <c r="N128" s="1">
        <v>-5.3222999999999999E-2</v>
      </c>
      <c r="O128">
        <v>1</v>
      </c>
      <c r="P128">
        <v>0</v>
      </c>
      <c r="Q128">
        <v>1</v>
      </c>
      <c r="R128">
        <v>1</v>
      </c>
      <c r="S128">
        <v>1</v>
      </c>
      <c r="T128" s="1">
        <f>SQRT(POWER(Dominus[[#This Row],[angvel_X]],2) + POWER(Dominus[[#This Row],[angvel_Y]],2) + POWER(Dominus[[#This Row],[angvel_Z]],2))</f>
        <v>2.0455999999999999</v>
      </c>
      <c r="U128" s="1">
        <f>DEGREES(ASIN(MAX(-1,MIN(1,2 * (Dominus[[#This Row],[quart_W]]*Dominus[[#This Row],[quart_Y]] - Dominus[[#This Row],[quart_Z]]*Dominus[[#This Row],[quart_X]])))))</f>
        <v>0.96103843831982172</v>
      </c>
      <c r="V12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-96.102018464215476</v>
      </c>
      <c r="W12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89.999268580085172</v>
      </c>
      <c r="X128" s="1">
        <f>IF(Dominus[[#This Row],[Yaw]]&gt;V127,(360-ABS(Dominus[[#This Row],[Yaw]])-ABS(V127)),ABS(Dominus[[#This Row],[Yaw]]-V127))</f>
        <v>0.97673934588728173</v>
      </c>
      <c r="Y128" s="1">
        <f>Dominus[[#This Row],[Degree change]]+Y127</f>
        <v>65.254540881894968</v>
      </c>
    </row>
    <row r="129" spans="1:25">
      <c r="A129">
        <v>128</v>
      </c>
      <c r="B129" s="1">
        <v>-808.26995799999997</v>
      </c>
      <c r="C129" s="1">
        <v>2650.8198240000002</v>
      </c>
      <c r="D129" s="1">
        <v>17.049999</v>
      </c>
      <c r="E129" s="1">
        <v>-2295.459961</v>
      </c>
      <c r="F129" s="1">
        <v>-144.12998999999999</v>
      </c>
      <c r="G129" s="1">
        <v>8.0299999999999994</v>
      </c>
      <c r="H129" s="1">
        <v>0</v>
      </c>
      <c r="I129" s="1">
        <v>0</v>
      </c>
      <c r="J129" s="1">
        <v>2.0457999999999998</v>
      </c>
      <c r="K129" s="1">
        <v>-8.3700000000000007E-3</v>
      </c>
      <c r="L129" s="1">
        <v>-5.1000000000000004E-4</v>
      </c>
      <c r="M129" s="1">
        <v>0.998058</v>
      </c>
      <c r="N129" s="1">
        <v>-6.173E-2</v>
      </c>
      <c r="O129">
        <v>1</v>
      </c>
      <c r="P129">
        <v>0</v>
      </c>
      <c r="Q129">
        <v>1</v>
      </c>
      <c r="R129">
        <v>1</v>
      </c>
      <c r="S129">
        <v>1</v>
      </c>
      <c r="T129" s="1">
        <f>SQRT(POWER(Dominus[[#This Row],[angvel_X]],2) + POWER(Dominus[[#This Row],[angvel_Y]],2) + POWER(Dominus[[#This Row],[angvel_Z]],2))</f>
        <v>2.0457999999999998</v>
      </c>
      <c r="U129" s="1">
        <f>DEGREES(ASIN(MAX(-1,MIN(1,2 * (Dominus[[#This Row],[quart_W]]*Dominus[[#This Row],[quart_Y]] - Dominus[[#This Row],[quart_Z]]*Dominus[[#This Row],[quart_X]])))))</f>
        <v>0.96092136829512065</v>
      </c>
      <c r="V12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-97.078486518972483</v>
      </c>
      <c r="W12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89.999120899523305</v>
      </c>
      <c r="X129" s="1">
        <f>IF(Dominus[[#This Row],[Yaw]]&gt;V128,(360-ABS(Dominus[[#This Row],[Yaw]])-ABS(V128)),ABS(Dominus[[#This Row],[Yaw]]-V128))</f>
        <v>0.9764680547570066</v>
      </c>
      <c r="Y129" s="1">
        <f>Dominus[[#This Row],[Degree change]]+Y128</f>
        <v>66.231008936651975</v>
      </c>
    </row>
    <row r="130" spans="1:25">
      <c r="A130">
        <v>129</v>
      </c>
      <c r="B130" s="1">
        <v>-827.46997099999999</v>
      </c>
      <c r="C130" s="1">
        <v>2649.6098630000001</v>
      </c>
      <c r="D130" s="1">
        <v>17.049999</v>
      </c>
      <c r="E130" s="1">
        <v>-2292.669922</v>
      </c>
      <c r="F130" s="1">
        <v>-183.209991</v>
      </c>
      <c r="G130" s="1">
        <v>8.0299999999999994</v>
      </c>
      <c r="H130" s="1">
        <v>0</v>
      </c>
      <c r="I130" s="1">
        <v>0</v>
      </c>
      <c r="J130" s="1">
        <v>2.0459000000000001</v>
      </c>
      <c r="K130" s="1">
        <v>-8.3649999999999992E-3</v>
      </c>
      <c r="L130" s="1">
        <v>-5.8E-4</v>
      </c>
      <c r="M130" s="1">
        <v>0.99749500000000002</v>
      </c>
      <c r="N130" s="1">
        <v>-7.0237999999999995E-2</v>
      </c>
      <c r="O130">
        <v>1</v>
      </c>
      <c r="P130">
        <v>0</v>
      </c>
      <c r="Q130">
        <v>1</v>
      </c>
      <c r="R130">
        <v>1</v>
      </c>
      <c r="S130">
        <v>1</v>
      </c>
      <c r="T130" s="1">
        <f>SQRT(POWER(Dominus[[#This Row],[angvel_X]],2) + POWER(Dominus[[#This Row],[angvel_Y]],2) + POWER(Dominus[[#This Row],[angvel_Z]],2))</f>
        <v>2.0459000000000001</v>
      </c>
      <c r="U130" s="1">
        <f>DEGREES(ASIN(MAX(-1,MIN(1,2 * (Dominus[[#This Row],[quart_W]]*Dominus[[#This Row],[quart_Y]] - Dominus[[#This Row],[quart_Z]]*Dominus[[#This Row],[quart_X]])))))</f>
        <v>0.96087047732967323</v>
      </c>
      <c r="V13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-98.055607296871088</v>
      </c>
      <c r="W13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89.998969244930279</v>
      </c>
      <c r="X130" s="1">
        <f>IF(Dominus[[#This Row],[Yaw]]&gt;V129,(360-ABS(Dominus[[#This Row],[Yaw]])-ABS(V129)),ABS(Dominus[[#This Row],[Yaw]]-V129))</f>
        <v>0.9771207778986053</v>
      </c>
      <c r="Y130" s="1">
        <f>Dominus[[#This Row],[Degree change]]+Y129</f>
        <v>67.20812971455058</v>
      </c>
    </row>
    <row r="131" spans="1:25">
      <c r="A131">
        <v>130</v>
      </c>
      <c r="B131" s="1">
        <v>-846.63995399999999</v>
      </c>
      <c r="C131" s="1">
        <v>2648.0698240000002</v>
      </c>
      <c r="D131" s="1">
        <v>17.049999</v>
      </c>
      <c r="E131" s="1">
        <v>-2289.219971</v>
      </c>
      <c r="F131" s="1">
        <v>-222.23999000000001</v>
      </c>
      <c r="G131" s="1">
        <v>8.0299999999999994</v>
      </c>
      <c r="H131" s="1">
        <v>1E-4</v>
      </c>
      <c r="I131" s="1">
        <v>0</v>
      </c>
      <c r="J131" s="1">
        <v>2.0459999999999998</v>
      </c>
      <c r="K131" s="1">
        <v>-8.3590000000000001E-3</v>
      </c>
      <c r="L131" s="1">
        <v>-6.4999999999999997E-4</v>
      </c>
      <c r="M131" s="1">
        <v>0.99685999999999997</v>
      </c>
      <c r="N131" s="1">
        <v>-7.8740000000000004E-2</v>
      </c>
      <c r="O131">
        <v>1</v>
      </c>
      <c r="P131">
        <v>0</v>
      </c>
      <c r="Q131">
        <v>1</v>
      </c>
      <c r="R131">
        <v>1</v>
      </c>
      <c r="S131">
        <v>1</v>
      </c>
      <c r="T131" s="1">
        <f>SQRT(POWER(Dominus[[#This Row],[angvel_X]],2) + POWER(Dominus[[#This Row],[angvel_Y]],2) + POWER(Dominus[[#This Row],[angvel_Z]],2))</f>
        <v>2.0460000024437925</v>
      </c>
      <c r="U131" s="1">
        <f>DEGREES(ASIN(MAX(-1,MIN(1,2 * (Dominus[[#This Row],[quart_W]]*Dominus[[#This Row],[quart_Y]] - Dominus[[#This Row],[quart_Z]]*Dominus[[#This Row],[quart_X]])))))</f>
        <v>0.96077306367245929</v>
      </c>
      <c r="V13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-99.032615193491665</v>
      </c>
      <c r="W13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89.998827717091871</v>
      </c>
      <c r="X131" s="1">
        <f>IF(Dominus[[#This Row],[Yaw]]&gt;V130,(360-ABS(Dominus[[#This Row],[Yaw]])-ABS(V130)),ABS(Dominus[[#This Row],[Yaw]]-V130))</f>
        <v>0.9770078966205773</v>
      </c>
      <c r="Y131" s="1">
        <f>Dominus[[#This Row],[Degree change]]+Y130</f>
        <v>68.185137611171157</v>
      </c>
    </row>
    <row r="132" spans="1:25">
      <c r="A132">
        <v>131</v>
      </c>
      <c r="B132" s="1">
        <v>-865.77996800000005</v>
      </c>
      <c r="C132" s="1">
        <v>2646.209961</v>
      </c>
      <c r="D132" s="1">
        <v>17.049999</v>
      </c>
      <c r="E132" s="1">
        <v>-2285.0998540000001</v>
      </c>
      <c r="F132" s="1">
        <v>-261.209991</v>
      </c>
      <c r="G132" s="1">
        <v>8.0299999999999994</v>
      </c>
      <c r="H132" s="1">
        <v>1E-4</v>
      </c>
      <c r="I132" s="1">
        <v>0</v>
      </c>
      <c r="J132" s="1">
        <v>2.0461</v>
      </c>
      <c r="K132" s="1">
        <v>-8.3540000000000003E-3</v>
      </c>
      <c r="L132" s="1">
        <v>-7.2000000000000005E-4</v>
      </c>
      <c r="M132" s="1">
        <v>0.99615200000000004</v>
      </c>
      <c r="N132" s="1">
        <v>-8.7236999999999995E-2</v>
      </c>
      <c r="O132">
        <v>1</v>
      </c>
      <c r="P132">
        <v>0</v>
      </c>
      <c r="Q132">
        <v>1</v>
      </c>
      <c r="R132">
        <v>1</v>
      </c>
      <c r="S132">
        <v>1</v>
      </c>
      <c r="T132" s="1">
        <f>SQRT(POWER(Dominus[[#This Row],[angvel_X]],2) + POWER(Dominus[[#This Row],[angvel_Y]],2) + POWER(Dominus[[#This Row],[angvel_Z]],2))</f>
        <v>2.0461000024436733</v>
      </c>
      <c r="U132" s="1">
        <f>DEGREES(ASIN(MAX(-1,MIN(1,2 * (Dominus[[#This Row],[quart_W]]*Dominus[[#This Row],[quart_Y]] - Dominus[[#This Row],[quart_Z]]*Dominus[[#This Row],[quart_X]])))))</f>
        <v>0.9608568084161202</v>
      </c>
      <c r="V13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-100.00971973060159</v>
      </c>
      <c r="W13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89.998676458083253</v>
      </c>
      <c r="X132" s="1">
        <f>IF(Dominus[[#This Row],[Yaw]]&gt;V131,(360-ABS(Dominus[[#This Row],[Yaw]])-ABS(V131)),ABS(Dominus[[#This Row],[Yaw]]-V131))</f>
        <v>0.9771045371099234</v>
      </c>
      <c r="Y132" s="1">
        <f>Dominus[[#This Row],[Degree change]]+Y131</f>
        <v>69.162242148281081</v>
      </c>
    </row>
    <row r="133" spans="1:25">
      <c r="A133">
        <v>132</v>
      </c>
      <c r="B133" s="1">
        <v>-884.88995399999999</v>
      </c>
      <c r="C133" s="1">
        <v>2644.0200199999999</v>
      </c>
      <c r="D133" s="1">
        <v>17.049999</v>
      </c>
      <c r="E133" s="1">
        <v>-2280.320068</v>
      </c>
      <c r="F133" s="1">
        <v>-300.10998499999999</v>
      </c>
      <c r="G133" s="1">
        <v>8.0299999999999994</v>
      </c>
      <c r="H133" s="1">
        <v>2.0000000000000001E-4</v>
      </c>
      <c r="I133" s="1">
        <v>0</v>
      </c>
      <c r="J133" s="1">
        <v>2.0461999999999998</v>
      </c>
      <c r="K133" s="1">
        <v>-8.3479999999999995E-3</v>
      </c>
      <c r="L133" s="1">
        <v>-7.9000000000000001E-4</v>
      </c>
      <c r="M133" s="1">
        <v>0.99537200000000003</v>
      </c>
      <c r="N133" s="1">
        <v>-9.5727999999999994E-2</v>
      </c>
      <c r="O133">
        <v>1</v>
      </c>
      <c r="P133">
        <v>0</v>
      </c>
      <c r="Q133">
        <v>1</v>
      </c>
      <c r="R133">
        <v>1</v>
      </c>
      <c r="S133">
        <v>1</v>
      </c>
      <c r="T133" s="1">
        <f>SQRT(POWER(Dominus[[#This Row],[angvel_X]],2) + POWER(Dominus[[#This Row],[angvel_Y]],2) + POWER(Dominus[[#This Row],[angvel_Z]],2))</f>
        <v>2.0462000097742155</v>
      </c>
      <c r="U133" s="1">
        <f>DEGREES(ASIN(MAX(-1,MIN(1,2 * (Dominus[[#This Row],[quart_W]]*Dominus[[#This Row],[quart_Y]] - Dominus[[#This Row],[quart_Z]]*Dominus[[#This Row],[quart_X]])))))</f>
        <v>0.96089418518802439</v>
      </c>
      <c r="V13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-100.98685084895929</v>
      </c>
      <c r="W13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89.998533770824679</v>
      </c>
      <c r="X133" s="1">
        <f>IF(Dominus[[#This Row],[Yaw]]&gt;V132,(360-ABS(Dominus[[#This Row],[Yaw]])-ABS(V132)),ABS(Dominus[[#This Row],[Yaw]]-V132))</f>
        <v>0.97713111835770405</v>
      </c>
      <c r="Y133" s="1">
        <f>Dominus[[#This Row],[Degree change]]+Y132</f>
        <v>70.139373266638785</v>
      </c>
    </row>
    <row r="134" spans="1:25">
      <c r="A134">
        <v>133</v>
      </c>
      <c r="B134" s="1">
        <v>-903.95996100000002</v>
      </c>
      <c r="C134" s="1">
        <v>2641.51001</v>
      </c>
      <c r="D134" s="1">
        <v>17.049999</v>
      </c>
      <c r="E134" s="1">
        <v>-2274.8698730000001</v>
      </c>
      <c r="F134" s="1">
        <v>-338.92999300000002</v>
      </c>
      <c r="G134" s="1">
        <v>8.0299999999999994</v>
      </c>
      <c r="H134" s="1">
        <v>2.0000000000000001E-4</v>
      </c>
      <c r="I134" s="1">
        <v>0</v>
      </c>
      <c r="J134" s="1">
        <v>2.0463</v>
      </c>
      <c r="K134" s="1">
        <v>-8.3429999999999997E-3</v>
      </c>
      <c r="L134" s="1">
        <v>-8.5999999999999998E-4</v>
      </c>
      <c r="M134" s="1">
        <v>0.99451999999999996</v>
      </c>
      <c r="N134" s="1">
        <v>-0.104209</v>
      </c>
      <c r="O134">
        <v>1</v>
      </c>
      <c r="P134">
        <v>0</v>
      </c>
      <c r="Q134">
        <v>1</v>
      </c>
      <c r="R134">
        <v>1</v>
      </c>
      <c r="S134">
        <v>1</v>
      </c>
      <c r="T134" s="1">
        <f>SQRT(POWER(Dominus[[#This Row],[angvel_X]],2) + POWER(Dominus[[#This Row],[angvel_Y]],2) + POWER(Dominus[[#This Row],[angvel_Z]],2))</f>
        <v>2.0463000097737378</v>
      </c>
      <c r="U134" s="1">
        <f>DEGREES(ASIN(MAX(-1,MIN(1,2 * (Dominus[[#This Row],[quart_W]]*Dominus[[#This Row],[quart_Y]] - Dominus[[#This Row],[quart_Z]]*Dominus[[#This Row],[quart_X]])))))</f>
        <v>0.96111303130265024</v>
      </c>
      <c r="V13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-101.96362904005686</v>
      </c>
      <c r="W13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89.998380766837712</v>
      </c>
      <c r="X134" s="1">
        <f>IF(Dominus[[#This Row],[Yaw]]&gt;V133,(360-ABS(Dominus[[#This Row],[Yaw]])-ABS(V133)),ABS(Dominus[[#This Row],[Yaw]]-V133))</f>
        <v>0.9767781910975657</v>
      </c>
      <c r="Y134" s="1">
        <f>Dominus[[#This Row],[Degree change]]+Y133</f>
        <v>71.11615145773635</v>
      </c>
    </row>
    <row r="135" spans="1:25">
      <c r="A135">
        <v>134</v>
      </c>
      <c r="B135" s="1">
        <v>-922.97997999999995</v>
      </c>
      <c r="C135" s="1">
        <v>2638.669922</v>
      </c>
      <c r="D135" s="1">
        <v>17.049999</v>
      </c>
      <c r="E135" s="1">
        <v>-2268.76001</v>
      </c>
      <c r="F135" s="1">
        <v>-377.64999399999999</v>
      </c>
      <c r="G135" s="1">
        <v>8.0299999999999994</v>
      </c>
      <c r="H135" s="1">
        <v>2.0000000000000001E-4</v>
      </c>
      <c r="I135" s="1">
        <v>0</v>
      </c>
      <c r="J135" s="1">
        <v>2.0464000000000002</v>
      </c>
      <c r="K135" s="1">
        <v>-8.3379999999999999E-3</v>
      </c>
      <c r="L135" s="1">
        <v>-9.3099999999999997E-4</v>
      </c>
      <c r="M135" s="1">
        <v>0.99359500000000001</v>
      </c>
      <c r="N135" s="1">
        <v>-0.11268400000000001</v>
      </c>
      <c r="O135">
        <v>1</v>
      </c>
      <c r="P135">
        <v>0</v>
      </c>
      <c r="Q135">
        <v>1</v>
      </c>
      <c r="R135">
        <v>1</v>
      </c>
      <c r="S135">
        <v>1</v>
      </c>
      <c r="T135" s="1">
        <f>SQRT(POWER(Dominus[[#This Row],[angvel_X]],2) + POWER(Dominus[[#This Row],[angvel_Y]],2) + POWER(Dominus[[#This Row],[angvel_Z]],2))</f>
        <v>2.0464000097732606</v>
      </c>
      <c r="U135" s="1">
        <f>DEGREES(ASIN(MAX(-1,MIN(1,2 * (Dominus[[#This Row],[quart_W]]*Dominus[[#This Row],[quart_Y]] - Dominus[[#This Row],[quart_Z]]*Dominus[[#This Row],[quart_X]])))))</f>
        <v>0.96141144840568815</v>
      </c>
      <c r="V13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-102.94060814510252</v>
      </c>
      <c r="W13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89.998335638770712</v>
      </c>
      <c r="X135" s="1">
        <f>IF(Dominus[[#This Row],[Yaw]]&gt;V134,(360-ABS(Dominus[[#This Row],[Yaw]])-ABS(V134)),ABS(Dominus[[#This Row],[Yaw]]-V134))</f>
        <v>0.97697910504565755</v>
      </c>
      <c r="Y135" s="1">
        <f>Dominus[[#This Row],[Degree change]]+Y134</f>
        <v>72.093130562782008</v>
      </c>
    </row>
    <row r="136" spans="1:25">
      <c r="A136">
        <v>135</v>
      </c>
      <c r="B136" s="1">
        <v>-941.94995100000006</v>
      </c>
      <c r="C136" s="1">
        <v>2635.51001</v>
      </c>
      <c r="D136" s="1">
        <v>17.049999</v>
      </c>
      <c r="E136" s="1">
        <v>-2262</v>
      </c>
      <c r="F136" s="1">
        <v>-416.26998900000001</v>
      </c>
      <c r="G136" s="1">
        <v>8.0299999999999994</v>
      </c>
      <c r="H136" s="1">
        <v>2.9999999999999997E-4</v>
      </c>
      <c r="I136" s="1">
        <v>0</v>
      </c>
      <c r="J136" s="1">
        <v>2.0465</v>
      </c>
      <c r="K136" s="1">
        <v>-8.3269999999999993E-3</v>
      </c>
      <c r="L136" s="1">
        <v>-1.0009999999999999E-3</v>
      </c>
      <c r="M136" s="1">
        <v>0.99259799999999998</v>
      </c>
      <c r="N136" s="1">
        <v>-0.121154</v>
      </c>
      <c r="O136">
        <v>1</v>
      </c>
      <c r="P136">
        <v>0</v>
      </c>
      <c r="Q136">
        <v>1</v>
      </c>
      <c r="R136">
        <v>1</v>
      </c>
      <c r="S136">
        <v>1</v>
      </c>
      <c r="T136" s="1">
        <f>SQRT(POWER(Dominus[[#This Row],[angvel_X]],2) + POWER(Dominus[[#This Row],[angvel_Y]],2) + POWER(Dominus[[#This Row],[angvel_Z]],2))</f>
        <v>2.046500021988761</v>
      </c>
      <c r="U136" s="1">
        <f>DEGREES(ASIN(MAX(-1,MIN(1,2 * (Dominus[[#This Row],[quart_W]]*Dominus[[#This Row],[quart_Y]] - Dominus[[#This Row],[quart_Z]]*Dominus[[#This Row],[quart_X]])))))</f>
        <v>0.96108307285439565</v>
      </c>
      <c r="V13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-103.91793433343588</v>
      </c>
      <c r="W13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89.998251228882964</v>
      </c>
      <c r="X136" s="1">
        <f>IF(Dominus[[#This Row],[Yaw]]&gt;V135,(360-ABS(Dominus[[#This Row],[Yaw]])-ABS(V135)),ABS(Dominus[[#This Row],[Yaw]]-V135))</f>
        <v>0.9773261883333646</v>
      </c>
      <c r="Y136" s="1">
        <f>Dominus[[#This Row],[Degree change]]+Y135</f>
        <v>73.070456751115373</v>
      </c>
    </row>
    <row r="137" spans="1:25">
      <c r="A137">
        <v>136</v>
      </c>
      <c r="B137" s="1">
        <v>-960.86999500000002</v>
      </c>
      <c r="C137" s="1">
        <v>2632.0200199999999</v>
      </c>
      <c r="D137" s="1">
        <v>17.049999</v>
      </c>
      <c r="E137" s="1">
        <v>-2254.570068</v>
      </c>
      <c r="F137" s="1">
        <v>-454.76998900000001</v>
      </c>
      <c r="G137" s="1">
        <v>8.0299999999999994</v>
      </c>
      <c r="H137" s="1">
        <v>2.9999999999999997E-4</v>
      </c>
      <c r="I137" s="1">
        <v>0</v>
      </c>
      <c r="J137" s="1">
        <v>2.0466000000000002</v>
      </c>
      <c r="K137" s="1">
        <v>-8.3160000000000005E-3</v>
      </c>
      <c r="L137" s="1">
        <v>-1.0709999999999999E-3</v>
      </c>
      <c r="M137" s="1">
        <v>0.99152899999999999</v>
      </c>
      <c r="N137" s="1">
        <v>-0.12961300000000001</v>
      </c>
      <c r="O137">
        <v>1</v>
      </c>
      <c r="P137">
        <v>0</v>
      </c>
      <c r="Q137">
        <v>1</v>
      </c>
      <c r="R137">
        <v>1</v>
      </c>
      <c r="S137">
        <v>1</v>
      </c>
      <c r="T137" s="1">
        <f>SQRT(POWER(Dominus[[#This Row],[angvel_X]],2) + POWER(Dominus[[#This Row],[angvel_Y]],2) + POWER(Dominus[[#This Row],[angvel_Z]],2))</f>
        <v>2.046600021987687</v>
      </c>
      <c r="U137" s="1">
        <f>DEGREES(ASIN(MAX(-1,MIN(1,2 * (Dominus[[#This Row],[quart_W]]*Dominus[[#This Row],[quart_Y]] - Dominus[[#This Row],[quart_Z]]*Dominus[[#This Row],[quart_X]])))))</f>
        <v>0.96082314115118972</v>
      </c>
      <c r="V13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-104.89501026317114</v>
      </c>
      <c r="W13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89.998173824254067</v>
      </c>
      <c r="X137" s="1">
        <f>IF(Dominus[[#This Row],[Yaw]]&gt;V136,(360-ABS(Dominus[[#This Row],[Yaw]])-ABS(V136)),ABS(Dominus[[#This Row],[Yaw]]-V136))</f>
        <v>0.97707592973526403</v>
      </c>
      <c r="Y137" s="1">
        <f>Dominus[[#This Row],[Degree change]]+Y136</f>
        <v>74.047532680850637</v>
      </c>
    </row>
    <row r="138" spans="1:25">
      <c r="A138">
        <v>137</v>
      </c>
      <c r="B138" s="1">
        <v>-979.71997099999999</v>
      </c>
      <c r="C138" s="1">
        <v>2628.209961</v>
      </c>
      <c r="D138" s="1">
        <v>17.049999</v>
      </c>
      <c r="E138" s="1">
        <v>-2246.48999</v>
      </c>
      <c r="F138" s="1">
        <v>-493.13998400000003</v>
      </c>
      <c r="G138" s="1">
        <v>8.0299999999999994</v>
      </c>
      <c r="H138" s="1">
        <v>2.9999999999999997E-4</v>
      </c>
      <c r="I138" s="1">
        <v>0</v>
      </c>
      <c r="J138" s="1">
        <v>2.0467</v>
      </c>
      <c r="K138" s="1">
        <v>-8.3049999999999999E-3</v>
      </c>
      <c r="L138" s="1">
        <v>-1.1410000000000001E-3</v>
      </c>
      <c r="M138" s="1">
        <v>0.99038800000000005</v>
      </c>
      <c r="N138" s="1">
        <v>-0.13806099999999999</v>
      </c>
      <c r="O138">
        <v>1</v>
      </c>
      <c r="P138">
        <v>0</v>
      </c>
      <c r="Q138">
        <v>1</v>
      </c>
      <c r="R138">
        <v>1</v>
      </c>
      <c r="S138">
        <v>1</v>
      </c>
      <c r="T138" s="1">
        <f>SQRT(POWER(Dominus[[#This Row],[angvel_X]],2) + POWER(Dominus[[#This Row],[angvel_Y]],2) + POWER(Dominus[[#This Row],[angvel_Z]],2))</f>
        <v>2.0467000219866125</v>
      </c>
      <c r="U138" s="1">
        <f>DEGREES(ASIN(MAX(-1,MIN(1,2 * (Dominus[[#This Row],[quart_W]]*Dominus[[#This Row],[quart_Y]] - Dominus[[#This Row],[quart_Z]]*Dominus[[#This Row],[quart_X]])))))</f>
        <v>0.96063166084454576</v>
      </c>
      <c r="V13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-105.87190926708189</v>
      </c>
      <c r="W13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89.99810165040725</v>
      </c>
      <c r="X138" s="1">
        <f>IF(Dominus[[#This Row],[Yaw]]&gt;V137,(360-ABS(Dominus[[#This Row],[Yaw]])-ABS(V137)),ABS(Dominus[[#This Row],[Yaw]]-V137))</f>
        <v>0.97689900391074502</v>
      </c>
      <c r="Y138" s="1">
        <f>Dominus[[#This Row],[Degree change]]+Y137</f>
        <v>75.024431684761382</v>
      </c>
    </row>
    <row r="139" spans="1:25">
      <c r="A139">
        <v>138</v>
      </c>
      <c r="B139" s="1">
        <v>-998.50994900000001</v>
      </c>
      <c r="C139" s="1">
        <v>2624.0798340000001</v>
      </c>
      <c r="D139" s="1">
        <v>17.049999</v>
      </c>
      <c r="E139" s="1">
        <v>-2237.76001</v>
      </c>
      <c r="F139" s="1">
        <v>-531.36999500000002</v>
      </c>
      <c r="G139" s="1">
        <v>8.0299999999999994</v>
      </c>
      <c r="H139" s="1">
        <v>4.0000000000000002E-4</v>
      </c>
      <c r="I139" s="1">
        <v>0</v>
      </c>
      <c r="J139" s="1">
        <v>2.0468000000000002</v>
      </c>
      <c r="K139" s="1">
        <v>-8.2950000000000003E-3</v>
      </c>
      <c r="L139" s="1">
        <v>-1.2110000000000001E-3</v>
      </c>
      <c r="M139" s="1">
        <v>0.989174</v>
      </c>
      <c r="N139" s="1">
        <v>-0.146504</v>
      </c>
      <c r="O139">
        <v>1</v>
      </c>
      <c r="P139">
        <v>0</v>
      </c>
      <c r="Q139">
        <v>1</v>
      </c>
      <c r="R139">
        <v>1</v>
      </c>
      <c r="S139">
        <v>1</v>
      </c>
      <c r="T139" s="1">
        <f>SQRT(POWER(Dominus[[#This Row],[angvel_X]],2) + POWER(Dominus[[#This Row],[angvel_Y]],2) + POWER(Dominus[[#This Row],[angvel_Z]],2))</f>
        <v>2.0468000390854013</v>
      </c>
      <c r="U139" s="1">
        <f>DEGREES(ASIN(MAX(-1,MIN(1,2 * (Dominus[[#This Row],[quart_W]]*Dominus[[#This Row],[quart_Y]] - Dominus[[#This Row],[quart_Z]]*Dominus[[#This Row],[quart_X]])))))</f>
        <v>0.96062188859261377</v>
      </c>
      <c r="V13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-106.84940510572706</v>
      </c>
      <c r="W13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89.998010300194139</v>
      </c>
      <c r="X139" s="1">
        <f>IF(Dominus[[#This Row],[Yaw]]&gt;V138,(360-ABS(Dominus[[#This Row],[Yaw]])-ABS(V138)),ABS(Dominus[[#This Row],[Yaw]]-V138))</f>
        <v>0.97749583864516865</v>
      </c>
      <c r="Y139" s="1">
        <f>Dominus[[#This Row],[Degree change]]+Y138</f>
        <v>76.00192752340655</v>
      </c>
    </row>
    <row r="140" spans="1:25">
      <c r="A140">
        <v>139</v>
      </c>
      <c r="B140" s="1">
        <v>-1017.219971</v>
      </c>
      <c r="C140" s="1">
        <v>2619.6298830000001</v>
      </c>
      <c r="D140" s="1">
        <v>17.049999</v>
      </c>
      <c r="E140" s="1">
        <v>-2228.3698730000001</v>
      </c>
      <c r="F140" s="1">
        <v>-569.45001200000002</v>
      </c>
      <c r="G140" s="1">
        <v>8.0299999999999994</v>
      </c>
      <c r="H140" s="1">
        <v>4.0000000000000002E-4</v>
      </c>
      <c r="I140" s="1">
        <v>0</v>
      </c>
      <c r="J140" s="1">
        <v>2.0468999999999999</v>
      </c>
      <c r="K140" s="1">
        <v>-8.2839999999999997E-3</v>
      </c>
      <c r="L140" s="1">
        <v>-1.281E-3</v>
      </c>
      <c r="M140" s="1">
        <v>0.98788900000000002</v>
      </c>
      <c r="N140" s="1">
        <v>-0.15493599999999999</v>
      </c>
      <c r="O140">
        <v>1</v>
      </c>
      <c r="P140">
        <v>0</v>
      </c>
      <c r="Q140">
        <v>1</v>
      </c>
      <c r="R140">
        <v>1</v>
      </c>
      <c r="S140">
        <v>1</v>
      </c>
      <c r="T140" s="1">
        <f>SQRT(POWER(Dominus[[#This Row],[angvel_X]],2) + POWER(Dominus[[#This Row],[angvel_Y]],2) + POWER(Dominus[[#This Row],[angvel_Z]],2))</f>
        <v>2.0469000390834915</v>
      </c>
      <c r="U140" s="1">
        <f>DEGREES(ASIN(MAX(-1,MIN(1,2 * (Dominus[[#This Row],[quart_W]]*Dominus[[#This Row],[quart_Y]] - Dominus[[#This Row],[quart_Z]]*Dominus[[#This Row],[quart_X]])))))</f>
        <v>0.96056811673875275</v>
      </c>
      <c r="V14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-107.82681486820304</v>
      </c>
      <c r="W14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89.997936601881435</v>
      </c>
      <c r="X140" s="1">
        <f>IF(Dominus[[#This Row],[Yaw]]&gt;V139,(360-ABS(Dominus[[#This Row],[Yaw]])-ABS(V139)),ABS(Dominus[[#This Row],[Yaw]]-V139))</f>
        <v>0.9774097624759861</v>
      </c>
      <c r="Y140" s="1">
        <f>Dominus[[#This Row],[Degree change]]+Y139</f>
        <v>76.979337285882536</v>
      </c>
    </row>
    <row r="141" spans="1:25">
      <c r="A141">
        <v>140</v>
      </c>
      <c r="B141" s="1">
        <v>-1035.8599850000001</v>
      </c>
      <c r="C141" s="1">
        <v>2614.8598630000001</v>
      </c>
      <c r="D141" s="1">
        <v>17.049999</v>
      </c>
      <c r="E141" s="1">
        <v>-2218.3398440000001</v>
      </c>
      <c r="F141" s="1">
        <v>-607.35998500000005</v>
      </c>
      <c r="G141" s="1">
        <v>8.0299999999999994</v>
      </c>
      <c r="H141" s="1">
        <v>4.0000000000000002E-4</v>
      </c>
      <c r="I141" s="1">
        <v>0</v>
      </c>
      <c r="J141" s="1">
        <v>2.0468999999999999</v>
      </c>
      <c r="K141" s="1">
        <v>-8.2730000000000008E-3</v>
      </c>
      <c r="L141" s="1">
        <v>-1.351E-3</v>
      </c>
      <c r="M141" s="1">
        <v>0.98653100000000005</v>
      </c>
      <c r="N141" s="1">
        <v>-0.163358</v>
      </c>
      <c r="O141">
        <v>1</v>
      </c>
      <c r="P141">
        <v>0</v>
      </c>
      <c r="Q141">
        <v>1</v>
      </c>
      <c r="R141">
        <v>1</v>
      </c>
      <c r="S141">
        <v>1</v>
      </c>
      <c r="T141" s="1">
        <f>SQRT(POWER(Dominus[[#This Row],[angvel_X]],2) + POWER(Dominus[[#This Row],[angvel_Y]],2) + POWER(Dominus[[#This Row],[angvel_Z]],2))</f>
        <v>2.0469000390834915</v>
      </c>
      <c r="U141" s="1">
        <f>DEGREES(ASIN(MAX(-1,MIN(1,2 * (Dominus[[#This Row],[quart_W]]*Dominus[[#This Row],[quart_Y]] - Dominus[[#This Row],[quart_Z]]*Dominus[[#This Row],[quart_X]])))))</f>
        <v>0.96058211365828938</v>
      </c>
      <c r="V14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-108.80441931716661</v>
      </c>
      <c r="W14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89.997861724329866</v>
      </c>
      <c r="X141" s="1">
        <f>IF(Dominus[[#This Row],[Yaw]]&gt;V140,(360-ABS(Dominus[[#This Row],[Yaw]])-ABS(V140)),ABS(Dominus[[#This Row],[Yaw]]-V140))</f>
        <v>0.97760444896356091</v>
      </c>
      <c r="Y141" s="1">
        <f>Dominus[[#This Row],[Degree change]]+Y140</f>
        <v>77.956941734846097</v>
      </c>
    </row>
    <row r="142" spans="1:25">
      <c r="A142">
        <v>141</v>
      </c>
      <c r="B142" s="1">
        <v>-1054.410034</v>
      </c>
      <c r="C142" s="1">
        <v>2609.780029</v>
      </c>
      <c r="D142" s="1">
        <v>17.049999</v>
      </c>
      <c r="E142" s="1">
        <v>-2207.6599120000001</v>
      </c>
      <c r="F142" s="1">
        <v>-645.09997599999997</v>
      </c>
      <c r="G142" s="1">
        <v>8.0299999999999994</v>
      </c>
      <c r="H142" s="1">
        <v>4.0000000000000002E-4</v>
      </c>
      <c r="I142" s="1">
        <v>0</v>
      </c>
      <c r="J142" s="1">
        <v>2.0468999999999999</v>
      </c>
      <c r="K142" s="1">
        <v>-8.2620000000000002E-3</v>
      </c>
      <c r="L142" s="1">
        <v>-1.4220000000000001E-3</v>
      </c>
      <c r="M142" s="1">
        <v>0.98510299999999995</v>
      </c>
      <c r="N142" s="1">
        <v>-0.171763</v>
      </c>
      <c r="O142">
        <v>1</v>
      </c>
      <c r="P142">
        <v>0</v>
      </c>
      <c r="Q142">
        <v>1</v>
      </c>
      <c r="R142">
        <v>1</v>
      </c>
      <c r="S142">
        <v>1</v>
      </c>
      <c r="T142" s="1">
        <f>SQRT(POWER(Dominus[[#This Row],[angvel_X]],2) + POWER(Dominus[[#This Row],[angvel_Y]],2) + POWER(Dominus[[#This Row],[angvel_Z]],2))</f>
        <v>2.0469000390834915</v>
      </c>
      <c r="U142" s="1">
        <f>DEGREES(ASIN(MAX(-1,MIN(1,2 * (Dominus[[#This Row],[quart_W]]*Dominus[[#This Row],[quart_Y]] - Dominus[[#This Row],[quart_Z]]*Dominus[[#This Row],[quart_X]])))))</f>
        <v>0.96068530078597958</v>
      </c>
      <c r="V14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-109.78137710901726</v>
      </c>
      <c r="W14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89.997903889916955</v>
      </c>
      <c r="X142" s="1">
        <f>IF(Dominus[[#This Row],[Yaw]]&gt;V141,(360-ABS(Dominus[[#This Row],[Yaw]])-ABS(V141)),ABS(Dominus[[#This Row],[Yaw]]-V141))</f>
        <v>0.97695779185065135</v>
      </c>
      <c r="Y142" s="1">
        <f>Dominus[[#This Row],[Degree change]]+Y141</f>
        <v>78.933899526696749</v>
      </c>
    </row>
    <row r="143" spans="1:25">
      <c r="A143">
        <v>142</v>
      </c>
      <c r="B143" s="1">
        <v>-1072.869995</v>
      </c>
      <c r="C143" s="1">
        <v>2604.3798830000001</v>
      </c>
      <c r="D143" s="1">
        <v>17.049999</v>
      </c>
      <c r="E143" s="1">
        <v>-2196.3398440000001</v>
      </c>
      <c r="F143" s="1">
        <v>-682.64996299999996</v>
      </c>
      <c r="G143" s="1">
        <v>8.0299999999999994</v>
      </c>
      <c r="H143" s="1">
        <v>4.0000000000000002E-4</v>
      </c>
      <c r="I143" s="1">
        <v>0</v>
      </c>
      <c r="J143" s="1">
        <v>2.0470000000000002</v>
      </c>
      <c r="K143" s="1">
        <v>-8.2509999999999997E-3</v>
      </c>
      <c r="L143" s="1">
        <v>-1.4920000000000001E-3</v>
      </c>
      <c r="M143" s="1">
        <v>0.98360199999999998</v>
      </c>
      <c r="N143" s="1">
        <v>-0.18015700000000001</v>
      </c>
      <c r="O143">
        <v>1</v>
      </c>
      <c r="P143">
        <v>0</v>
      </c>
      <c r="Q143">
        <v>1</v>
      </c>
      <c r="R143">
        <v>1</v>
      </c>
      <c r="S143">
        <v>1</v>
      </c>
      <c r="T143" s="1">
        <f>SQRT(POWER(Dominus[[#This Row],[angvel_X]],2) + POWER(Dominus[[#This Row],[angvel_Y]],2) + POWER(Dominus[[#This Row],[angvel_Z]],2))</f>
        <v>2.0470000390815826</v>
      </c>
      <c r="U143" s="1">
        <f>DEGREES(ASIN(MAX(-1,MIN(1,2 * (Dominus[[#This Row],[quart_W]]*Dominus[[#This Row],[quart_Y]] - Dominus[[#This Row],[quart_Z]]*Dominus[[#This Row],[quart_X]])))))</f>
        <v>0.96083731342151157</v>
      </c>
      <c r="V14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-110.75857338551418</v>
      </c>
      <c r="W14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89.997829190489796</v>
      </c>
      <c r="X143" s="1">
        <f>IF(Dominus[[#This Row],[Yaw]]&gt;V142,(360-ABS(Dominus[[#This Row],[Yaw]])-ABS(V142)),ABS(Dominus[[#This Row],[Yaw]]-V142))</f>
        <v>0.97719627649692598</v>
      </c>
      <c r="Y143" s="1">
        <f>Dominus[[#This Row],[Degree change]]+Y142</f>
        <v>79.911095803193675</v>
      </c>
    </row>
    <row r="144" spans="1:25">
      <c r="A144">
        <v>143</v>
      </c>
      <c r="B144" s="1">
        <v>-1091.23999</v>
      </c>
      <c r="C144" s="1">
        <v>2598.669922</v>
      </c>
      <c r="D144" s="1">
        <v>17.049999</v>
      </c>
      <c r="E144" s="1">
        <v>-2184.3798830000001</v>
      </c>
      <c r="F144" s="1">
        <v>-720</v>
      </c>
      <c r="G144" s="1">
        <v>8.0399999999999991</v>
      </c>
      <c r="H144" s="1">
        <v>4.0000000000000002E-4</v>
      </c>
      <c r="I144" s="1">
        <v>0</v>
      </c>
      <c r="J144" s="1">
        <v>2.0470000000000002</v>
      </c>
      <c r="K144" s="1">
        <v>-8.2410000000000001E-3</v>
      </c>
      <c r="L144" s="1">
        <v>-1.562E-3</v>
      </c>
      <c r="M144" s="1">
        <v>0.98202900000000004</v>
      </c>
      <c r="N144" s="1">
        <v>-0.18854099999999999</v>
      </c>
      <c r="O144">
        <v>1</v>
      </c>
      <c r="P144">
        <v>0</v>
      </c>
      <c r="Q144">
        <v>1</v>
      </c>
      <c r="R144">
        <v>1</v>
      </c>
      <c r="S144">
        <v>1</v>
      </c>
      <c r="T144" s="1">
        <f>SQRT(POWER(Dominus[[#This Row],[angvel_X]],2) + POWER(Dominus[[#This Row],[angvel_Y]],2) + POWER(Dominus[[#This Row],[angvel_Z]],2))</f>
        <v>2.0470000390815826</v>
      </c>
      <c r="U144" s="1">
        <f>DEGREES(ASIN(MAX(-1,MIN(1,2 * (Dominus[[#This Row],[quart_W]]*Dominus[[#This Row],[quart_Y]] - Dominus[[#This Row],[quart_Z]]*Dominus[[#This Row],[quart_X]])))))</f>
        <v>0.96117055645216654</v>
      </c>
      <c r="V14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-111.73612631572027</v>
      </c>
      <c r="W14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89.997726517836909</v>
      </c>
      <c r="X144" s="1">
        <f>IF(Dominus[[#This Row],[Yaw]]&gt;V143,(360-ABS(Dominus[[#This Row],[Yaw]])-ABS(V143)),ABS(Dominus[[#This Row],[Yaw]]-V143))</f>
        <v>0.97755293020608747</v>
      </c>
      <c r="Y144" s="1">
        <f>Dominus[[#This Row],[Degree change]]+Y143</f>
        <v>80.888648733399762</v>
      </c>
    </row>
    <row r="145" spans="1:25">
      <c r="A145">
        <v>144</v>
      </c>
      <c r="B145" s="1">
        <v>-1109.51001</v>
      </c>
      <c r="C145" s="1">
        <v>2592.639893</v>
      </c>
      <c r="D145" s="1">
        <v>17.049999</v>
      </c>
      <c r="E145" s="1">
        <v>-2171.780029</v>
      </c>
      <c r="F145" s="1">
        <v>-757.14996299999996</v>
      </c>
      <c r="G145" s="1">
        <v>8.0399999999999991</v>
      </c>
      <c r="H145" s="1">
        <v>4.0000000000000002E-4</v>
      </c>
      <c r="I145" s="1">
        <v>0</v>
      </c>
      <c r="J145" s="1">
        <v>2.0470000000000002</v>
      </c>
      <c r="K145" s="1">
        <v>-8.2299999999999995E-3</v>
      </c>
      <c r="L145" s="1">
        <v>-1.632E-3</v>
      </c>
      <c r="M145" s="1">
        <v>0.98038599999999998</v>
      </c>
      <c r="N145" s="1">
        <v>-0.196908</v>
      </c>
      <c r="O145">
        <v>1</v>
      </c>
      <c r="P145">
        <v>0</v>
      </c>
      <c r="Q145">
        <v>1</v>
      </c>
      <c r="R145">
        <v>1</v>
      </c>
      <c r="S145">
        <v>1</v>
      </c>
      <c r="T145" s="1">
        <f>SQRT(POWER(Dominus[[#This Row],[angvel_X]],2) + POWER(Dominus[[#This Row],[angvel_Y]],2) + POWER(Dominus[[#This Row],[angvel_Z]],2))</f>
        <v>2.0470000390815826</v>
      </c>
      <c r="U145" s="1">
        <f>DEGREES(ASIN(MAX(-1,MIN(1,2 * (Dominus[[#This Row],[quart_W]]*Dominus[[#This Row],[quart_Y]] - Dominus[[#This Row],[quart_Z]]*Dominus[[#This Row],[quart_X]])))))</f>
        <v>0.96146035403009877</v>
      </c>
      <c r="V14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-112.71324488979562</v>
      </c>
      <c r="W14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89.997643334806199</v>
      </c>
      <c r="X145" s="1">
        <f>IF(Dominus[[#This Row],[Yaw]]&gt;V144,(360-ABS(Dominus[[#This Row],[Yaw]])-ABS(V144)),ABS(Dominus[[#This Row],[Yaw]]-V144))</f>
        <v>0.97711857407534808</v>
      </c>
      <c r="Y145" s="1">
        <f>Dominus[[#This Row],[Degree change]]+Y144</f>
        <v>81.86576730747511</v>
      </c>
    </row>
    <row r="146" spans="1:25">
      <c r="A146">
        <v>145</v>
      </c>
      <c r="B146" s="1">
        <v>-1127.669922</v>
      </c>
      <c r="C146" s="1">
        <v>2586.3000489999999</v>
      </c>
      <c r="D146" s="1">
        <v>17.049999</v>
      </c>
      <c r="E146" s="1">
        <v>-2158.5500489999999</v>
      </c>
      <c r="F146" s="1">
        <v>-794.07995600000004</v>
      </c>
      <c r="G146" s="1">
        <v>8.0399999999999991</v>
      </c>
      <c r="H146" s="1">
        <v>4.0000000000000002E-4</v>
      </c>
      <c r="I146" s="1">
        <v>0</v>
      </c>
      <c r="J146" s="1">
        <v>2.0470999999999999</v>
      </c>
      <c r="K146" s="1">
        <v>-8.2140000000000008E-3</v>
      </c>
      <c r="L146" s="1">
        <v>-1.702E-3</v>
      </c>
      <c r="M146" s="1">
        <v>0.97867000000000004</v>
      </c>
      <c r="N146" s="1">
        <v>-0.205265</v>
      </c>
      <c r="O146">
        <v>1</v>
      </c>
      <c r="P146">
        <v>0</v>
      </c>
      <c r="Q146">
        <v>1</v>
      </c>
      <c r="R146">
        <v>1</v>
      </c>
      <c r="S146">
        <v>1</v>
      </c>
      <c r="T146" s="1">
        <f>SQRT(POWER(Dominus[[#This Row],[angvel_X]],2) + POWER(Dominus[[#This Row],[angvel_Y]],2) + POWER(Dominus[[#This Row],[angvel_Z]],2))</f>
        <v>2.0471000390796732</v>
      </c>
      <c r="U146" s="1">
        <f>DEGREES(ASIN(MAX(-1,MIN(1,2 * (Dominus[[#This Row],[quart_W]]*Dominus[[#This Row],[quart_Y]] - Dominus[[#This Row],[quart_Z]]*Dominus[[#This Row],[quart_X]])))))</f>
        <v>0.96125701408415498</v>
      </c>
      <c r="V14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-113.69092293965653</v>
      </c>
      <c r="W14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89.997667691142937</v>
      </c>
      <c r="X146" s="1">
        <f>IF(Dominus[[#This Row],[Yaw]]&gt;V145,(360-ABS(Dominus[[#This Row],[Yaw]])-ABS(V145)),ABS(Dominus[[#This Row],[Yaw]]-V145))</f>
        <v>0.97767804986091278</v>
      </c>
      <c r="Y146" s="1">
        <f>Dominus[[#This Row],[Degree change]]+Y145</f>
        <v>82.843445357336023</v>
      </c>
    </row>
    <row r="147" spans="1:25">
      <c r="A147">
        <v>146</v>
      </c>
      <c r="B147" s="1">
        <v>-1145.719971</v>
      </c>
      <c r="C147" s="1">
        <v>2579.6499020000001</v>
      </c>
      <c r="D147" s="1">
        <v>17.049999</v>
      </c>
      <c r="E147" s="1">
        <v>-2144.6899410000001</v>
      </c>
      <c r="F147" s="1">
        <v>-830.77996800000005</v>
      </c>
      <c r="G147" s="1">
        <v>8.0399999999999991</v>
      </c>
      <c r="H147" s="1">
        <v>4.0000000000000002E-4</v>
      </c>
      <c r="I147" s="1">
        <v>0</v>
      </c>
      <c r="J147" s="1">
        <v>2.0470999999999999</v>
      </c>
      <c r="K147" s="1">
        <v>-8.1969999999999994E-3</v>
      </c>
      <c r="L147" s="1">
        <v>-1.7719999999999999E-3</v>
      </c>
      <c r="M147" s="1">
        <v>0.97688399999999997</v>
      </c>
      <c r="N147" s="1">
        <v>-0.21360499999999999</v>
      </c>
      <c r="O147">
        <v>1</v>
      </c>
      <c r="P147">
        <v>0</v>
      </c>
      <c r="Q147">
        <v>1</v>
      </c>
      <c r="R147">
        <v>1</v>
      </c>
      <c r="S147">
        <v>1</v>
      </c>
      <c r="T147" s="1">
        <f>SQRT(POWER(Dominus[[#This Row],[angvel_X]],2) + POWER(Dominus[[#This Row],[angvel_Y]],2) + POWER(Dominus[[#This Row],[angvel_Z]],2))</f>
        <v>2.0471000390796732</v>
      </c>
      <c r="U147" s="1">
        <f>DEGREES(ASIN(MAX(-1,MIN(1,2 * (Dominus[[#This Row],[quart_W]]*Dominus[[#This Row],[quart_Y]] - Dominus[[#This Row],[quart_Z]]*Dominus[[#This Row],[quart_X]])))))</f>
        <v>0.96101287656663981</v>
      </c>
      <c r="V14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-114.66830557329878</v>
      </c>
      <c r="W14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89.997721400250768</v>
      </c>
      <c r="X147" s="1">
        <f>IF(Dominus[[#This Row],[Yaw]]&gt;V146,(360-ABS(Dominus[[#This Row],[Yaw]])-ABS(V146)),ABS(Dominus[[#This Row],[Yaw]]-V146))</f>
        <v>0.9773826336422502</v>
      </c>
      <c r="Y147" s="1">
        <f>Dominus[[#This Row],[Degree change]]+Y146</f>
        <v>83.820827990978273</v>
      </c>
    </row>
    <row r="148" spans="1:25">
      <c r="A148">
        <v>147</v>
      </c>
      <c r="B148" s="1">
        <v>-1163.650024</v>
      </c>
      <c r="C148" s="1">
        <v>2572.6999510000001</v>
      </c>
      <c r="D148" s="1">
        <v>17.049999</v>
      </c>
      <c r="E148" s="1">
        <v>-2130.209961</v>
      </c>
      <c r="F148" s="1">
        <v>-867.23999000000003</v>
      </c>
      <c r="G148" s="1">
        <v>8.0399999999999991</v>
      </c>
      <c r="H148" s="1">
        <v>4.0000000000000002E-4</v>
      </c>
      <c r="I148" s="1">
        <v>0</v>
      </c>
      <c r="J148" s="1">
        <v>2.0470999999999999</v>
      </c>
      <c r="K148" s="1">
        <v>-8.1810000000000008E-3</v>
      </c>
      <c r="L148" s="1">
        <v>-1.8420000000000001E-3</v>
      </c>
      <c r="M148" s="1">
        <v>0.97502699999999998</v>
      </c>
      <c r="N148" s="1">
        <v>-0.22192899999999999</v>
      </c>
      <c r="O148">
        <v>1</v>
      </c>
      <c r="P148">
        <v>0</v>
      </c>
      <c r="Q148">
        <v>1</v>
      </c>
      <c r="R148">
        <v>1</v>
      </c>
      <c r="S148">
        <v>1</v>
      </c>
      <c r="T148" s="1">
        <f>SQRT(POWER(Dominus[[#This Row],[angvel_X]],2) + POWER(Dominus[[#This Row],[angvel_Y]],2) + POWER(Dominus[[#This Row],[angvel_Z]],2))</f>
        <v>2.0471000390796732</v>
      </c>
      <c r="U148" s="1">
        <f>DEGREES(ASIN(MAX(-1,MIN(1,2 * (Dominus[[#This Row],[quart_W]]*Dominus[[#This Row],[quart_Y]] - Dominus[[#This Row],[quart_Z]]*Dominus[[#This Row],[quart_X]])))))</f>
        <v>0.96095132043853504</v>
      </c>
      <c r="V14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-115.64563428181144</v>
      </c>
      <c r="W14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89.997753527345509</v>
      </c>
      <c r="X148" s="1">
        <f>IF(Dominus[[#This Row],[Yaw]]&gt;V147,(360-ABS(Dominus[[#This Row],[Yaw]])-ABS(V147)),ABS(Dominus[[#This Row],[Yaw]]-V147))</f>
        <v>0.9773287085126583</v>
      </c>
      <c r="Y148" s="1">
        <f>Dominus[[#This Row],[Degree change]]+Y147</f>
        <v>84.798156699490931</v>
      </c>
    </row>
    <row r="149" spans="1:25">
      <c r="A149">
        <v>148</v>
      </c>
      <c r="B149" s="1">
        <v>-1181.459961</v>
      </c>
      <c r="C149" s="1">
        <v>2565.4399410000001</v>
      </c>
      <c r="D149" s="1">
        <v>17.049999</v>
      </c>
      <c r="E149" s="1">
        <v>-2115.1098630000001</v>
      </c>
      <c r="F149" s="1">
        <v>-903.44995100000006</v>
      </c>
      <c r="G149" s="1">
        <v>8.0399999999999991</v>
      </c>
      <c r="H149" s="1">
        <v>4.0000000000000002E-4</v>
      </c>
      <c r="I149" s="1">
        <v>0</v>
      </c>
      <c r="J149" s="1">
        <v>2.0470999999999999</v>
      </c>
      <c r="K149" s="1">
        <v>-8.1650000000000004E-3</v>
      </c>
      <c r="L149" s="1">
        <v>-1.9120000000000001E-3</v>
      </c>
      <c r="M149" s="1">
        <v>0.97309800000000002</v>
      </c>
      <c r="N149" s="1">
        <v>-0.230237</v>
      </c>
      <c r="O149">
        <v>1</v>
      </c>
      <c r="P149">
        <v>0</v>
      </c>
      <c r="Q149">
        <v>1</v>
      </c>
      <c r="R149">
        <v>1</v>
      </c>
      <c r="S149">
        <v>1</v>
      </c>
      <c r="T149" s="1">
        <f>SQRT(POWER(Dominus[[#This Row],[angvel_X]],2) + POWER(Dominus[[#This Row],[angvel_Y]],2) + POWER(Dominus[[#This Row],[angvel_Z]],2))</f>
        <v>2.0471000390796732</v>
      </c>
      <c r="U149" s="1">
        <f>DEGREES(ASIN(MAX(-1,MIN(1,2 * (Dominus[[#This Row],[quart_W]]*Dominus[[#This Row],[quart_Y]] - Dominus[[#This Row],[quart_Z]]*Dominus[[#This Row],[quart_X]])))))</f>
        <v>0.96095925232131452</v>
      </c>
      <c r="V14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-116.62305720983959</v>
      </c>
      <c r="W14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89.997785581502939</v>
      </c>
      <c r="X149" s="1">
        <f>IF(Dominus[[#This Row],[Yaw]]&gt;V148,(360-ABS(Dominus[[#This Row],[Yaw]])-ABS(V148)),ABS(Dominus[[#This Row],[Yaw]]-V148))</f>
        <v>0.97742292802814745</v>
      </c>
      <c r="Y149" s="1">
        <f>Dominus[[#This Row],[Degree change]]+Y148</f>
        <v>85.775579627519079</v>
      </c>
    </row>
    <row r="150" spans="1:25">
      <c r="A150">
        <v>149</v>
      </c>
      <c r="B150" s="1">
        <v>-1199.150024</v>
      </c>
      <c r="C150" s="1">
        <v>2557.8798830000001</v>
      </c>
      <c r="D150" s="1">
        <v>17.049999</v>
      </c>
      <c r="E150" s="1">
        <v>-2099.389893</v>
      </c>
      <c r="F150" s="1">
        <v>-939.38995399999999</v>
      </c>
      <c r="G150" s="1">
        <v>8.0399999999999991</v>
      </c>
      <c r="H150" s="1">
        <v>4.0000000000000002E-4</v>
      </c>
      <c r="I150" s="1">
        <v>0</v>
      </c>
      <c r="J150" s="1">
        <v>2.0470999999999999</v>
      </c>
      <c r="K150" s="1">
        <v>-8.149E-3</v>
      </c>
      <c r="L150" s="1">
        <v>-1.983E-3</v>
      </c>
      <c r="M150" s="1">
        <v>0.97109900000000005</v>
      </c>
      <c r="N150" s="1">
        <v>-0.23852899999999999</v>
      </c>
      <c r="O150">
        <v>1</v>
      </c>
      <c r="P150">
        <v>0</v>
      </c>
      <c r="Q150">
        <v>1</v>
      </c>
      <c r="R150">
        <v>1</v>
      </c>
      <c r="S150">
        <v>1</v>
      </c>
      <c r="T150" s="1">
        <f>SQRT(POWER(Dominus[[#This Row],[angvel_X]],2) + POWER(Dominus[[#This Row],[angvel_Y]],2) + POWER(Dominus[[#This Row],[angvel_Z]],2))</f>
        <v>2.0471000390796732</v>
      </c>
      <c r="U150" s="1">
        <f>DEGREES(ASIN(MAX(-1,MIN(1,2 * (Dominus[[#This Row],[quart_W]]*Dominus[[#This Row],[quart_Y]] - Dominus[[#This Row],[quart_Z]]*Dominus[[#This Row],[quart_X]])))))</f>
        <v>0.96106588834935647</v>
      </c>
      <c r="V15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-117.6004939075692</v>
      </c>
      <c r="W15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89.99792749153066</v>
      </c>
      <c r="X150" s="1">
        <f>IF(Dominus[[#This Row],[Yaw]]&gt;V149,(360-ABS(Dominus[[#This Row],[Yaw]])-ABS(V149)),ABS(Dominus[[#This Row],[Yaw]]-V149))</f>
        <v>0.97743669772961539</v>
      </c>
      <c r="Y150" s="1">
        <f>Dominus[[#This Row],[Degree change]]+Y149</f>
        <v>86.753016325248694</v>
      </c>
    </row>
    <row r="151" spans="1:25">
      <c r="A151">
        <v>150</v>
      </c>
      <c r="B151" s="1">
        <v>-1216.709961</v>
      </c>
      <c r="C151" s="1">
        <v>2550.0200199999999</v>
      </c>
      <c r="D151" s="1">
        <v>17.049999</v>
      </c>
      <c r="E151" s="1">
        <v>-2083.0600589999999</v>
      </c>
      <c r="F151" s="1">
        <v>-975.05999799999995</v>
      </c>
      <c r="G151" s="1">
        <v>8.0399999999999991</v>
      </c>
      <c r="H151" s="1">
        <v>4.0000000000000002E-4</v>
      </c>
      <c r="I151" s="1">
        <v>0</v>
      </c>
      <c r="J151" s="1">
        <v>2.0470999999999999</v>
      </c>
      <c r="K151" s="1">
        <v>-8.1329999999999996E-3</v>
      </c>
      <c r="L151" s="1">
        <v>-2.0530000000000001E-3</v>
      </c>
      <c r="M151" s="1">
        <v>0.96902900000000003</v>
      </c>
      <c r="N151" s="1">
        <v>-0.246805</v>
      </c>
      <c r="O151">
        <v>1</v>
      </c>
      <c r="P151">
        <v>0</v>
      </c>
      <c r="Q151">
        <v>1</v>
      </c>
      <c r="R151">
        <v>1</v>
      </c>
      <c r="S151">
        <v>1</v>
      </c>
      <c r="T151" s="1">
        <f>SQRT(POWER(Dominus[[#This Row],[angvel_X]],2) + POWER(Dominus[[#This Row],[angvel_Y]],2) + POWER(Dominus[[#This Row],[angvel_Z]],2))</f>
        <v>2.0471000390796732</v>
      </c>
      <c r="U151" s="1">
        <f>DEGREES(ASIN(MAX(-1,MIN(1,2 * (Dominus[[#This Row],[quart_W]]*Dominus[[#This Row],[quart_Y]] - Dominus[[#This Row],[quart_Z]]*Dominus[[#This Row],[quart_X]])))))</f>
        <v>0.96121657040658348</v>
      </c>
      <c r="V15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-118.57809002669603</v>
      </c>
      <c r="W15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89.99795442149518</v>
      </c>
      <c r="X151" s="1">
        <f>IF(Dominus[[#This Row],[Yaw]]&gt;V150,(360-ABS(Dominus[[#This Row],[Yaw]])-ABS(V150)),ABS(Dominus[[#This Row],[Yaw]]-V150))</f>
        <v>0.97759611912682942</v>
      </c>
      <c r="Y151" s="1">
        <f>Dominus[[#This Row],[Degree change]]+Y150</f>
        <v>87.730612444375524</v>
      </c>
    </row>
    <row r="152" spans="1:25">
      <c r="A152">
        <v>151</v>
      </c>
      <c r="B152" s="1">
        <v>-1234.130005</v>
      </c>
      <c r="C152" s="1">
        <v>2541.8598630000001</v>
      </c>
      <c r="D152" s="1">
        <v>17.049999</v>
      </c>
      <c r="E152" s="1">
        <v>-2066.1298830000001</v>
      </c>
      <c r="F152" s="1">
        <v>-1010.4499510000001</v>
      </c>
      <c r="G152" s="1">
        <v>8.0399999999999991</v>
      </c>
      <c r="H152" s="1">
        <v>4.0000000000000002E-4</v>
      </c>
      <c r="I152" s="1">
        <v>0</v>
      </c>
      <c r="J152" s="1">
        <v>2.0470999999999999</v>
      </c>
      <c r="K152" s="1">
        <v>-8.1169999999999992E-3</v>
      </c>
      <c r="L152" s="1">
        <v>-2.1229999999999999E-3</v>
      </c>
      <c r="M152" s="1">
        <v>0.966889</v>
      </c>
      <c r="N152" s="1">
        <v>-0.25505899999999998</v>
      </c>
      <c r="O152">
        <v>1</v>
      </c>
      <c r="P152">
        <v>0</v>
      </c>
      <c r="Q152">
        <v>1</v>
      </c>
      <c r="R152">
        <v>1</v>
      </c>
      <c r="S152">
        <v>1</v>
      </c>
      <c r="T152" s="1">
        <f>SQRT(POWER(Dominus[[#This Row],[angvel_X]],2) + POWER(Dominus[[#This Row],[angvel_Y]],2) + POWER(Dominus[[#This Row],[angvel_Z]],2))</f>
        <v>2.0471000390796732</v>
      </c>
      <c r="U152" s="1">
        <f>DEGREES(ASIN(MAX(-1,MIN(1,2 * (Dominus[[#This Row],[quart_W]]*Dominus[[#This Row],[quart_Y]] - Dominus[[#This Row],[quart_Z]]*Dominus[[#This Row],[quart_X]])))))</f>
        <v>0.96143716132940205</v>
      </c>
      <c r="V15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-119.55525090255426</v>
      </c>
      <c r="W15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89.997981924000484</v>
      </c>
      <c r="X152" s="1">
        <f>IF(Dominus[[#This Row],[Yaw]]&gt;V151,(360-ABS(Dominus[[#This Row],[Yaw]])-ABS(V151)),ABS(Dominus[[#This Row],[Yaw]]-V151))</f>
        <v>0.97716087585823175</v>
      </c>
      <c r="Y152" s="1">
        <f>Dominus[[#This Row],[Degree change]]+Y151</f>
        <v>88.707773320233755</v>
      </c>
    </row>
    <row r="153" spans="1:25">
      <c r="A153">
        <v>152</v>
      </c>
      <c r="B153" s="1">
        <v>-1251.4099120000001</v>
      </c>
      <c r="C153" s="1">
        <v>2533.4099120000001</v>
      </c>
      <c r="D153" s="1">
        <v>17.049999</v>
      </c>
      <c r="E153" s="1">
        <v>-2048.5898440000001</v>
      </c>
      <c r="F153" s="1">
        <v>-1045.549927</v>
      </c>
      <c r="G153" s="1">
        <v>8.0399999999999991</v>
      </c>
      <c r="H153" s="1">
        <v>4.0000000000000002E-4</v>
      </c>
      <c r="I153" s="1">
        <v>0</v>
      </c>
      <c r="J153" s="1">
        <v>2.0470999999999999</v>
      </c>
      <c r="K153" s="1">
        <v>-8.0999999999999996E-3</v>
      </c>
      <c r="L153" s="1">
        <v>-2.1930000000000001E-3</v>
      </c>
      <c r="M153" s="1">
        <v>0.96467800000000004</v>
      </c>
      <c r="N153" s="1">
        <v>-0.263297</v>
      </c>
      <c r="O153">
        <v>1</v>
      </c>
      <c r="P153">
        <v>0</v>
      </c>
      <c r="Q153">
        <v>1</v>
      </c>
      <c r="R153">
        <v>1</v>
      </c>
      <c r="S153">
        <v>1</v>
      </c>
      <c r="T153" s="1">
        <f>SQRT(POWER(Dominus[[#This Row],[angvel_X]],2) + POWER(Dominus[[#This Row],[angvel_Y]],2) + POWER(Dominus[[#This Row],[angvel_Z]],2))</f>
        <v>2.0471000390796732</v>
      </c>
      <c r="U153" s="1">
        <f>DEGREES(ASIN(MAX(-1,MIN(1,2 * (Dominus[[#This Row],[quart_W]]*Dominus[[#This Row],[quart_Y]] - Dominus[[#This Row],[quart_Z]]*Dominus[[#This Row],[quart_X]])))))</f>
        <v>0.96161753676808603</v>
      </c>
      <c r="V15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-120.53271538280109</v>
      </c>
      <c r="W15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89.998032547260991</v>
      </c>
      <c r="X153" s="1">
        <f>IF(Dominus[[#This Row],[Yaw]]&gt;V152,(360-ABS(Dominus[[#This Row],[Yaw]])-ABS(V152)),ABS(Dominus[[#This Row],[Yaw]]-V152))</f>
        <v>0.97746448024682309</v>
      </c>
      <c r="Y153" s="1">
        <f>Dominus[[#This Row],[Degree change]]+Y152</f>
        <v>89.685237800480579</v>
      </c>
    </row>
    <row r="154" spans="1:25">
      <c r="A154">
        <v>153</v>
      </c>
      <c r="B154" s="1">
        <v>-1268.5399170000001</v>
      </c>
      <c r="C154" s="1">
        <v>2524.6599120000001</v>
      </c>
      <c r="D154" s="1">
        <v>17.049999</v>
      </c>
      <c r="E154" s="1">
        <v>-2030.459961</v>
      </c>
      <c r="F154" s="1">
        <v>-1080.339966</v>
      </c>
      <c r="G154" s="1">
        <v>8.0399999999999991</v>
      </c>
      <c r="H154" s="1">
        <v>4.0000000000000002E-4</v>
      </c>
      <c r="I154" s="1">
        <v>0</v>
      </c>
      <c r="J154" s="1">
        <v>2.0470999999999999</v>
      </c>
      <c r="K154" s="1">
        <v>-8.0839999999999992E-3</v>
      </c>
      <c r="L154" s="1">
        <v>-2.2629999999999998E-3</v>
      </c>
      <c r="M154" s="1">
        <v>0.96239799999999998</v>
      </c>
      <c r="N154" s="1">
        <v>-0.271513</v>
      </c>
      <c r="O154">
        <v>1</v>
      </c>
      <c r="P154">
        <v>0</v>
      </c>
      <c r="Q154">
        <v>1</v>
      </c>
      <c r="R154">
        <v>1</v>
      </c>
      <c r="S154">
        <v>1</v>
      </c>
      <c r="T154" s="1">
        <f>SQRT(POWER(Dominus[[#This Row],[angvel_X]],2) + POWER(Dominus[[#This Row],[angvel_Y]],2) + POWER(Dominus[[#This Row],[angvel_Z]],2))</f>
        <v>2.0471000390796732</v>
      </c>
      <c r="U154" s="1">
        <f>DEGREES(ASIN(MAX(-1,MIN(1,2 * (Dominus[[#This Row],[quart_W]]*Dominus[[#This Row],[quart_Y]] - Dominus[[#This Row],[quart_Z]]*Dominus[[#This Row],[quart_X]])))))</f>
        <v>0.96197937965633173</v>
      </c>
      <c r="V15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-121.50980776455135</v>
      </c>
      <c r="W15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89.998051162553978</v>
      </c>
      <c r="X154" s="1">
        <f>IF(Dominus[[#This Row],[Yaw]]&gt;V153,(360-ABS(Dominus[[#This Row],[Yaw]])-ABS(V153)),ABS(Dominus[[#This Row],[Yaw]]-V153))</f>
        <v>0.97709238175026769</v>
      </c>
      <c r="Y154" s="1">
        <f>Dominus[[#This Row],[Degree change]]+Y153</f>
        <v>90.662330182230846</v>
      </c>
    </row>
    <row r="155" spans="1:25">
      <c r="A155">
        <v>154</v>
      </c>
      <c r="B155" s="1">
        <v>-1285.5200199999999</v>
      </c>
      <c r="C155" s="1">
        <v>2515.6198730000001</v>
      </c>
      <c r="D155" s="1">
        <v>17.049999</v>
      </c>
      <c r="E155" s="1">
        <v>-2011.73999</v>
      </c>
      <c r="F155" s="1">
        <v>-1114.8199460000001</v>
      </c>
      <c r="G155" s="1">
        <v>8.0399999999999991</v>
      </c>
      <c r="H155" s="1">
        <v>4.0000000000000002E-4</v>
      </c>
      <c r="I155" s="1">
        <v>1E-4</v>
      </c>
      <c r="J155" s="1">
        <v>2.0472000000000001</v>
      </c>
      <c r="K155" s="1">
        <v>-8.0630000000000007E-3</v>
      </c>
      <c r="L155" s="1">
        <v>-2.333E-3</v>
      </c>
      <c r="M155" s="1">
        <v>0.96004699999999998</v>
      </c>
      <c r="N155" s="1">
        <v>-0.27971299999999999</v>
      </c>
      <c r="O155">
        <v>1</v>
      </c>
      <c r="P155">
        <v>0</v>
      </c>
      <c r="Q155">
        <v>1</v>
      </c>
      <c r="R155">
        <v>1</v>
      </c>
      <c r="S155">
        <v>1</v>
      </c>
      <c r="T155" s="1">
        <f>SQRT(POWER(Dominus[[#This Row],[angvel_X]],2) + POWER(Dominus[[#This Row],[angvel_Y]],2) + POWER(Dominus[[#This Row],[angvel_Z]],2))</f>
        <v>2.0472000415201248</v>
      </c>
      <c r="U155" s="1">
        <f>DEGREES(ASIN(MAX(-1,MIN(1,2 * (Dominus[[#This Row],[quart_W]]*Dominus[[#This Row],[quart_Y]] - Dominus[[#This Row],[quart_Z]]*Dominus[[#This Row],[quart_X]])))))</f>
        <v>0.96186133818442998</v>
      </c>
      <c r="V15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-122.48734107732321</v>
      </c>
      <c r="W15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89.998219423928546</v>
      </c>
      <c r="X155" s="1">
        <f>IF(Dominus[[#This Row],[Yaw]]&gt;V154,(360-ABS(Dominus[[#This Row],[Yaw]])-ABS(V154)),ABS(Dominus[[#This Row],[Yaw]]-V154))</f>
        <v>0.97753331277185396</v>
      </c>
      <c r="Y155" s="1">
        <f>Dominus[[#This Row],[Degree change]]+Y154</f>
        <v>91.6398634950027</v>
      </c>
    </row>
    <row r="156" spans="1:25">
      <c r="A156">
        <v>155</v>
      </c>
      <c r="B156" s="1">
        <v>-1302.339966</v>
      </c>
      <c r="C156" s="1">
        <v>2506.290039</v>
      </c>
      <c r="D156" s="1">
        <v>17.049999</v>
      </c>
      <c r="E156" s="1">
        <v>-1992.429932</v>
      </c>
      <c r="F156" s="1">
        <v>-1148.969971</v>
      </c>
      <c r="G156" s="1">
        <v>8.0399999999999991</v>
      </c>
      <c r="H156" s="1">
        <v>4.0000000000000002E-4</v>
      </c>
      <c r="I156" s="1">
        <v>1E-4</v>
      </c>
      <c r="J156" s="1">
        <v>2.0472000000000001</v>
      </c>
      <c r="K156" s="1">
        <v>-8.0409999999999995E-3</v>
      </c>
      <c r="L156" s="1">
        <v>-2.4030000000000002E-3</v>
      </c>
      <c r="M156" s="1">
        <v>0.95762599999999998</v>
      </c>
      <c r="N156" s="1">
        <v>-0.28789199999999998</v>
      </c>
      <c r="O156">
        <v>1</v>
      </c>
      <c r="P156">
        <v>0</v>
      </c>
      <c r="Q156">
        <v>1</v>
      </c>
      <c r="R156">
        <v>1</v>
      </c>
      <c r="S156">
        <v>1</v>
      </c>
      <c r="T156" s="1">
        <f>SQRT(POWER(Dominus[[#This Row],[angvel_X]],2) + POWER(Dominus[[#This Row],[angvel_Y]],2) + POWER(Dominus[[#This Row],[angvel_Z]],2))</f>
        <v>2.0472000415201248</v>
      </c>
      <c r="U156" s="1">
        <f>DEGREES(ASIN(MAX(-1,MIN(1,2 * (Dominus[[#This Row],[quart_W]]*Dominus[[#This Row],[quart_Y]] - Dominus[[#This Row],[quart_Z]]*Dominus[[#This Row],[quart_X]])))))</f>
        <v>0.96170613092819368</v>
      </c>
      <c r="V15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-123.46482690911515</v>
      </c>
      <c r="W15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89.998422505879631</v>
      </c>
      <c r="X156" s="1">
        <f>IF(Dominus[[#This Row],[Yaw]]&gt;V155,(360-ABS(Dominus[[#This Row],[Yaw]])-ABS(V155)),ABS(Dominus[[#This Row],[Yaw]]-V155))</f>
        <v>0.97748583179193815</v>
      </c>
      <c r="Y156" s="1">
        <f>Dominus[[#This Row],[Degree change]]+Y155</f>
        <v>92.617349326794638</v>
      </c>
    </row>
    <row r="157" spans="1:25">
      <c r="A157">
        <v>156</v>
      </c>
      <c r="B157" s="1">
        <v>-1319</v>
      </c>
      <c r="C157" s="1">
        <v>2496.679932</v>
      </c>
      <c r="D157" s="1">
        <v>17.049999</v>
      </c>
      <c r="E157" s="1">
        <v>-1972.5399170000001</v>
      </c>
      <c r="F157" s="1">
        <v>-1182.7899170000001</v>
      </c>
      <c r="G157" s="1">
        <v>8.0399999999999991</v>
      </c>
      <c r="H157" s="1">
        <v>2.9999999999999997E-4</v>
      </c>
      <c r="I157" s="1">
        <v>1E-4</v>
      </c>
      <c r="J157" s="1">
        <v>2.0472000000000001</v>
      </c>
      <c r="K157" s="1">
        <v>-8.0190000000000001E-3</v>
      </c>
      <c r="L157" s="1">
        <v>-2.4740000000000001E-3</v>
      </c>
      <c r="M157" s="1">
        <v>0.95513599999999999</v>
      </c>
      <c r="N157" s="1">
        <v>-0.29604900000000001</v>
      </c>
      <c r="O157">
        <v>1</v>
      </c>
      <c r="P157">
        <v>0</v>
      </c>
      <c r="Q157">
        <v>1</v>
      </c>
      <c r="R157">
        <v>1</v>
      </c>
      <c r="S157">
        <v>1</v>
      </c>
      <c r="T157" s="1">
        <f>SQRT(POWER(Dominus[[#This Row],[angvel_X]],2) + POWER(Dominus[[#This Row],[angvel_Y]],2) + POWER(Dominus[[#This Row],[angvel_Z]],2))</f>
        <v>2.0472000244236028</v>
      </c>
      <c r="U157" s="1">
        <f>DEGREES(ASIN(MAX(-1,MIN(1,2 * (Dominus[[#This Row],[quart_W]]*Dominus[[#This Row],[quart_Y]] - Dominus[[#This Row],[quart_Z]]*Dominus[[#This Row],[quart_X]])))))</f>
        <v>0.9616586452896837</v>
      </c>
      <c r="V15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-124.44215188289448</v>
      </c>
      <c r="W15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89.998738115684574</v>
      </c>
      <c r="X157" s="1">
        <f>IF(Dominus[[#This Row],[Yaw]]&gt;V156,(360-ABS(Dominus[[#This Row],[Yaw]])-ABS(V156)),ABS(Dominus[[#This Row],[Yaw]]-V156))</f>
        <v>0.97732497377933214</v>
      </c>
      <c r="Y157" s="1">
        <f>Dominus[[#This Row],[Degree change]]+Y156</f>
        <v>93.594674300573971</v>
      </c>
    </row>
    <row r="158" spans="1:25">
      <c r="A158">
        <v>157</v>
      </c>
      <c r="B158" s="1">
        <v>-1335.48999</v>
      </c>
      <c r="C158" s="1">
        <v>2486.780029</v>
      </c>
      <c r="D158" s="1">
        <v>17.049999</v>
      </c>
      <c r="E158" s="1">
        <v>-1952.079956</v>
      </c>
      <c r="F158" s="1">
        <v>-1216.26001</v>
      </c>
      <c r="G158" s="1">
        <v>8.0399999999999991</v>
      </c>
      <c r="H158" s="1">
        <v>2.9999999999999997E-4</v>
      </c>
      <c r="I158" s="1">
        <v>1E-4</v>
      </c>
      <c r="J158" s="1">
        <v>2.0472000000000001</v>
      </c>
      <c r="K158" s="1">
        <v>-7.9979999999999999E-3</v>
      </c>
      <c r="L158" s="1">
        <v>-2.5439999999999998E-3</v>
      </c>
      <c r="M158" s="1">
        <v>0.95257599999999998</v>
      </c>
      <c r="N158" s="1">
        <v>-0.30418400000000001</v>
      </c>
      <c r="O158">
        <v>1</v>
      </c>
      <c r="P158">
        <v>0</v>
      </c>
      <c r="Q158">
        <v>1</v>
      </c>
      <c r="R158">
        <v>1</v>
      </c>
      <c r="S158">
        <v>1</v>
      </c>
      <c r="T158" s="1">
        <f>SQRT(POWER(Dominus[[#This Row],[angvel_X]],2) + POWER(Dominus[[#This Row],[angvel_Y]],2) + POWER(Dominus[[#This Row],[angvel_Z]],2))</f>
        <v>2.0472000244236028</v>
      </c>
      <c r="U158" s="1">
        <f>DEGREES(ASIN(MAX(-1,MIN(1,2 * (Dominus[[#This Row],[quart_W]]*Dominus[[#This Row],[quart_Y]] - Dominus[[#This Row],[quart_Z]]*Dominus[[#This Row],[quart_X]])))))</f>
        <v>0.96176020307215992</v>
      </c>
      <c r="V15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-125.41948607325536</v>
      </c>
      <c r="W15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89.998910047719079</v>
      </c>
      <c r="X158" s="1">
        <f>IF(Dominus[[#This Row],[Yaw]]&gt;V157,(360-ABS(Dominus[[#This Row],[Yaw]])-ABS(V157)),ABS(Dominus[[#This Row],[Yaw]]-V157))</f>
        <v>0.9773341903608781</v>
      </c>
      <c r="Y158" s="1">
        <f>Dominus[[#This Row],[Degree change]]+Y157</f>
        <v>94.572008490934849</v>
      </c>
    </row>
    <row r="159" spans="1:25">
      <c r="A159">
        <v>158</v>
      </c>
      <c r="B159" s="1">
        <v>-1351.809937</v>
      </c>
      <c r="C159" s="1">
        <v>2476.5998540000001</v>
      </c>
      <c r="D159" s="1">
        <v>17.049999</v>
      </c>
      <c r="E159" s="1">
        <v>-1931.049927</v>
      </c>
      <c r="F159" s="1">
        <v>-1249.380005</v>
      </c>
      <c r="G159" s="1">
        <v>8.0399999999999991</v>
      </c>
      <c r="H159" s="1">
        <v>2.0000000000000001E-4</v>
      </c>
      <c r="I159" s="1">
        <v>1E-4</v>
      </c>
      <c r="J159" s="1">
        <v>2.0472000000000001</v>
      </c>
      <c r="K159" s="1">
        <v>-7.9760000000000005E-3</v>
      </c>
      <c r="L159" s="1">
        <v>-2.614E-3</v>
      </c>
      <c r="M159" s="1">
        <v>0.94994699999999999</v>
      </c>
      <c r="N159" s="1">
        <v>-0.31229800000000002</v>
      </c>
      <c r="O159">
        <v>1</v>
      </c>
      <c r="P159">
        <v>0</v>
      </c>
      <c r="Q159">
        <v>1</v>
      </c>
      <c r="R159">
        <v>1</v>
      </c>
      <c r="S159">
        <v>1</v>
      </c>
      <c r="T159" s="1">
        <f>SQRT(POWER(Dominus[[#This Row],[angvel_X]],2) + POWER(Dominus[[#This Row],[angvel_Y]],2) + POWER(Dominus[[#This Row],[angvel_Z]],2))</f>
        <v>2.0472000122118015</v>
      </c>
      <c r="U159" s="1">
        <f>DEGREES(ASIN(MAX(-1,MIN(1,2 * (Dominus[[#This Row],[quart_W]]*Dominus[[#This Row],[quart_Y]] - Dominus[[#This Row],[quart_Z]]*Dominus[[#This Row],[quart_X]])))))</f>
        <v>0.96182636610084871</v>
      </c>
      <c r="V15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-126.3968920691934</v>
      </c>
      <c r="W15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89.999114381549887</v>
      </c>
      <c r="X159" s="1">
        <f>IF(Dominus[[#This Row],[Yaw]]&gt;V158,(360-ABS(Dominus[[#This Row],[Yaw]])-ABS(V158)),ABS(Dominus[[#This Row],[Yaw]]-V158))</f>
        <v>0.97740599593804234</v>
      </c>
      <c r="Y159" s="1">
        <f>Dominus[[#This Row],[Degree change]]+Y158</f>
        <v>95.549414486872891</v>
      </c>
    </row>
    <row r="160" spans="1:25">
      <c r="A160">
        <v>159</v>
      </c>
      <c r="B160" s="1">
        <v>-1367.959961</v>
      </c>
      <c r="C160" s="1">
        <v>2466.1499020000001</v>
      </c>
      <c r="D160" s="1">
        <v>17.049999</v>
      </c>
      <c r="E160" s="1">
        <v>-1909.459961</v>
      </c>
      <c r="F160" s="1">
        <v>-1282.1400149999999</v>
      </c>
      <c r="G160" s="1">
        <v>8.0399999999999991</v>
      </c>
      <c r="H160" s="1">
        <v>1E-4</v>
      </c>
      <c r="I160" s="1">
        <v>1E-4</v>
      </c>
      <c r="J160" s="1">
        <v>2.0472000000000001</v>
      </c>
      <c r="K160" s="1">
        <v>-7.9550000000000003E-3</v>
      </c>
      <c r="L160" s="1">
        <v>-2.6840000000000002E-3</v>
      </c>
      <c r="M160" s="1">
        <v>0.94724799999999998</v>
      </c>
      <c r="N160" s="1">
        <v>-0.32039000000000001</v>
      </c>
      <c r="O160">
        <v>1</v>
      </c>
      <c r="P160">
        <v>0</v>
      </c>
      <c r="Q160">
        <v>1</v>
      </c>
      <c r="R160">
        <v>1</v>
      </c>
      <c r="S160">
        <v>1</v>
      </c>
      <c r="T160" s="1">
        <f>SQRT(POWER(Dominus[[#This Row],[angvel_X]],2) + POWER(Dominus[[#This Row],[angvel_Y]],2) + POWER(Dominus[[#This Row],[angvel_Z]],2))</f>
        <v>2.0472000048847208</v>
      </c>
      <c r="U160" s="1">
        <f>DEGREES(ASIN(MAX(-1,MIN(1,2 * (Dominus[[#This Row],[quart_W]]*Dominus[[#This Row],[quart_Y]] - Dominus[[#This Row],[quart_Z]]*Dominus[[#This Row],[quart_X]])))))</f>
        <v>0.96207395955759056</v>
      </c>
      <c r="V16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-127.3744497118072</v>
      </c>
      <c r="W16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89.999279252936006</v>
      </c>
      <c r="X160" s="1">
        <f>IF(Dominus[[#This Row],[Yaw]]&gt;V159,(360-ABS(Dominus[[#This Row],[Yaw]])-ABS(V159)),ABS(Dominus[[#This Row],[Yaw]]-V159))</f>
        <v>0.97755764261380307</v>
      </c>
      <c r="Y160" s="1">
        <f>Dominus[[#This Row],[Degree change]]+Y159</f>
        <v>96.526972129486694</v>
      </c>
    </row>
    <row r="161" spans="1:25">
      <c r="A161">
        <v>160</v>
      </c>
      <c r="B161" s="1">
        <v>-1383.929932</v>
      </c>
      <c r="C161" s="1">
        <v>2455.419922</v>
      </c>
      <c r="D161" s="1">
        <v>17.049999</v>
      </c>
      <c r="E161" s="1">
        <v>-1887.309937</v>
      </c>
      <c r="F161" s="1">
        <v>-1314.5200199999999</v>
      </c>
      <c r="G161" s="1">
        <v>8.0399999999999991</v>
      </c>
      <c r="H161" s="1">
        <v>1E-4</v>
      </c>
      <c r="I161" s="1">
        <v>1E-4</v>
      </c>
      <c r="J161" s="1">
        <v>2.0472000000000001</v>
      </c>
      <c r="K161" s="1">
        <v>-7.9330000000000008E-3</v>
      </c>
      <c r="L161" s="1">
        <v>-2.7539999999999999E-3</v>
      </c>
      <c r="M161" s="1">
        <v>0.94447999999999999</v>
      </c>
      <c r="N161" s="1">
        <v>-0.328461</v>
      </c>
      <c r="O161">
        <v>1</v>
      </c>
      <c r="P161">
        <v>0</v>
      </c>
      <c r="Q161">
        <v>1</v>
      </c>
      <c r="R161">
        <v>1</v>
      </c>
      <c r="S161">
        <v>1</v>
      </c>
      <c r="T161" s="1">
        <f>SQRT(POWER(Dominus[[#This Row],[angvel_X]],2) + POWER(Dominus[[#This Row],[angvel_Y]],2) + POWER(Dominus[[#This Row],[angvel_Z]],2))</f>
        <v>2.0472000048847208</v>
      </c>
      <c r="U161" s="1">
        <f>DEGREES(ASIN(MAX(-1,MIN(1,2 * (Dominus[[#This Row],[quart_W]]*Dominus[[#This Row],[quart_Y]] - Dominus[[#This Row],[quart_Z]]*Dominus[[#This Row],[quart_X]])))))</f>
        <v>0.96228676706694227</v>
      </c>
      <c r="V16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-128.35221294782869</v>
      </c>
      <c r="W16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89.999474730687993</v>
      </c>
      <c r="X161" s="1">
        <f>IF(Dominus[[#This Row],[Yaw]]&gt;V160,(360-ABS(Dominus[[#This Row],[Yaw]])-ABS(V160)),ABS(Dominus[[#This Row],[Yaw]]-V160))</f>
        <v>0.97776323602148807</v>
      </c>
      <c r="Y161" s="1">
        <f>Dominus[[#This Row],[Degree change]]+Y160</f>
        <v>97.504735365508182</v>
      </c>
    </row>
    <row r="162" spans="1:25">
      <c r="A162">
        <v>161</v>
      </c>
      <c r="B162" s="1">
        <v>-1399.709961</v>
      </c>
      <c r="C162" s="1">
        <v>2444.419922</v>
      </c>
      <c r="D162" s="1">
        <v>17.049999</v>
      </c>
      <c r="E162" s="1">
        <v>-1864.6099850000001</v>
      </c>
      <c r="F162" s="1">
        <v>-1346.530029</v>
      </c>
      <c r="G162" s="1">
        <v>8.0399999999999991</v>
      </c>
      <c r="H162" s="1">
        <v>0</v>
      </c>
      <c r="I162" s="1">
        <v>1E-4</v>
      </c>
      <c r="J162" s="1">
        <v>2.0472000000000001</v>
      </c>
      <c r="K162" s="1">
        <v>-7.9109999999999996E-3</v>
      </c>
      <c r="L162" s="1">
        <v>-2.8240000000000001E-3</v>
      </c>
      <c r="M162" s="1">
        <v>0.94164400000000004</v>
      </c>
      <c r="N162" s="1">
        <v>-0.33650400000000003</v>
      </c>
      <c r="O162">
        <v>1</v>
      </c>
      <c r="P162">
        <v>0</v>
      </c>
      <c r="Q162">
        <v>1</v>
      </c>
      <c r="R162">
        <v>1</v>
      </c>
      <c r="S162">
        <v>1</v>
      </c>
      <c r="T162" s="1">
        <f>SQRT(POWER(Dominus[[#This Row],[angvel_X]],2) + POWER(Dominus[[#This Row],[angvel_Y]],2) + POWER(Dominus[[#This Row],[angvel_Z]],2))</f>
        <v>2.0472000024423602</v>
      </c>
      <c r="U162" s="1">
        <f>DEGREES(ASIN(MAX(-1,MIN(1,2 * (Dominus[[#This Row],[quart_W]]*Dominus[[#This Row],[quart_Y]] - Dominus[[#This Row],[quart_Z]]*Dominus[[#This Row],[quart_X]])))))</f>
        <v>0.96257231749171346</v>
      </c>
      <c r="V16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-129.32955139563464</v>
      </c>
      <c r="W16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89.999669873802659</v>
      </c>
      <c r="X162" s="1">
        <f>IF(Dominus[[#This Row],[Yaw]]&gt;V161,(360-ABS(Dominus[[#This Row],[Yaw]])-ABS(V161)),ABS(Dominus[[#This Row],[Yaw]]-V161))</f>
        <v>0.97733844780594836</v>
      </c>
      <c r="Y162" s="1">
        <f>Dominus[[#This Row],[Degree change]]+Y161</f>
        <v>98.48207381331413</v>
      </c>
    </row>
    <row r="163" spans="1:25">
      <c r="A163">
        <v>162</v>
      </c>
      <c r="B163" s="1">
        <v>-1415.299927</v>
      </c>
      <c r="C163" s="1">
        <v>2433.1599120000001</v>
      </c>
      <c r="D163" s="1">
        <v>17.049999</v>
      </c>
      <c r="E163" s="1">
        <v>-1841.369995</v>
      </c>
      <c r="F163" s="1">
        <v>-1378.1400149999999</v>
      </c>
      <c r="G163" s="1">
        <v>8.0399999999999991</v>
      </c>
      <c r="H163" s="1">
        <v>0</v>
      </c>
      <c r="I163" s="1">
        <v>1E-4</v>
      </c>
      <c r="J163" s="1">
        <v>2.0472000000000001</v>
      </c>
      <c r="K163" s="1">
        <v>-7.8849999999999996E-3</v>
      </c>
      <c r="L163" s="1">
        <v>-2.8939999999999999E-3</v>
      </c>
      <c r="M163" s="1">
        <v>0.93873899999999999</v>
      </c>
      <c r="N163" s="1">
        <v>-0.344526</v>
      </c>
      <c r="O163">
        <v>1</v>
      </c>
      <c r="P163">
        <v>0</v>
      </c>
      <c r="Q163">
        <v>1</v>
      </c>
      <c r="R163">
        <v>1</v>
      </c>
      <c r="S163">
        <v>1</v>
      </c>
      <c r="T163" s="1">
        <f>SQRT(POWER(Dominus[[#This Row],[angvel_X]],2) + POWER(Dominus[[#This Row],[angvel_Y]],2) + POWER(Dominus[[#This Row],[angvel_Z]],2))</f>
        <v>2.0472000024423602</v>
      </c>
      <c r="U163" s="1">
        <f>DEGREES(ASIN(MAX(-1,MIN(1,2 * (Dominus[[#This Row],[quart_W]]*Dominus[[#This Row],[quart_Y]] - Dominus[[#This Row],[quart_Z]]*Dominus[[#This Row],[quart_X]])))))</f>
        <v>0.96250152188950755</v>
      </c>
      <c r="V16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-130.30723276605957</v>
      </c>
      <c r="W16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90.000014114629579</v>
      </c>
      <c r="X163" s="1">
        <f>IF(Dominus[[#This Row],[Yaw]]&gt;V162,(360-ABS(Dominus[[#This Row],[Yaw]])-ABS(V162)),ABS(Dominus[[#This Row],[Yaw]]-V162))</f>
        <v>0.97768137042493208</v>
      </c>
      <c r="Y163" s="1">
        <f>Dominus[[#This Row],[Degree change]]+Y162</f>
        <v>99.459755183739063</v>
      </c>
    </row>
    <row r="164" spans="1:25">
      <c r="A164">
        <v>163</v>
      </c>
      <c r="B164" s="1">
        <v>-1430.6999510000001</v>
      </c>
      <c r="C164" s="1">
        <v>2421.6298830000001</v>
      </c>
      <c r="D164" s="1">
        <v>17.049999</v>
      </c>
      <c r="E164" s="1">
        <v>-1817.589966</v>
      </c>
      <c r="F164" s="1">
        <v>-1409.349976</v>
      </c>
      <c r="G164" s="1">
        <v>8.0399999999999991</v>
      </c>
      <c r="H164" s="1">
        <v>0</v>
      </c>
      <c r="I164" s="1">
        <v>1E-4</v>
      </c>
      <c r="J164" s="1">
        <v>2.0472000000000001</v>
      </c>
      <c r="K164" s="1">
        <v>-7.8580000000000004E-3</v>
      </c>
      <c r="L164" s="1">
        <v>-2.9589999999999998E-3</v>
      </c>
      <c r="M164" s="1">
        <v>0.93576599999999999</v>
      </c>
      <c r="N164" s="1">
        <v>-0.352522</v>
      </c>
      <c r="O164">
        <v>1</v>
      </c>
      <c r="P164">
        <v>0</v>
      </c>
      <c r="Q164">
        <v>1</v>
      </c>
      <c r="R164">
        <v>1</v>
      </c>
      <c r="S164">
        <v>1</v>
      </c>
      <c r="T164" s="1">
        <f>SQRT(POWER(Dominus[[#This Row],[angvel_X]],2) + POWER(Dominus[[#This Row],[angvel_Y]],2) + POWER(Dominus[[#This Row],[angvel_Z]],2))</f>
        <v>2.0472000024423602</v>
      </c>
      <c r="U164" s="1">
        <f>DEGREES(ASIN(MAX(-1,MIN(1,2 * (Dominus[[#This Row],[quart_W]]*Dominus[[#This Row],[quart_Y]] - Dominus[[#This Row],[quart_Z]]*Dominus[[#This Row],[quart_X]])))))</f>
        <v>0.96219741797071034</v>
      </c>
      <c r="V16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-131.28480626496176</v>
      </c>
      <c r="W16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89.999864042925182</v>
      </c>
      <c r="X164" s="1">
        <f>IF(Dominus[[#This Row],[Yaw]]&gt;V163,(360-ABS(Dominus[[#This Row],[Yaw]])-ABS(V163)),ABS(Dominus[[#This Row],[Yaw]]-V163))</f>
        <v>0.97757349890218848</v>
      </c>
      <c r="Y164" s="1">
        <f>Dominus[[#This Row],[Degree change]]+Y163</f>
        <v>100.43732868264125</v>
      </c>
    </row>
    <row r="165" spans="1:25">
      <c r="A165">
        <v>164</v>
      </c>
      <c r="B165" s="1">
        <v>-1445.900024</v>
      </c>
      <c r="C165" s="1">
        <v>2409.8398440000001</v>
      </c>
      <c r="D165" s="1">
        <v>17.049999</v>
      </c>
      <c r="E165" s="1">
        <v>-1793.2799070000001</v>
      </c>
      <c r="F165" s="1">
        <v>-1440.150024</v>
      </c>
      <c r="G165" s="1">
        <v>8.0399999999999991</v>
      </c>
      <c r="H165" s="1">
        <v>0</v>
      </c>
      <c r="I165" s="1">
        <v>1E-4</v>
      </c>
      <c r="J165" s="1">
        <v>2.0472000000000001</v>
      </c>
      <c r="K165" s="1">
        <v>-7.8309999999999994E-3</v>
      </c>
      <c r="L165" s="1">
        <v>-3.0240000000000002E-3</v>
      </c>
      <c r="M165" s="1">
        <v>0.93272500000000003</v>
      </c>
      <c r="N165" s="1">
        <v>-0.36048999999999998</v>
      </c>
      <c r="O165">
        <v>1</v>
      </c>
      <c r="P165">
        <v>0</v>
      </c>
      <c r="Q165">
        <v>1</v>
      </c>
      <c r="R165">
        <v>1</v>
      </c>
      <c r="S165">
        <v>1</v>
      </c>
      <c r="T165" s="1">
        <f>SQRT(POWER(Dominus[[#This Row],[angvel_X]],2) + POWER(Dominus[[#This Row],[angvel_Y]],2) + POWER(Dominus[[#This Row],[angvel_Z]],2))</f>
        <v>2.0472000024423602</v>
      </c>
      <c r="U165" s="1">
        <f>DEGREES(ASIN(MAX(-1,MIN(1,2 * (Dominus[[#This Row],[quart_W]]*Dominus[[#This Row],[quart_Y]] - Dominus[[#This Row],[quart_Z]]*Dominus[[#This Row],[quart_X]])))))</f>
        <v>0.96196011226622935</v>
      </c>
      <c r="V16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-132.26218044276757</v>
      </c>
      <c r="W16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89.999720725074354</v>
      </c>
      <c r="X165" s="1">
        <f>IF(Dominus[[#This Row],[Yaw]]&gt;V164,(360-ABS(Dominus[[#This Row],[Yaw]])-ABS(V164)),ABS(Dominus[[#This Row],[Yaw]]-V164))</f>
        <v>0.97737417780581382</v>
      </c>
      <c r="Y165" s="1">
        <f>Dominus[[#This Row],[Degree change]]+Y164</f>
        <v>101.41470286044706</v>
      </c>
    </row>
    <row r="166" spans="1:25">
      <c r="A166">
        <v>165</v>
      </c>
      <c r="B166" s="1">
        <v>-1460.8900149999999</v>
      </c>
      <c r="C166" s="1">
        <v>2397.790039</v>
      </c>
      <c r="D166" s="1">
        <v>17.049999</v>
      </c>
      <c r="E166" s="1">
        <v>-1768.4499510000001</v>
      </c>
      <c r="F166" s="1">
        <v>-1470.5399170000001</v>
      </c>
      <c r="G166" s="1">
        <v>8.0399999999999991</v>
      </c>
      <c r="H166" s="1">
        <v>0</v>
      </c>
      <c r="I166" s="1">
        <v>1E-4</v>
      </c>
      <c r="J166" s="1">
        <v>2.0472000000000001</v>
      </c>
      <c r="K166" s="1">
        <v>-7.8040000000000002E-3</v>
      </c>
      <c r="L166" s="1">
        <v>-3.0890000000000002E-3</v>
      </c>
      <c r="M166" s="1">
        <v>0.92961700000000003</v>
      </c>
      <c r="N166" s="1">
        <v>-0.36843100000000001</v>
      </c>
      <c r="O166">
        <v>1</v>
      </c>
      <c r="P166">
        <v>0</v>
      </c>
      <c r="Q166">
        <v>1</v>
      </c>
      <c r="R166">
        <v>1</v>
      </c>
      <c r="S166">
        <v>1</v>
      </c>
      <c r="T166" s="1">
        <f>SQRT(POWER(Dominus[[#This Row],[angvel_X]],2) + POWER(Dominus[[#This Row],[angvel_Y]],2) + POWER(Dominus[[#This Row],[angvel_Z]],2))</f>
        <v>2.0472000024423602</v>
      </c>
      <c r="U166" s="1">
        <f>DEGREES(ASIN(MAX(-1,MIN(1,2 * (Dominus[[#This Row],[quart_W]]*Dominus[[#This Row],[quart_Y]] - Dominus[[#This Row],[quart_Z]]*Dominus[[#This Row],[quart_X]])))))</f>
        <v>0.96179085868503145</v>
      </c>
      <c r="V16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-133.23939814033236</v>
      </c>
      <c r="W16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89.999581841063389</v>
      </c>
      <c r="X166" s="1">
        <f>IF(Dominus[[#This Row],[Yaw]]&gt;V165,(360-ABS(Dominus[[#This Row],[Yaw]])-ABS(V165)),ABS(Dominus[[#This Row],[Yaw]]-V165))</f>
        <v>0.97721769756478238</v>
      </c>
      <c r="Y166" s="1">
        <f>Dominus[[#This Row],[Degree change]]+Y165</f>
        <v>102.39192055801185</v>
      </c>
    </row>
    <row r="167" spans="1:25">
      <c r="A167">
        <v>166</v>
      </c>
      <c r="B167" s="1">
        <v>-1475.679932</v>
      </c>
      <c r="C167" s="1">
        <v>2385.48999</v>
      </c>
      <c r="D167" s="1">
        <v>17.049999</v>
      </c>
      <c r="E167" s="1">
        <v>-1743.1099850000001</v>
      </c>
      <c r="F167" s="1">
        <v>-1500.48999</v>
      </c>
      <c r="G167" s="1">
        <v>8.0399999999999991</v>
      </c>
      <c r="H167" s="1">
        <v>0</v>
      </c>
      <c r="I167" s="1">
        <v>1E-4</v>
      </c>
      <c r="J167" s="1">
        <v>2.0472000000000001</v>
      </c>
      <c r="K167" s="1">
        <v>-7.7770000000000001E-3</v>
      </c>
      <c r="L167" s="1">
        <v>-3.153E-3</v>
      </c>
      <c r="M167" s="1">
        <v>0.92644099999999996</v>
      </c>
      <c r="N167" s="1">
        <v>-0.37634499999999999</v>
      </c>
      <c r="O167">
        <v>1</v>
      </c>
      <c r="P167">
        <v>0</v>
      </c>
      <c r="Q167">
        <v>1</v>
      </c>
      <c r="R167">
        <v>1</v>
      </c>
      <c r="S167">
        <v>1</v>
      </c>
      <c r="T167" s="1">
        <f>SQRT(POWER(Dominus[[#This Row],[angvel_X]],2) + POWER(Dominus[[#This Row],[angvel_Y]],2) + POWER(Dominus[[#This Row],[angvel_Z]],2))</f>
        <v>2.0472000024423602</v>
      </c>
      <c r="U167" s="1">
        <f>DEGREES(ASIN(MAX(-1,MIN(1,2 * (Dominus[[#This Row],[quart_W]]*Dominus[[#This Row],[quart_Y]] - Dominus[[#This Row],[quart_Z]]*Dominus[[#This Row],[quart_X]])))))</f>
        <v>0.96164565244380396</v>
      </c>
      <c r="V16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-134.21664662345725</v>
      </c>
      <c r="W16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89.999339104147765</v>
      </c>
      <c r="X167" s="1">
        <f>IF(Dominus[[#This Row],[Yaw]]&gt;V166,(360-ABS(Dominus[[#This Row],[Yaw]])-ABS(V166)),ABS(Dominus[[#This Row],[Yaw]]-V166))</f>
        <v>0.97724848312489598</v>
      </c>
      <c r="Y167" s="1">
        <f>Dominus[[#This Row],[Degree change]]+Y166</f>
        <v>103.36916904113674</v>
      </c>
    </row>
    <row r="168" spans="1:25">
      <c r="A168">
        <v>167</v>
      </c>
      <c r="B168" s="1">
        <v>-1490.26001</v>
      </c>
      <c r="C168" s="1">
        <v>2372.9399410000001</v>
      </c>
      <c r="D168" s="1">
        <v>17.049999</v>
      </c>
      <c r="E168" s="1">
        <v>-1717.26001</v>
      </c>
      <c r="F168" s="1">
        <v>-1530.01001</v>
      </c>
      <c r="G168" s="1">
        <v>8.0399999999999991</v>
      </c>
      <c r="H168" s="1">
        <v>0</v>
      </c>
      <c r="I168" s="1">
        <v>1E-4</v>
      </c>
      <c r="J168" s="1">
        <v>2.0472000000000001</v>
      </c>
      <c r="K168" s="1">
        <v>-7.7499999999999999E-3</v>
      </c>
      <c r="L168" s="1">
        <v>-3.2179999999999999E-3</v>
      </c>
      <c r="M168" s="1">
        <v>0.92319799999999996</v>
      </c>
      <c r="N168" s="1">
        <v>-0.38423200000000002</v>
      </c>
      <c r="O168">
        <v>1</v>
      </c>
      <c r="P168">
        <v>0</v>
      </c>
      <c r="Q168">
        <v>1</v>
      </c>
      <c r="R168">
        <v>1</v>
      </c>
      <c r="S168">
        <v>1</v>
      </c>
      <c r="T168" s="1">
        <f>SQRT(POWER(Dominus[[#This Row],[angvel_X]],2) + POWER(Dominus[[#This Row],[angvel_Y]],2) + POWER(Dominus[[#This Row],[angvel_Z]],2))</f>
        <v>2.0472000024423602</v>
      </c>
      <c r="U168" s="1">
        <f>DEGREES(ASIN(MAX(-1,MIN(1,2 * (Dominus[[#This Row],[quart_W]]*Dominus[[#This Row],[quart_Y]] - Dominus[[#This Row],[quart_Z]]*Dominus[[#This Row],[quart_X]])))))</f>
        <v>0.96161076975643855</v>
      </c>
      <c r="V16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-135.19387815646439</v>
      </c>
      <c r="W16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89.999203839104354</v>
      </c>
      <c r="X168" s="1">
        <f>IF(Dominus[[#This Row],[Yaw]]&gt;V167,(360-ABS(Dominus[[#This Row],[Yaw]])-ABS(V167)),ABS(Dominus[[#This Row],[Yaw]]-V167))</f>
        <v>0.97723153300714216</v>
      </c>
      <c r="Y168" s="1">
        <f>Dominus[[#This Row],[Degree change]]+Y167</f>
        <v>104.34640057414389</v>
      </c>
    </row>
    <row r="169" spans="1:25">
      <c r="A169">
        <v>168</v>
      </c>
      <c r="B169" s="1">
        <v>-1504.619995</v>
      </c>
      <c r="C169" s="1">
        <v>2360.139893</v>
      </c>
      <c r="D169" s="1">
        <v>17.049999</v>
      </c>
      <c r="E169" s="1">
        <v>-1690.9099120000001</v>
      </c>
      <c r="F169" s="1">
        <v>-1559.079956</v>
      </c>
      <c r="G169" s="1">
        <v>8.0399999999999991</v>
      </c>
      <c r="H169" s="1">
        <v>0</v>
      </c>
      <c r="I169" s="1">
        <v>1E-4</v>
      </c>
      <c r="J169" s="1">
        <v>2.0472000000000001</v>
      </c>
      <c r="K169" s="1">
        <v>-7.7229999999999998E-3</v>
      </c>
      <c r="L169" s="1">
        <v>-3.2829999999999999E-3</v>
      </c>
      <c r="M169" s="1">
        <v>0.91988700000000001</v>
      </c>
      <c r="N169" s="1">
        <v>-0.39209300000000002</v>
      </c>
      <c r="O169">
        <v>1</v>
      </c>
      <c r="P169">
        <v>0</v>
      </c>
      <c r="Q169">
        <v>1</v>
      </c>
      <c r="R169">
        <v>1</v>
      </c>
      <c r="S169">
        <v>1</v>
      </c>
      <c r="T169" s="1">
        <f>SQRT(POWER(Dominus[[#This Row],[angvel_X]],2) + POWER(Dominus[[#This Row],[angvel_Y]],2) + POWER(Dominus[[#This Row],[angvel_Z]],2))</f>
        <v>2.0472000024423602</v>
      </c>
      <c r="U169" s="1">
        <f>DEGREES(ASIN(MAX(-1,MIN(1,2 * (Dominus[[#This Row],[quart_W]]*Dominus[[#This Row],[quart_Y]] - Dominus[[#This Row],[quart_Z]]*Dominus[[#This Row],[quart_X]])))))</f>
        <v>0.96164349529765536</v>
      </c>
      <c r="V16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-136.17135440562728</v>
      </c>
      <c r="W16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89.999066495290791</v>
      </c>
      <c r="X169" s="1">
        <f>IF(Dominus[[#This Row],[Yaw]]&gt;V168,(360-ABS(Dominus[[#This Row],[Yaw]])-ABS(V168)),ABS(Dominus[[#This Row],[Yaw]]-V168))</f>
        <v>0.97747624916289055</v>
      </c>
      <c r="Y169" s="1">
        <f>Dominus[[#This Row],[Degree change]]+Y168</f>
        <v>105.32387682330678</v>
      </c>
    </row>
    <row r="170" spans="1:25">
      <c r="A170">
        <v>169</v>
      </c>
      <c r="B170" s="1">
        <v>-1518.76001</v>
      </c>
      <c r="C170" s="1">
        <v>2347.0998540000001</v>
      </c>
      <c r="D170" s="1">
        <v>17.049999</v>
      </c>
      <c r="E170" s="1">
        <v>-1664.0699460000001</v>
      </c>
      <c r="F170" s="1">
        <v>-1587.6999510000001</v>
      </c>
      <c r="G170" s="1">
        <v>8.0399999999999991</v>
      </c>
      <c r="H170" s="1">
        <v>0</v>
      </c>
      <c r="I170" s="1">
        <v>1E-4</v>
      </c>
      <c r="J170" s="1">
        <v>2.0472000000000001</v>
      </c>
      <c r="K170" s="1">
        <v>-7.6959999999999997E-3</v>
      </c>
      <c r="L170" s="1">
        <v>-3.3470000000000001E-3</v>
      </c>
      <c r="M170" s="1">
        <v>0.91650900000000002</v>
      </c>
      <c r="N170" s="1">
        <v>-0.399926</v>
      </c>
      <c r="O170">
        <v>1</v>
      </c>
      <c r="P170">
        <v>0</v>
      </c>
      <c r="Q170">
        <v>1</v>
      </c>
      <c r="R170">
        <v>1</v>
      </c>
      <c r="S170">
        <v>1</v>
      </c>
      <c r="T170" s="1">
        <f>SQRT(POWER(Dominus[[#This Row],[angvel_X]],2) + POWER(Dominus[[#This Row],[angvel_Y]],2) + POWER(Dominus[[#This Row],[angvel_Z]],2))</f>
        <v>2.0472000024423602</v>
      </c>
      <c r="U170" s="1">
        <f>DEGREES(ASIN(MAX(-1,MIN(1,2 * (Dominus[[#This Row],[quart_W]]*Dominus[[#This Row],[quart_Y]] - Dominus[[#This Row],[quart_Z]]*Dominus[[#This Row],[quart_X]])))))</f>
        <v>0.96169815927480617</v>
      </c>
      <c r="V17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-137.14887682175657</v>
      </c>
      <c r="W17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89.998822420408501</v>
      </c>
      <c r="X170" s="1">
        <f>IF(Dominus[[#This Row],[Yaw]]&gt;V169,(360-ABS(Dominus[[#This Row],[Yaw]])-ABS(V169)),ABS(Dominus[[#This Row],[Yaw]]-V169))</f>
        <v>0.9775224161292897</v>
      </c>
      <c r="Y170" s="1">
        <f>Dominus[[#This Row],[Degree change]]+Y169</f>
        <v>106.30139923943607</v>
      </c>
    </row>
    <row r="171" spans="1:25">
      <c r="A171">
        <v>170</v>
      </c>
      <c r="B171" s="1">
        <v>-1532.669922</v>
      </c>
      <c r="C171" s="1">
        <v>2333.820068</v>
      </c>
      <c r="D171" s="1">
        <v>17.049999</v>
      </c>
      <c r="E171" s="1">
        <v>-1636.73999</v>
      </c>
      <c r="F171" s="1">
        <v>-1615.849976</v>
      </c>
      <c r="G171" s="1">
        <v>8.0399999999999991</v>
      </c>
      <c r="H171" s="1">
        <v>0</v>
      </c>
      <c r="I171" s="1">
        <v>1E-4</v>
      </c>
      <c r="J171" s="1">
        <v>2.0472000000000001</v>
      </c>
      <c r="K171" s="1">
        <v>-7.6689999999999996E-3</v>
      </c>
      <c r="L171" s="1">
        <v>-3.4120000000000001E-3</v>
      </c>
      <c r="M171" s="1">
        <v>0.91306500000000002</v>
      </c>
      <c r="N171" s="1">
        <v>-0.40772700000000001</v>
      </c>
      <c r="O171">
        <v>1</v>
      </c>
      <c r="P171">
        <v>0</v>
      </c>
      <c r="Q171">
        <v>1</v>
      </c>
      <c r="R171">
        <v>1</v>
      </c>
      <c r="S171">
        <v>1</v>
      </c>
      <c r="T171" s="1">
        <f>SQRT(POWER(Dominus[[#This Row],[angvel_X]],2) + POWER(Dominus[[#This Row],[angvel_Y]],2) + POWER(Dominus[[#This Row],[angvel_Z]],2))</f>
        <v>2.0472000024423602</v>
      </c>
      <c r="U171" s="1">
        <f>DEGREES(ASIN(MAX(-1,MIN(1,2 * (Dominus[[#This Row],[quart_W]]*Dominus[[#This Row],[quart_Y]] - Dominus[[#This Row],[quart_Z]]*Dominus[[#This Row],[quart_X]])))))</f>
        <v>0.96186484735785271</v>
      </c>
      <c r="V17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-138.12610732337106</v>
      </c>
      <c r="W17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89.998684236690721</v>
      </c>
      <c r="X171" s="1">
        <f>IF(Dominus[[#This Row],[Yaw]]&gt;V170,(360-ABS(Dominus[[#This Row],[Yaw]])-ABS(V170)),ABS(Dominus[[#This Row],[Yaw]]-V170))</f>
        <v>0.97723050161448555</v>
      </c>
      <c r="Y171" s="1">
        <f>Dominus[[#This Row],[Degree change]]+Y170</f>
        <v>107.27862974105055</v>
      </c>
    </row>
    <row r="172" spans="1:25">
      <c r="A172">
        <v>171</v>
      </c>
      <c r="B172" s="1">
        <v>-1546.3599850000001</v>
      </c>
      <c r="C172" s="1">
        <v>2320.3000489999999</v>
      </c>
      <c r="D172" s="1">
        <v>17.049999</v>
      </c>
      <c r="E172" s="1">
        <v>-1608.9399410000001</v>
      </c>
      <c r="F172" s="1">
        <v>-1643.5399170000001</v>
      </c>
      <c r="G172" s="1">
        <v>8.0399999999999991</v>
      </c>
      <c r="H172" s="1">
        <v>0</v>
      </c>
      <c r="I172" s="1">
        <v>1E-4</v>
      </c>
      <c r="J172" s="1">
        <v>2.0472000000000001</v>
      </c>
      <c r="K172" s="1">
        <v>-7.6360000000000004E-3</v>
      </c>
      <c r="L172" s="1">
        <v>-3.4770000000000001E-3</v>
      </c>
      <c r="M172" s="1">
        <v>0.90955399999999997</v>
      </c>
      <c r="N172" s="1">
        <v>-0.41550100000000001</v>
      </c>
      <c r="O172">
        <v>1</v>
      </c>
      <c r="P172">
        <v>0</v>
      </c>
      <c r="Q172">
        <v>1</v>
      </c>
      <c r="R172">
        <v>1</v>
      </c>
      <c r="S172">
        <v>1</v>
      </c>
      <c r="T172" s="1">
        <f>SQRT(POWER(Dominus[[#This Row],[angvel_X]],2) + POWER(Dominus[[#This Row],[angvel_Y]],2) + POWER(Dominus[[#This Row],[angvel_Z]],2))</f>
        <v>2.0472000024423602</v>
      </c>
      <c r="U172" s="1">
        <f>DEGREES(ASIN(MAX(-1,MIN(1,2 * (Dominus[[#This Row],[quart_W]]*Dominus[[#This Row],[quart_Y]] - Dominus[[#This Row],[quart_Z]]*Dominus[[#This Row],[quart_X]])))))</f>
        <v>0.96147418545977958</v>
      </c>
      <c r="V17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-139.10359698299229</v>
      </c>
      <c r="W17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89.998825686232038</v>
      </c>
      <c r="X172" s="1">
        <f>IF(Dominus[[#This Row],[Yaw]]&gt;V171,(360-ABS(Dominus[[#This Row],[Yaw]])-ABS(V171)),ABS(Dominus[[#This Row],[Yaw]]-V171))</f>
        <v>0.97748965962122725</v>
      </c>
      <c r="Y172" s="1">
        <f>Dominus[[#This Row],[Degree change]]+Y171</f>
        <v>108.25611940067178</v>
      </c>
    </row>
    <row r="173" spans="1:25">
      <c r="A173">
        <v>172</v>
      </c>
      <c r="B173" s="1">
        <v>-1559.809937</v>
      </c>
      <c r="C173" s="1">
        <v>2306.5500489999999</v>
      </c>
      <c r="D173" s="1">
        <v>17.049999</v>
      </c>
      <c r="E173" s="1">
        <v>-1580.669922</v>
      </c>
      <c r="F173" s="1">
        <v>-1670.73999</v>
      </c>
      <c r="G173" s="1">
        <v>8.0399999999999991</v>
      </c>
      <c r="H173" s="1">
        <v>0</v>
      </c>
      <c r="I173" s="1">
        <v>1E-4</v>
      </c>
      <c r="J173" s="1">
        <v>2.0472000000000001</v>
      </c>
      <c r="K173" s="1">
        <v>-7.6039999999999996E-3</v>
      </c>
      <c r="L173" s="1">
        <v>-3.542E-3</v>
      </c>
      <c r="M173" s="1">
        <v>0.90597799999999995</v>
      </c>
      <c r="N173" s="1">
        <v>-0.42324200000000001</v>
      </c>
      <c r="O173">
        <v>1</v>
      </c>
      <c r="P173">
        <v>0</v>
      </c>
      <c r="Q173">
        <v>1</v>
      </c>
      <c r="R173">
        <v>1</v>
      </c>
      <c r="S173">
        <v>1</v>
      </c>
      <c r="T173" s="1">
        <f>SQRT(POWER(Dominus[[#This Row],[angvel_X]],2) + POWER(Dominus[[#This Row],[angvel_Y]],2) + POWER(Dominus[[#This Row],[angvel_Z]],2))</f>
        <v>2.0472000024423602</v>
      </c>
      <c r="U173" s="1">
        <f>DEGREES(ASIN(MAX(-1,MIN(1,2 * (Dominus[[#This Row],[quart_W]]*Dominus[[#This Row],[quart_Y]] - Dominus[[#This Row],[quart_Z]]*Dominus[[#This Row],[quart_X]])))))</f>
        <v>0.96125970346816281</v>
      </c>
      <c r="V17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-140.08074849061944</v>
      </c>
      <c r="W17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89.998927490710713</v>
      </c>
      <c r="X173" s="1">
        <f>IF(Dominus[[#This Row],[Yaw]]&gt;V172,(360-ABS(Dominus[[#This Row],[Yaw]])-ABS(V172)),ABS(Dominus[[#This Row],[Yaw]]-V172))</f>
        <v>0.97715150762715552</v>
      </c>
      <c r="Y173" s="1">
        <f>Dominus[[#This Row],[Degree change]]+Y172</f>
        <v>109.23327090829893</v>
      </c>
    </row>
    <row r="174" spans="1:25">
      <c r="A174">
        <v>173</v>
      </c>
      <c r="B174" s="1">
        <v>-1573.0299070000001</v>
      </c>
      <c r="C174" s="1">
        <v>2292.570068</v>
      </c>
      <c r="D174" s="1">
        <v>17.049999</v>
      </c>
      <c r="E174" s="1">
        <v>-1551.9399410000001</v>
      </c>
      <c r="F174" s="1">
        <v>-1697.459961</v>
      </c>
      <c r="G174" s="1">
        <v>8.0399999999999991</v>
      </c>
      <c r="H174" s="1">
        <v>0</v>
      </c>
      <c r="I174" s="1">
        <v>1E-4</v>
      </c>
      <c r="J174" s="1">
        <v>2.0472000000000001</v>
      </c>
      <c r="K174" s="1">
        <v>-7.5719999999999997E-3</v>
      </c>
      <c r="L174" s="1">
        <v>-3.6059999999999998E-3</v>
      </c>
      <c r="M174" s="1">
        <v>0.90233300000000005</v>
      </c>
      <c r="N174" s="1">
        <v>-0.43095699999999998</v>
      </c>
      <c r="O174">
        <v>1</v>
      </c>
      <c r="P174">
        <v>0</v>
      </c>
      <c r="Q174">
        <v>1</v>
      </c>
      <c r="R174">
        <v>1</v>
      </c>
      <c r="S174">
        <v>1</v>
      </c>
      <c r="T174" s="1">
        <f>SQRT(POWER(Dominus[[#This Row],[angvel_X]],2) + POWER(Dominus[[#This Row],[angvel_Y]],2) + POWER(Dominus[[#This Row],[angvel_Z]],2))</f>
        <v>2.0472000024423602</v>
      </c>
      <c r="U174" s="1">
        <f>DEGREES(ASIN(MAX(-1,MIN(1,2 * (Dominus[[#This Row],[quart_W]]*Dominus[[#This Row],[quart_Y]] - Dominus[[#This Row],[quart_Z]]*Dominus[[#This Row],[quart_X]])))))</f>
        <v>0.96106676624419762</v>
      </c>
      <c r="V17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-141.0586155616233</v>
      </c>
      <c r="W17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89.998923420593925</v>
      </c>
      <c r="X174" s="1">
        <f>IF(Dominus[[#This Row],[Yaw]]&gt;V173,(360-ABS(Dominus[[#This Row],[Yaw]])-ABS(V173)),ABS(Dominus[[#This Row],[Yaw]]-V173))</f>
        <v>0.97786707100385684</v>
      </c>
      <c r="Y174" s="1">
        <f>Dominus[[#This Row],[Degree change]]+Y173</f>
        <v>110.21113797930279</v>
      </c>
    </row>
    <row r="175" spans="1:25">
      <c r="A175">
        <v>174</v>
      </c>
      <c r="B175" s="1">
        <v>-1586.01001</v>
      </c>
      <c r="C175" s="1">
        <v>2278.3698730000001</v>
      </c>
      <c r="D175" s="1">
        <v>17.049999</v>
      </c>
      <c r="E175" s="1">
        <v>-1522.76001</v>
      </c>
      <c r="F175" s="1">
        <v>-1723.6899410000001</v>
      </c>
      <c r="G175" s="1">
        <v>8.0399999999999991</v>
      </c>
      <c r="H175" s="1">
        <v>1E-4</v>
      </c>
      <c r="I175" s="1">
        <v>1E-4</v>
      </c>
      <c r="J175" s="1">
        <v>2.0472000000000001</v>
      </c>
      <c r="K175" s="1">
        <v>-7.5389999999999997E-3</v>
      </c>
      <c r="L175" s="1">
        <v>-3.6709999999999998E-3</v>
      </c>
      <c r="M175" s="1">
        <v>0.89862399999999998</v>
      </c>
      <c r="N175" s="1">
        <v>-0.438639</v>
      </c>
      <c r="O175">
        <v>1</v>
      </c>
      <c r="P175">
        <v>0</v>
      </c>
      <c r="Q175">
        <v>1</v>
      </c>
      <c r="R175">
        <v>1</v>
      </c>
      <c r="S175">
        <v>1</v>
      </c>
      <c r="T175" s="1">
        <f>SQRT(POWER(Dominus[[#This Row],[angvel_X]],2) + POWER(Dominus[[#This Row],[angvel_Y]],2) + POWER(Dominus[[#This Row],[angvel_Z]],2))</f>
        <v>2.0472000048847208</v>
      </c>
      <c r="U175" s="1">
        <f>DEGREES(ASIN(MAX(-1,MIN(1,2 * (Dominus[[#This Row],[quart_W]]*Dominus[[#This Row],[quart_Y]] - Dominus[[#This Row],[quart_Z]]*Dominus[[#This Row],[quart_X]])))))</f>
        <v>0.96089183905429287</v>
      </c>
      <c r="V17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-142.03615743365023</v>
      </c>
      <c r="W17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89.999077326036272</v>
      </c>
      <c r="X175" s="1">
        <f>IF(Dominus[[#This Row],[Yaw]]&gt;V174,(360-ABS(Dominus[[#This Row],[Yaw]])-ABS(V174)),ABS(Dominus[[#This Row],[Yaw]]-V174))</f>
        <v>0.97754187202693288</v>
      </c>
      <c r="Y175" s="1">
        <f>Dominus[[#This Row],[Degree change]]+Y174</f>
        <v>111.18867985132972</v>
      </c>
    </row>
    <row r="176" spans="1:25">
      <c r="A176">
        <v>175</v>
      </c>
      <c r="B176" s="1">
        <v>-1598.73999</v>
      </c>
      <c r="C176" s="1">
        <v>2263.9499510000001</v>
      </c>
      <c r="D176" s="1">
        <v>17.049999</v>
      </c>
      <c r="E176" s="1">
        <v>-1493.130005</v>
      </c>
      <c r="F176" s="1">
        <v>-1749.419922</v>
      </c>
      <c r="G176" s="1">
        <v>8.0399999999999991</v>
      </c>
      <c r="H176" s="1">
        <v>1E-4</v>
      </c>
      <c r="I176" s="1">
        <v>1E-4</v>
      </c>
      <c r="J176" s="1">
        <v>2.0472000000000001</v>
      </c>
      <c r="K176" s="1">
        <v>-7.5069999999999998E-3</v>
      </c>
      <c r="L176" s="1">
        <v>-3.7360000000000002E-3</v>
      </c>
      <c r="M176" s="1">
        <v>0.89484900000000001</v>
      </c>
      <c r="N176" s="1">
        <v>-0.44628899999999999</v>
      </c>
      <c r="O176">
        <v>1</v>
      </c>
      <c r="P176">
        <v>0</v>
      </c>
      <c r="Q176">
        <v>1</v>
      </c>
      <c r="R176">
        <v>1</v>
      </c>
      <c r="S176">
        <v>1</v>
      </c>
      <c r="T176" s="1">
        <f>SQRT(POWER(Dominus[[#This Row],[angvel_X]],2) + POWER(Dominus[[#This Row],[angvel_Y]],2) + POWER(Dominus[[#This Row],[angvel_Z]],2))</f>
        <v>2.0472000048847208</v>
      </c>
      <c r="U176" s="1">
        <f>DEGREES(ASIN(MAX(-1,MIN(1,2 * (Dominus[[#This Row],[quart_W]]*Dominus[[#This Row],[quart_Y]] - Dominus[[#This Row],[quart_Z]]*Dominus[[#This Row],[quart_X]])))))</f>
        <v>0.96089150004478807</v>
      </c>
      <c r="V17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-143.01377288941083</v>
      </c>
      <c r="W17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89.999182198706862</v>
      </c>
      <c r="X176" s="1">
        <f>IF(Dominus[[#This Row],[Yaw]]&gt;V175,(360-ABS(Dominus[[#This Row],[Yaw]])-ABS(V175)),ABS(Dominus[[#This Row],[Yaw]]-V175))</f>
        <v>0.97761545576059916</v>
      </c>
      <c r="Y176" s="1">
        <f>Dominus[[#This Row],[Degree change]]+Y175</f>
        <v>112.16629530709032</v>
      </c>
    </row>
    <row r="177" spans="1:25">
      <c r="A177">
        <v>176</v>
      </c>
      <c r="B177" s="1">
        <v>-1611.219971</v>
      </c>
      <c r="C177" s="1">
        <v>2249.320068</v>
      </c>
      <c r="D177" s="1">
        <v>17.049999</v>
      </c>
      <c r="E177" s="1">
        <v>-1463.0699460000001</v>
      </c>
      <c r="F177" s="1">
        <v>-1774.6400149999999</v>
      </c>
      <c r="G177" s="1">
        <v>8.0399999999999991</v>
      </c>
      <c r="H177" s="1">
        <v>1E-4</v>
      </c>
      <c r="I177" s="1">
        <v>0</v>
      </c>
      <c r="J177" s="1">
        <v>2.0472000000000001</v>
      </c>
      <c r="K177" s="1">
        <v>-7.4749999999999999E-3</v>
      </c>
      <c r="L177" s="1">
        <v>-3.8010000000000001E-3</v>
      </c>
      <c r="M177" s="1">
        <v>0.89100999999999997</v>
      </c>
      <c r="N177" s="1">
        <v>-0.45390599999999998</v>
      </c>
      <c r="O177">
        <v>1</v>
      </c>
      <c r="P177">
        <v>0</v>
      </c>
      <c r="Q177">
        <v>1</v>
      </c>
      <c r="R177">
        <v>1</v>
      </c>
      <c r="S177">
        <v>1</v>
      </c>
      <c r="T177" s="1">
        <f>SQRT(POWER(Dominus[[#This Row],[angvel_X]],2) + POWER(Dominus[[#This Row],[angvel_Y]],2) + POWER(Dominus[[#This Row],[angvel_Z]],2))</f>
        <v>2.0472000024423602</v>
      </c>
      <c r="U177" s="1">
        <f>DEGREES(ASIN(MAX(-1,MIN(1,2 * (Dominus[[#This Row],[quart_W]]*Dominus[[#This Row],[quart_Y]] - Dominus[[#This Row],[quart_Z]]*Dominus[[#This Row],[quart_X]])))))</f>
        <v>0.96096362368737254</v>
      </c>
      <c r="V17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-143.99120652779496</v>
      </c>
      <c r="W17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89.999287330490446</v>
      </c>
      <c r="X177" s="1">
        <f>IF(Dominus[[#This Row],[Yaw]]&gt;V176,(360-ABS(Dominus[[#This Row],[Yaw]])-ABS(V176)),ABS(Dominus[[#This Row],[Yaw]]-V176))</f>
        <v>0.97743363838412733</v>
      </c>
      <c r="Y177" s="1">
        <f>Dominus[[#This Row],[Degree change]]+Y176</f>
        <v>113.14372894547445</v>
      </c>
    </row>
    <row r="178" spans="1:25">
      <c r="A178">
        <v>177</v>
      </c>
      <c r="B178" s="1">
        <v>-1623.4499510000001</v>
      </c>
      <c r="C178" s="1">
        <v>2234.4799800000001</v>
      </c>
      <c r="D178" s="1">
        <v>17.049999</v>
      </c>
      <c r="E178" s="1">
        <v>-1432.579956</v>
      </c>
      <c r="F178" s="1">
        <v>-1799.339966</v>
      </c>
      <c r="G178" s="1">
        <v>8.0399999999999991</v>
      </c>
      <c r="H178" s="1">
        <v>1E-4</v>
      </c>
      <c r="I178" s="1">
        <v>0</v>
      </c>
      <c r="J178" s="1">
        <v>2.0472000000000001</v>
      </c>
      <c r="K178" s="1">
        <v>-7.4419999999999998E-3</v>
      </c>
      <c r="L178" s="1">
        <v>-3.8649999999999999E-3</v>
      </c>
      <c r="M178" s="1">
        <v>0.88710500000000003</v>
      </c>
      <c r="N178" s="1">
        <v>-0.46149099999999998</v>
      </c>
      <c r="O178">
        <v>1</v>
      </c>
      <c r="P178">
        <v>0</v>
      </c>
      <c r="Q178">
        <v>1</v>
      </c>
      <c r="R178">
        <v>1</v>
      </c>
      <c r="S178">
        <v>1</v>
      </c>
      <c r="T178" s="1">
        <f>SQRT(POWER(Dominus[[#This Row],[angvel_X]],2) + POWER(Dominus[[#This Row],[angvel_Y]],2) + POWER(Dominus[[#This Row],[angvel_Z]],2))</f>
        <v>2.0472000024423602</v>
      </c>
      <c r="U178" s="1">
        <f>DEGREES(ASIN(MAX(-1,MIN(1,2 * (Dominus[[#This Row],[quart_W]]*Dominus[[#This Row],[quart_Y]] - Dominus[[#This Row],[quart_Z]]*Dominus[[#This Row],[quart_X]])))))</f>
        <v>0.96095235419978842</v>
      </c>
      <c r="V17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-144.96885831599116</v>
      </c>
      <c r="W17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89.999340410236499</v>
      </c>
      <c r="X178" s="1">
        <f>IF(Dominus[[#This Row],[Yaw]]&gt;V177,(360-ABS(Dominus[[#This Row],[Yaw]])-ABS(V177)),ABS(Dominus[[#This Row],[Yaw]]-V177))</f>
        <v>0.97765178819619791</v>
      </c>
      <c r="Y178" s="1">
        <f>Dominus[[#This Row],[Degree change]]+Y177</f>
        <v>114.12138073367065</v>
      </c>
    </row>
    <row r="179" spans="1:25">
      <c r="A179">
        <v>178</v>
      </c>
      <c r="B179" s="1">
        <v>-1635.429932</v>
      </c>
      <c r="C179" s="1">
        <v>2219.429932</v>
      </c>
      <c r="D179" s="1">
        <v>17.049999</v>
      </c>
      <c r="E179" s="1">
        <v>-1401.669922</v>
      </c>
      <c r="F179" s="1">
        <v>-1823.5200199999999</v>
      </c>
      <c r="G179" s="1">
        <v>8.0399999999999991</v>
      </c>
      <c r="H179" s="1">
        <v>1E-4</v>
      </c>
      <c r="I179" s="1">
        <v>0</v>
      </c>
      <c r="J179" s="1">
        <v>2.0472000000000001</v>
      </c>
      <c r="K179" s="1">
        <v>-7.4099999999999999E-3</v>
      </c>
      <c r="L179" s="1">
        <v>-3.9300000000000003E-3</v>
      </c>
      <c r="M179" s="1">
        <v>0.883135</v>
      </c>
      <c r="N179" s="1">
        <v>-0.46904400000000002</v>
      </c>
      <c r="O179">
        <v>1</v>
      </c>
      <c r="P179">
        <v>0</v>
      </c>
      <c r="Q179">
        <v>1</v>
      </c>
      <c r="R179">
        <v>1</v>
      </c>
      <c r="S179">
        <v>1</v>
      </c>
      <c r="T179" s="1">
        <f>SQRT(POWER(Dominus[[#This Row],[angvel_X]],2) + POWER(Dominus[[#This Row],[angvel_Y]],2) + POWER(Dominus[[#This Row],[angvel_Z]],2))</f>
        <v>2.0472000024423602</v>
      </c>
      <c r="U179" s="1">
        <f>DEGREES(ASIN(MAX(-1,MIN(1,2 * (Dominus[[#This Row],[quart_W]]*Dominus[[#This Row],[quart_Y]] - Dominus[[#This Row],[quart_Z]]*Dominus[[#This Row],[quart_X]])))))</f>
        <v>0.96116726022053622</v>
      </c>
      <c r="V17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-145.94665808528248</v>
      </c>
      <c r="W17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89.999438939224106</v>
      </c>
      <c r="X179" s="1">
        <f>IF(Dominus[[#This Row],[Yaw]]&gt;V178,(360-ABS(Dominus[[#This Row],[Yaw]])-ABS(V178)),ABS(Dominus[[#This Row],[Yaw]]-V178))</f>
        <v>0.97779976929132317</v>
      </c>
      <c r="Y179" s="1">
        <f>Dominus[[#This Row],[Degree change]]+Y178</f>
        <v>115.09918050296197</v>
      </c>
    </row>
    <row r="180" spans="1:25">
      <c r="A180">
        <v>179</v>
      </c>
      <c r="B180" s="1">
        <v>-1647.1499020000001</v>
      </c>
      <c r="C180" s="1">
        <v>2204.179932</v>
      </c>
      <c r="D180" s="1">
        <v>17.049999</v>
      </c>
      <c r="E180" s="1">
        <v>-1370.3599850000001</v>
      </c>
      <c r="F180" s="1">
        <v>-1847.169922</v>
      </c>
      <c r="G180" s="1">
        <v>8.0399999999999991</v>
      </c>
      <c r="H180" s="1">
        <v>1E-4</v>
      </c>
      <c r="I180" s="1">
        <v>0</v>
      </c>
      <c r="J180" s="1">
        <v>2.0472000000000001</v>
      </c>
      <c r="K180" s="1">
        <v>-7.3769999999999999E-3</v>
      </c>
      <c r="L180" s="1">
        <v>-3.9950000000000003E-3</v>
      </c>
      <c r="M180" s="1">
        <v>0.87910200000000005</v>
      </c>
      <c r="N180" s="1">
        <v>-0.47655900000000001</v>
      </c>
      <c r="O180">
        <v>1</v>
      </c>
      <c r="P180">
        <v>0</v>
      </c>
      <c r="Q180">
        <v>1</v>
      </c>
      <c r="R180">
        <v>1</v>
      </c>
      <c r="S180">
        <v>1</v>
      </c>
      <c r="T180" s="1">
        <f>SQRT(POWER(Dominus[[#This Row],[angvel_X]],2) + POWER(Dominus[[#This Row],[angvel_Y]],2) + POWER(Dominus[[#This Row],[angvel_Z]],2))</f>
        <v>2.0472000024423602</v>
      </c>
      <c r="U180" s="1">
        <f>DEGREES(ASIN(MAX(-1,MIN(1,2 * (Dominus[[#This Row],[quart_W]]*Dominus[[#This Row],[quart_Y]] - Dominus[[#This Row],[quart_Z]]*Dominus[[#This Row],[quart_X]])))))</f>
        <v>0.96135239621923629</v>
      </c>
      <c r="V18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-146.92406370744749</v>
      </c>
      <c r="W18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89.999591623800384</v>
      </c>
      <c r="X180" s="1">
        <f>IF(Dominus[[#This Row],[Yaw]]&gt;V179,(360-ABS(Dominus[[#This Row],[Yaw]])-ABS(V179)),ABS(Dominus[[#This Row],[Yaw]]-V179))</f>
        <v>0.97740562216500848</v>
      </c>
      <c r="Y180" s="1">
        <f>Dominus[[#This Row],[Degree change]]+Y179</f>
        <v>116.07658612512698</v>
      </c>
    </row>
    <row r="181" spans="1:25">
      <c r="A181">
        <v>180</v>
      </c>
      <c r="B181" s="1">
        <v>-1658.6099850000001</v>
      </c>
      <c r="C181" s="1">
        <v>2188.7299800000001</v>
      </c>
      <c r="D181" s="1">
        <v>17.049999</v>
      </c>
      <c r="E181" s="1">
        <v>-1338.650024</v>
      </c>
      <c r="F181" s="1">
        <v>-1870.2799070000001</v>
      </c>
      <c r="G181" s="1">
        <v>8.0399999999999991</v>
      </c>
      <c r="H181" s="1">
        <v>1E-4</v>
      </c>
      <c r="I181" s="1">
        <v>0</v>
      </c>
      <c r="J181" s="1">
        <v>2.0472000000000001</v>
      </c>
      <c r="K181" s="1">
        <v>-7.345E-3</v>
      </c>
      <c r="L181" s="1">
        <v>-4.0600000000000002E-3</v>
      </c>
      <c r="M181" s="1">
        <v>0.875004</v>
      </c>
      <c r="N181" s="1">
        <v>-0.48404199999999997</v>
      </c>
      <c r="O181">
        <v>1</v>
      </c>
      <c r="P181">
        <v>0</v>
      </c>
      <c r="Q181">
        <v>1</v>
      </c>
      <c r="R181">
        <v>1</v>
      </c>
      <c r="S181">
        <v>1</v>
      </c>
      <c r="T181" s="1">
        <f>SQRT(POWER(Dominus[[#This Row],[angvel_X]],2) + POWER(Dominus[[#This Row],[angvel_Y]],2) + POWER(Dominus[[#This Row],[angvel_Z]],2))</f>
        <v>2.0472000024423602</v>
      </c>
      <c r="U181" s="1">
        <f>DEGREES(ASIN(MAX(-1,MIN(1,2 * (Dominus[[#This Row],[quart_W]]*Dominus[[#This Row],[quart_Y]] - Dominus[[#This Row],[quart_Z]]*Dominus[[#This Row],[quart_X]])))))</f>
        <v>0.96171068750125688</v>
      </c>
      <c r="V18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-147.90175988051973</v>
      </c>
      <c r="W18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89.999682278794609</v>
      </c>
      <c r="X181" s="1">
        <f>IF(Dominus[[#This Row],[Yaw]]&gt;V180,(360-ABS(Dominus[[#This Row],[Yaw]])-ABS(V180)),ABS(Dominus[[#This Row],[Yaw]]-V180))</f>
        <v>0.97769617307224621</v>
      </c>
      <c r="Y181" s="1">
        <f>Dominus[[#This Row],[Degree change]]+Y180</f>
        <v>117.05428229819923</v>
      </c>
    </row>
    <row r="182" spans="1:25">
      <c r="A182">
        <v>181</v>
      </c>
      <c r="B182" s="1">
        <v>-1669.799927</v>
      </c>
      <c r="C182" s="1">
        <v>2173.0898440000001</v>
      </c>
      <c r="D182" s="1">
        <v>17.049999</v>
      </c>
      <c r="E182" s="1">
        <v>-1306.5399170000001</v>
      </c>
      <c r="F182" s="1">
        <v>-1892.839966</v>
      </c>
      <c r="G182" s="1">
        <v>8.0399999999999991</v>
      </c>
      <c r="H182" s="1">
        <v>0</v>
      </c>
      <c r="I182" s="1">
        <v>0</v>
      </c>
      <c r="J182" s="1">
        <v>2.0472000000000001</v>
      </c>
      <c r="K182" s="1">
        <v>-7.3130000000000001E-3</v>
      </c>
      <c r="L182" s="1">
        <v>-4.1240000000000001E-3</v>
      </c>
      <c r="M182" s="1">
        <v>0.87084499999999998</v>
      </c>
      <c r="N182" s="1">
        <v>-0.49148700000000001</v>
      </c>
      <c r="O182">
        <v>1</v>
      </c>
      <c r="P182">
        <v>0</v>
      </c>
      <c r="Q182">
        <v>1</v>
      </c>
      <c r="R182">
        <v>1</v>
      </c>
      <c r="S182">
        <v>1</v>
      </c>
      <c r="T182" s="1">
        <f>SQRT(POWER(Dominus[[#This Row],[angvel_X]],2) + POWER(Dominus[[#This Row],[angvel_Y]],2) + POWER(Dominus[[#This Row],[angvel_Z]],2))</f>
        <v>2.0472000000000001</v>
      </c>
      <c r="U182" s="1">
        <f>DEGREES(ASIN(MAX(-1,MIN(1,2 * (Dominus[[#This Row],[quart_W]]*Dominus[[#This Row],[quart_Y]] - Dominus[[#This Row],[quart_Z]]*Dominus[[#This Row],[quart_X]])))))</f>
        <v>0.96208510779391387</v>
      </c>
      <c r="V18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-148.87893237527013</v>
      </c>
      <c r="W18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89.999669969776562</v>
      </c>
      <c r="X182" s="1">
        <f>IF(Dominus[[#This Row],[Yaw]]&gt;V181,(360-ABS(Dominus[[#This Row],[Yaw]])-ABS(V181)),ABS(Dominus[[#This Row],[Yaw]]-V181))</f>
        <v>0.97717249475039125</v>
      </c>
      <c r="Y182" s="1">
        <f>Dominus[[#This Row],[Degree change]]+Y181</f>
        <v>118.03145479294962</v>
      </c>
    </row>
    <row r="183" spans="1:25">
      <c r="A183">
        <v>182</v>
      </c>
      <c r="B183" s="1">
        <v>-1680.719971</v>
      </c>
      <c r="C183" s="1">
        <v>2157.26001</v>
      </c>
      <c r="D183" s="1">
        <v>17.049999</v>
      </c>
      <c r="E183" s="1">
        <v>-1274.059937</v>
      </c>
      <c r="F183" s="1">
        <v>-1914.8599850000001</v>
      </c>
      <c r="G183" s="1">
        <v>8.0399999999999991</v>
      </c>
      <c r="H183" s="1">
        <v>0</v>
      </c>
      <c r="I183" s="1">
        <v>0</v>
      </c>
      <c r="J183" s="1">
        <v>2.0472000000000001</v>
      </c>
      <c r="K183" s="1">
        <v>-7.2750000000000002E-3</v>
      </c>
      <c r="L183" s="1">
        <v>-4.189E-3</v>
      </c>
      <c r="M183" s="1">
        <v>0.86661900000000003</v>
      </c>
      <c r="N183" s="1">
        <v>-0.49889899999999998</v>
      </c>
      <c r="O183">
        <v>1</v>
      </c>
      <c r="P183">
        <v>0</v>
      </c>
      <c r="Q183">
        <v>1</v>
      </c>
      <c r="R183">
        <v>1</v>
      </c>
      <c r="S183">
        <v>1</v>
      </c>
      <c r="T183" s="1">
        <f>SQRT(POWER(Dominus[[#This Row],[angvel_X]],2) + POWER(Dominus[[#This Row],[angvel_Y]],2) + POWER(Dominus[[#This Row],[angvel_Z]],2))</f>
        <v>2.0472000000000001</v>
      </c>
      <c r="U183" s="1">
        <f>DEGREES(ASIN(MAX(-1,MIN(1,2 * (Dominus[[#This Row],[quart_W]]*Dominus[[#This Row],[quart_Y]] - Dominus[[#This Row],[quart_Z]]*Dominus[[#This Row],[quart_X]])))))</f>
        <v>0.96198875284809326</v>
      </c>
      <c r="V18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-149.85676198732369</v>
      </c>
      <c r="W18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90.000089023374485</v>
      </c>
      <c r="X183" s="1">
        <f>IF(Dominus[[#This Row],[Yaw]]&gt;V182,(360-ABS(Dominus[[#This Row],[Yaw]])-ABS(V182)),ABS(Dominus[[#This Row],[Yaw]]-V182))</f>
        <v>0.97782961205356855</v>
      </c>
      <c r="Y183" s="1">
        <f>Dominus[[#This Row],[Degree change]]+Y182</f>
        <v>119.00928440500319</v>
      </c>
    </row>
    <row r="184" spans="1:25">
      <c r="A184">
        <v>183</v>
      </c>
      <c r="B184" s="1">
        <v>-1691.369995</v>
      </c>
      <c r="C184" s="1">
        <v>2141.23999</v>
      </c>
      <c r="D184" s="1">
        <v>17.049999</v>
      </c>
      <c r="E184" s="1">
        <v>-1241.209961</v>
      </c>
      <c r="F184" s="1">
        <v>-1936.309937</v>
      </c>
      <c r="G184" s="1">
        <v>8.0399999999999991</v>
      </c>
      <c r="H184" s="1">
        <v>0</v>
      </c>
      <c r="I184" s="1">
        <v>0</v>
      </c>
      <c r="J184" s="1">
        <v>2.0472000000000001</v>
      </c>
      <c r="K184" s="1">
        <v>-7.2370000000000004E-3</v>
      </c>
      <c r="L184" s="1">
        <v>-4.248E-3</v>
      </c>
      <c r="M184" s="1">
        <v>0.86233199999999999</v>
      </c>
      <c r="N184" s="1">
        <v>-0.506274</v>
      </c>
      <c r="O184">
        <v>1</v>
      </c>
      <c r="P184">
        <v>0</v>
      </c>
      <c r="Q184">
        <v>1</v>
      </c>
      <c r="R184">
        <v>1</v>
      </c>
      <c r="S184">
        <v>1</v>
      </c>
      <c r="T184" s="1">
        <f>SQRT(POWER(Dominus[[#This Row],[angvel_X]],2) + POWER(Dominus[[#This Row],[angvel_Y]],2) + POWER(Dominus[[#This Row],[angvel_Z]],2))</f>
        <v>2.0472000000000001</v>
      </c>
      <c r="U184" s="1">
        <f>DEGREES(ASIN(MAX(-1,MIN(1,2 * (Dominus[[#This Row],[quart_W]]*Dominus[[#This Row],[quart_Y]] - Dominus[[#This Row],[quart_Z]]*Dominus[[#This Row],[quart_X]])))))</f>
        <v>0.96162286774526151</v>
      </c>
      <c r="V18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-150.83426746592548</v>
      </c>
      <c r="W18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89.999917642677346</v>
      </c>
      <c r="X184" s="1">
        <f>IF(Dominus[[#This Row],[Yaw]]&gt;V183,(360-ABS(Dominus[[#This Row],[Yaw]])-ABS(V183)),ABS(Dominus[[#This Row],[Yaw]]-V183))</f>
        <v>0.97750547860178472</v>
      </c>
      <c r="Y184" s="1">
        <f>Dominus[[#This Row],[Degree change]]+Y183</f>
        <v>119.98678988360497</v>
      </c>
    </row>
    <row r="185" spans="1:25">
      <c r="A185">
        <v>184</v>
      </c>
      <c r="B185" s="1">
        <v>-1701.75</v>
      </c>
      <c r="C185" s="1">
        <v>2125.040039</v>
      </c>
      <c r="D185" s="1">
        <v>17.049999</v>
      </c>
      <c r="E185" s="1">
        <v>-1207.98999</v>
      </c>
      <c r="F185" s="1">
        <v>-1957.209961</v>
      </c>
      <c r="G185" s="1">
        <v>8.0399999999999991</v>
      </c>
      <c r="H185" s="1">
        <v>0</v>
      </c>
      <c r="I185" s="1">
        <v>0</v>
      </c>
      <c r="J185" s="1">
        <v>2.0472000000000001</v>
      </c>
      <c r="K185" s="1">
        <v>-7.1989999999999997E-3</v>
      </c>
      <c r="L185" s="1">
        <v>-4.3080000000000002E-3</v>
      </c>
      <c r="M185" s="1">
        <v>0.85798200000000002</v>
      </c>
      <c r="N185" s="1">
        <v>-0.51361100000000004</v>
      </c>
      <c r="O185">
        <v>1</v>
      </c>
      <c r="P185">
        <v>0</v>
      </c>
      <c r="Q185">
        <v>1</v>
      </c>
      <c r="R185">
        <v>1</v>
      </c>
      <c r="S185">
        <v>1</v>
      </c>
      <c r="T185" s="1">
        <f>SQRT(POWER(Dominus[[#This Row],[angvel_X]],2) + POWER(Dominus[[#This Row],[angvel_Y]],2) + POWER(Dominus[[#This Row],[angvel_Z]],2))</f>
        <v>2.0472000000000001</v>
      </c>
      <c r="U185" s="1">
        <f>DEGREES(ASIN(MAX(-1,MIN(1,2 * (Dominus[[#This Row],[quart_W]]*Dominus[[#This Row],[quart_Y]] - Dominus[[#This Row],[quart_Z]]*Dominus[[#This Row],[quart_X]])))))</f>
        <v>0.96138218814487664</v>
      </c>
      <c r="V18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-151.81175088151414</v>
      </c>
      <c r="W18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89.999851109364968</v>
      </c>
      <c r="X185" s="1">
        <f>IF(Dominus[[#This Row],[Yaw]]&gt;V184,(360-ABS(Dominus[[#This Row],[Yaw]])-ABS(V184)),ABS(Dominus[[#This Row],[Yaw]]-V184))</f>
        <v>0.97748341558866514</v>
      </c>
      <c r="Y185" s="1">
        <f>Dominus[[#This Row],[Degree change]]+Y184</f>
        <v>120.96427329919364</v>
      </c>
    </row>
    <row r="186" spans="1:25">
      <c r="A186">
        <v>185</v>
      </c>
      <c r="B186" s="1">
        <v>-1711.849976</v>
      </c>
      <c r="C186" s="1">
        <v>2108.669922</v>
      </c>
      <c r="D186" s="1">
        <v>17.049999</v>
      </c>
      <c r="E186" s="1">
        <v>-1174.419922</v>
      </c>
      <c r="F186" s="1">
        <v>-1977.5299070000001</v>
      </c>
      <c r="G186" s="1">
        <v>8.0399999999999991</v>
      </c>
      <c r="H186" s="1">
        <v>0</v>
      </c>
      <c r="I186" s="1">
        <v>0</v>
      </c>
      <c r="J186" s="1">
        <v>2.0472000000000001</v>
      </c>
      <c r="K186" s="1">
        <v>-7.162E-3</v>
      </c>
      <c r="L186" s="1">
        <v>-4.3670000000000002E-3</v>
      </c>
      <c r="M186" s="1">
        <v>0.85357000000000005</v>
      </c>
      <c r="N186" s="1">
        <v>-0.52090999999999998</v>
      </c>
      <c r="O186">
        <v>1</v>
      </c>
      <c r="P186">
        <v>0</v>
      </c>
      <c r="Q186">
        <v>1</v>
      </c>
      <c r="R186">
        <v>1</v>
      </c>
      <c r="S186">
        <v>1</v>
      </c>
      <c r="T186" s="1">
        <f>SQRT(POWER(Dominus[[#This Row],[angvel_X]],2) + POWER(Dominus[[#This Row],[angvel_Y]],2) + POWER(Dominus[[#This Row],[angvel_Z]],2))</f>
        <v>2.0472000000000001</v>
      </c>
      <c r="U186" s="1">
        <f>DEGREES(ASIN(MAX(-1,MIN(1,2 * (Dominus[[#This Row],[quart_W]]*Dominus[[#This Row],[quart_Y]] - Dominus[[#This Row],[quart_Z]]*Dominus[[#This Row],[quart_X]])))))</f>
        <v>0.9612485216544826</v>
      </c>
      <c r="V18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-152.78914501829487</v>
      </c>
      <c r="W18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89.999631280708755</v>
      </c>
      <c r="X186" s="1">
        <f>IF(Dominus[[#This Row],[Yaw]]&gt;V185,(360-ABS(Dominus[[#This Row],[Yaw]])-ABS(V185)),ABS(Dominus[[#This Row],[Yaw]]-V185))</f>
        <v>0.97739413678073106</v>
      </c>
      <c r="Y186" s="1">
        <f>Dominus[[#This Row],[Degree change]]+Y185</f>
        <v>121.94166743597437</v>
      </c>
    </row>
    <row r="187" spans="1:25">
      <c r="A187">
        <v>186</v>
      </c>
      <c r="B187" s="1">
        <v>-1721.669922</v>
      </c>
      <c r="C187" s="1">
        <v>2092.1298830000001</v>
      </c>
      <c r="D187" s="1">
        <v>17.049999</v>
      </c>
      <c r="E187" s="1">
        <v>-1140.5200199999999</v>
      </c>
      <c r="F187" s="1">
        <v>-1997.2799070000001</v>
      </c>
      <c r="G187" s="1">
        <v>8.0399999999999991</v>
      </c>
      <c r="H187" s="1">
        <v>0</v>
      </c>
      <c r="I187" s="1">
        <v>0</v>
      </c>
      <c r="J187" s="1">
        <v>2.0472000000000001</v>
      </c>
      <c r="K187" s="1">
        <v>-7.1240000000000001E-3</v>
      </c>
      <c r="L187" s="1">
        <v>-4.4260000000000002E-3</v>
      </c>
      <c r="M187" s="1">
        <v>0.84909599999999996</v>
      </c>
      <c r="N187" s="1">
        <v>-0.52817099999999995</v>
      </c>
      <c r="O187">
        <v>1</v>
      </c>
      <c r="P187">
        <v>0</v>
      </c>
      <c r="Q187">
        <v>1</v>
      </c>
      <c r="R187">
        <v>1</v>
      </c>
      <c r="S187">
        <v>1</v>
      </c>
      <c r="T187" s="1">
        <f>SQRT(POWER(Dominus[[#This Row],[angvel_X]],2) + POWER(Dominus[[#This Row],[angvel_Y]],2) + POWER(Dominus[[#This Row],[angvel_Z]],2))</f>
        <v>2.0472000000000001</v>
      </c>
      <c r="U187" s="1">
        <f>DEGREES(ASIN(MAX(-1,MIN(1,2 * (Dominus[[#This Row],[quart_W]]*Dominus[[#This Row],[quart_Y]] - Dominus[[#This Row],[quart_Z]]*Dominus[[#This Row],[quart_X]])))))</f>
        <v>0.96108376623087277</v>
      </c>
      <c r="V18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-153.76652116549599</v>
      </c>
      <c r="W18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89.999473800831737</v>
      </c>
      <c r="X187" s="1">
        <f>IF(Dominus[[#This Row],[Yaw]]&gt;V186,(360-ABS(Dominus[[#This Row],[Yaw]])-ABS(V186)),ABS(Dominus[[#This Row],[Yaw]]-V186))</f>
        <v>0.9773761472011131</v>
      </c>
      <c r="Y187" s="1">
        <f>Dominus[[#This Row],[Degree change]]+Y186</f>
        <v>122.91904358317548</v>
      </c>
    </row>
    <row r="188" spans="1:25">
      <c r="A188">
        <v>187</v>
      </c>
      <c r="B188" s="1">
        <v>-1731.1999510000001</v>
      </c>
      <c r="C188" s="1">
        <v>2075.419922</v>
      </c>
      <c r="D188" s="1">
        <v>17.049999</v>
      </c>
      <c r="E188" s="1">
        <v>-1106.280029</v>
      </c>
      <c r="F188" s="1">
        <v>-2016.4399410000001</v>
      </c>
      <c r="G188" s="1">
        <v>8.0399999999999991</v>
      </c>
      <c r="H188" s="1">
        <v>0</v>
      </c>
      <c r="I188" s="1">
        <v>0</v>
      </c>
      <c r="J188" s="1">
        <v>2.0472000000000001</v>
      </c>
      <c r="K188" s="1">
        <v>-7.0860000000000003E-3</v>
      </c>
      <c r="L188" s="1">
        <v>-4.4860000000000004E-3</v>
      </c>
      <c r="M188" s="1">
        <v>0.84455999999999998</v>
      </c>
      <c r="N188" s="1">
        <v>-0.53539499999999995</v>
      </c>
      <c r="O188">
        <v>1</v>
      </c>
      <c r="P188">
        <v>0</v>
      </c>
      <c r="Q188">
        <v>1</v>
      </c>
      <c r="R188">
        <v>1</v>
      </c>
      <c r="S188">
        <v>1</v>
      </c>
      <c r="T188" s="1">
        <f>SQRT(POWER(Dominus[[#This Row],[angvel_X]],2) + POWER(Dominus[[#This Row],[angvel_Y]],2) + POWER(Dominus[[#This Row],[angvel_Z]],2))</f>
        <v>2.0472000000000001</v>
      </c>
      <c r="U188" s="1">
        <f>DEGREES(ASIN(MAX(-1,MIN(1,2 * (Dominus[[#This Row],[quart_W]]*Dominus[[#This Row],[quart_Y]] - Dominus[[#This Row],[quart_Z]]*Dominus[[#This Row],[quart_X]])))))</f>
        <v>0.96104816679281069</v>
      </c>
      <c r="V18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-154.74398960167809</v>
      </c>
      <c r="W18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89.999414032702404</v>
      </c>
      <c r="X188" s="1">
        <f>IF(Dominus[[#This Row],[Yaw]]&gt;V187,(360-ABS(Dominus[[#This Row],[Yaw]])-ABS(V187)),ABS(Dominus[[#This Row],[Yaw]]-V187))</f>
        <v>0.97746843618210733</v>
      </c>
      <c r="Y188" s="1">
        <f>Dominus[[#This Row],[Degree change]]+Y187</f>
        <v>123.89651201935759</v>
      </c>
    </row>
    <row r="189" spans="1:25">
      <c r="A189">
        <v>188</v>
      </c>
      <c r="B189" s="1">
        <v>-1740.4499510000001</v>
      </c>
      <c r="C189" s="1">
        <v>2058.5500489999999</v>
      </c>
      <c r="D189" s="1">
        <v>17.049999</v>
      </c>
      <c r="E189" s="1">
        <v>-1071.719971</v>
      </c>
      <c r="F189" s="1">
        <v>-2035.0198969999999</v>
      </c>
      <c r="G189" s="1">
        <v>8.0399999999999991</v>
      </c>
      <c r="H189" s="1">
        <v>0</v>
      </c>
      <c r="I189" s="1">
        <v>0</v>
      </c>
      <c r="J189" s="1">
        <v>2.0472000000000001</v>
      </c>
      <c r="K189" s="1">
        <v>-7.0479999999999996E-3</v>
      </c>
      <c r="L189" s="1">
        <v>-4.5450000000000004E-3</v>
      </c>
      <c r="M189" s="1">
        <v>0.83996099999999996</v>
      </c>
      <c r="N189" s="1">
        <v>-0.54258099999999998</v>
      </c>
      <c r="O189">
        <v>1</v>
      </c>
      <c r="P189">
        <v>0</v>
      </c>
      <c r="Q189">
        <v>1</v>
      </c>
      <c r="R189">
        <v>1</v>
      </c>
      <c r="S189">
        <v>1</v>
      </c>
      <c r="T189" s="1">
        <f>SQRT(POWER(Dominus[[#This Row],[angvel_X]],2) + POWER(Dominus[[#This Row],[angvel_Y]],2) + POWER(Dominus[[#This Row],[angvel_Z]],2))</f>
        <v>2.0472000000000001</v>
      </c>
      <c r="U189" s="1">
        <f>DEGREES(ASIN(MAX(-1,MIN(1,2 * (Dominus[[#This Row],[quart_W]]*Dominus[[#This Row],[quart_Y]] - Dominus[[#This Row],[quart_Z]]*Dominus[[#This Row],[quart_X]])))))</f>
        <v>0.96101855709629536</v>
      </c>
      <c r="V18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-155.72172687898575</v>
      </c>
      <c r="W18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89.999256408983001</v>
      </c>
      <c r="X189" s="1">
        <f>IF(Dominus[[#This Row],[Yaw]]&gt;V188,(360-ABS(Dominus[[#This Row],[Yaw]])-ABS(V188)),ABS(Dominus[[#This Row],[Yaw]]-V188))</f>
        <v>0.97773727730765359</v>
      </c>
      <c r="Y189" s="1">
        <f>Dominus[[#This Row],[Degree change]]+Y188</f>
        <v>124.87424929666524</v>
      </c>
    </row>
    <row r="190" spans="1:25">
      <c r="A190">
        <v>189</v>
      </c>
      <c r="B190" s="1">
        <v>-1749.4099120000001</v>
      </c>
      <c r="C190" s="1">
        <v>2041.5299070000001</v>
      </c>
      <c r="D190" s="1">
        <v>17.049999</v>
      </c>
      <c r="E190" s="1">
        <v>-1036.849976</v>
      </c>
      <c r="F190" s="1">
        <v>-2053.01001</v>
      </c>
      <c r="G190" s="1">
        <v>8.0399999999999991</v>
      </c>
      <c r="H190" s="1">
        <v>0</v>
      </c>
      <c r="I190" s="1">
        <v>0</v>
      </c>
      <c r="J190" s="1">
        <v>2.0472000000000001</v>
      </c>
      <c r="K190" s="1">
        <v>-7.0109999999999999E-3</v>
      </c>
      <c r="L190" s="1">
        <v>-4.6039999999999996E-3</v>
      </c>
      <c r="M190" s="1">
        <v>0.83530400000000005</v>
      </c>
      <c r="N190" s="1">
        <v>-0.54972399999999999</v>
      </c>
      <c r="O190">
        <v>1</v>
      </c>
      <c r="P190">
        <v>0</v>
      </c>
      <c r="Q190">
        <v>1</v>
      </c>
      <c r="R190">
        <v>1</v>
      </c>
      <c r="S190">
        <v>1</v>
      </c>
      <c r="T190" s="1">
        <f>SQRT(POWER(Dominus[[#This Row],[angvel_X]],2) + POWER(Dominus[[#This Row],[angvel_Y]],2) + POWER(Dominus[[#This Row],[angvel_Z]],2))</f>
        <v>2.0472000000000001</v>
      </c>
      <c r="U190" s="1">
        <f>DEGREES(ASIN(MAX(-1,MIN(1,2 * (Dominus[[#This Row],[quart_W]]*Dominus[[#This Row],[quart_Y]] - Dominus[[#This Row],[quart_Z]]*Dominus[[#This Row],[quart_X]])))))</f>
        <v>0.96115263284172958</v>
      </c>
      <c r="V19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-156.69885753791564</v>
      </c>
      <c r="W19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89.999040120758579</v>
      </c>
      <c r="X190" s="1">
        <f>IF(Dominus[[#This Row],[Yaw]]&gt;V189,(360-ABS(Dominus[[#This Row],[Yaw]])-ABS(V189)),ABS(Dominus[[#This Row],[Yaw]]-V189))</f>
        <v>0.97713065892989448</v>
      </c>
      <c r="Y190" s="1">
        <f>Dominus[[#This Row],[Degree change]]+Y189</f>
        <v>125.85137995559514</v>
      </c>
    </row>
    <row r="191" spans="1:25">
      <c r="A191">
        <v>190</v>
      </c>
      <c r="B191" s="1">
        <v>-1758.079956</v>
      </c>
      <c r="C191" s="1">
        <v>2024.3599850000001</v>
      </c>
      <c r="D191" s="1">
        <v>17.049999</v>
      </c>
      <c r="E191" s="1">
        <v>-1001.679993</v>
      </c>
      <c r="F191" s="1">
        <v>-2070.3999020000001</v>
      </c>
      <c r="G191" s="1">
        <v>8.0399999999999991</v>
      </c>
      <c r="H191" s="1">
        <v>0</v>
      </c>
      <c r="I191" s="1">
        <v>0</v>
      </c>
      <c r="J191" s="1">
        <v>2.0472000000000001</v>
      </c>
      <c r="K191" s="1">
        <v>-6.973E-3</v>
      </c>
      <c r="L191" s="1">
        <v>-4.6639999999999997E-3</v>
      </c>
      <c r="M191" s="1">
        <v>0.83058500000000002</v>
      </c>
      <c r="N191" s="1">
        <v>-0.55682900000000002</v>
      </c>
      <c r="O191">
        <v>1</v>
      </c>
      <c r="P191">
        <v>0</v>
      </c>
      <c r="Q191">
        <v>1</v>
      </c>
      <c r="R191">
        <v>1</v>
      </c>
      <c r="S191">
        <v>1</v>
      </c>
      <c r="T191" s="1">
        <f>SQRT(POWER(Dominus[[#This Row],[angvel_X]],2) + POWER(Dominus[[#This Row],[angvel_Y]],2) + POWER(Dominus[[#This Row],[angvel_Z]],2))</f>
        <v>2.0472000000000001</v>
      </c>
      <c r="U191" s="1">
        <f>DEGREES(ASIN(MAX(-1,MIN(1,2 * (Dominus[[#This Row],[quart_W]]*Dominus[[#This Row],[quart_Y]] - Dominus[[#This Row],[quart_Z]]*Dominus[[#This Row],[quart_X]])))))</f>
        <v>0.96132156697965143</v>
      </c>
      <c r="V19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-157.67624831786563</v>
      </c>
      <c r="W19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89.998977679117957</v>
      </c>
      <c r="X191" s="1">
        <f>IF(Dominus[[#This Row],[Yaw]]&gt;V190,(360-ABS(Dominus[[#This Row],[Yaw]])-ABS(V190)),ABS(Dominus[[#This Row],[Yaw]]-V190))</f>
        <v>0.97739077994998524</v>
      </c>
      <c r="Y191" s="1">
        <f>Dominus[[#This Row],[Degree change]]+Y190</f>
        <v>126.82877073554512</v>
      </c>
    </row>
    <row r="192" spans="1:25">
      <c r="A192">
        <v>191</v>
      </c>
      <c r="B192" s="1">
        <v>-1766.4499510000001</v>
      </c>
      <c r="C192" s="1">
        <v>2007.0399170000001</v>
      </c>
      <c r="D192" s="1">
        <v>17.049999</v>
      </c>
      <c r="E192" s="1">
        <v>-966.20996100000002</v>
      </c>
      <c r="F192" s="1">
        <v>-2087.179932</v>
      </c>
      <c r="G192" s="1">
        <v>8.0399999999999991</v>
      </c>
      <c r="H192" s="1">
        <v>0</v>
      </c>
      <c r="I192" s="1">
        <v>0</v>
      </c>
      <c r="J192" s="1">
        <v>2.0472000000000001</v>
      </c>
      <c r="K192" s="1">
        <v>-6.9350000000000002E-3</v>
      </c>
      <c r="L192" s="1">
        <v>-4.7229999999999998E-3</v>
      </c>
      <c r="M192" s="1">
        <v>0.82580699999999996</v>
      </c>
      <c r="N192" s="1">
        <v>-0.56389100000000003</v>
      </c>
      <c r="O192">
        <v>1</v>
      </c>
      <c r="P192">
        <v>0</v>
      </c>
      <c r="Q192">
        <v>1</v>
      </c>
      <c r="R192">
        <v>1</v>
      </c>
      <c r="S192">
        <v>1</v>
      </c>
      <c r="T192" s="1">
        <f>SQRT(POWER(Dominus[[#This Row],[angvel_X]],2) + POWER(Dominus[[#This Row],[angvel_Y]],2) + POWER(Dominus[[#This Row],[angvel_Z]],2))</f>
        <v>2.0472000000000001</v>
      </c>
      <c r="U192" s="1">
        <f>DEGREES(ASIN(MAX(-1,MIN(1,2 * (Dominus[[#This Row],[quart_W]]*Dominus[[#This Row],[quart_Y]] - Dominus[[#This Row],[quart_Z]]*Dominus[[#This Row],[quart_X]])))))</f>
        <v>0.9614945188133196</v>
      </c>
      <c r="V19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-158.65333455376867</v>
      </c>
      <c r="W19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89.998819813039177</v>
      </c>
      <c r="X192" s="1">
        <f>IF(Dominus[[#This Row],[Yaw]]&gt;V191,(360-ABS(Dominus[[#This Row],[Yaw]])-ABS(V191)),ABS(Dominus[[#This Row],[Yaw]]-V191))</f>
        <v>0.97708623590304455</v>
      </c>
      <c r="Y192" s="1">
        <f>Dominus[[#This Row],[Degree change]]+Y191</f>
        <v>127.80585697144816</v>
      </c>
    </row>
    <row r="193" spans="1:25">
      <c r="A193">
        <v>192</v>
      </c>
      <c r="B193" s="1">
        <v>-1774.5299070000001</v>
      </c>
      <c r="C193" s="1">
        <v>1989.579956</v>
      </c>
      <c r="D193" s="1">
        <v>17.049999</v>
      </c>
      <c r="E193" s="1">
        <v>-930.46997099999999</v>
      </c>
      <c r="F193" s="1">
        <v>-2103.3598630000001</v>
      </c>
      <c r="G193" s="1">
        <v>8.0399999999999991</v>
      </c>
      <c r="H193" s="1">
        <v>0</v>
      </c>
      <c r="I193" s="1">
        <v>1E-4</v>
      </c>
      <c r="J193" s="1">
        <v>2.0472000000000001</v>
      </c>
      <c r="K193" s="1">
        <v>-6.8919999999999997E-3</v>
      </c>
      <c r="L193" s="1">
        <v>-4.7829999999999999E-3</v>
      </c>
      <c r="M193" s="1">
        <v>0.82096599999999997</v>
      </c>
      <c r="N193" s="1">
        <v>-0.57091499999999995</v>
      </c>
      <c r="O193">
        <v>1</v>
      </c>
      <c r="P193">
        <v>0</v>
      </c>
      <c r="Q193">
        <v>1</v>
      </c>
      <c r="R193">
        <v>1</v>
      </c>
      <c r="S193">
        <v>1</v>
      </c>
      <c r="T193" s="1">
        <f>SQRT(POWER(Dominus[[#This Row],[angvel_X]],2) + POWER(Dominus[[#This Row],[angvel_Y]],2) + POWER(Dominus[[#This Row],[angvel_Z]],2))</f>
        <v>2.0472000024423602</v>
      </c>
      <c r="U193" s="1">
        <f>DEGREES(ASIN(MAX(-1,MIN(1,2 * (Dominus[[#This Row],[quart_W]]*Dominus[[#This Row],[quart_Y]] - Dominus[[#This Row],[quart_Z]]*Dominus[[#This Row],[quart_X]])))))</f>
        <v>0.96132895413293817</v>
      </c>
      <c r="V19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-159.63097221985274</v>
      </c>
      <c r="W19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89.99907559706115</v>
      </c>
      <c r="X193" s="1">
        <f>IF(Dominus[[#This Row],[Yaw]]&gt;V192,(360-ABS(Dominus[[#This Row],[Yaw]])-ABS(V192)),ABS(Dominus[[#This Row],[Yaw]]-V192))</f>
        <v>0.97763766608406399</v>
      </c>
      <c r="Y193" s="1">
        <f>Dominus[[#This Row],[Degree change]]+Y192</f>
        <v>128.78349463753221</v>
      </c>
    </row>
    <row r="194" spans="1:25">
      <c r="A194">
        <v>193</v>
      </c>
      <c r="B194" s="1">
        <v>-1782.309937</v>
      </c>
      <c r="C194" s="1">
        <v>1971.98999</v>
      </c>
      <c r="D194" s="1">
        <v>17.049999</v>
      </c>
      <c r="E194" s="1">
        <v>-894.44995100000006</v>
      </c>
      <c r="F194" s="1">
        <v>-2118.929932</v>
      </c>
      <c r="G194" s="1">
        <v>8.0399999999999991</v>
      </c>
      <c r="H194" s="1">
        <v>0</v>
      </c>
      <c r="I194" s="1">
        <v>1E-4</v>
      </c>
      <c r="J194" s="1">
        <v>2.0472000000000001</v>
      </c>
      <c r="K194" s="1">
        <v>-6.8490000000000001E-3</v>
      </c>
      <c r="L194" s="1">
        <v>-4.8419999999999999E-3</v>
      </c>
      <c r="M194" s="1">
        <v>0.81606800000000002</v>
      </c>
      <c r="N194" s="1">
        <v>-0.57789500000000005</v>
      </c>
      <c r="O194">
        <v>1</v>
      </c>
      <c r="P194">
        <v>0</v>
      </c>
      <c r="Q194">
        <v>1</v>
      </c>
      <c r="R194">
        <v>1</v>
      </c>
      <c r="S194">
        <v>1</v>
      </c>
      <c r="T194" s="1">
        <f>SQRT(POWER(Dominus[[#This Row],[angvel_X]],2) + POWER(Dominus[[#This Row],[angvel_Y]],2) + POWER(Dominus[[#This Row],[angvel_Z]],2))</f>
        <v>2.0472000024423602</v>
      </c>
      <c r="U194" s="1">
        <f>DEGREES(ASIN(MAX(-1,MIN(1,2 * (Dominus[[#This Row],[quart_W]]*Dominus[[#This Row],[quart_Y]] - Dominus[[#This Row],[quart_Z]]*Dominus[[#This Row],[quart_X]])))))</f>
        <v>0.96117230891827998</v>
      </c>
      <c r="V19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-160.60811204982917</v>
      </c>
      <c r="W19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89.999243406020099</v>
      </c>
      <c r="X194" s="1">
        <f>IF(Dominus[[#This Row],[Yaw]]&gt;V193,(360-ABS(Dominus[[#This Row],[Yaw]])-ABS(V193)),ABS(Dominus[[#This Row],[Yaw]]-V193))</f>
        <v>0.97713982997643711</v>
      </c>
      <c r="Y194" s="1">
        <f>Dominus[[#This Row],[Degree change]]+Y193</f>
        <v>129.76063446750865</v>
      </c>
    </row>
    <row r="195" spans="1:25">
      <c r="A195">
        <v>194</v>
      </c>
      <c r="B195" s="1">
        <v>-1789.7899170000001</v>
      </c>
      <c r="C195" s="1">
        <v>1954.2698969999999</v>
      </c>
      <c r="D195" s="1">
        <v>17.049999</v>
      </c>
      <c r="E195" s="1">
        <v>-858.169983</v>
      </c>
      <c r="F195" s="1">
        <v>-2133.8798830000001</v>
      </c>
      <c r="G195" s="1">
        <v>8.0399999999999991</v>
      </c>
      <c r="H195" s="1">
        <v>0</v>
      </c>
      <c r="I195" s="1">
        <v>1E-4</v>
      </c>
      <c r="J195" s="1">
        <v>2.0472000000000001</v>
      </c>
      <c r="K195" s="1">
        <v>-6.8060000000000004E-3</v>
      </c>
      <c r="L195" s="1">
        <v>-4.901E-3</v>
      </c>
      <c r="M195" s="1">
        <v>0.81111</v>
      </c>
      <c r="N195" s="1">
        <v>-0.58483300000000005</v>
      </c>
      <c r="O195">
        <v>1</v>
      </c>
      <c r="P195">
        <v>0</v>
      </c>
      <c r="Q195">
        <v>1</v>
      </c>
      <c r="R195">
        <v>1</v>
      </c>
      <c r="S195">
        <v>1</v>
      </c>
      <c r="T195" s="1">
        <f>SQRT(POWER(Dominus[[#This Row],[angvel_X]],2) + POWER(Dominus[[#This Row],[angvel_Y]],2) + POWER(Dominus[[#This Row],[angvel_Z]],2))</f>
        <v>2.0472000024423602</v>
      </c>
      <c r="U195" s="1">
        <f>DEGREES(ASIN(MAX(-1,MIN(1,2 * (Dominus[[#This Row],[quart_W]]*Dominus[[#This Row],[quart_Y]] - Dominus[[#This Row],[quart_Z]]*Dominus[[#This Row],[quart_X]])))))</f>
        <v>0.9610879428786383</v>
      </c>
      <c r="V19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-161.5853534089895</v>
      </c>
      <c r="W19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89.999412831836253</v>
      </c>
      <c r="X195" s="1">
        <f>IF(Dominus[[#This Row],[Yaw]]&gt;V194,(360-ABS(Dominus[[#This Row],[Yaw]])-ABS(V194)),ABS(Dominus[[#This Row],[Yaw]]-V194))</f>
        <v>0.97724135916033106</v>
      </c>
      <c r="Y195" s="1">
        <f>Dominus[[#This Row],[Degree change]]+Y194</f>
        <v>130.73787582666898</v>
      </c>
    </row>
    <row r="196" spans="1:25">
      <c r="A196">
        <v>195</v>
      </c>
      <c r="B196" s="1">
        <v>-1796.959961</v>
      </c>
      <c r="C196" s="1">
        <v>1936.419922</v>
      </c>
      <c r="D196" s="1">
        <v>17.049999</v>
      </c>
      <c r="E196" s="1">
        <v>-821.64996299999996</v>
      </c>
      <c r="F196" s="1">
        <v>-2148.209961</v>
      </c>
      <c r="G196" s="1">
        <v>8.0399999999999991</v>
      </c>
      <c r="H196" s="1">
        <v>0</v>
      </c>
      <c r="I196" s="1">
        <v>1E-4</v>
      </c>
      <c r="J196" s="1">
        <v>2.0472000000000001</v>
      </c>
      <c r="K196" s="1">
        <v>-6.7619999999999998E-3</v>
      </c>
      <c r="L196" s="1">
        <v>-4.9610000000000001E-3</v>
      </c>
      <c r="M196" s="1">
        <v>0.80608999999999997</v>
      </c>
      <c r="N196" s="1">
        <v>-0.59173299999999995</v>
      </c>
      <c r="O196">
        <v>1</v>
      </c>
      <c r="P196">
        <v>0</v>
      </c>
      <c r="Q196">
        <v>1</v>
      </c>
      <c r="R196">
        <v>1</v>
      </c>
      <c r="S196">
        <v>1</v>
      </c>
      <c r="T196" s="1">
        <f>SQRT(POWER(Dominus[[#This Row],[angvel_X]],2) + POWER(Dominus[[#This Row],[angvel_Y]],2) + POWER(Dominus[[#This Row],[angvel_Z]],2))</f>
        <v>2.0472000024423602</v>
      </c>
      <c r="U196" s="1">
        <f>DEGREES(ASIN(MAX(-1,MIN(1,2 * (Dominus[[#This Row],[quart_W]]*Dominus[[#This Row],[quart_Y]] - Dominus[[#This Row],[quart_Z]]*Dominus[[#This Row],[quart_X]])))))</f>
        <v>0.96105204775271535</v>
      </c>
      <c r="V19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-162.56318934508445</v>
      </c>
      <c r="W19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89.999738000422852</v>
      </c>
      <c r="X196" s="1">
        <f>IF(Dominus[[#This Row],[Yaw]]&gt;V195,(360-ABS(Dominus[[#This Row],[Yaw]])-ABS(V195)),ABS(Dominus[[#This Row],[Yaw]]-V195))</f>
        <v>0.97783593609494801</v>
      </c>
      <c r="Y196" s="1">
        <f>Dominus[[#This Row],[Degree change]]+Y195</f>
        <v>131.71571176276393</v>
      </c>
    </row>
    <row r="197" spans="1:25">
      <c r="A197">
        <v>196</v>
      </c>
      <c r="B197" s="1">
        <v>-1803.829956</v>
      </c>
      <c r="C197" s="1">
        <v>1918.4499510000001</v>
      </c>
      <c r="D197" s="1">
        <v>17.049999</v>
      </c>
      <c r="E197" s="1">
        <v>-784.88000499999998</v>
      </c>
      <c r="F197" s="1">
        <v>-2161.9099120000001</v>
      </c>
      <c r="G197" s="1">
        <v>8.0399999999999991</v>
      </c>
      <c r="H197" s="1">
        <v>0</v>
      </c>
      <c r="I197" s="1">
        <v>0</v>
      </c>
      <c r="J197" s="1">
        <v>2.0472000000000001</v>
      </c>
      <c r="K197" s="1">
        <v>-6.7190000000000001E-3</v>
      </c>
      <c r="L197" s="1">
        <v>-5.0200000000000002E-3</v>
      </c>
      <c r="M197" s="1">
        <v>0.80101199999999995</v>
      </c>
      <c r="N197" s="1">
        <v>-0.59858999999999996</v>
      </c>
      <c r="O197">
        <v>1</v>
      </c>
      <c r="P197">
        <v>0</v>
      </c>
      <c r="Q197">
        <v>1</v>
      </c>
      <c r="R197">
        <v>1</v>
      </c>
      <c r="S197">
        <v>1</v>
      </c>
      <c r="T197" s="1">
        <f>SQRT(POWER(Dominus[[#This Row],[angvel_X]],2) + POWER(Dominus[[#This Row],[angvel_Y]],2) + POWER(Dominus[[#This Row],[angvel_Z]],2))</f>
        <v>2.0472000000000001</v>
      </c>
      <c r="U197" s="1">
        <f>DEGREES(ASIN(MAX(-1,MIN(1,2 * (Dominus[[#This Row],[quart_W]]*Dominus[[#This Row],[quart_Y]] - Dominus[[#This Row],[quart_Z]]*Dominus[[#This Row],[quart_X]])))))</f>
        <v>0.96111547565531807</v>
      </c>
      <c r="V19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-163.54091914970903</v>
      </c>
      <c r="W19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89.999903045338201</v>
      </c>
      <c r="X197" s="1">
        <f>IF(Dominus[[#This Row],[Yaw]]&gt;V196,(360-ABS(Dominus[[#This Row],[Yaw]])-ABS(V196)),ABS(Dominus[[#This Row],[Yaw]]-V196))</f>
        <v>0.97772980462457326</v>
      </c>
      <c r="Y197" s="1">
        <f>Dominus[[#This Row],[Degree change]]+Y196</f>
        <v>132.6934415673885</v>
      </c>
    </row>
    <row r="198" spans="1:25">
      <c r="A198">
        <v>197</v>
      </c>
      <c r="B198" s="1">
        <v>-1810.3900149999999</v>
      </c>
      <c r="C198" s="1">
        <v>1900.369995</v>
      </c>
      <c r="D198" s="1">
        <v>17.049999</v>
      </c>
      <c r="E198" s="1">
        <v>-747.88000499999998</v>
      </c>
      <c r="F198" s="1">
        <v>-2174.98999</v>
      </c>
      <c r="G198" s="1">
        <v>8.0399999999999991</v>
      </c>
      <c r="H198" s="1">
        <v>0</v>
      </c>
      <c r="I198" s="1">
        <v>0</v>
      </c>
      <c r="J198" s="1">
        <v>2.0472000000000001</v>
      </c>
      <c r="K198" s="1">
        <v>-6.6759999999999996E-3</v>
      </c>
      <c r="L198" s="1">
        <v>-5.0790000000000002E-3</v>
      </c>
      <c r="M198" s="1">
        <v>0.79587799999999997</v>
      </c>
      <c r="N198" s="1">
        <v>-0.60539799999999999</v>
      </c>
      <c r="O198">
        <v>1</v>
      </c>
      <c r="P198">
        <v>0</v>
      </c>
      <c r="Q198">
        <v>1</v>
      </c>
      <c r="R198">
        <v>1</v>
      </c>
      <c r="S198">
        <v>1</v>
      </c>
      <c r="T198" s="1">
        <f>SQRT(POWER(Dominus[[#This Row],[angvel_X]],2) + POWER(Dominus[[#This Row],[angvel_Y]],2) + POWER(Dominus[[#This Row],[angvel_Z]],2))</f>
        <v>2.0472000000000001</v>
      </c>
      <c r="U198" s="1">
        <f>DEGREES(ASIN(MAX(-1,MIN(1,2 * (Dominus[[#This Row],[quart_W]]*Dominus[[#This Row],[quart_Y]] - Dominus[[#This Row],[quart_Z]]*Dominus[[#This Row],[quart_X]])))))</f>
        <v>0.96125031641087333</v>
      </c>
      <c r="V19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-164.51814956806314</v>
      </c>
      <c r="W19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90.000071895007068</v>
      </c>
      <c r="X198" s="1">
        <f>IF(Dominus[[#This Row],[Yaw]]&gt;V197,(360-ABS(Dominus[[#This Row],[Yaw]])-ABS(V197)),ABS(Dominus[[#This Row],[Yaw]]-V197))</f>
        <v>0.97723041835411095</v>
      </c>
      <c r="Y198" s="1">
        <f>Dominus[[#This Row],[Degree change]]+Y197</f>
        <v>133.67067198574262</v>
      </c>
    </row>
    <row r="199" spans="1:25">
      <c r="A199">
        <v>198</v>
      </c>
      <c r="B199" s="1">
        <v>-1816.6400149999999</v>
      </c>
      <c r="C199" s="1">
        <v>1882.179932</v>
      </c>
      <c r="D199" s="1">
        <v>17.049999</v>
      </c>
      <c r="E199" s="1">
        <v>-710.669983</v>
      </c>
      <c r="F199" s="1">
        <v>-2187.429932</v>
      </c>
      <c r="G199" s="1">
        <v>8.0399999999999991</v>
      </c>
      <c r="H199" s="1">
        <v>0</v>
      </c>
      <c r="I199" s="1">
        <v>0</v>
      </c>
      <c r="J199" s="1">
        <v>2.0472000000000001</v>
      </c>
      <c r="K199" s="1">
        <v>-6.633E-3</v>
      </c>
      <c r="L199" s="1">
        <v>-5.1390000000000003E-3</v>
      </c>
      <c r="M199" s="1">
        <v>0.79068700000000003</v>
      </c>
      <c r="N199" s="1">
        <v>-0.61216300000000001</v>
      </c>
      <c r="O199">
        <v>1</v>
      </c>
      <c r="P199">
        <v>0</v>
      </c>
      <c r="Q199">
        <v>1</v>
      </c>
      <c r="R199">
        <v>1</v>
      </c>
      <c r="S199">
        <v>1</v>
      </c>
      <c r="T199" s="1">
        <f>SQRT(POWER(Dominus[[#This Row],[angvel_X]],2) + POWER(Dominus[[#This Row],[angvel_Y]],2) + POWER(Dominus[[#This Row],[angvel_Z]],2))</f>
        <v>2.0472000000000001</v>
      </c>
      <c r="U199" s="1">
        <f>DEGREES(ASIN(MAX(-1,MIN(1,2 * (Dominus[[#This Row],[quart_W]]*Dominus[[#This Row],[quart_Y]] - Dominus[[#This Row],[quart_Z]]*Dominus[[#This Row],[quart_X]])))))</f>
        <v>0.96152933548546338</v>
      </c>
      <c r="V19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-165.49526637307892</v>
      </c>
      <c r="W19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90.000328157823802</v>
      </c>
      <c r="X199" s="1">
        <f>IF(Dominus[[#This Row],[Yaw]]&gt;V198,(360-ABS(Dominus[[#This Row],[Yaw]])-ABS(V198)),ABS(Dominus[[#This Row],[Yaw]]-V198))</f>
        <v>0.97711680501578257</v>
      </c>
      <c r="Y199" s="1">
        <f>Dominus[[#This Row],[Degree change]]+Y198</f>
        <v>134.6477887907584</v>
      </c>
    </row>
    <row r="200" spans="1:25">
      <c r="A200">
        <v>199</v>
      </c>
      <c r="B200" s="1">
        <v>-1822.579956</v>
      </c>
      <c r="C200" s="1">
        <v>1863.880005</v>
      </c>
      <c r="D200" s="1">
        <v>17.049999</v>
      </c>
      <c r="E200" s="1">
        <v>-673.25</v>
      </c>
      <c r="F200" s="1">
        <v>-2199.23999</v>
      </c>
      <c r="G200" s="1">
        <v>8.0399999999999991</v>
      </c>
      <c r="H200" s="1">
        <v>0</v>
      </c>
      <c r="I200" s="1">
        <v>0</v>
      </c>
      <c r="J200" s="1">
        <v>2.0472000000000001</v>
      </c>
      <c r="K200" s="1">
        <v>-6.5900000000000004E-3</v>
      </c>
      <c r="L200" s="1">
        <v>-5.1929999999999997E-3</v>
      </c>
      <c r="M200" s="1">
        <v>0.78543700000000005</v>
      </c>
      <c r="N200" s="1">
        <v>-0.61888500000000002</v>
      </c>
      <c r="O200">
        <v>1</v>
      </c>
      <c r="P200">
        <v>0</v>
      </c>
      <c r="Q200">
        <v>1</v>
      </c>
      <c r="R200">
        <v>1</v>
      </c>
      <c r="S200">
        <v>1</v>
      </c>
      <c r="T200" s="1">
        <f>SQRT(POWER(Dominus[[#This Row],[angvel_X]],2) + POWER(Dominus[[#This Row],[angvel_Y]],2) + POWER(Dominus[[#This Row],[angvel_Z]],2))</f>
        <v>2.0472000000000001</v>
      </c>
      <c r="U200" s="1">
        <f>DEGREES(ASIN(MAX(-1,MIN(1,2 * (Dominus[[#This Row],[quart_W]]*Dominus[[#This Row],[quart_Y]] - Dominus[[#This Row],[quart_Z]]*Dominus[[#This Row],[quart_X]])))))</f>
        <v>0.96145680107695297</v>
      </c>
      <c r="V20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-166.47265938022622</v>
      </c>
      <c r="W20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90.000036925567755</v>
      </c>
      <c r="X200" s="1">
        <f>IF(Dominus[[#This Row],[Yaw]]&gt;V199,(360-ABS(Dominus[[#This Row],[Yaw]])-ABS(V199)),ABS(Dominus[[#This Row],[Yaw]]-V199))</f>
        <v>0.97739300714729893</v>
      </c>
      <c r="Y200" s="1">
        <f>Dominus[[#This Row],[Degree change]]+Y199</f>
        <v>135.6251817979057</v>
      </c>
    </row>
    <row r="201" spans="1:25">
      <c r="A201">
        <v>200</v>
      </c>
      <c r="B201" s="1">
        <v>-1828.209961</v>
      </c>
      <c r="C201" s="1">
        <v>1845.48999</v>
      </c>
      <c r="D201" s="1">
        <v>17.049999</v>
      </c>
      <c r="E201" s="1">
        <v>-635.64001499999995</v>
      </c>
      <c r="F201" s="1">
        <v>-2210.3999020000001</v>
      </c>
      <c r="G201" s="1">
        <v>8.0399999999999991</v>
      </c>
      <c r="H201" s="1">
        <v>0</v>
      </c>
      <c r="I201" s="1">
        <v>0</v>
      </c>
      <c r="J201" s="1">
        <v>2.0472000000000001</v>
      </c>
      <c r="K201" s="1">
        <v>-6.5469999999999999E-3</v>
      </c>
      <c r="L201" s="1">
        <v>-5.2459999999999998E-3</v>
      </c>
      <c r="M201" s="1">
        <v>0.78012800000000004</v>
      </c>
      <c r="N201" s="1">
        <v>-0.62556400000000001</v>
      </c>
      <c r="O201">
        <v>1</v>
      </c>
      <c r="P201">
        <v>0</v>
      </c>
      <c r="Q201">
        <v>1</v>
      </c>
      <c r="R201">
        <v>1</v>
      </c>
      <c r="S201">
        <v>1</v>
      </c>
      <c r="T201" s="1">
        <f>SQRT(POWER(Dominus[[#This Row],[angvel_X]],2) + POWER(Dominus[[#This Row],[angvel_Y]],2) + POWER(Dominus[[#This Row],[angvel_Z]],2))</f>
        <v>2.0472000000000001</v>
      </c>
      <c r="U201" s="1">
        <f>DEGREES(ASIN(MAX(-1,MIN(1,2 * (Dominus[[#This Row],[quart_W]]*Dominus[[#This Row],[quart_Y]] - Dominus[[#This Row],[quart_Z]]*Dominus[[#This Row],[quart_X]])))))</f>
        <v>0.9613773922713913</v>
      </c>
      <c r="V20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-167.45038713186742</v>
      </c>
      <c r="W20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89.999654340908592</v>
      </c>
      <c r="X201" s="1">
        <f>IF(Dominus[[#This Row],[Yaw]]&gt;V200,(360-ABS(Dominus[[#This Row],[Yaw]])-ABS(V200)),ABS(Dominus[[#This Row],[Yaw]]-V200))</f>
        <v>0.97772775164119707</v>
      </c>
      <c r="Y201" s="1">
        <f>Dominus[[#This Row],[Degree change]]+Y200</f>
        <v>136.60290954954689</v>
      </c>
    </row>
    <row r="202" spans="1:25">
      <c r="A202">
        <v>201</v>
      </c>
      <c r="B202" s="1">
        <v>-1833.5200199999999</v>
      </c>
      <c r="C202" s="1">
        <v>1827</v>
      </c>
      <c r="D202" s="1">
        <v>17.049999</v>
      </c>
      <c r="E202" s="1">
        <v>-597.839966</v>
      </c>
      <c r="F202" s="1">
        <v>-2220.919922</v>
      </c>
      <c r="G202" s="1">
        <v>8.0399999999999991</v>
      </c>
      <c r="H202" s="1">
        <v>0</v>
      </c>
      <c r="I202" s="1">
        <v>0</v>
      </c>
      <c r="J202" s="1">
        <v>2.0472000000000001</v>
      </c>
      <c r="K202" s="1">
        <v>-6.5030000000000001E-3</v>
      </c>
      <c r="L202" s="1">
        <v>-5.3E-3</v>
      </c>
      <c r="M202" s="1">
        <v>0.77476400000000001</v>
      </c>
      <c r="N202" s="1">
        <v>-0.63219400000000003</v>
      </c>
      <c r="O202">
        <v>1</v>
      </c>
      <c r="P202">
        <v>0</v>
      </c>
      <c r="Q202">
        <v>1</v>
      </c>
      <c r="R202">
        <v>1</v>
      </c>
      <c r="S202">
        <v>1</v>
      </c>
      <c r="T202" s="1">
        <f>SQRT(POWER(Dominus[[#This Row],[angvel_X]],2) + POWER(Dominus[[#This Row],[angvel_Y]],2) + POWER(Dominus[[#This Row],[angvel_Z]],2))</f>
        <v>2.0472000000000001</v>
      </c>
      <c r="U202" s="1">
        <f>DEGREES(ASIN(MAX(-1,MIN(1,2 * (Dominus[[#This Row],[quart_W]]*Dominus[[#This Row],[quart_Y]] - Dominus[[#This Row],[quart_Z]]*Dominus[[#This Row],[quart_X]])))))</f>
        <v>0.96134435454137546</v>
      </c>
      <c r="V20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-168.42776552073332</v>
      </c>
      <c r="W20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89.999437461672557</v>
      </c>
      <c r="X202" s="1">
        <f>IF(Dominus[[#This Row],[Yaw]]&gt;V201,(360-ABS(Dominus[[#This Row],[Yaw]])-ABS(V201)),ABS(Dominus[[#This Row],[Yaw]]-V201))</f>
        <v>0.97737838886590112</v>
      </c>
      <c r="Y202" s="1">
        <f>Dominus[[#This Row],[Degree change]]+Y201</f>
        <v>137.58028793841279</v>
      </c>
    </row>
    <row r="203" spans="1:25">
      <c r="A203">
        <v>202</v>
      </c>
      <c r="B203" s="1">
        <v>-1838.5200199999999</v>
      </c>
      <c r="C203" s="1">
        <v>1808.429932</v>
      </c>
      <c r="D203" s="1">
        <v>17.049999</v>
      </c>
      <c r="E203" s="1">
        <v>-559.86999500000002</v>
      </c>
      <c r="F203" s="1">
        <v>-2230.8000489999999</v>
      </c>
      <c r="G203" s="1">
        <v>8.0399999999999991</v>
      </c>
      <c r="H203" s="1">
        <v>0</v>
      </c>
      <c r="I203" s="1">
        <v>0</v>
      </c>
      <c r="J203" s="1">
        <v>2.0472000000000001</v>
      </c>
      <c r="K203" s="1">
        <v>-6.4599999999999996E-3</v>
      </c>
      <c r="L203" s="1">
        <v>-5.3540000000000003E-3</v>
      </c>
      <c r="M203" s="1">
        <v>0.76934199999999997</v>
      </c>
      <c r="N203" s="1">
        <v>-0.63878100000000004</v>
      </c>
      <c r="O203">
        <v>1</v>
      </c>
      <c r="P203">
        <v>0</v>
      </c>
      <c r="Q203">
        <v>1</v>
      </c>
      <c r="R203">
        <v>1</v>
      </c>
      <c r="S203">
        <v>1</v>
      </c>
      <c r="T203" s="1">
        <f>SQRT(POWER(Dominus[[#This Row],[angvel_X]],2) + POWER(Dominus[[#This Row],[angvel_Y]],2) + POWER(Dominus[[#This Row],[angvel_Z]],2))</f>
        <v>2.0472000000000001</v>
      </c>
      <c r="U203" s="1">
        <f>DEGREES(ASIN(MAX(-1,MIN(1,2 * (Dominus[[#This Row],[quart_W]]*Dominus[[#This Row],[quart_Y]] - Dominus[[#This Row],[quart_Z]]*Dominus[[#This Row],[quart_X]])))))</f>
        <v>0.96146633173825224</v>
      </c>
      <c r="V20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-169.40545709622791</v>
      </c>
      <c r="W20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89.99914408772851</v>
      </c>
      <c r="X203" s="1">
        <f>IF(Dominus[[#This Row],[Yaw]]&gt;V202,(360-ABS(Dominus[[#This Row],[Yaw]])-ABS(V202)),ABS(Dominus[[#This Row],[Yaw]]-V202))</f>
        <v>0.97769157549458896</v>
      </c>
      <c r="Y203" s="1">
        <f>Dominus[[#This Row],[Degree change]]+Y202</f>
        <v>138.55797951390738</v>
      </c>
    </row>
    <row r="204" spans="1:25">
      <c r="A204">
        <v>203</v>
      </c>
      <c r="B204" s="1">
        <v>-1843.1999510000001</v>
      </c>
      <c r="C204" s="1">
        <v>1789.7700199999999</v>
      </c>
      <c r="D204" s="1">
        <v>17.049999</v>
      </c>
      <c r="E204" s="1">
        <v>-521.72997999999995</v>
      </c>
      <c r="F204" s="1">
        <v>-2240.0200199999999</v>
      </c>
      <c r="G204" s="1">
        <v>8.0399999999999991</v>
      </c>
      <c r="H204" s="1">
        <v>0</v>
      </c>
      <c r="I204" s="1">
        <v>0</v>
      </c>
      <c r="J204" s="1">
        <v>2.0472000000000001</v>
      </c>
      <c r="K204" s="1">
        <v>-6.4120000000000002E-3</v>
      </c>
      <c r="L204" s="1">
        <v>-5.4079999999999996E-3</v>
      </c>
      <c r="M204" s="1">
        <v>0.76386600000000004</v>
      </c>
      <c r="N204" s="1">
        <v>-0.64532</v>
      </c>
      <c r="O204">
        <v>1</v>
      </c>
      <c r="P204">
        <v>0</v>
      </c>
      <c r="Q204">
        <v>1</v>
      </c>
      <c r="R204">
        <v>1</v>
      </c>
      <c r="S204">
        <v>1</v>
      </c>
      <c r="T204" s="1">
        <f>SQRT(POWER(Dominus[[#This Row],[angvel_X]],2) + POWER(Dominus[[#This Row],[angvel_Y]],2) + POWER(Dominus[[#This Row],[angvel_Z]],2))</f>
        <v>2.0472000000000001</v>
      </c>
      <c r="U204" s="1">
        <f>DEGREES(ASIN(MAX(-1,MIN(1,2 * (Dominus[[#This Row],[quart_W]]*Dominus[[#This Row],[quart_Y]] - Dominus[[#This Row],[quart_Z]]*Dominus[[#This Row],[quart_X]])))))</f>
        <v>0.96121609249252993</v>
      </c>
      <c r="V20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-170.38280614478612</v>
      </c>
      <c r="W20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89.999220150620829</v>
      </c>
      <c r="X204" s="1">
        <f>IF(Dominus[[#This Row],[Yaw]]&gt;V203,(360-ABS(Dominus[[#This Row],[Yaw]])-ABS(V203)),ABS(Dominus[[#This Row],[Yaw]]-V203))</f>
        <v>0.97734904855821014</v>
      </c>
      <c r="Y204" s="1">
        <f>Dominus[[#This Row],[Degree change]]+Y203</f>
        <v>139.53532856246559</v>
      </c>
    </row>
    <row r="205" spans="1:25">
      <c r="A205">
        <v>204</v>
      </c>
      <c r="B205" s="1">
        <v>-1847.559937</v>
      </c>
      <c r="C205" s="1">
        <v>1771.0399170000001</v>
      </c>
      <c r="D205" s="1">
        <v>17.049999</v>
      </c>
      <c r="E205" s="1">
        <v>-483.44000199999999</v>
      </c>
      <c r="F205" s="1">
        <v>-2248.5998540000001</v>
      </c>
      <c r="G205" s="1">
        <v>8.0399999999999991</v>
      </c>
      <c r="H205" s="1">
        <v>0</v>
      </c>
      <c r="I205" s="1">
        <v>0</v>
      </c>
      <c r="J205" s="1">
        <v>2.0472000000000001</v>
      </c>
      <c r="K205" s="1">
        <v>-6.3629999999999997E-3</v>
      </c>
      <c r="L205" s="1">
        <v>-5.4619999999999998E-3</v>
      </c>
      <c r="M205" s="1">
        <v>0.75833600000000001</v>
      </c>
      <c r="N205" s="1">
        <v>-0.65181</v>
      </c>
      <c r="O205">
        <v>1</v>
      </c>
      <c r="P205">
        <v>0</v>
      </c>
      <c r="Q205">
        <v>1</v>
      </c>
      <c r="R205">
        <v>1</v>
      </c>
      <c r="S205">
        <v>1</v>
      </c>
      <c r="T205" s="1">
        <f>SQRT(POWER(Dominus[[#This Row],[angvel_X]],2) + POWER(Dominus[[#This Row],[angvel_Y]],2) + POWER(Dominus[[#This Row],[angvel_Z]],2))</f>
        <v>2.0472000000000001</v>
      </c>
      <c r="U205" s="1">
        <f>DEGREES(ASIN(MAX(-1,MIN(1,2 * (Dominus[[#This Row],[quart_W]]*Dominus[[#This Row],[quart_Y]] - Dominus[[#This Row],[quart_Z]]*Dominus[[#This Row],[quart_X]])))))</f>
        <v>0.96095006926651705</v>
      </c>
      <c r="V20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-171.35987429603986</v>
      </c>
      <c r="W20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89.999377015814645</v>
      </c>
      <c r="X205" s="1">
        <f>IF(Dominus[[#This Row],[Yaw]]&gt;V204,(360-ABS(Dominus[[#This Row],[Yaw]])-ABS(V204)),ABS(Dominus[[#This Row],[Yaw]]-V204))</f>
        <v>0.97706815125374646</v>
      </c>
      <c r="Y205" s="1">
        <f>Dominus[[#This Row],[Degree change]]+Y204</f>
        <v>140.51239671371934</v>
      </c>
    </row>
    <row r="206" spans="1:25">
      <c r="A206">
        <v>205</v>
      </c>
      <c r="B206" s="1">
        <v>-1851.599976</v>
      </c>
      <c r="C206" s="1">
        <v>1752.2299800000001</v>
      </c>
      <c r="D206" s="1">
        <v>17.049999</v>
      </c>
      <c r="E206" s="1">
        <v>-445.00997899999999</v>
      </c>
      <c r="F206" s="1">
        <v>-2256.5200199999999</v>
      </c>
      <c r="G206" s="1">
        <v>8.0399999999999991</v>
      </c>
      <c r="H206" s="1">
        <v>0</v>
      </c>
      <c r="I206" s="1">
        <v>0</v>
      </c>
      <c r="J206" s="1">
        <v>2.0472000000000001</v>
      </c>
      <c r="K206" s="1">
        <v>-6.3150000000000003E-3</v>
      </c>
      <c r="L206" s="1">
        <v>-5.5160000000000001E-3</v>
      </c>
      <c r="M206" s="1">
        <v>0.75274700000000005</v>
      </c>
      <c r="N206" s="1">
        <v>-0.65825699999999998</v>
      </c>
      <c r="O206">
        <v>1</v>
      </c>
      <c r="P206">
        <v>0</v>
      </c>
      <c r="Q206">
        <v>1</v>
      </c>
      <c r="R206">
        <v>1</v>
      </c>
      <c r="S206">
        <v>1</v>
      </c>
      <c r="T206" s="1">
        <f>SQRT(POWER(Dominus[[#This Row],[angvel_X]],2) + POWER(Dominus[[#This Row],[angvel_Y]],2) + POWER(Dominus[[#This Row],[angvel_Z]],2))</f>
        <v>2.0472000000000001</v>
      </c>
      <c r="U206" s="1">
        <f>DEGREES(ASIN(MAX(-1,MIN(1,2 * (Dominus[[#This Row],[quart_W]]*Dominus[[#This Row],[quart_Y]] - Dominus[[#This Row],[quart_Z]]*Dominus[[#This Row],[quart_X]])))))</f>
        <v>0.96084288003084739</v>
      </c>
      <c r="V20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-172.33761342370923</v>
      </c>
      <c r="W20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89.999456701977024</v>
      </c>
      <c r="X206" s="1">
        <f>IF(Dominus[[#This Row],[Yaw]]&gt;V205,(360-ABS(Dominus[[#This Row],[Yaw]])-ABS(V205)),ABS(Dominus[[#This Row],[Yaw]]-V205))</f>
        <v>0.97773912766936633</v>
      </c>
      <c r="Y206" s="1">
        <f>Dominus[[#This Row],[Degree change]]+Y205</f>
        <v>141.49013584138871</v>
      </c>
    </row>
    <row r="207" spans="1:25">
      <c r="A207">
        <v>206</v>
      </c>
      <c r="B207" s="1">
        <v>-1855.3199460000001</v>
      </c>
      <c r="C207" s="1">
        <v>1733.3599850000001</v>
      </c>
      <c r="D207" s="1">
        <v>17.049999</v>
      </c>
      <c r="E207" s="1">
        <v>-406.44998199999998</v>
      </c>
      <c r="F207" s="1">
        <v>-2263.780029</v>
      </c>
      <c r="G207" s="1">
        <v>8.0399999999999991</v>
      </c>
      <c r="H207" s="1">
        <v>0</v>
      </c>
      <c r="I207" s="1">
        <v>0</v>
      </c>
      <c r="J207" s="1">
        <v>2.0472000000000001</v>
      </c>
      <c r="K207" s="1">
        <v>-6.2659999999999999E-3</v>
      </c>
      <c r="L207" s="1">
        <v>-5.5700000000000003E-3</v>
      </c>
      <c r="M207" s="1">
        <v>0.74710299999999996</v>
      </c>
      <c r="N207" s="1">
        <v>-0.664655</v>
      </c>
      <c r="O207">
        <v>1</v>
      </c>
      <c r="P207">
        <v>0</v>
      </c>
      <c r="Q207">
        <v>1</v>
      </c>
      <c r="R207">
        <v>1</v>
      </c>
      <c r="S207">
        <v>1</v>
      </c>
      <c r="T207" s="1">
        <f>SQRT(POWER(Dominus[[#This Row],[angvel_X]],2) + POWER(Dominus[[#This Row],[angvel_Y]],2) + POWER(Dominus[[#This Row],[angvel_Z]],2))</f>
        <v>2.0472000000000001</v>
      </c>
      <c r="U207" s="1">
        <f>DEGREES(ASIN(MAX(-1,MIN(1,2 * (Dominus[[#This Row],[quart_W]]*Dominus[[#This Row],[quart_Y]] - Dominus[[#This Row],[quart_Z]]*Dominus[[#This Row],[quart_X]])))))</f>
        <v>0.96072057427604673</v>
      </c>
      <c r="V20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-173.3153721731799</v>
      </c>
      <c r="W20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89.99961440020202</v>
      </c>
      <c r="X207" s="1">
        <f>IF(Dominus[[#This Row],[Yaw]]&gt;V206,(360-ABS(Dominus[[#This Row],[Yaw]])-ABS(V206)),ABS(Dominus[[#This Row],[Yaw]]-V206))</f>
        <v>0.97775874947066654</v>
      </c>
      <c r="Y207" s="1">
        <f>Dominus[[#This Row],[Degree change]]+Y206</f>
        <v>142.46789459085937</v>
      </c>
    </row>
    <row r="208" spans="1:25">
      <c r="A208">
        <v>207</v>
      </c>
      <c r="B208" s="1">
        <v>-1858.719971</v>
      </c>
      <c r="C208" s="1">
        <v>1714.429932</v>
      </c>
      <c r="D208" s="1">
        <v>17.049999</v>
      </c>
      <c r="E208" s="1">
        <v>-367.76998900000001</v>
      </c>
      <c r="F208" s="1">
        <v>-2270.389893</v>
      </c>
      <c r="G208" s="1">
        <v>8.0399999999999991</v>
      </c>
      <c r="H208" s="1">
        <v>0</v>
      </c>
      <c r="I208" s="1">
        <v>0</v>
      </c>
      <c r="J208" s="1">
        <v>2.0472000000000001</v>
      </c>
      <c r="K208" s="1">
        <v>-6.2179999999999996E-3</v>
      </c>
      <c r="L208" s="1">
        <v>-5.6239999999999997E-3</v>
      </c>
      <c r="M208" s="1">
        <v>0.74140600000000001</v>
      </c>
      <c r="N208" s="1">
        <v>-0.67100499999999996</v>
      </c>
      <c r="O208">
        <v>1</v>
      </c>
      <c r="P208">
        <v>0</v>
      </c>
      <c r="Q208">
        <v>1</v>
      </c>
      <c r="R208">
        <v>1</v>
      </c>
      <c r="S208">
        <v>1</v>
      </c>
      <c r="T208" s="1">
        <f>SQRT(POWER(Dominus[[#This Row],[angvel_X]],2) + POWER(Dominus[[#This Row],[angvel_Y]],2) + POWER(Dominus[[#This Row],[angvel_Z]],2))</f>
        <v>2.0472000000000001</v>
      </c>
      <c r="U208" s="1">
        <f>DEGREES(ASIN(MAX(-1,MIN(1,2 * (Dominus[[#This Row],[quart_W]]*Dominus[[#This Row],[quart_Y]] - Dominus[[#This Row],[quart_Z]]*Dominus[[#This Row],[quart_X]])))))</f>
        <v>0.96075712037005911</v>
      </c>
      <c r="V20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-174.29291128445047</v>
      </c>
      <c r="W20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89.999697235642941</v>
      </c>
      <c r="X208" s="1">
        <f>IF(Dominus[[#This Row],[Yaw]]&gt;V207,(360-ABS(Dominus[[#This Row],[Yaw]])-ABS(V207)),ABS(Dominus[[#This Row],[Yaw]]-V207))</f>
        <v>0.97753911127057336</v>
      </c>
      <c r="Y208" s="1">
        <f>Dominus[[#This Row],[Degree change]]+Y207</f>
        <v>143.44543370212995</v>
      </c>
    </row>
    <row r="209" spans="1:25">
      <c r="A209">
        <v>208</v>
      </c>
      <c r="B209" s="1">
        <v>-1861.7899170000001</v>
      </c>
      <c r="C209" s="1">
        <v>1695.4399410000001</v>
      </c>
      <c r="D209" s="1">
        <v>17.049999</v>
      </c>
      <c r="E209" s="1">
        <v>-328.97998000000001</v>
      </c>
      <c r="F209" s="1">
        <v>-2276.3298340000001</v>
      </c>
      <c r="G209" s="1">
        <v>8.0399999999999991</v>
      </c>
      <c r="H209" s="1">
        <v>0</v>
      </c>
      <c r="I209" s="1">
        <v>0</v>
      </c>
      <c r="J209" s="1">
        <v>2.0472000000000001</v>
      </c>
      <c r="K209" s="1">
        <v>-6.169E-3</v>
      </c>
      <c r="L209" s="1">
        <v>-5.6779999999999999E-3</v>
      </c>
      <c r="M209" s="1">
        <v>0.73565400000000003</v>
      </c>
      <c r="N209" s="1">
        <v>-0.67730599999999996</v>
      </c>
      <c r="O209">
        <v>1</v>
      </c>
      <c r="P209">
        <v>0</v>
      </c>
      <c r="Q209">
        <v>1</v>
      </c>
      <c r="R209">
        <v>1</v>
      </c>
      <c r="S209">
        <v>1</v>
      </c>
      <c r="T209" s="1">
        <f>SQRT(POWER(Dominus[[#This Row],[angvel_X]],2) + POWER(Dominus[[#This Row],[angvel_Y]],2) + POWER(Dominus[[#This Row],[angvel_Z]],2))</f>
        <v>2.0472000000000001</v>
      </c>
      <c r="U209" s="1">
        <f>DEGREES(ASIN(MAX(-1,MIN(1,2 * (Dominus[[#This Row],[quart_W]]*Dominus[[#This Row],[quart_Y]] - Dominus[[#This Row],[quart_Z]]*Dominus[[#This Row],[quart_X]])))))</f>
        <v>0.96077985463545024</v>
      </c>
      <c r="V20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-175.27061489748593</v>
      </c>
      <c r="W20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89.99985590354477</v>
      </c>
      <c r="X209" s="1">
        <f>IF(Dominus[[#This Row],[Yaw]]&gt;V208,(360-ABS(Dominus[[#This Row],[Yaw]])-ABS(V208)),ABS(Dominus[[#This Row],[Yaw]]-V208))</f>
        <v>0.97770361303545883</v>
      </c>
      <c r="Y209" s="1">
        <f>Dominus[[#This Row],[Degree change]]+Y208</f>
        <v>144.42313731516541</v>
      </c>
    </row>
    <row r="210" spans="1:25">
      <c r="A210">
        <v>209</v>
      </c>
      <c r="B210" s="1">
        <v>-1864.5399170000001</v>
      </c>
      <c r="C210" s="1">
        <v>1676.3999020000001</v>
      </c>
      <c r="D210" s="1">
        <v>17.049999</v>
      </c>
      <c r="E210" s="1">
        <v>-290.10000600000001</v>
      </c>
      <c r="F210" s="1">
        <v>-2281.6098630000001</v>
      </c>
      <c r="G210" s="1">
        <v>8.0399999999999991</v>
      </c>
      <c r="H210" s="1">
        <v>0</v>
      </c>
      <c r="I210" s="1">
        <v>0</v>
      </c>
      <c r="J210" s="1">
        <v>2.0472000000000001</v>
      </c>
      <c r="K210" s="1">
        <v>-6.1199999999999996E-3</v>
      </c>
      <c r="L210" s="1">
        <v>-5.7320000000000001E-3</v>
      </c>
      <c r="M210" s="1">
        <v>0.72984800000000005</v>
      </c>
      <c r="N210" s="1">
        <v>-0.683558</v>
      </c>
      <c r="O210">
        <v>1</v>
      </c>
      <c r="P210">
        <v>0</v>
      </c>
      <c r="Q210">
        <v>1</v>
      </c>
      <c r="R210">
        <v>1</v>
      </c>
      <c r="S210">
        <v>1</v>
      </c>
      <c r="T210" s="1">
        <f>SQRT(POWER(Dominus[[#This Row],[angvel_X]],2) + POWER(Dominus[[#This Row],[angvel_Y]],2) + POWER(Dominus[[#This Row],[angvel_Z]],2))</f>
        <v>2.0472000000000001</v>
      </c>
      <c r="U210" s="1">
        <f>DEGREES(ASIN(MAX(-1,MIN(1,2 * (Dominus[[#This Row],[quart_W]]*Dominus[[#This Row],[quart_Y]] - Dominus[[#This Row],[quart_Z]]*Dominus[[#This Row],[quart_X]])))))</f>
        <v>0.96087511905512357</v>
      </c>
      <c r="V21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-176.24839268339923</v>
      </c>
      <c r="W21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90.000013039602848</v>
      </c>
      <c r="X210" s="1">
        <f>IF(Dominus[[#This Row],[Yaw]]&gt;V209,(360-ABS(Dominus[[#This Row],[Yaw]])-ABS(V209)),ABS(Dominus[[#This Row],[Yaw]]-V209))</f>
        <v>0.97777778591330389</v>
      </c>
      <c r="Y210" s="1">
        <f>Dominus[[#This Row],[Degree change]]+Y209</f>
        <v>145.40091510107871</v>
      </c>
    </row>
    <row r="211" spans="1:25">
      <c r="A211">
        <v>210</v>
      </c>
      <c r="B211" s="1">
        <v>-1866.959961</v>
      </c>
      <c r="C211" s="1">
        <v>1657.3199460000001</v>
      </c>
      <c r="D211" s="1">
        <v>17.049999</v>
      </c>
      <c r="E211" s="1">
        <v>-251.12998999999999</v>
      </c>
      <c r="F211" s="1">
        <v>-2286.2299800000001</v>
      </c>
      <c r="G211" s="1">
        <v>8.0399999999999991</v>
      </c>
      <c r="H211" s="1">
        <v>0</v>
      </c>
      <c r="I211" s="1">
        <v>0</v>
      </c>
      <c r="J211" s="1">
        <v>2.0472000000000001</v>
      </c>
      <c r="K211" s="1">
        <v>-6.0720000000000001E-3</v>
      </c>
      <c r="L211" s="1">
        <v>-5.7860000000000003E-3</v>
      </c>
      <c r="M211" s="1">
        <v>0.72399199999999997</v>
      </c>
      <c r="N211" s="1">
        <v>-0.68975699999999995</v>
      </c>
      <c r="O211">
        <v>1</v>
      </c>
      <c r="P211">
        <v>0</v>
      </c>
      <c r="Q211">
        <v>1</v>
      </c>
      <c r="R211">
        <v>1</v>
      </c>
      <c r="S211">
        <v>1</v>
      </c>
      <c r="T211" s="1">
        <f>SQRT(POWER(Dominus[[#This Row],[angvel_X]],2) + POWER(Dominus[[#This Row],[angvel_Y]],2) + POWER(Dominus[[#This Row],[angvel_Z]],2))</f>
        <v>2.0472000000000001</v>
      </c>
      <c r="U211" s="1">
        <f>DEGREES(ASIN(MAX(-1,MIN(1,2 * (Dominus[[#This Row],[quart_W]]*Dominus[[#This Row],[quart_Y]] - Dominus[[#This Row],[quart_Z]]*Dominus[[#This Row],[quart_X]])))))</f>
        <v>0.96112601933298036</v>
      </c>
      <c r="V21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-177.22564991217183</v>
      </c>
      <c r="W21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90.000093199885185</v>
      </c>
      <c r="X211" s="1">
        <f>IF(Dominus[[#This Row],[Yaw]]&gt;V210,(360-ABS(Dominus[[#This Row],[Yaw]])-ABS(V210)),ABS(Dominus[[#This Row],[Yaw]]-V210))</f>
        <v>0.97725722877260068</v>
      </c>
      <c r="Y211" s="1">
        <f>Dominus[[#This Row],[Degree change]]+Y210</f>
        <v>146.37817232985131</v>
      </c>
    </row>
    <row r="212" spans="1:25">
      <c r="A212">
        <v>211</v>
      </c>
      <c r="B212" s="1">
        <v>-1869.059937</v>
      </c>
      <c r="C212" s="1">
        <v>1638.1999510000001</v>
      </c>
      <c r="D212" s="1">
        <v>17.049999</v>
      </c>
      <c r="E212" s="1">
        <v>-212.08999600000001</v>
      </c>
      <c r="F212" s="1">
        <v>-2290.179932</v>
      </c>
      <c r="G212" s="1">
        <v>8.0399999999999991</v>
      </c>
      <c r="H212" s="1">
        <v>0</v>
      </c>
      <c r="I212" s="1">
        <v>0</v>
      </c>
      <c r="J212" s="1">
        <v>2.0472000000000001</v>
      </c>
      <c r="K212" s="1">
        <v>-6.0229999999999997E-3</v>
      </c>
      <c r="L212" s="1">
        <v>-5.8399999999999997E-3</v>
      </c>
      <c r="M212" s="1">
        <v>0.71808300000000003</v>
      </c>
      <c r="N212" s="1">
        <v>-0.69590700000000005</v>
      </c>
      <c r="O212">
        <v>1</v>
      </c>
      <c r="P212">
        <v>0</v>
      </c>
      <c r="Q212">
        <v>1</v>
      </c>
      <c r="R212">
        <v>1</v>
      </c>
      <c r="S212">
        <v>1</v>
      </c>
      <c r="T212" s="1">
        <f>SQRT(POWER(Dominus[[#This Row],[angvel_X]],2) + POWER(Dominus[[#This Row],[angvel_Y]],2) + POWER(Dominus[[#This Row],[angvel_Z]],2))</f>
        <v>2.0472000000000001</v>
      </c>
      <c r="U212" s="1">
        <f>DEGREES(ASIN(MAX(-1,MIN(1,2 * (Dominus[[#This Row],[quart_W]]*Dominus[[#This Row],[quart_Y]] - Dominus[[#This Row],[quart_Z]]*Dominus[[#This Row],[quart_X]])))))</f>
        <v>0.96136639325659401</v>
      </c>
      <c r="V21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-178.20296640712593</v>
      </c>
      <c r="W21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90.000247192631292</v>
      </c>
      <c r="X212" s="1">
        <f>IF(Dominus[[#This Row],[Yaw]]&gt;V211,(360-ABS(Dominus[[#This Row],[Yaw]])-ABS(V211)),ABS(Dominus[[#This Row],[Yaw]]-V211))</f>
        <v>0.97731649495409556</v>
      </c>
      <c r="Y212" s="1">
        <f>Dominus[[#This Row],[Degree change]]+Y211</f>
        <v>147.35548882480541</v>
      </c>
    </row>
    <row r="213" spans="1:25">
      <c r="A213">
        <v>212</v>
      </c>
      <c r="B213" s="1">
        <v>-1870.829956</v>
      </c>
      <c r="C213" s="1">
        <v>1619.049927</v>
      </c>
      <c r="D213" s="1">
        <v>17.049999</v>
      </c>
      <c r="E213" s="1">
        <v>-172.98999000000001</v>
      </c>
      <c r="F213" s="1">
        <v>-2293.469971</v>
      </c>
      <c r="G213" s="1">
        <v>8.0399999999999991</v>
      </c>
      <c r="H213" s="1">
        <v>0</v>
      </c>
      <c r="I213" s="1">
        <v>0</v>
      </c>
      <c r="J213" s="1">
        <v>2.0472000000000001</v>
      </c>
      <c r="K213" s="1">
        <v>-5.9750000000000003E-3</v>
      </c>
      <c r="L213" s="1">
        <v>-5.888E-3</v>
      </c>
      <c r="M213" s="1">
        <v>0.71211899999999995</v>
      </c>
      <c r="N213" s="1">
        <v>-0.70200899999999999</v>
      </c>
      <c r="O213">
        <v>1</v>
      </c>
      <c r="P213">
        <v>0</v>
      </c>
      <c r="Q213">
        <v>1</v>
      </c>
      <c r="R213">
        <v>1</v>
      </c>
      <c r="S213">
        <v>1</v>
      </c>
      <c r="T213" s="1">
        <f>SQRT(POWER(Dominus[[#This Row],[angvel_X]],2) + POWER(Dominus[[#This Row],[angvel_Y]],2) + POWER(Dominus[[#This Row],[angvel_Z]],2))</f>
        <v>2.0472000000000001</v>
      </c>
      <c r="U213" s="1">
        <f>DEGREES(ASIN(MAX(-1,MIN(1,2 * (Dominus[[#This Row],[quart_W]]*Dominus[[#This Row],[quart_Y]] - Dominus[[#This Row],[quart_Z]]*Dominus[[#This Row],[quart_X]])))))</f>
        <v>0.9612780568579945</v>
      </c>
      <c r="V21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-179.18074082282692</v>
      </c>
      <c r="W21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89.999822690100956</v>
      </c>
      <c r="X213" s="1">
        <f>IF(Dominus[[#This Row],[Yaw]]&gt;V212,(360-ABS(Dominus[[#This Row],[Yaw]])-ABS(V212)),ABS(Dominus[[#This Row],[Yaw]]-V212))</f>
        <v>0.97777441570099199</v>
      </c>
      <c r="Y213" s="1">
        <f>Dominus[[#This Row],[Degree change]]+Y212</f>
        <v>148.3332632405064</v>
      </c>
    </row>
    <row r="214" spans="1:25">
      <c r="A214">
        <v>213</v>
      </c>
      <c r="B214" s="1">
        <v>-1872.2698969999999</v>
      </c>
      <c r="C214" s="1">
        <v>1599.869995</v>
      </c>
      <c r="D214" s="1">
        <v>17.049999</v>
      </c>
      <c r="E214" s="1">
        <v>-133.83999600000001</v>
      </c>
      <c r="F214" s="1">
        <v>-2296.0798340000001</v>
      </c>
      <c r="G214" s="1">
        <v>8.0399999999999991</v>
      </c>
      <c r="H214" s="1">
        <v>0</v>
      </c>
      <c r="I214" s="1">
        <v>0</v>
      </c>
      <c r="J214" s="1">
        <v>2.0472000000000001</v>
      </c>
      <c r="K214" s="1">
        <v>5.9259999999999998E-3</v>
      </c>
      <c r="L214" s="1">
        <v>5.9369999999999996E-3</v>
      </c>
      <c r="M214" s="1">
        <v>-0.70610300000000004</v>
      </c>
      <c r="N214" s="1">
        <v>0.70805899999999999</v>
      </c>
      <c r="O214">
        <v>1</v>
      </c>
      <c r="P214">
        <v>0</v>
      </c>
      <c r="Q214">
        <v>1</v>
      </c>
      <c r="R214">
        <v>1</v>
      </c>
      <c r="S214">
        <v>1</v>
      </c>
      <c r="T214" s="1">
        <f>SQRT(POWER(Dominus[[#This Row],[angvel_X]],2) + POWER(Dominus[[#This Row],[angvel_Y]],2) + POWER(Dominus[[#This Row],[angvel_Z]],2))</f>
        <v>2.0472000000000001</v>
      </c>
      <c r="U214" s="1">
        <f>DEGREES(ASIN(MAX(-1,MIN(1,2 * (Dominus[[#This Row],[quart_W]]*Dominus[[#This Row],[quart_Y]] - Dominus[[#This Row],[quart_Z]]*Dominus[[#This Row],[quart_X]])))))</f>
        <v>0.96125200011241529</v>
      </c>
      <c r="V21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179.84146226040025</v>
      </c>
      <c r="W21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89.999561726104858</v>
      </c>
      <c r="X214" s="1">
        <f>IF(Dominus[[#This Row],[Yaw]]&gt;V213,(360-ABS(Dominus[[#This Row],[Yaw]])-ABS(V213)),ABS(Dominus[[#This Row],[Yaw]]-V213))</f>
        <v>0.97779691677283154</v>
      </c>
      <c r="Y214" s="1">
        <f>Dominus[[#This Row],[Degree change]]+Y213</f>
        <v>149.31106015727923</v>
      </c>
    </row>
    <row r="215" spans="1:25">
      <c r="A215">
        <v>214</v>
      </c>
      <c r="B215" s="1">
        <v>-1873.380005</v>
      </c>
      <c r="C215" s="1">
        <v>1580.669922</v>
      </c>
      <c r="D215" s="1">
        <v>17.049999</v>
      </c>
      <c r="E215" s="1">
        <v>-94.650002000000001</v>
      </c>
      <c r="F215" s="1">
        <v>-2298.030029</v>
      </c>
      <c r="G215" s="1">
        <v>8.0399999999999991</v>
      </c>
      <c r="H215" s="1">
        <v>0</v>
      </c>
      <c r="I215" s="1">
        <v>0</v>
      </c>
      <c r="J215" s="1">
        <v>2.0472000000000001</v>
      </c>
      <c r="K215" s="1">
        <v>5.8780000000000004E-3</v>
      </c>
      <c r="L215" s="1">
        <v>5.986E-3</v>
      </c>
      <c r="M215" s="1">
        <v>-0.70004</v>
      </c>
      <c r="N215" s="1">
        <v>0.714055</v>
      </c>
      <c r="O215">
        <v>1</v>
      </c>
      <c r="P215">
        <v>0</v>
      </c>
      <c r="Q215">
        <v>1</v>
      </c>
      <c r="R215">
        <v>1</v>
      </c>
      <c r="S215">
        <v>1</v>
      </c>
      <c r="T215" s="1">
        <f>SQRT(POWER(Dominus[[#This Row],[angvel_X]],2) + POWER(Dominus[[#This Row],[angvel_Y]],2) + POWER(Dominus[[#This Row],[angvel_Z]],2))</f>
        <v>2.0472000000000001</v>
      </c>
      <c r="U215" s="1">
        <f>DEGREES(ASIN(MAX(-1,MIN(1,2 * (Dominus[[#This Row],[quart_W]]*Dominus[[#This Row],[quart_Y]] - Dominus[[#This Row],[quart_Z]]*Dominus[[#This Row],[quart_X]])))))</f>
        <v>0.96137299018994204</v>
      </c>
      <c r="V21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178.86437461982146</v>
      </c>
      <c r="W21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89.99922343547081</v>
      </c>
      <c r="X215" s="1">
        <f>IF(Dominus[[#This Row],[Yaw]]&gt;V214,(360-ABS(Dominus[[#This Row],[Yaw]])-ABS(V214)),ABS(Dominus[[#This Row],[Yaw]]-V214))</f>
        <v>0.97708764057878739</v>
      </c>
      <c r="Y215" s="1">
        <f>Dominus[[#This Row],[Degree change]]+Y214</f>
        <v>150.28814779785802</v>
      </c>
    </row>
    <row r="216" spans="1:25">
      <c r="A216">
        <v>215</v>
      </c>
      <c r="B216" s="1">
        <v>-1874.169922</v>
      </c>
      <c r="C216" s="1">
        <v>1561.4499510000001</v>
      </c>
      <c r="D216" s="1">
        <v>17.049999</v>
      </c>
      <c r="E216" s="1">
        <v>-55.43</v>
      </c>
      <c r="F216" s="1">
        <v>-2299.3100589999999</v>
      </c>
      <c r="G216" s="1">
        <v>8.0399999999999991</v>
      </c>
      <c r="H216" s="1">
        <v>0</v>
      </c>
      <c r="I216" s="1">
        <v>0</v>
      </c>
      <c r="J216" s="1">
        <v>2.0472000000000001</v>
      </c>
      <c r="K216" s="1">
        <v>5.829E-3</v>
      </c>
      <c r="L216" s="1">
        <v>6.0340000000000003E-3</v>
      </c>
      <c r="M216" s="1">
        <v>-0.69392200000000004</v>
      </c>
      <c r="N216" s="1">
        <v>0.720001</v>
      </c>
      <c r="O216">
        <v>1</v>
      </c>
      <c r="P216">
        <v>0</v>
      </c>
      <c r="Q216">
        <v>1</v>
      </c>
      <c r="R216">
        <v>1</v>
      </c>
      <c r="S216">
        <v>1</v>
      </c>
      <c r="T216" s="1">
        <f>SQRT(POWER(Dominus[[#This Row],[angvel_X]],2) + POWER(Dominus[[#This Row],[angvel_Y]],2) + POWER(Dominus[[#This Row],[angvel_Z]],2))</f>
        <v>2.0472000000000001</v>
      </c>
      <c r="U216" s="1">
        <f>DEGREES(ASIN(MAX(-1,MIN(1,2 * (Dominus[[#This Row],[quart_W]]*Dominus[[#This Row],[quart_Y]] - Dominus[[#This Row],[quart_Z]]*Dominus[[#This Row],[quart_X]])))))</f>
        <v>0.96139465356515197</v>
      </c>
      <c r="V21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177.88662985116321</v>
      </c>
      <c r="W21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89.998881373793367</v>
      </c>
      <c r="X216" s="1">
        <f>IF(Dominus[[#This Row],[Yaw]]&gt;V215,(360-ABS(Dominus[[#This Row],[Yaw]])-ABS(V215)),ABS(Dominus[[#This Row],[Yaw]]-V215))</f>
        <v>0.97774476865825477</v>
      </c>
      <c r="Y216" s="1">
        <f>Dominus[[#This Row],[Degree change]]+Y215</f>
        <v>151.26589256651627</v>
      </c>
    </row>
    <row r="217" spans="1:25">
      <c r="A217">
        <v>216</v>
      </c>
      <c r="B217" s="1">
        <v>-1874.630005</v>
      </c>
      <c r="C217" s="1">
        <v>1542.219971</v>
      </c>
      <c r="D217" s="1">
        <v>17.049999</v>
      </c>
      <c r="E217" s="1">
        <v>-16.190000999999999</v>
      </c>
      <c r="F217" s="1">
        <v>-2299.919922</v>
      </c>
      <c r="G217" s="1">
        <v>8.0399999999999991</v>
      </c>
      <c r="H217" s="1">
        <v>0</v>
      </c>
      <c r="I217" s="1">
        <v>1E-4</v>
      </c>
      <c r="J217" s="1">
        <v>2.0472000000000001</v>
      </c>
      <c r="K217" s="1">
        <v>5.7749999999999998E-3</v>
      </c>
      <c r="L217" s="1">
        <v>6.0829999999999999E-3</v>
      </c>
      <c r="M217" s="1">
        <v>-0.68775600000000003</v>
      </c>
      <c r="N217" s="1">
        <v>0.72589400000000004</v>
      </c>
      <c r="O217">
        <v>1</v>
      </c>
      <c r="P217">
        <v>0</v>
      </c>
      <c r="Q217">
        <v>1</v>
      </c>
      <c r="R217">
        <v>1</v>
      </c>
      <c r="S217">
        <v>1</v>
      </c>
      <c r="T217" s="1">
        <f>SQRT(POWER(Dominus[[#This Row],[angvel_X]],2) + POWER(Dominus[[#This Row],[angvel_Y]],2) + POWER(Dominus[[#This Row],[angvel_Z]],2))</f>
        <v>2.0472000024423602</v>
      </c>
      <c r="U217" s="1">
        <f>DEGREES(ASIN(MAX(-1,MIN(1,2 * (Dominus[[#This Row],[quart_W]]*Dominus[[#This Row],[quart_Y]] - Dominus[[#This Row],[quart_Z]]*Dominus[[#This Row],[quart_X]])))))</f>
        <v>0.96117079380468207</v>
      </c>
      <c r="V21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176.9092898859619</v>
      </c>
      <c r="W21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89.999035220816666</v>
      </c>
      <c r="X217" s="1">
        <f>IF(Dominus[[#This Row],[Yaw]]&gt;V216,(360-ABS(Dominus[[#This Row],[Yaw]])-ABS(V216)),ABS(Dominus[[#This Row],[Yaw]]-V216))</f>
        <v>0.97733996520130972</v>
      </c>
      <c r="Y217" s="1">
        <f>Dominus[[#This Row],[Degree change]]+Y216</f>
        <v>152.24323253171758</v>
      </c>
    </row>
    <row r="218" spans="1:25">
      <c r="A218">
        <v>217</v>
      </c>
      <c r="B218" s="1">
        <v>-1874.76001</v>
      </c>
      <c r="C218" s="1">
        <v>1522.98999</v>
      </c>
      <c r="D218" s="1">
        <v>17.049999</v>
      </c>
      <c r="E218" s="1">
        <v>23.039999000000002</v>
      </c>
      <c r="F218" s="1">
        <v>-2299.8698730000001</v>
      </c>
      <c r="G218" s="1">
        <v>8.0399999999999991</v>
      </c>
      <c r="H218" s="1">
        <v>0</v>
      </c>
      <c r="I218" s="1">
        <v>1E-4</v>
      </c>
      <c r="J218" s="1">
        <v>2.0472000000000001</v>
      </c>
      <c r="K218" s="1">
        <v>5.7210000000000004E-3</v>
      </c>
      <c r="L218" s="1">
        <v>6.1310000000000002E-3</v>
      </c>
      <c r="M218" s="1">
        <v>-0.68154099999999995</v>
      </c>
      <c r="N218" s="1">
        <v>0.73173200000000005</v>
      </c>
      <c r="O218">
        <v>1</v>
      </c>
      <c r="P218">
        <v>0</v>
      </c>
      <c r="Q218">
        <v>1</v>
      </c>
      <c r="R218">
        <v>1</v>
      </c>
      <c r="S218">
        <v>1</v>
      </c>
      <c r="T218" s="1">
        <f>SQRT(POWER(Dominus[[#This Row],[angvel_X]],2) + POWER(Dominus[[#This Row],[angvel_Y]],2) + POWER(Dominus[[#This Row],[angvel_Z]],2))</f>
        <v>2.0472000024423602</v>
      </c>
      <c r="U218" s="1">
        <f>DEGREES(ASIN(MAX(-1,MIN(1,2 * (Dominus[[#This Row],[quart_W]]*Dominus[[#This Row],[quart_Y]] - Dominus[[#This Row],[quart_Z]]*Dominus[[#This Row],[quart_X]])))))</f>
        <v>0.96093479951260963</v>
      </c>
      <c r="V21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175.93210567112476</v>
      </c>
      <c r="W21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89.99911627154718</v>
      </c>
      <c r="X218" s="1">
        <f>IF(Dominus[[#This Row],[Yaw]]&gt;V217,(360-ABS(Dominus[[#This Row],[Yaw]])-ABS(V217)),ABS(Dominus[[#This Row],[Yaw]]-V217))</f>
        <v>0.97718421483713769</v>
      </c>
      <c r="Y218" s="1">
        <f>Dominus[[#This Row],[Degree change]]+Y217</f>
        <v>153.22041674655472</v>
      </c>
    </row>
    <row r="219" spans="1:25">
      <c r="A219">
        <v>218</v>
      </c>
      <c r="B219" s="1">
        <v>-1874.559937</v>
      </c>
      <c r="C219" s="1">
        <v>1503.76001</v>
      </c>
      <c r="D219" s="1">
        <v>17.049999</v>
      </c>
      <c r="E219" s="1">
        <v>62.259998000000003</v>
      </c>
      <c r="F219" s="1">
        <v>-2299.139893</v>
      </c>
      <c r="G219" s="1">
        <v>8.0399999999999991</v>
      </c>
      <c r="H219" s="1">
        <v>0</v>
      </c>
      <c r="I219" s="1">
        <v>1E-4</v>
      </c>
      <c r="J219" s="1">
        <v>2.0472000000000001</v>
      </c>
      <c r="K219" s="1">
        <v>5.6670000000000002E-3</v>
      </c>
      <c r="L219" s="1">
        <v>6.1799999999999997E-3</v>
      </c>
      <c r="M219" s="1">
        <v>-0.67527199999999998</v>
      </c>
      <c r="N219" s="1">
        <v>0.73752099999999998</v>
      </c>
      <c r="O219">
        <v>1</v>
      </c>
      <c r="P219">
        <v>0</v>
      </c>
      <c r="Q219">
        <v>1</v>
      </c>
      <c r="R219">
        <v>1</v>
      </c>
      <c r="S219">
        <v>1</v>
      </c>
      <c r="T219" s="1">
        <f>SQRT(POWER(Dominus[[#This Row],[angvel_X]],2) + POWER(Dominus[[#This Row],[angvel_Y]],2) + POWER(Dominus[[#This Row],[angvel_Z]],2))</f>
        <v>2.0472000024423602</v>
      </c>
      <c r="U219" s="1">
        <f>DEGREES(ASIN(MAX(-1,MIN(1,2 * (Dominus[[#This Row],[quart_W]]*Dominus[[#This Row],[quart_Y]] - Dominus[[#This Row],[quart_Z]]*Dominus[[#This Row],[quart_X]])))))</f>
        <v>0.96085471751370521</v>
      </c>
      <c r="V21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174.95423358057008</v>
      </c>
      <c r="W21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89.999272178576334</v>
      </c>
      <c r="X219" s="1">
        <f>IF(Dominus[[#This Row],[Yaw]]&gt;V218,(360-ABS(Dominus[[#This Row],[Yaw]])-ABS(V218)),ABS(Dominus[[#This Row],[Yaw]]-V218))</f>
        <v>0.97787209055468338</v>
      </c>
      <c r="Y219" s="1">
        <f>Dominus[[#This Row],[Degree change]]+Y218</f>
        <v>154.1982888371094</v>
      </c>
    </row>
    <row r="220" spans="1:25">
      <c r="A220">
        <v>219</v>
      </c>
      <c r="B220" s="1">
        <v>-1874.0299070000001</v>
      </c>
      <c r="C220" s="1">
        <v>1484.5299070000001</v>
      </c>
      <c r="D220" s="1">
        <v>17.049999</v>
      </c>
      <c r="E220" s="1">
        <v>101.470001</v>
      </c>
      <c r="F220" s="1">
        <v>-2297.73999</v>
      </c>
      <c r="G220" s="1">
        <v>8.0399999999999991</v>
      </c>
      <c r="H220" s="1">
        <v>0</v>
      </c>
      <c r="I220" s="1">
        <v>1E-4</v>
      </c>
      <c r="J220" s="1">
        <v>2.0472000000000001</v>
      </c>
      <c r="K220" s="1">
        <v>5.6129999999999999E-3</v>
      </c>
      <c r="L220" s="1">
        <v>6.228E-3</v>
      </c>
      <c r="M220" s="1">
        <v>-0.66895499999999997</v>
      </c>
      <c r="N220" s="1">
        <v>0.74325600000000003</v>
      </c>
      <c r="O220">
        <v>1</v>
      </c>
      <c r="P220">
        <v>0</v>
      </c>
      <c r="Q220">
        <v>1</v>
      </c>
      <c r="R220">
        <v>1</v>
      </c>
      <c r="S220">
        <v>1</v>
      </c>
      <c r="T220" s="1">
        <f>SQRT(POWER(Dominus[[#This Row],[angvel_X]],2) + POWER(Dominus[[#This Row],[angvel_Y]],2) + POWER(Dominus[[#This Row],[angvel_Z]],2))</f>
        <v>2.0472000024423602</v>
      </c>
      <c r="U220" s="1">
        <f>DEGREES(ASIN(MAX(-1,MIN(1,2 * (Dominus[[#This Row],[quart_W]]*Dominus[[#This Row],[quart_Y]] - Dominus[[#This Row],[quart_Z]]*Dominus[[#This Row],[quart_X]])))))</f>
        <v>0.96076263930247296</v>
      </c>
      <c r="V22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173.97654728162706</v>
      </c>
      <c r="W22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89.999353132756227</v>
      </c>
      <c r="X220" s="1">
        <f>IF(Dominus[[#This Row],[Yaw]]&gt;V219,(360-ABS(Dominus[[#This Row],[Yaw]])-ABS(V219)),ABS(Dominus[[#This Row],[Yaw]]-V219))</f>
        <v>0.97768629894301284</v>
      </c>
      <c r="Y220" s="1">
        <f>Dominus[[#This Row],[Degree change]]+Y219</f>
        <v>155.17597513605241</v>
      </c>
    </row>
    <row r="221" spans="1:25">
      <c r="A221">
        <v>220</v>
      </c>
      <c r="B221" s="1">
        <v>-1873.179932</v>
      </c>
      <c r="C221" s="1">
        <v>1465.309937</v>
      </c>
      <c r="D221" s="1">
        <v>17.049999</v>
      </c>
      <c r="E221" s="1">
        <v>140.64999399999999</v>
      </c>
      <c r="F221" s="1">
        <v>-2295.679932</v>
      </c>
      <c r="G221" s="1">
        <v>8.0399999999999991</v>
      </c>
      <c r="H221" s="1">
        <v>0</v>
      </c>
      <c r="I221" s="1">
        <v>1E-4</v>
      </c>
      <c r="J221" s="1">
        <v>2.0472000000000001</v>
      </c>
      <c r="K221" s="1">
        <v>5.5589999999999997E-3</v>
      </c>
      <c r="L221" s="1">
        <v>6.2769999999999996E-3</v>
      </c>
      <c r="M221" s="1">
        <v>-0.66258899999999998</v>
      </c>
      <c r="N221" s="1">
        <v>0.74893600000000005</v>
      </c>
      <c r="O221">
        <v>1</v>
      </c>
      <c r="P221">
        <v>0</v>
      </c>
      <c r="Q221">
        <v>1</v>
      </c>
      <c r="R221">
        <v>1</v>
      </c>
      <c r="S221">
        <v>1</v>
      </c>
      <c r="T221" s="1">
        <f>SQRT(POWER(Dominus[[#This Row],[angvel_X]],2) + POWER(Dominus[[#This Row],[angvel_Y]],2) + POWER(Dominus[[#This Row],[angvel_Z]],2))</f>
        <v>2.0472000024423602</v>
      </c>
      <c r="U221" s="1">
        <f>DEGREES(ASIN(MAX(-1,MIN(1,2 * (Dominus[[#This Row],[quart_W]]*Dominus[[#This Row],[quart_Y]] - Dominus[[#This Row],[quart_Z]]*Dominus[[#This Row],[quart_X]])))))</f>
        <v>0.96082690440875729</v>
      </c>
      <c r="V22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172.99880687752079</v>
      </c>
      <c r="W22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89.99951130474264</v>
      </c>
      <c r="X221" s="1">
        <f>IF(Dominus[[#This Row],[Yaw]]&gt;V220,(360-ABS(Dominus[[#This Row],[Yaw]])-ABS(V220)),ABS(Dominus[[#This Row],[Yaw]]-V220))</f>
        <v>0.97774040410627094</v>
      </c>
      <c r="Y221" s="1">
        <f>Dominus[[#This Row],[Degree change]]+Y220</f>
        <v>156.15371554015869</v>
      </c>
    </row>
    <row r="222" spans="1:25">
      <c r="A222">
        <v>221</v>
      </c>
      <c r="B222" s="1">
        <v>-1872</v>
      </c>
      <c r="C222" s="1">
        <v>1446.1099850000001</v>
      </c>
      <c r="D222" s="1">
        <v>17.049999</v>
      </c>
      <c r="E222" s="1">
        <v>179.78999300000001</v>
      </c>
      <c r="F222" s="1">
        <v>-2292.9399410000001</v>
      </c>
      <c r="G222" s="1">
        <v>8.0399999999999991</v>
      </c>
      <c r="H222" s="1">
        <v>0</v>
      </c>
      <c r="I222" s="1">
        <v>1E-4</v>
      </c>
      <c r="J222" s="1">
        <v>2.0472000000000001</v>
      </c>
      <c r="K222" s="1">
        <v>5.5050000000000003E-3</v>
      </c>
      <c r="L222" s="1">
        <v>6.3249999999999999E-3</v>
      </c>
      <c r="M222" s="1">
        <v>-0.65617400000000004</v>
      </c>
      <c r="N222" s="1">
        <v>0.75456299999999998</v>
      </c>
      <c r="O222">
        <v>1</v>
      </c>
      <c r="P222">
        <v>0</v>
      </c>
      <c r="Q222">
        <v>1</v>
      </c>
      <c r="R222">
        <v>1</v>
      </c>
      <c r="S222">
        <v>1</v>
      </c>
      <c r="T222" s="1">
        <f>SQRT(POWER(Dominus[[#This Row],[angvel_X]],2) + POWER(Dominus[[#This Row],[angvel_Y]],2) + POWER(Dominus[[#This Row],[angvel_Z]],2))</f>
        <v>2.0472000024423602</v>
      </c>
      <c r="U222" s="1">
        <f>DEGREES(ASIN(MAX(-1,MIN(1,2 * (Dominus[[#This Row],[quart_W]]*Dominus[[#This Row],[quart_Y]] - Dominus[[#This Row],[quart_Z]]*Dominus[[#This Row],[quart_X]])))))</f>
        <v>0.96087794172755758</v>
      </c>
      <c r="V22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172.02095727146963</v>
      </c>
      <c r="W22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89.999590992139645</v>
      </c>
      <c r="X222" s="1">
        <f>IF(Dominus[[#This Row],[Yaw]]&gt;V221,(360-ABS(Dominus[[#This Row],[Yaw]])-ABS(V221)),ABS(Dominus[[#This Row],[Yaw]]-V221))</f>
        <v>0.97784960605116567</v>
      </c>
      <c r="Y222" s="1">
        <f>Dominus[[#This Row],[Degree change]]+Y221</f>
        <v>157.13156514620985</v>
      </c>
    </row>
    <row r="223" spans="1:25">
      <c r="A223">
        <v>222</v>
      </c>
      <c r="B223" s="1">
        <v>-1870.48999</v>
      </c>
      <c r="C223" s="1">
        <v>1426.929932</v>
      </c>
      <c r="D223" s="1">
        <v>17.049999</v>
      </c>
      <c r="E223" s="1">
        <v>218.87998999999999</v>
      </c>
      <c r="F223" s="1">
        <v>-2289.540039</v>
      </c>
      <c r="G223" s="1">
        <v>8.0399999999999991</v>
      </c>
      <c r="H223" s="1">
        <v>0</v>
      </c>
      <c r="I223" s="1">
        <v>1E-4</v>
      </c>
      <c r="J223" s="1">
        <v>2.0472000000000001</v>
      </c>
      <c r="K223" s="1">
        <v>5.4510000000000001E-3</v>
      </c>
      <c r="L223" s="1">
        <v>6.3740000000000003E-3</v>
      </c>
      <c r="M223" s="1">
        <v>-0.64971699999999999</v>
      </c>
      <c r="N223" s="1">
        <v>0.76012999999999997</v>
      </c>
      <c r="O223">
        <v>1</v>
      </c>
      <c r="P223">
        <v>0</v>
      </c>
      <c r="Q223">
        <v>1</v>
      </c>
      <c r="R223">
        <v>1</v>
      </c>
      <c r="S223">
        <v>1</v>
      </c>
      <c r="T223" s="1">
        <f>SQRT(POWER(Dominus[[#This Row],[angvel_X]],2) + POWER(Dominus[[#This Row],[angvel_Y]],2) + POWER(Dominus[[#This Row],[angvel_Z]],2))</f>
        <v>2.0472000024423602</v>
      </c>
      <c r="U223" s="1">
        <f>DEGREES(ASIN(MAX(-1,MIN(1,2 * (Dominus[[#This Row],[quart_W]]*Dominus[[#This Row],[quart_Y]] - Dominus[[#This Row],[quart_Z]]*Dominus[[#This Row],[quart_X]])))))</f>
        <v>0.96108734623104397</v>
      </c>
      <c r="V22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171.04398039281992</v>
      </c>
      <c r="W22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89.999751018019154</v>
      </c>
      <c r="X223" s="1">
        <f>IF(Dominus[[#This Row],[Yaw]]&gt;V222,(360-ABS(Dominus[[#This Row],[Yaw]])-ABS(V222)),ABS(Dominus[[#This Row],[Yaw]]-V222))</f>
        <v>0.97697687864970817</v>
      </c>
      <c r="Y223" s="1">
        <f>Dominus[[#This Row],[Degree change]]+Y222</f>
        <v>158.10854202485956</v>
      </c>
    </row>
    <row r="224" spans="1:25">
      <c r="A224">
        <v>223</v>
      </c>
      <c r="B224" s="1">
        <v>-1868.6599120000001</v>
      </c>
      <c r="C224" s="1">
        <v>1407.780029</v>
      </c>
      <c r="D224" s="1">
        <v>17.049999</v>
      </c>
      <c r="E224" s="1">
        <v>257.91000400000001</v>
      </c>
      <c r="F224" s="1">
        <v>-2285.4799800000001</v>
      </c>
      <c r="G224" s="1">
        <v>8.0399999999999991</v>
      </c>
      <c r="H224" s="1">
        <v>0</v>
      </c>
      <c r="I224" s="1">
        <v>0</v>
      </c>
      <c r="J224" s="1">
        <v>2.0472000000000001</v>
      </c>
      <c r="K224" s="1">
        <v>5.398E-3</v>
      </c>
      <c r="L224" s="1">
        <v>6.4229999999999999E-3</v>
      </c>
      <c r="M224" s="1">
        <v>-0.64320999999999995</v>
      </c>
      <c r="N224" s="1">
        <v>0.76564299999999996</v>
      </c>
      <c r="O224">
        <v>1</v>
      </c>
      <c r="P224">
        <v>0</v>
      </c>
      <c r="Q224">
        <v>1</v>
      </c>
      <c r="R224">
        <v>1</v>
      </c>
      <c r="S224">
        <v>1</v>
      </c>
      <c r="T224" s="1">
        <f>SQRT(POWER(Dominus[[#This Row],[angvel_X]],2) + POWER(Dominus[[#This Row],[angvel_Y]],2) + POWER(Dominus[[#This Row],[angvel_Z]],2))</f>
        <v>2.0472000000000001</v>
      </c>
      <c r="U224" s="1">
        <f>DEGREES(ASIN(MAX(-1,MIN(1,2 * (Dominus[[#This Row],[quart_W]]*Dominus[[#This Row],[quart_Y]] - Dominus[[#This Row],[quart_Z]]*Dominus[[#This Row],[quart_X]])))))</f>
        <v>0.96144223833564557</v>
      </c>
      <c r="V22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170.06657539630524</v>
      </c>
      <c r="W22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89.999816274239066</v>
      </c>
      <c r="X224" s="1">
        <f>IF(Dominus[[#This Row],[Yaw]]&gt;V223,(360-ABS(Dominus[[#This Row],[Yaw]])-ABS(V223)),ABS(Dominus[[#This Row],[Yaw]]-V223))</f>
        <v>0.97740499651467871</v>
      </c>
      <c r="Y224" s="1">
        <f>Dominus[[#This Row],[Degree change]]+Y223</f>
        <v>159.08594702137424</v>
      </c>
    </row>
    <row r="225" spans="1:25">
      <c r="A225">
        <v>224</v>
      </c>
      <c r="B225" s="1">
        <v>-1866.5</v>
      </c>
      <c r="C225" s="1">
        <v>1388.669922</v>
      </c>
      <c r="D225" s="1">
        <v>17.049999</v>
      </c>
      <c r="E225" s="1">
        <v>296.85998499999999</v>
      </c>
      <c r="F225" s="1">
        <v>-2280.73999</v>
      </c>
      <c r="G225" s="1">
        <v>8.0399999999999991</v>
      </c>
      <c r="H225" s="1">
        <v>0</v>
      </c>
      <c r="I225" s="1">
        <v>0</v>
      </c>
      <c r="J225" s="1">
        <v>2.0472000000000001</v>
      </c>
      <c r="K225" s="1">
        <v>5.3439999999999998E-3</v>
      </c>
      <c r="L225" s="1">
        <v>6.4710000000000002E-3</v>
      </c>
      <c r="M225" s="1">
        <v>-0.636656</v>
      </c>
      <c r="N225" s="1">
        <v>0.77110199999999995</v>
      </c>
      <c r="O225">
        <v>1</v>
      </c>
      <c r="P225">
        <v>0</v>
      </c>
      <c r="Q225">
        <v>1</v>
      </c>
      <c r="R225">
        <v>1</v>
      </c>
      <c r="S225">
        <v>1</v>
      </c>
      <c r="T225" s="1">
        <f>SQRT(POWER(Dominus[[#This Row],[angvel_X]],2) + POWER(Dominus[[#This Row],[angvel_Y]],2) + POWER(Dominus[[#This Row],[angvel_Z]],2))</f>
        <v>2.0472000000000001</v>
      </c>
      <c r="U225" s="1">
        <f>DEGREES(ASIN(MAX(-1,MIN(1,2 * (Dominus[[#This Row],[quart_W]]*Dominus[[#This Row],[quart_Y]] - Dominus[[#This Row],[quart_Z]]*Dominus[[#This Row],[quart_X]])))))</f>
        <v>0.96170791468248529</v>
      </c>
      <c r="V22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169.08915803289889</v>
      </c>
      <c r="W22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89.999889046907271</v>
      </c>
      <c r="X225" s="1">
        <f>IF(Dominus[[#This Row],[Yaw]]&gt;V224,(360-ABS(Dominus[[#This Row],[Yaw]])-ABS(V224)),ABS(Dominus[[#This Row],[Yaw]]-V224))</f>
        <v>0.97741736340634588</v>
      </c>
      <c r="Y225" s="1">
        <f>Dominus[[#This Row],[Degree change]]+Y224</f>
        <v>160.06336438478058</v>
      </c>
    </row>
    <row r="226" spans="1:25">
      <c r="A226">
        <v>225</v>
      </c>
      <c r="B226" s="1">
        <v>-1864.01001</v>
      </c>
      <c r="C226" s="1">
        <v>1369.599976</v>
      </c>
      <c r="D226" s="1">
        <v>17.049999</v>
      </c>
      <c r="E226" s="1">
        <v>335.72000100000002</v>
      </c>
      <c r="F226" s="1">
        <v>-2275.3498540000001</v>
      </c>
      <c r="G226" s="1">
        <v>8.0399999999999991</v>
      </c>
      <c r="H226" s="1">
        <v>0</v>
      </c>
      <c r="I226" s="1">
        <v>0</v>
      </c>
      <c r="J226" s="1">
        <v>2.0472000000000001</v>
      </c>
      <c r="K226" s="1">
        <v>5.2900000000000004E-3</v>
      </c>
      <c r="L226" s="1">
        <v>6.5139999999999998E-3</v>
      </c>
      <c r="M226" s="1">
        <v>-0.63005299999999997</v>
      </c>
      <c r="N226" s="1">
        <v>0.77650699999999995</v>
      </c>
      <c r="O226">
        <v>1</v>
      </c>
      <c r="P226">
        <v>0</v>
      </c>
      <c r="Q226">
        <v>1</v>
      </c>
      <c r="R226">
        <v>1</v>
      </c>
      <c r="S226">
        <v>1</v>
      </c>
      <c r="T226" s="1">
        <f>SQRT(POWER(Dominus[[#This Row],[angvel_X]],2) + POWER(Dominus[[#This Row],[angvel_Y]],2) + POWER(Dominus[[#This Row],[angvel_Z]],2))</f>
        <v>2.0472000000000001</v>
      </c>
      <c r="U226" s="1">
        <f>DEGREES(ASIN(MAX(-1,MIN(1,2 * (Dominus[[#This Row],[quart_W]]*Dominus[[#This Row],[quart_Y]] - Dominus[[#This Row],[quart_Z]]*Dominus[[#This Row],[quart_X]])))))</f>
        <v>0.96159975503963457</v>
      </c>
      <c r="V22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168.1113390582961</v>
      </c>
      <c r="W22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89.999592364709628</v>
      </c>
      <c r="X226" s="1">
        <f>IF(Dominus[[#This Row],[Yaw]]&gt;V225,(360-ABS(Dominus[[#This Row],[Yaw]])-ABS(V225)),ABS(Dominus[[#This Row],[Yaw]]-V225))</f>
        <v>0.97781897460279765</v>
      </c>
      <c r="Y226" s="1">
        <f>Dominus[[#This Row],[Degree change]]+Y225</f>
        <v>161.04118335938338</v>
      </c>
    </row>
    <row r="227" spans="1:25">
      <c r="A227">
        <v>226</v>
      </c>
      <c r="B227" s="1">
        <v>-1861.1999510000001</v>
      </c>
      <c r="C227" s="1">
        <v>1350.5699460000001</v>
      </c>
      <c r="D227" s="1">
        <v>17.049999</v>
      </c>
      <c r="E227" s="1">
        <v>374.48998999999998</v>
      </c>
      <c r="F227" s="1">
        <v>-2269.290039</v>
      </c>
      <c r="G227" s="1">
        <v>8.0399999999999991</v>
      </c>
      <c r="H227" s="1">
        <v>0</v>
      </c>
      <c r="I227" s="1">
        <v>0</v>
      </c>
      <c r="J227" s="1">
        <v>2.0472000000000001</v>
      </c>
      <c r="K227" s="1">
        <v>5.2360000000000002E-3</v>
      </c>
      <c r="L227" s="1">
        <v>6.5570000000000003E-3</v>
      </c>
      <c r="M227" s="1">
        <v>-0.62340600000000002</v>
      </c>
      <c r="N227" s="1">
        <v>0.78185300000000002</v>
      </c>
      <c r="O227">
        <v>1</v>
      </c>
      <c r="P227">
        <v>0</v>
      </c>
      <c r="Q227">
        <v>1</v>
      </c>
      <c r="R227">
        <v>1</v>
      </c>
      <c r="S227">
        <v>1</v>
      </c>
      <c r="T227" s="1">
        <f>SQRT(POWER(Dominus[[#This Row],[angvel_X]],2) + POWER(Dominus[[#This Row],[angvel_Y]],2) + POWER(Dominus[[#This Row],[angvel_Z]],2))</f>
        <v>2.0472000000000001</v>
      </c>
      <c r="U227" s="1">
        <f>DEGREES(ASIN(MAX(-1,MIN(1,2 * (Dominus[[#This Row],[quart_W]]*Dominus[[#This Row],[quart_Y]] - Dominus[[#This Row],[quart_Z]]*Dominus[[#This Row],[quart_X]])))))</f>
        <v>0.96155585673815935</v>
      </c>
      <c r="V22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167.13378133926753</v>
      </c>
      <c r="W22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89.999299842547657</v>
      </c>
      <c r="X227" s="1">
        <f>IF(Dominus[[#This Row],[Yaw]]&gt;V226,(360-ABS(Dominus[[#This Row],[Yaw]])-ABS(V226)),ABS(Dominus[[#This Row],[Yaw]]-V226))</f>
        <v>0.97755771902856736</v>
      </c>
      <c r="Y227" s="1">
        <f>Dominus[[#This Row],[Degree change]]+Y226</f>
        <v>162.01874107841195</v>
      </c>
    </row>
    <row r="228" spans="1:25">
      <c r="A228">
        <v>227</v>
      </c>
      <c r="B228" s="1">
        <v>-1858.059937</v>
      </c>
      <c r="C228" s="1">
        <v>1331.589966</v>
      </c>
      <c r="D228" s="1">
        <v>17.049999</v>
      </c>
      <c r="E228" s="1">
        <v>413.14999399999999</v>
      </c>
      <c r="F228" s="1">
        <v>-2262.570068</v>
      </c>
      <c r="G228" s="1">
        <v>8.0399999999999991</v>
      </c>
      <c r="H228" s="1">
        <v>0</v>
      </c>
      <c r="I228" s="1">
        <v>0</v>
      </c>
      <c r="J228" s="1">
        <v>2.0472000000000001</v>
      </c>
      <c r="K228" s="1">
        <v>5.182E-3</v>
      </c>
      <c r="L228" s="1">
        <v>6.6010000000000001E-3</v>
      </c>
      <c r="M228" s="1">
        <v>-0.61671699999999996</v>
      </c>
      <c r="N228" s="1">
        <v>0.78713999999999995</v>
      </c>
      <c r="O228">
        <v>1</v>
      </c>
      <c r="P228">
        <v>0</v>
      </c>
      <c r="Q228">
        <v>1</v>
      </c>
      <c r="R228">
        <v>1</v>
      </c>
      <c r="S228">
        <v>1</v>
      </c>
      <c r="T228" s="1">
        <f>SQRT(POWER(Dominus[[#This Row],[angvel_X]],2) + POWER(Dominus[[#This Row],[angvel_Y]],2) + POWER(Dominus[[#This Row],[angvel_Z]],2))</f>
        <v>2.0472000000000001</v>
      </c>
      <c r="U228" s="1">
        <f>DEGREES(ASIN(MAX(-1,MIN(1,2 * (Dominus[[#This Row],[quart_W]]*Dominus[[#This Row],[quart_Y]] - Dominus[[#This Row],[quart_Z]]*Dominus[[#This Row],[quart_X]])))))</f>
        <v>0.96166756451945701</v>
      </c>
      <c r="V22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166.15672374651598</v>
      </c>
      <c r="W22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89.999081927784331</v>
      </c>
      <c r="X228" s="1">
        <f>IF(Dominus[[#This Row],[Yaw]]&gt;V227,(360-ABS(Dominus[[#This Row],[Yaw]])-ABS(V227)),ABS(Dominus[[#This Row],[Yaw]]-V227))</f>
        <v>0.97705759275154946</v>
      </c>
      <c r="Y228" s="1">
        <f>Dominus[[#This Row],[Degree change]]+Y227</f>
        <v>162.9957986711635</v>
      </c>
    </row>
    <row r="229" spans="1:25">
      <c r="A229">
        <v>228</v>
      </c>
      <c r="B229" s="1">
        <v>-1854.599976</v>
      </c>
      <c r="C229" s="1">
        <v>1312.669922</v>
      </c>
      <c r="D229" s="1">
        <v>17.049999</v>
      </c>
      <c r="E229" s="1">
        <v>451.69000199999999</v>
      </c>
      <c r="F229" s="1">
        <v>-2255.1899410000001</v>
      </c>
      <c r="G229" s="1">
        <v>8.0399999999999991</v>
      </c>
      <c r="H229" s="1">
        <v>0</v>
      </c>
      <c r="I229" s="1">
        <v>0</v>
      </c>
      <c r="J229" s="1">
        <v>2.0472000000000001</v>
      </c>
      <c r="K229" s="1">
        <v>5.1279999999999997E-3</v>
      </c>
      <c r="L229" s="1">
        <v>6.6439999999999997E-3</v>
      </c>
      <c r="M229" s="1">
        <v>-0.60997800000000002</v>
      </c>
      <c r="N229" s="1">
        <v>0.79237299999999999</v>
      </c>
      <c r="O229">
        <v>1</v>
      </c>
      <c r="P229">
        <v>0</v>
      </c>
      <c r="Q229">
        <v>1</v>
      </c>
      <c r="R229">
        <v>1</v>
      </c>
      <c r="S229">
        <v>1</v>
      </c>
      <c r="T229" s="1">
        <f>SQRT(POWER(Dominus[[#This Row],[angvel_X]],2) + POWER(Dominus[[#This Row],[angvel_Y]],2) + POWER(Dominus[[#This Row],[angvel_Z]],2))</f>
        <v>2.0472000000000001</v>
      </c>
      <c r="U229" s="1">
        <f>DEGREES(ASIN(MAX(-1,MIN(1,2 * (Dominus[[#This Row],[quart_W]]*Dominus[[#This Row],[quart_Y]] - Dominus[[#This Row],[quart_Z]]*Dominus[[#This Row],[quart_X]])))))</f>
        <v>0.96175406605878255</v>
      </c>
      <c r="V22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165.17890502761793</v>
      </c>
      <c r="W22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89.998785741453744</v>
      </c>
      <c r="X229" s="1">
        <f>IF(Dominus[[#This Row],[Yaw]]&gt;V228,(360-ABS(Dominus[[#This Row],[Yaw]])-ABS(V228)),ABS(Dominus[[#This Row],[Yaw]]-V228))</f>
        <v>0.97781871889804961</v>
      </c>
      <c r="Y229" s="1">
        <f>Dominus[[#This Row],[Degree change]]+Y228</f>
        <v>163.97361739006155</v>
      </c>
    </row>
    <row r="230" spans="1:25">
      <c r="A230">
        <v>229</v>
      </c>
      <c r="B230" s="1">
        <v>-1850.8199460000001</v>
      </c>
      <c r="C230" s="1">
        <v>1293.809937</v>
      </c>
      <c r="D230" s="1">
        <v>17.049999</v>
      </c>
      <c r="E230" s="1">
        <v>490.09997600000003</v>
      </c>
      <c r="F230" s="1">
        <v>-2247.1599120000001</v>
      </c>
      <c r="G230" s="1">
        <v>8.0399999999999991</v>
      </c>
      <c r="H230" s="1">
        <v>0</v>
      </c>
      <c r="I230" s="1">
        <v>1E-4</v>
      </c>
      <c r="J230" s="1">
        <v>2.0472000000000001</v>
      </c>
      <c r="K230" s="1">
        <v>5.0679999999999996E-3</v>
      </c>
      <c r="L230" s="1">
        <v>6.6870000000000002E-3</v>
      </c>
      <c r="M230" s="1">
        <v>-0.60319699999999998</v>
      </c>
      <c r="N230" s="1">
        <v>0.79754800000000003</v>
      </c>
      <c r="O230">
        <v>1</v>
      </c>
      <c r="P230">
        <v>0</v>
      </c>
      <c r="Q230">
        <v>1</v>
      </c>
      <c r="R230">
        <v>1</v>
      </c>
      <c r="S230">
        <v>1</v>
      </c>
      <c r="T230" s="1">
        <f>SQRT(POWER(Dominus[[#This Row],[angvel_X]],2) + POWER(Dominus[[#This Row],[angvel_Y]],2) + POWER(Dominus[[#This Row],[angvel_Z]],2))</f>
        <v>2.0472000024423602</v>
      </c>
      <c r="U230" s="1">
        <f>DEGREES(ASIN(MAX(-1,MIN(1,2 * (Dominus[[#This Row],[quart_W]]*Dominus[[#This Row],[quart_Y]] - Dominus[[#This Row],[quart_Z]]*Dominus[[#This Row],[quart_X]])))))</f>
        <v>0.96149189819374403</v>
      </c>
      <c r="V23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164.20146206148203</v>
      </c>
      <c r="W23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89.999037876988368</v>
      </c>
      <c r="X230" s="1">
        <f>IF(Dominus[[#This Row],[Yaw]]&gt;V229,(360-ABS(Dominus[[#This Row],[Yaw]])-ABS(V229)),ABS(Dominus[[#This Row],[Yaw]]-V229))</f>
        <v>0.97744296613589654</v>
      </c>
      <c r="Y230" s="1">
        <f>Dominus[[#This Row],[Degree change]]+Y229</f>
        <v>164.95106035619744</v>
      </c>
    </row>
    <row r="231" spans="1:25">
      <c r="A231">
        <v>230</v>
      </c>
      <c r="B231" s="1">
        <v>-1846.719971</v>
      </c>
      <c r="C231" s="1">
        <v>1275.0200199999999</v>
      </c>
      <c r="D231" s="1">
        <v>17.049999</v>
      </c>
      <c r="E231" s="1">
        <v>528.35998500000005</v>
      </c>
      <c r="F231" s="1">
        <v>-2238.469971</v>
      </c>
      <c r="G231" s="1">
        <v>8.0399999999999991</v>
      </c>
      <c r="H231" s="1">
        <v>0</v>
      </c>
      <c r="I231" s="1">
        <v>1E-4</v>
      </c>
      <c r="J231" s="1">
        <v>2.0472000000000001</v>
      </c>
      <c r="K231" s="1">
        <v>5.0090000000000004E-3</v>
      </c>
      <c r="L231" s="1">
        <v>6.7299999999999999E-3</v>
      </c>
      <c r="M231" s="1">
        <v>-0.59637300000000004</v>
      </c>
      <c r="N231" s="1">
        <v>0.80266400000000004</v>
      </c>
      <c r="O231">
        <v>1</v>
      </c>
      <c r="P231">
        <v>0</v>
      </c>
      <c r="Q231">
        <v>1</v>
      </c>
      <c r="R231">
        <v>1</v>
      </c>
      <c r="S231">
        <v>1</v>
      </c>
      <c r="T231" s="1">
        <f>SQRT(POWER(Dominus[[#This Row],[angvel_X]],2) + POWER(Dominus[[#This Row],[angvel_Y]],2) + POWER(Dominus[[#This Row],[angvel_Z]],2))</f>
        <v>2.0472000024423602</v>
      </c>
      <c r="U231" s="1">
        <f>DEGREES(ASIN(MAX(-1,MIN(1,2 * (Dominus[[#This Row],[quart_W]]*Dominus[[#This Row],[quart_Y]] - Dominus[[#This Row],[quart_Z]]*Dominus[[#This Row],[quart_X]])))))</f>
        <v>0.96137215664819886</v>
      </c>
      <c r="V23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163.2241417048339</v>
      </c>
      <c r="W23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89.999203054097492</v>
      </c>
      <c r="X231" s="1">
        <f>IF(Dominus[[#This Row],[Yaw]]&gt;V230,(360-ABS(Dominus[[#This Row],[Yaw]])-ABS(V230)),ABS(Dominus[[#This Row],[Yaw]]-V230))</f>
        <v>0.97732035664813566</v>
      </c>
      <c r="Y231" s="1">
        <f>Dominus[[#This Row],[Degree change]]+Y230</f>
        <v>165.92838071284558</v>
      </c>
    </row>
    <row r="232" spans="1:25">
      <c r="A232">
        <v>231</v>
      </c>
      <c r="B232" s="1">
        <v>-1842.299927</v>
      </c>
      <c r="C232" s="1">
        <v>1256.299927</v>
      </c>
      <c r="D232" s="1">
        <v>17.049999</v>
      </c>
      <c r="E232" s="1">
        <v>566.46997099999999</v>
      </c>
      <c r="F232" s="1">
        <v>-2229.1298830000001</v>
      </c>
      <c r="G232" s="1">
        <v>8.0399999999999991</v>
      </c>
      <c r="H232" s="1">
        <v>0</v>
      </c>
      <c r="I232" s="1">
        <v>1E-4</v>
      </c>
      <c r="J232" s="1">
        <v>2.0472000000000001</v>
      </c>
      <c r="K232" s="1">
        <v>4.9500000000000004E-3</v>
      </c>
      <c r="L232" s="1">
        <v>6.7730000000000004E-3</v>
      </c>
      <c r="M232" s="1">
        <v>-0.58950499999999995</v>
      </c>
      <c r="N232" s="1">
        <v>0.80772100000000002</v>
      </c>
      <c r="O232">
        <v>1</v>
      </c>
      <c r="P232">
        <v>0</v>
      </c>
      <c r="Q232">
        <v>1</v>
      </c>
      <c r="R232">
        <v>1</v>
      </c>
      <c r="S232">
        <v>1</v>
      </c>
      <c r="T232" s="1">
        <f>SQRT(POWER(Dominus[[#This Row],[angvel_X]],2) + POWER(Dominus[[#This Row],[angvel_Y]],2) + POWER(Dominus[[#This Row],[angvel_Z]],2))</f>
        <v>2.0472000024423602</v>
      </c>
      <c r="U232" s="1">
        <f>DEGREES(ASIN(MAX(-1,MIN(1,2 * (Dominus[[#This Row],[quart_W]]*Dominus[[#This Row],[quart_Y]] - Dominus[[#This Row],[quart_Z]]*Dominus[[#This Row],[quart_X]])))))</f>
        <v>0.96132436592866244</v>
      </c>
      <c r="V23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162.2467129678765</v>
      </c>
      <c r="W23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89.999369476050219</v>
      </c>
      <c r="X232" s="1">
        <f>IF(Dominus[[#This Row],[Yaw]]&gt;V231,(360-ABS(Dominus[[#This Row],[Yaw]])-ABS(V231)),ABS(Dominus[[#This Row],[Yaw]]-V231))</f>
        <v>0.97742873695739263</v>
      </c>
      <c r="Y232" s="1">
        <f>Dominus[[#This Row],[Degree change]]+Y231</f>
        <v>166.90580944980297</v>
      </c>
    </row>
    <row r="233" spans="1:25">
      <c r="A233">
        <v>232</v>
      </c>
      <c r="B233" s="1">
        <v>-1837.559937</v>
      </c>
      <c r="C233" s="1">
        <v>1237.6599120000001</v>
      </c>
      <c r="D233" s="1">
        <v>17.049999</v>
      </c>
      <c r="E233" s="1">
        <v>604.40997300000004</v>
      </c>
      <c r="F233" s="1">
        <v>-2219.139893</v>
      </c>
      <c r="G233" s="1">
        <v>8.0399999999999991</v>
      </c>
      <c r="H233" s="1">
        <v>0</v>
      </c>
      <c r="I233" s="1">
        <v>1E-4</v>
      </c>
      <c r="J233" s="1">
        <v>2.0472000000000001</v>
      </c>
      <c r="K233" s="1">
        <v>4.8900000000000002E-3</v>
      </c>
      <c r="L233" s="1">
        <v>6.816E-3</v>
      </c>
      <c r="M233" s="1">
        <v>-0.58259399999999995</v>
      </c>
      <c r="N233" s="1">
        <v>0.81272</v>
      </c>
      <c r="O233">
        <v>1</v>
      </c>
      <c r="P233">
        <v>0</v>
      </c>
      <c r="Q233">
        <v>1</v>
      </c>
      <c r="R233">
        <v>1</v>
      </c>
      <c r="S233">
        <v>1</v>
      </c>
      <c r="T233" s="1">
        <f>SQRT(POWER(Dominus[[#This Row],[angvel_X]],2) + POWER(Dominus[[#This Row],[angvel_Y]],2) + POWER(Dominus[[#This Row],[angvel_Z]],2))</f>
        <v>2.0472000024423602</v>
      </c>
      <c r="U233" s="1">
        <f>DEGREES(ASIN(MAX(-1,MIN(1,2 * (Dominus[[#This Row],[quart_W]]*Dominus[[#This Row],[quart_Y]] - Dominus[[#This Row],[quart_Z]]*Dominus[[#This Row],[quart_X]])))))</f>
        <v>0.96128311827735557</v>
      </c>
      <c r="V23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161.26928307377889</v>
      </c>
      <c r="W23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89.999628660085634</v>
      </c>
      <c r="X233" s="1">
        <f>IF(Dominus[[#This Row],[Yaw]]&gt;V232,(360-ABS(Dominus[[#This Row],[Yaw]])-ABS(V232)),ABS(Dominus[[#This Row],[Yaw]]-V232))</f>
        <v>0.97742989409761094</v>
      </c>
      <c r="Y233" s="1">
        <f>Dominus[[#This Row],[Degree change]]+Y232</f>
        <v>167.88323934390058</v>
      </c>
    </row>
    <row r="234" spans="1:25">
      <c r="A234">
        <v>233</v>
      </c>
      <c r="B234" s="1">
        <v>-1832.5</v>
      </c>
      <c r="C234" s="1">
        <v>1219.099976</v>
      </c>
      <c r="D234" s="1">
        <v>17.049999</v>
      </c>
      <c r="E234" s="1">
        <v>642.17999299999997</v>
      </c>
      <c r="F234" s="1">
        <v>-2208.51001</v>
      </c>
      <c r="G234" s="1">
        <v>8.0399999999999991</v>
      </c>
      <c r="H234" s="1">
        <v>0</v>
      </c>
      <c r="I234" s="1">
        <v>1E-4</v>
      </c>
      <c r="J234" s="1">
        <v>2.0472000000000001</v>
      </c>
      <c r="K234" s="1">
        <v>4.8310000000000002E-3</v>
      </c>
      <c r="L234" s="1">
        <v>6.8599999999999998E-3</v>
      </c>
      <c r="M234" s="1">
        <v>-0.57564000000000004</v>
      </c>
      <c r="N234" s="1">
        <v>0.81766000000000005</v>
      </c>
      <c r="O234">
        <v>1</v>
      </c>
      <c r="P234">
        <v>0</v>
      </c>
      <c r="Q234">
        <v>1</v>
      </c>
      <c r="R234">
        <v>1</v>
      </c>
      <c r="S234">
        <v>1</v>
      </c>
      <c r="T234" s="1">
        <f>SQRT(POWER(Dominus[[#This Row],[angvel_X]],2) + POWER(Dominus[[#This Row],[angvel_Y]],2) + POWER(Dominus[[#This Row],[angvel_Z]],2))</f>
        <v>2.0472000024423602</v>
      </c>
      <c r="U234" s="1">
        <f>DEGREES(ASIN(MAX(-1,MIN(1,2 * (Dominus[[#This Row],[quart_W]]*Dominus[[#This Row],[quart_Y]] - Dominus[[#This Row],[quart_Z]]*Dominus[[#This Row],[quart_X]])))))</f>
        <v>0.96147568899813496</v>
      </c>
      <c r="V23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160.29176240071558</v>
      </c>
      <c r="W23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89.999859598696716</v>
      </c>
      <c r="X234" s="1">
        <f>IF(Dominus[[#This Row],[Yaw]]&gt;V233,(360-ABS(Dominus[[#This Row],[Yaw]])-ABS(V233)),ABS(Dominus[[#This Row],[Yaw]]-V233))</f>
        <v>0.97752067306331014</v>
      </c>
      <c r="Y234" s="1">
        <f>Dominus[[#This Row],[Degree change]]+Y233</f>
        <v>168.86076001696389</v>
      </c>
    </row>
    <row r="235" spans="1:25">
      <c r="A235">
        <v>234</v>
      </c>
      <c r="B235" s="1">
        <v>-1827.130005</v>
      </c>
      <c r="C235" s="1">
        <v>1200.630005</v>
      </c>
      <c r="D235" s="1">
        <v>17.049999</v>
      </c>
      <c r="E235" s="1">
        <v>679.76000999999997</v>
      </c>
      <c r="F235" s="1">
        <v>-2197.2299800000001</v>
      </c>
      <c r="G235" s="1">
        <v>8.0399999999999991</v>
      </c>
      <c r="H235" s="1">
        <v>0</v>
      </c>
      <c r="I235" s="1">
        <v>0</v>
      </c>
      <c r="J235" s="1">
        <v>2.0472000000000001</v>
      </c>
      <c r="K235" s="1">
        <v>4.7720000000000002E-3</v>
      </c>
      <c r="L235" s="1">
        <v>6.9030000000000003E-3</v>
      </c>
      <c r="M235" s="1">
        <v>-0.56864300000000001</v>
      </c>
      <c r="N235" s="1">
        <v>0.82254099999999997</v>
      </c>
      <c r="O235">
        <v>1</v>
      </c>
      <c r="P235">
        <v>0</v>
      </c>
      <c r="Q235">
        <v>1</v>
      </c>
      <c r="R235">
        <v>1</v>
      </c>
      <c r="S235">
        <v>1</v>
      </c>
      <c r="T235" s="1">
        <f>SQRT(POWER(Dominus[[#This Row],[angvel_X]],2) + POWER(Dominus[[#This Row],[angvel_Y]],2) + POWER(Dominus[[#This Row],[angvel_Z]],2))</f>
        <v>2.0472000000000001</v>
      </c>
      <c r="U235" s="1">
        <f>DEGREES(ASIN(MAX(-1,MIN(1,2 * (Dominus[[#This Row],[quart_W]]*Dominus[[#This Row],[quart_Y]] - Dominus[[#This Row],[quart_Z]]*Dominus[[#This Row],[quart_X]])))))</f>
        <v>0.96164765544259634</v>
      </c>
      <c r="V23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159.31407966317087</v>
      </c>
      <c r="W23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90.000020282927125</v>
      </c>
      <c r="X235" s="1">
        <f>IF(Dominus[[#This Row],[Yaw]]&gt;V234,(360-ABS(Dominus[[#This Row],[Yaw]])-ABS(V234)),ABS(Dominus[[#This Row],[Yaw]]-V234))</f>
        <v>0.97768273754471124</v>
      </c>
      <c r="Y235" s="1">
        <f>Dominus[[#This Row],[Degree change]]+Y234</f>
        <v>169.83844275450861</v>
      </c>
    </row>
    <row r="236" spans="1:25">
      <c r="A236">
        <v>235</v>
      </c>
      <c r="B236" s="1">
        <v>-1821.4399410000001</v>
      </c>
      <c r="C236" s="1">
        <v>1182.26001</v>
      </c>
      <c r="D236" s="1">
        <v>17.049999</v>
      </c>
      <c r="E236" s="1">
        <v>717.14996299999996</v>
      </c>
      <c r="F236" s="1">
        <v>-2185.320068</v>
      </c>
      <c r="G236" s="1">
        <v>8.0399999999999991</v>
      </c>
      <c r="H236" s="1">
        <v>0</v>
      </c>
      <c r="I236" s="1">
        <v>0</v>
      </c>
      <c r="J236" s="1">
        <v>2.0472000000000001</v>
      </c>
      <c r="K236" s="1">
        <v>4.712E-3</v>
      </c>
      <c r="L236" s="1">
        <v>6.9459999999999999E-3</v>
      </c>
      <c r="M236" s="1">
        <v>-0.561608</v>
      </c>
      <c r="N236" s="1">
        <v>0.82735999999999998</v>
      </c>
      <c r="O236">
        <v>1</v>
      </c>
      <c r="P236">
        <v>0</v>
      </c>
      <c r="Q236">
        <v>1</v>
      </c>
      <c r="R236">
        <v>1</v>
      </c>
      <c r="S236">
        <v>1</v>
      </c>
      <c r="T236" s="1">
        <f>SQRT(POWER(Dominus[[#This Row],[angvel_X]],2) + POWER(Dominus[[#This Row],[angvel_Y]],2) + POWER(Dominus[[#This Row],[angvel_Z]],2))</f>
        <v>2.0472000000000001</v>
      </c>
      <c r="U236" s="1">
        <f>DEGREES(ASIN(MAX(-1,MIN(1,2 * (Dominus[[#This Row],[quart_W]]*Dominus[[#This Row],[quart_Y]] - Dominus[[#This Row],[quart_Z]]*Dominus[[#This Row],[quart_X]])))))</f>
        <v>0.96182810951329001</v>
      </c>
      <c r="V23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158.33687119081694</v>
      </c>
      <c r="W23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90.000276072546313</v>
      </c>
      <c r="X236" s="1">
        <f>IF(Dominus[[#This Row],[Yaw]]&gt;V235,(360-ABS(Dominus[[#This Row],[Yaw]])-ABS(V235)),ABS(Dominus[[#This Row],[Yaw]]-V235))</f>
        <v>0.97720847235393649</v>
      </c>
      <c r="Y236" s="1">
        <f>Dominus[[#This Row],[Degree change]]+Y235</f>
        <v>170.81565122686254</v>
      </c>
    </row>
    <row r="237" spans="1:25">
      <c r="A237">
        <v>236</v>
      </c>
      <c r="B237" s="1">
        <v>-1815.4399410000001</v>
      </c>
      <c r="C237" s="1">
        <v>1163.98999</v>
      </c>
      <c r="D237" s="1">
        <v>17.049999</v>
      </c>
      <c r="E237" s="1">
        <v>754.32000700000003</v>
      </c>
      <c r="F237" s="1">
        <v>-2172.76001</v>
      </c>
      <c r="G237" s="1">
        <v>8.0399999999999991</v>
      </c>
      <c r="H237" s="1">
        <v>0</v>
      </c>
      <c r="I237" s="1">
        <v>0</v>
      </c>
      <c r="J237" s="1">
        <v>2.0472000000000001</v>
      </c>
      <c r="K237" s="1">
        <v>4.653E-3</v>
      </c>
      <c r="L237" s="1">
        <v>6.9839999999999998E-3</v>
      </c>
      <c r="M237" s="1">
        <v>-0.554531</v>
      </c>
      <c r="N237" s="1">
        <v>0.832121</v>
      </c>
      <c r="O237">
        <v>1</v>
      </c>
      <c r="P237">
        <v>0</v>
      </c>
      <c r="Q237">
        <v>1</v>
      </c>
      <c r="R237">
        <v>1</v>
      </c>
      <c r="S237">
        <v>1</v>
      </c>
      <c r="T237" s="1">
        <f>SQRT(POWER(Dominus[[#This Row],[angvel_X]],2) + POWER(Dominus[[#This Row],[angvel_Y]],2) + POWER(Dominus[[#This Row],[angvel_Z]],2))</f>
        <v>2.0472000000000001</v>
      </c>
      <c r="U237" s="1">
        <f>DEGREES(ASIN(MAX(-1,MIN(1,2 * (Dominus[[#This Row],[quart_W]]*Dominus[[#This Row],[quart_Y]] - Dominus[[#This Row],[quart_Z]]*Dominus[[#This Row],[quart_X]])))))</f>
        <v>0.96167067875453971</v>
      </c>
      <c r="V23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157.35953073513195</v>
      </c>
      <c r="W23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90.000112944858756</v>
      </c>
      <c r="X237" s="1">
        <f>IF(Dominus[[#This Row],[Yaw]]&gt;V236,(360-ABS(Dominus[[#This Row],[Yaw]])-ABS(V236)),ABS(Dominus[[#This Row],[Yaw]]-V236))</f>
        <v>0.97734045568498118</v>
      </c>
      <c r="Y237" s="1">
        <f>Dominus[[#This Row],[Degree change]]+Y236</f>
        <v>171.79299168254752</v>
      </c>
    </row>
    <row r="238" spans="1:25">
      <c r="A238">
        <v>237</v>
      </c>
      <c r="B238" s="1">
        <v>-1809.130005</v>
      </c>
      <c r="C238" s="1">
        <v>1145.8199460000001</v>
      </c>
      <c r="D238" s="1">
        <v>17.049999</v>
      </c>
      <c r="E238" s="1">
        <v>791.27996800000005</v>
      </c>
      <c r="F238" s="1">
        <v>-2159.5798340000001</v>
      </c>
      <c r="G238" s="1">
        <v>8.0399999999999991</v>
      </c>
      <c r="H238" s="1">
        <v>0</v>
      </c>
      <c r="I238" s="1">
        <v>0</v>
      </c>
      <c r="J238" s="1">
        <v>2.0472000000000001</v>
      </c>
      <c r="K238" s="1">
        <v>4.594E-3</v>
      </c>
      <c r="L238" s="1">
        <v>7.0210000000000003E-3</v>
      </c>
      <c r="M238" s="1">
        <v>-0.54741499999999998</v>
      </c>
      <c r="N238" s="1">
        <v>0.83681899999999998</v>
      </c>
      <c r="O238">
        <v>1</v>
      </c>
      <c r="P238">
        <v>0</v>
      </c>
      <c r="Q238">
        <v>1</v>
      </c>
      <c r="R238">
        <v>1</v>
      </c>
      <c r="S238">
        <v>1</v>
      </c>
      <c r="T238" s="1">
        <f>SQRT(POWER(Dominus[[#This Row],[angvel_X]],2) + POWER(Dominus[[#This Row],[angvel_Y]],2) + POWER(Dominus[[#This Row],[angvel_Z]],2))</f>
        <v>2.0472000000000001</v>
      </c>
      <c r="U238" s="1">
        <f>DEGREES(ASIN(MAX(-1,MIN(1,2 * (Dominus[[#This Row],[quart_W]]*Dominus[[#This Row],[quart_Y]] - Dominus[[#This Row],[quart_Z]]*Dominus[[#This Row],[quart_X]])))))</f>
        <v>0.96148328393550742</v>
      </c>
      <c r="V23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156.38233458314338</v>
      </c>
      <c r="W23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89.999891607365115</v>
      </c>
      <c r="X238" s="1">
        <f>IF(Dominus[[#This Row],[Yaw]]&gt;V237,(360-ABS(Dominus[[#This Row],[Yaw]])-ABS(V237)),ABS(Dominus[[#This Row],[Yaw]]-V237))</f>
        <v>0.97719615198857923</v>
      </c>
      <c r="Y238" s="1">
        <f>Dominus[[#This Row],[Degree change]]+Y237</f>
        <v>172.7701878345361</v>
      </c>
    </row>
    <row r="239" spans="1:25">
      <c r="A239">
        <v>238</v>
      </c>
      <c r="B239" s="1">
        <v>-1802.51001</v>
      </c>
      <c r="C239" s="1">
        <v>1127.76001</v>
      </c>
      <c r="D239" s="1">
        <v>17.049999</v>
      </c>
      <c r="E239" s="1">
        <v>828</v>
      </c>
      <c r="F239" s="1">
        <v>-2145.7700199999999</v>
      </c>
      <c r="G239" s="1">
        <v>8.0399999999999991</v>
      </c>
      <c r="H239" s="1">
        <v>0</v>
      </c>
      <c r="I239" s="1">
        <v>0</v>
      </c>
      <c r="J239" s="1">
        <v>2.0472000000000001</v>
      </c>
      <c r="K239" s="1">
        <v>4.5339999999999998E-3</v>
      </c>
      <c r="L239" s="1">
        <v>7.0590000000000002E-3</v>
      </c>
      <c r="M239" s="1">
        <v>-0.54025599999999996</v>
      </c>
      <c r="N239" s="1">
        <v>0.84145899999999996</v>
      </c>
      <c r="O239">
        <v>1</v>
      </c>
      <c r="P239">
        <v>0</v>
      </c>
      <c r="Q239">
        <v>1</v>
      </c>
      <c r="R239">
        <v>1</v>
      </c>
      <c r="S239">
        <v>1</v>
      </c>
      <c r="T239" s="1">
        <f>SQRT(POWER(Dominus[[#This Row],[angvel_X]],2) + POWER(Dominus[[#This Row],[angvel_Y]],2) + POWER(Dominus[[#This Row],[angvel_Z]],2))</f>
        <v>2.0472000000000001</v>
      </c>
      <c r="U239" s="1">
        <f>DEGREES(ASIN(MAX(-1,MIN(1,2 * (Dominus[[#This Row],[quart_W]]*Dominus[[#This Row],[quart_Y]] - Dominus[[#This Row],[quart_Z]]*Dominus[[#This Row],[quart_X]])))))</f>
        <v>0.96139722226736812</v>
      </c>
      <c r="V23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155.40472577965733</v>
      </c>
      <c r="W23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89.999827171370157</v>
      </c>
      <c r="X239" s="1">
        <f>IF(Dominus[[#This Row],[Yaw]]&gt;V238,(360-ABS(Dominus[[#This Row],[Yaw]])-ABS(V238)),ABS(Dominus[[#This Row],[Yaw]]-V238))</f>
        <v>0.97760880348604928</v>
      </c>
      <c r="Y239" s="1">
        <f>Dominus[[#This Row],[Degree change]]+Y238</f>
        <v>173.74779663802215</v>
      </c>
    </row>
    <row r="240" spans="1:25">
      <c r="A240">
        <v>239</v>
      </c>
      <c r="B240" s="1">
        <v>-1795.579956</v>
      </c>
      <c r="C240" s="1">
        <v>1109.8199460000001</v>
      </c>
      <c r="D240" s="1">
        <v>17.049999</v>
      </c>
      <c r="E240" s="1">
        <v>864.47997999999995</v>
      </c>
      <c r="F240" s="1">
        <v>-2131.3298340000001</v>
      </c>
      <c r="G240" s="1">
        <v>8.0399999999999991</v>
      </c>
      <c r="H240" s="1">
        <v>0</v>
      </c>
      <c r="I240" s="1">
        <v>0</v>
      </c>
      <c r="J240" s="1">
        <v>2.0472000000000001</v>
      </c>
      <c r="K240" s="1">
        <v>4.4749999999999998E-3</v>
      </c>
      <c r="L240" s="1">
        <v>7.097E-3</v>
      </c>
      <c r="M240" s="1">
        <v>-0.53305899999999995</v>
      </c>
      <c r="N240" s="1">
        <v>0.84603600000000001</v>
      </c>
      <c r="O240">
        <v>1</v>
      </c>
      <c r="P240">
        <v>0</v>
      </c>
      <c r="Q240">
        <v>1</v>
      </c>
      <c r="R240">
        <v>1</v>
      </c>
      <c r="S240">
        <v>1</v>
      </c>
      <c r="T240" s="1">
        <f>SQRT(POWER(Dominus[[#This Row],[angvel_X]],2) + POWER(Dominus[[#This Row],[angvel_Y]],2) + POWER(Dominus[[#This Row],[angvel_Z]],2))</f>
        <v>2.0472000000000001</v>
      </c>
      <c r="U240" s="1">
        <f>DEGREES(ASIN(MAX(-1,MIN(1,2 * (Dominus[[#This Row],[quart_W]]*Dominus[[#This Row],[quart_Y]] - Dominus[[#This Row],[quart_Z]]*Dominus[[#This Row],[quart_X]])))))</f>
        <v>0.96144039865293796</v>
      </c>
      <c r="V24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154.42727220869918</v>
      </c>
      <c r="W24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89.999668625948999</v>
      </c>
      <c r="X240" s="1">
        <f>IF(Dominus[[#This Row],[Yaw]]&gt;V239,(360-ABS(Dominus[[#This Row],[Yaw]])-ABS(V239)),ABS(Dominus[[#This Row],[Yaw]]-V239))</f>
        <v>0.97745357095814711</v>
      </c>
      <c r="Y240" s="1">
        <f>Dominus[[#This Row],[Degree change]]+Y239</f>
        <v>174.7252502089803</v>
      </c>
    </row>
    <row r="241" spans="1:25">
      <c r="A241">
        <v>240</v>
      </c>
      <c r="B241" s="1">
        <v>-1788.349976</v>
      </c>
      <c r="C241" s="1">
        <v>1092</v>
      </c>
      <c r="D241" s="1">
        <v>17.049999</v>
      </c>
      <c r="E241" s="1">
        <v>900.70996100000002</v>
      </c>
      <c r="F241" s="1">
        <v>-2116.280029</v>
      </c>
      <c r="G241" s="1">
        <v>8.0399999999999991</v>
      </c>
      <c r="H241" s="1">
        <v>0</v>
      </c>
      <c r="I241" s="1">
        <v>0</v>
      </c>
      <c r="J241" s="1">
        <v>2.0472000000000001</v>
      </c>
      <c r="K241" s="1">
        <v>4.4159999999999998E-3</v>
      </c>
      <c r="L241" s="1">
        <v>7.1349999999999998E-3</v>
      </c>
      <c r="M241" s="1">
        <v>-0.52582499999999999</v>
      </c>
      <c r="N241" s="1">
        <v>0.85055199999999997</v>
      </c>
      <c r="O241">
        <v>1</v>
      </c>
      <c r="P241">
        <v>0</v>
      </c>
      <c r="Q241">
        <v>1</v>
      </c>
      <c r="R241">
        <v>1</v>
      </c>
      <c r="S241">
        <v>1</v>
      </c>
      <c r="T241" s="1">
        <f>SQRT(POWER(Dominus[[#This Row],[angvel_X]],2) + POWER(Dominus[[#This Row],[angvel_Y]],2) + POWER(Dominus[[#This Row],[angvel_Z]],2))</f>
        <v>2.0472000000000001</v>
      </c>
      <c r="U241" s="1">
        <f>DEGREES(ASIN(MAX(-1,MIN(1,2 * (Dominus[[#This Row],[quart_W]]*Dominus[[#This Row],[quart_Y]] - Dominus[[#This Row],[quart_Z]]*Dominus[[#This Row],[quart_X]])))))</f>
        <v>0.9615521644219529</v>
      </c>
      <c r="V24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153.45010337339244</v>
      </c>
      <c r="W24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89.999509908029538</v>
      </c>
      <c r="X241" s="1">
        <f>IF(Dominus[[#This Row],[Yaw]]&gt;V240,(360-ABS(Dominus[[#This Row],[Yaw]])-ABS(V240)),ABS(Dominus[[#This Row],[Yaw]]-V240))</f>
        <v>0.97716883530674181</v>
      </c>
      <c r="Y241" s="1">
        <f>Dominus[[#This Row],[Degree change]]+Y240</f>
        <v>175.70241904428704</v>
      </c>
    </row>
    <row r="242" spans="1:25">
      <c r="A242">
        <v>241</v>
      </c>
      <c r="B242" s="1">
        <v>-1780.809937</v>
      </c>
      <c r="C242" s="1">
        <v>1074.299927</v>
      </c>
      <c r="D242" s="1">
        <v>17.049999</v>
      </c>
      <c r="E242" s="1">
        <v>936.67999299999997</v>
      </c>
      <c r="F242" s="1">
        <v>-2100.5998540000001</v>
      </c>
      <c r="G242" s="1">
        <v>8.0399999999999991</v>
      </c>
      <c r="H242" s="1">
        <v>0</v>
      </c>
      <c r="I242" s="1">
        <v>0</v>
      </c>
      <c r="J242" s="1">
        <v>2.0472000000000001</v>
      </c>
      <c r="K242" s="1">
        <v>4.3559999999999996E-3</v>
      </c>
      <c r="L242" s="1">
        <v>7.1720000000000004E-3</v>
      </c>
      <c r="M242" s="1">
        <v>-0.51855200000000001</v>
      </c>
      <c r="N242" s="1">
        <v>0.85500500000000001</v>
      </c>
      <c r="O242">
        <v>1</v>
      </c>
      <c r="P242">
        <v>0</v>
      </c>
      <c r="Q242">
        <v>1</v>
      </c>
      <c r="R242">
        <v>1</v>
      </c>
      <c r="S242">
        <v>1</v>
      </c>
      <c r="T242" s="1">
        <f>SQRT(POWER(Dominus[[#This Row],[angvel_X]],2) + POWER(Dominus[[#This Row],[angvel_Y]],2) + POWER(Dominus[[#This Row],[angvel_Z]],2))</f>
        <v>2.0472000000000001</v>
      </c>
      <c r="U242" s="1">
        <f>DEGREES(ASIN(MAX(-1,MIN(1,2 * (Dominus[[#This Row],[quart_W]]*Dominus[[#This Row],[quart_Y]] - Dominus[[#This Row],[quart_Z]]*Dominus[[#This Row],[quart_X]])))))</f>
        <v>0.96157241010106798</v>
      </c>
      <c r="V24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152.47278899778021</v>
      </c>
      <c r="W24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89.999387211431198</v>
      </c>
      <c r="X242" s="1">
        <f>IF(Dominus[[#This Row],[Yaw]]&gt;V241,(360-ABS(Dominus[[#This Row],[Yaw]])-ABS(V241)),ABS(Dominus[[#This Row],[Yaw]]-V241))</f>
        <v>0.97731437561222378</v>
      </c>
      <c r="Y242" s="1">
        <f>Dominus[[#This Row],[Degree change]]+Y241</f>
        <v>176.67973341989926</v>
      </c>
    </row>
    <row r="243" spans="1:25">
      <c r="A243">
        <v>242</v>
      </c>
      <c r="B243" s="1">
        <v>-1772.969971</v>
      </c>
      <c r="C243" s="1">
        <v>1056.7299800000001</v>
      </c>
      <c r="D243" s="1">
        <v>17.049999</v>
      </c>
      <c r="E243" s="1">
        <v>972.38000499999998</v>
      </c>
      <c r="F243" s="1">
        <v>-2084.320068</v>
      </c>
      <c r="G243" s="1">
        <v>8.0399999999999991</v>
      </c>
      <c r="H243" s="1">
        <v>0</v>
      </c>
      <c r="I243" s="1">
        <v>0</v>
      </c>
      <c r="J243" s="1">
        <v>2.0472000000000001</v>
      </c>
      <c r="K243" s="1">
        <v>4.2969999999999996E-3</v>
      </c>
      <c r="L243" s="1">
        <v>7.2100000000000003E-3</v>
      </c>
      <c r="M243" s="1">
        <v>-0.511243</v>
      </c>
      <c r="N243" s="1">
        <v>0.85939500000000002</v>
      </c>
      <c r="O243">
        <v>1</v>
      </c>
      <c r="P243">
        <v>0</v>
      </c>
      <c r="Q243">
        <v>1</v>
      </c>
      <c r="R243">
        <v>1</v>
      </c>
      <c r="S243">
        <v>1</v>
      </c>
      <c r="T243" s="1">
        <f>SQRT(POWER(Dominus[[#This Row],[angvel_X]],2) + POWER(Dominus[[#This Row],[angvel_Y]],2) + POWER(Dominus[[#This Row],[angvel_Z]],2))</f>
        <v>2.0472000000000001</v>
      </c>
      <c r="U243" s="1">
        <f>DEGREES(ASIN(MAX(-1,MIN(1,2 * (Dominus[[#This Row],[quart_W]]*Dominus[[#This Row],[quart_Y]] - Dominus[[#This Row],[quart_Z]]*Dominus[[#This Row],[quart_X]])))))</f>
        <v>0.96181775642607636</v>
      </c>
      <c r="V24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151.49571026617514</v>
      </c>
      <c r="W24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89.999225448453856</v>
      </c>
      <c r="X243" s="1">
        <f>IF(Dominus[[#This Row],[Yaw]]&gt;V242,(360-ABS(Dominus[[#This Row],[Yaw]])-ABS(V242)),ABS(Dominus[[#This Row],[Yaw]]-V242))</f>
        <v>0.97707873160507575</v>
      </c>
      <c r="Y243" s="1">
        <f>Dominus[[#This Row],[Degree change]]+Y242</f>
        <v>177.65681215150434</v>
      </c>
    </row>
    <row r="244" spans="1:25">
      <c r="A244">
        <v>243</v>
      </c>
      <c r="B244" s="1">
        <v>-1764.829956</v>
      </c>
      <c r="C244" s="1">
        <v>1039.299927</v>
      </c>
      <c r="D244" s="1">
        <v>17.049999</v>
      </c>
      <c r="E244" s="1">
        <v>1007.789978</v>
      </c>
      <c r="F244" s="1">
        <v>-2067.429932</v>
      </c>
      <c r="G244" s="1">
        <v>8.0399999999999991</v>
      </c>
      <c r="H244" s="1">
        <v>0</v>
      </c>
      <c r="I244" s="1">
        <v>0</v>
      </c>
      <c r="J244" s="1">
        <v>2.0472000000000001</v>
      </c>
      <c r="K244" s="1">
        <v>4.2379999999999996E-3</v>
      </c>
      <c r="L244" s="1">
        <v>7.2480000000000001E-3</v>
      </c>
      <c r="M244" s="1">
        <v>-0.50389499999999998</v>
      </c>
      <c r="N244" s="1">
        <v>0.86372400000000005</v>
      </c>
      <c r="O244">
        <v>1</v>
      </c>
      <c r="P244">
        <v>0</v>
      </c>
      <c r="Q244">
        <v>1</v>
      </c>
      <c r="R244">
        <v>1</v>
      </c>
      <c r="S244">
        <v>1</v>
      </c>
      <c r="T244" s="1">
        <f>SQRT(POWER(Dominus[[#This Row],[angvel_X]],2) + POWER(Dominus[[#This Row],[angvel_Y]],2) + POWER(Dominus[[#This Row],[angvel_Z]],2))</f>
        <v>2.0472000000000001</v>
      </c>
      <c r="U244" s="1">
        <f>DEGREES(ASIN(MAX(-1,MIN(1,2 * (Dominus[[#This Row],[quart_W]]*Dominus[[#This Row],[quart_Y]] - Dominus[[#This Row],[quart_Z]]*Dominus[[#This Row],[quart_X]])))))</f>
        <v>0.96213057141440073</v>
      </c>
      <c r="V24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150.51840027032904</v>
      </c>
      <c r="W24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89.999056623536475</v>
      </c>
      <c r="X244" s="1">
        <f>IF(Dominus[[#This Row],[Yaw]]&gt;V243,(360-ABS(Dominus[[#This Row],[Yaw]])-ABS(V243)),ABS(Dominus[[#This Row],[Yaw]]-V243))</f>
        <v>0.9773099958460989</v>
      </c>
      <c r="Y244" s="1">
        <f>Dominus[[#This Row],[Degree change]]+Y243</f>
        <v>178.63412214735044</v>
      </c>
    </row>
    <row r="245" spans="1:25">
      <c r="A245">
        <v>244</v>
      </c>
      <c r="B245" s="1">
        <v>-1756.3999020000001</v>
      </c>
      <c r="C245" s="1">
        <v>1022.009949</v>
      </c>
      <c r="D245" s="1">
        <v>17.049999</v>
      </c>
      <c r="E245" s="1">
        <v>1042.910034</v>
      </c>
      <c r="F245" s="1">
        <v>-2049.9399410000001</v>
      </c>
      <c r="G245" s="1">
        <v>8.0399999999999991</v>
      </c>
      <c r="H245" s="1">
        <v>0</v>
      </c>
      <c r="I245" s="1">
        <v>0</v>
      </c>
      <c r="J245" s="1">
        <v>2.0472000000000001</v>
      </c>
      <c r="K245" s="1">
        <v>4.1780000000000003E-3</v>
      </c>
      <c r="L245" s="1">
        <v>7.2859999999999999E-3</v>
      </c>
      <c r="M245" s="1">
        <v>-0.49650899999999998</v>
      </c>
      <c r="N245" s="1">
        <v>0.86799099999999996</v>
      </c>
      <c r="O245">
        <v>1</v>
      </c>
      <c r="P245">
        <v>0</v>
      </c>
      <c r="Q245">
        <v>1</v>
      </c>
      <c r="R245">
        <v>1</v>
      </c>
      <c r="S245">
        <v>1</v>
      </c>
      <c r="T245" s="1">
        <f>SQRT(POWER(Dominus[[#This Row],[angvel_X]],2) + POWER(Dominus[[#This Row],[angvel_Y]],2) + POWER(Dominus[[#This Row],[angvel_Z]],2))</f>
        <v>2.0472000000000001</v>
      </c>
      <c r="U245" s="1">
        <f>DEGREES(ASIN(MAX(-1,MIN(1,2 * (Dominus[[#This Row],[quart_W]]*Dominus[[#This Row],[quart_Y]] - Dominus[[#This Row],[quart_Z]]*Dominus[[#This Row],[quart_X]])))))</f>
        <v>0.96245358938439463</v>
      </c>
      <c r="V24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149.54091478473222</v>
      </c>
      <c r="W24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89.998979782174416</v>
      </c>
      <c r="X245" s="1">
        <f>IF(Dominus[[#This Row],[Yaw]]&gt;V244,(360-ABS(Dominus[[#This Row],[Yaw]])-ABS(V244)),ABS(Dominus[[#This Row],[Yaw]]-V244))</f>
        <v>0.97748548559681581</v>
      </c>
      <c r="Y245" s="1">
        <f>Dominus[[#This Row],[Degree change]]+Y244</f>
        <v>179.61160763294725</v>
      </c>
    </row>
    <row r="246" spans="1:25">
      <c r="A246">
        <v>245</v>
      </c>
      <c r="B246" s="1">
        <v>-1747.669922</v>
      </c>
      <c r="C246" s="1">
        <v>1004.869995</v>
      </c>
      <c r="D246" s="1">
        <v>17.049999</v>
      </c>
      <c r="E246" s="1">
        <v>1077.719971</v>
      </c>
      <c r="F246" s="1">
        <v>-2031.849976</v>
      </c>
      <c r="G246" s="1">
        <v>8.0399999999999991</v>
      </c>
      <c r="H246" s="1">
        <v>-1E-4</v>
      </c>
      <c r="I246" s="1">
        <v>0</v>
      </c>
      <c r="J246" s="1">
        <v>2.0472000000000001</v>
      </c>
      <c r="K246" s="1">
        <v>4.1139999999999996E-3</v>
      </c>
      <c r="L246" s="1">
        <v>7.3229999999999996E-3</v>
      </c>
      <c r="M246" s="1">
        <v>-0.48908600000000002</v>
      </c>
      <c r="N246" s="1">
        <v>0.87219500000000005</v>
      </c>
      <c r="O246">
        <v>1</v>
      </c>
      <c r="P246">
        <v>0</v>
      </c>
      <c r="Q246">
        <v>1</v>
      </c>
      <c r="R246">
        <v>1</v>
      </c>
      <c r="S246">
        <v>1</v>
      </c>
      <c r="T246" s="1">
        <f>SQRT(POWER(Dominus[[#This Row],[angvel_X]],2) + POWER(Dominus[[#This Row],[angvel_Y]],2) + POWER(Dominus[[#This Row],[angvel_Z]],2))</f>
        <v>2.0472000024423602</v>
      </c>
      <c r="U246" s="1">
        <f>DEGREES(ASIN(MAX(-1,MIN(1,2 * (Dominus[[#This Row],[quart_W]]*Dominus[[#This Row],[quart_Y]] - Dominus[[#This Row],[quart_Z]]*Dominus[[#This Row],[quart_X]])))))</f>
        <v>0.96252083673026845</v>
      </c>
      <c r="V24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148.5633061525532</v>
      </c>
      <c r="W24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89.999239755121081</v>
      </c>
      <c r="X246" s="1">
        <f>IF(Dominus[[#This Row],[Yaw]]&gt;V245,(360-ABS(Dominus[[#This Row],[Yaw]])-ABS(V245)),ABS(Dominus[[#This Row],[Yaw]]-V245))</f>
        <v>0.97760863217902738</v>
      </c>
      <c r="Y246" s="1">
        <f>Dominus[[#This Row],[Degree change]]+Y245</f>
        <v>180.58921626512628</v>
      </c>
    </row>
    <row r="247" spans="1:25">
      <c r="A247">
        <v>246</v>
      </c>
      <c r="B247" s="1">
        <v>-1738.6499020000001</v>
      </c>
      <c r="C247" s="1">
        <v>987.88000499999998</v>
      </c>
      <c r="D247" s="1">
        <v>17.049999</v>
      </c>
      <c r="E247" s="1">
        <v>1112.219971</v>
      </c>
      <c r="F247" s="1">
        <v>-2013.169922</v>
      </c>
      <c r="G247" s="1">
        <v>8.0399999999999991</v>
      </c>
      <c r="H247" s="1">
        <v>-1E-4</v>
      </c>
      <c r="I247" s="1">
        <v>0</v>
      </c>
      <c r="J247" s="1">
        <v>2.0472000000000001</v>
      </c>
      <c r="K247" s="1">
        <v>4.0489999999999996E-3</v>
      </c>
      <c r="L247" s="1">
        <v>7.3559999999999997E-3</v>
      </c>
      <c r="M247" s="1">
        <v>-0.48163</v>
      </c>
      <c r="N247" s="1">
        <v>0.87633399999999995</v>
      </c>
      <c r="O247">
        <v>1</v>
      </c>
      <c r="P247">
        <v>0</v>
      </c>
      <c r="Q247">
        <v>1</v>
      </c>
      <c r="R247">
        <v>1</v>
      </c>
      <c r="S247">
        <v>1</v>
      </c>
      <c r="T247" s="1">
        <f>SQRT(POWER(Dominus[[#This Row],[angvel_X]],2) + POWER(Dominus[[#This Row],[angvel_Y]],2) + POWER(Dominus[[#This Row],[angvel_Z]],2))</f>
        <v>2.0472000024423602</v>
      </c>
      <c r="U247" s="1">
        <f>DEGREES(ASIN(MAX(-1,MIN(1,2 * (Dominus[[#This Row],[quart_W]]*Dominus[[#This Row],[quart_Y]] - Dominus[[#This Row],[quart_Z]]*Dominus[[#This Row],[quart_X]])))))</f>
        <v>0.96220554915921019</v>
      </c>
      <c r="V24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147.58603039155122</v>
      </c>
      <c r="W24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89.999380420810027</v>
      </c>
      <c r="X247" s="1">
        <f>IF(Dominus[[#This Row],[Yaw]]&gt;V246,(360-ABS(Dominus[[#This Row],[Yaw]])-ABS(V246)),ABS(Dominus[[#This Row],[Yaw]]-V246))</f>
        <v>0.97727576100197666</v>
      </c>
      <c r="Y247" s="1">
        <f>Dominus[[#This Row],[Degree change]]+Y246</f>
        <v>181.56649202612826</v>
      </c>
    </row>
    <row r="248" spans="1:25">
      <c r="A248">
        <v>247</v>
      </c>
      <c r="B248" s="1">
        <v>-1729.339966</v>
      </c>
      <c r="C248" s="1">
        <v>971.04998799999998</v>
      </c>
      <c r="D248" s="1">
        <v>17.049999</v>
      </c>
      <c r="E248" s="1">
        <v>1146.400024</v>
      </c>
      <c r="F248" s="1">
        <v>-1993.9099120000001</v>
      </c>
      <c r="G248" s="1">
        <v>8.0399999999999991</v>
      </c>
      <c r="H248" s="1">
        <v>-1E-4</v>
      </c>
      <c r="I248" s="1">
        <v>0</v>
      </c>
      <c r="J248" s="1">
        <v>2.0472000000000001</v>
      </c>
      <c r="K248" s="1">
        <v>3.9839999999999997E-3</v>
      </c>
      <c r="L248" s="1">
        <v>7.3879999999999996E-3</v>
      </c>
      <c r="M248" s="1">
        <v>-0.47413699999999998</v>
      </c>
      <c r="N248" s="1">
        <v>0.88041100000000005</v>
      </c>
      <c r="O248">
        <v>1</v>
      </c>
      <c r="P248">
        <v>0</v>
      </c>
      <c r="Q248">
        <v>1</v>
      </c>
      <c r="R248">
        <v>1</v>
      </c>
      <c r="S248">
        <v>1</v>
      </c>
      <c r="T248" s="1">
        <f>SQRT(POWER(Dominus[[#This Row],[angvel_X]],2) + POWER(Dominus[[#This Row],[angvel_Y]],2) + POWER(Dominus[[#This Row],[angvel_Z]],2))</f>
        <v>2.0472000024423602</v>
      </c>
      <c r="U248" s="1">
        <f>DEGREES(ASIN(MAX(-1,MIN(1,2 * (Dominus[[#This Row],[quart_W]]*Dominus[[#This Row],[quart_Y]] - Dominus[[#This Row],[quart_Z]]*Dominus[[#This Row],[quart_X]])))))</f>
        <v>0.96186235658852615</v>
      </c>
      <c r="V24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146.60851756090807</v>
      </c>
      <c r="W24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89.999468991772346</v>
      </c>
      <c r="X248" s="1">
        <f>IF(Dominus[[#This Row],[Yaw]]&gt;V247,(360-ABS(Dominus[[#This Row],[Yaw]])-ABS(V247)),ABS(Dominus[[#This Row],[Yaw]]-V247))</f>
        <v>0.97751283064314975</v>
      </c>
      <c r="Y248" s="1">
        <f>Dominus[[#This Row],[Degree change]]+Y247</f>
        <v>182.54400485677141</v>
      </c>
    </row>
    <row r="249" spans="1:25">
      <c r="A249">
        <v>248</v>
      </c>
      <c r="B249" s="1">
        <v>-1719.75</v>
      </c>
      <c r="C249" s="1">
        <v>954.38000499999998</v>
      </c>
      <c r="D249" s="1">
        <v>17.049999</v>
      </c>
      <c r="E249" s="1">
        <v>1180.25</v>
      </c>
      <c r="F249" s="1">
        <v>-1974.059937</v>
      </c>
      <c r="G249" s="1">
        <v>8.0399999999999991</v>
      </c>
      <c r="H249" s="1">
        <v>-1E-4</v>
      </c>
      <c r="I249" s="1">
        <v>0</v>
      </c>
      <c r="J249" s="1">
        <v>2.0472000000000001</v>
      </c>
      <c r="K249" s="1">
        <v>3.9189999999999997E-3</v>
      </c>
      <c r="L249" s="1">
        <v>7.4209999999999996E-3</v>
      </c>
      <c r="M249" s="1">
        <v>-0.466611</v>
      </c>
      <c r="N249" s="1">
        <v>0.88442299999999996</v>
      </c>
      <c r="O249">
        <v>1</v>
      </c>
      <c r="P249">
        <v>0</v>
      </c>
      <c r="Q249">
        <v>1</v>
      </c>
      <c r="R249">
        <v>1</v>
      </c>
      <c r="S249">
        <v>1</v>
      </c>
      <c r="T249" s="1">
        <f>SQRT(POWER(Dominus[[#This Row],[angvel_X]],2) + POWER(Dominus[[#This Row],[angvel_Y]],2) + POWER(Dominus[[#This Row],[angvel_Z]],2))</f>
        <v>2.0472000024423602</v>
      </c>
      <c r="U249" s="1">
        <f>DEGREES(ASIN(MAX(-1,MIN(1,2 * (Dominus[[#This Row],[quart_W]]*Dominus[[#This Row],[quart_Y]] - Dominus[[#This Row],[quart_Z]]*Dominus[[#This Row],[quart_X]])))))</f>
        <v>0.96169197114650529</v>
      </c>
      <c r="V24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145.63119714050117</v>
      </c>
      <c r="W24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89.99961795453568</v>
      </c>
      <c r="X249" s="1">
        <f>IF(Dominus[[#This Row],[Yaw]]&gt;V248,(360-ABS(Dominus[[#This Row],[Yaw]])-ABS(V248)),ABS(Dominus[[#This Row],[Yaw]]-V248))</f>
        <v>0.97732042040689748</v>
      </c>
      <c r="Y249" s="1">
        <f>Dominus[[#This Row],[Degree change]]+Y248</f>
        <v>183.52132527717831</v>
      </c>
    </row>
    <row r="250" spans="1:25">
      <c r="A250">
        <v>249</v>
      </c>
      <c r="B250" s="1">
        <v>-1709.880005</v>
      </c>
      <c r="C250" s="1">
        <v>937.86999500000002</v>
      </c>
      <c r="D250" s="1">
        <v>17.049999</v>
      </c>
      <c r="E250" s="1">
        <v>1213.75</v>
      </c>
      <c r="F250" s="1">
        <v>-1953.6400149999999</v>
      </c>
      <c r="G250" s="1">
        <v>8.0399999999999991</v>
      </c>
      <c r="H250" s="1">
        <v>0</v>
      </c>
      <c r="I250" s="1">
        <v>0</v>
      </c>
      <c r="J250" s="1">
        <v>2.0472000000000001</v>
      </c>
      <c r="K250" s="1">
        <v>3.8549999999999999E-3</v>
      </c>
      <c r="L250" s="1">
        <v>7.4530000000000004E-3</v>
      </c>
      <c r="M250" s="1">
        <v>-0.45904800000000001</v>
      </c>
      <c r="N250" s="1">
        <v>0.88837200000000005</v>
      </c>
      <c r="O250">
        <v>1</v>
      </c>
      <c r="P250">
        <v>0</v>
      </c>
      <c r="Q250">
        <v>1</v>
      </c>
      <c r="R250">
        <v>1</v>
      </c>
      <c r="S250">
        <v>1</v>
      </c>
      <c r="T250" s="1">
        <f>SQRT(POWER(Dominus[[#This Row],[angvel_X]],2) + POWER(Dominus[[#This Row],[angvel_Y]],2) + POWER(Dominus[[#This Row],[angvel_Z]],2))</f>
        <v>2.0472000000000001</v>
      </c>
      <c r="U250" s="1">
        <f>DEGREES(ASIN(MAX(-1,MIN(1,2 * (Dominus[[#This Row],[quart_W]]*Dominus[[#This Row],[quart_Y]] - Dominus[[#This Row],[quart_Z]]*Dominus[[#This Row],[quart_X]])))))</f>
        <v>0.96154469612593341</v>
      </c>
      <c r="V25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144.65347364080756</v>
      </c>
      <c r="W25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89.999611558296536</v>
      </c>
      <c r="X250" s="1">
        <f>IF(Dominus[[#This Row],[Yaw]]&gt;V249,(360-ABS(Dominus[[#This Row],[Yaw]])-ABS(V249)),ABS(Dominus[[#This Row],[Yaw]]-V249))</f>
        <v>0.97772349969361017</v>
      </c>
      <c r="Y250" s="1">
        <f>Dominus[[#This Row],[Degree change]]+Y249</f>
        <v>184.49904877687192</v>
      </c>
    </row>
    <row r="251" spans="1:25">
      <c r="A251">
        <v>250</v>
      </c>
      <c r="B251" s="1">
        <v>-1699.7299800000001</v>
      </c>
      <c r="C251" s="1">
        <v>921.52996800000005</v>
      </c>
      <c r="D251" s="1">
        <v>17.049999</v>
      </c>
      <c r="E251" s="1">
        <v>1246.900024</v>
      </c>
      <c r="F251" s="1">
        <v>-1932.6499020000001</v>
      </c>
      <c r="G251" s="1">
        <v>8.0399999999999991</v>
      </c>
      <c r="H251" s="1">
        <v>0</v>
      </c>
      <c r="I251" s="1">
        <v>0</v>
      </c>
      <c r="J251" s="1">
        <v>2.0472000000000001</v>
      </c>
      <c r="K251" s="1">
        <v>3.79E-3</v>
      </c>
      <c r="L251" s="1">
        <v>7.4850000000000003E-3</v>
      </c>
      <c r="M251" s="1">
        <v>-0.45145200000000002</v>
      </c>
      <c r="N251" s="1">
        <v>0.89225600000000005</v>
      </c>
      <c r="O251">
        <v>1</v>
      </c>
      <c r="P251">
        <v>0</v>
      </c>
      <c r="Q251">
        <v>1</v>
      </c>
      <c r="R251">
        <v>1</v>
      </c>
      <c r="S251">
        <v>1</v>
      </c>
      <c r="T251" s="1">
        <f>SQRT(POWER(Dominus[[#This Row],[angvel_X]],2) + POWER(Dominus[[#This Row],[angvel_Y]],2) + POWER(Dominus[[#This Row],[angvel_Z]],2))</f>
        <v>2.0472000000000001</v>
      </c>
      <c r="U251" s="1">
        <f>DEGREES(ASIN(MAX(-1,MIN(1,2 * (Dominus[[#This Row],[quart_W]]*Dominus[[#This Row],[quart_Y]] - Dominus[[#This Row],[quart_Z]]*Dominus[[#This Row],[quart_X]])))))</f>
        <v>0.96141549703706108</v>
      </c>
      <c r="V25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143.67580129496127</v>
      </c>
      <c r="W25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89.99970981102831</v>
      </c>
      <c r="X251" s="1">
        <f>IF(Dominus[[#This Row],[Yaw]]&gt;V250,(360-ABS(Dominus[[#This Row],[Yaw]])-ABS(V250)),ABS(Dominus[[#This Row],[Yaw]]-V250))</f>
        <v>0.97767234584628682</v>
      </c>
      <c r="Y251" s="1">
        <f>Dominus[[#This Row],[Degree change]]+Y250</f>
        <v>185.4767211227182</v>
      </c>
    </row>
    <row r="252" spans="1:25">
      <c r="A252">
        <v>251</v>
      </c>
      <c r="B252" s="1">
        <v>-1689.299927</v>
      </c>
      <c r="C252" s="1">
        <v>905.36999500000002</v>
      </c>
      <c r="D252" s="1">
        <v>17.049999</v>
      </c>
      <c r="E252" s="1">
        <v>1279.6899410000001</v>
      </c>
      <c r="F252" s="1">
        <v>-1911.099976</v>
      </c>
      <c r="G252" s="1">
        <v>8.0399999999999991</v>
      </c>
      <c r="H252" s="1">
        <v>0</v>
      </c>
      <c r="I252" s="1">
        <v>0</v>
      </c>
      <c r="J252" s="1">
        <v>2.0472000000000001</v>
      </c>
      <c r="K252" s="1">
        <v>3.725E-3</v>
      </c>
      <c r="L252" s="1">
        <v>7.5180000000000004E-3</v>
      </c>
      <c r="M252" s="1">
        <v>-0.443824</v>
      </c>
      <c r="N252" s="1">
        <v>0.89607499999999995</v>
      </c>
      <c r="O252">
        <v>1</v>
      </c>
      <c r="P252">
        <v>0</v>
      </c>
      <c r="Q252">
        <v>1</v>
      </c>
      <c r="R252">
        <v>1</v>
      </c>
      <c r="S252">
        <v>1</v>
      </c>
      <c r="T252" s="1">
        <f>SQRT(POWER(Dominus[[#This Row],[angvel_X]],2) + POWER(Dominus[[#This Row],[angvel_Y]],2) + POWER(Dominus[[#This Row],[angvel_Z]],2))</f>
        <v>2.0472000000000001</v>
      </c>
      <c r="U252" s="1">
        <f>DEGREES(ASIN(MAX(-1,MIN(1,2 * (Dominus[[#This Row],[quart_W]]*Dominus[[#This Row],[quart_Y]] - Dominus[[#This Row],[quart_Z]]*Dominus[[#This Row],[quart_X]])))))</f>
        <v>0.96146099743769808</v>
      </c>
      <c r="V25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142.69825225333776</v>
      </c>
      <c r="W25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89.999861262457244</v>
      </c>
      <c r="X252" s="1">
        <f>IF(Dominus[[#This Row],[Yaw]]&gt;V251,(360-ABS(Dominus[[#This Row],[Yaw]])-ABS(V251)),ABS(Dominus[[#This Row],[Yaw]]-V251))</f>
        <v>0.97754904162351863</v>
      </c>
      <c r="Y252" s="1">
        <f>Dominus[[#This Row],[Degree change]]+Y251</f>
        <v>186.45427016434172</v>
      </c>
    </row>
    <row r="253" spans="1:25">
      <c r="A253">
        <v>252</v>
      </c>
      <c r="B253" s="1">
        <v>-1678.589966</v>
      </c>
      <c r="C253" s="1">
        <v>889.38995399999999</v>
      </c>
      <c r="D253" s="1">
        <v>17.049999</v>
      </c>
      <c r="E253" s="1">
        <v>1312.1099850000001</v>
      </c>
      <c r="F253" s="1">
        <v>-1888.98999</v>
      </c>
      <c r="G253" s="1">
        <v>8.0399999999999991</v>
      </c>
      <c r="H253" s="1">
        <v>0</v>
      </c>
      <c r="I253" s="1">
        <v>0</v>
      </c>
      <c r="J253" s="1">
        <v>2.0472000000000001</v>
      </c>
      <c r="K253" s="1">
        <v>3.6600000000000001E-3</v>
      </c>
      <c r="L253" s="1">
        <v>7.5500000000000003E-3</v>
      </c>
      <c r="M253" s="1">
        <v>-0.43616300000000002</v>
      </c>
      <c r="N253" s="1">
        <v>0.89982899999999999</v>
      </c>
      <c r="O253">
        <v>1</v>
      </c>
      <c r="P253">
        <v>0</v>
      </c>
      <c r="Q253">
        <v>1</v>
      </c>
      <c r="R253">
        <v>1</v>
      </c>
      <c r="S253">
        <v>1</v>
      </c>
      <c r="T253" s="1">
        <f>SQRT(POWER(Dominus[[#This Row],[angvel_X]],2) + POWER(Dominus[[#This Row],[angvel_Y]],2) + POWER(Dominus[[#This Row],[angvel_Z]],2))</f>
        <v>2.0472000000000001</v>
      </c>
      <c r="U253" s="1">
        <f>DEGREES(ASIN(MAX(-1,MIN(1,2 * (Dominus[[#This Row],[quart_W]]*Dominus[[#This Row],[quart_Y]] - Dominus[[#This Row],[quart_Z]]*Dominus[[#This Row],[quart_X]])))))</f>
        <v>0.96147581392052295</v>
      </c>
      <c r="V25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141.72060937946449</v>
      </c>
      <c r="W25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89.999960633402722</v>
      </c>
      <c r="X253" s="1">
        <f>IF(Dominus[[#This Row],[Yaw]]&gt;V252,(360-ABS(Dominus[[#This Row],[Yaw]])-ABS(V252)),ABS(Dominus[[#This Row],[Yaw]]-V252))</f>
        <v>0.97764287387326476</v>
      </c>
      <c r="Y253" s="1">
        <f>Dominus[[#This Row],[Degree change]]+Y252</f>
        <v>187.43191303821499</v>
      </c>
    </row>
    <row r="254" spans="1:25">
      <c r="A254">
        <v>253</v>
      </c>
      <c r="B254" s="1">
        <v>-1667.6099850000001</v>
      </c>
      <c r="C254" s="1">
        <v>873.589966</v>
      </c>
      <c r="D254" s="1">
        <v>17.049999</v>
      </c>
      <c r="E254" s="1">
        <v>1344.1400149999999</v>
      </c>
      <c r="F254" s="1">
        <v>-1866.329956</v>
      </c>
      <c r="G254" s="1">
        <v>8.0399999999999991</v>
      </c>
      <c r="H254" s="1">
        <v>0</v>
      </c>
      <c r="I254" s="1">
        <v>0</v>
      </c>
      <c r="J254" s="1">
        <v>2.0472000000000001</v>
      </c>
      <c r="K254" s="1">
        <v>3.5959999999999998E-3</v>
      </c>
      <c r="L254" s="1">
        <v>7.5820000000000002E-3</v>
      </c>
      <c r="M254" s="1">
        <v>-0.42847000000000002</v>
      </c>
      <c r="N254" s="1">
        <v>0.90351700000000001</v>
      </c>
      <c r="O254">
        <v>1</v>
      </c>
      <c r="P254">
        <v>0</v>
      </c>
      <c r="Q254">
        <v>1</v>
      </c>
      <c r="R254">
        <v>1</v>
      </c>
      <c r="S254">
        <v>1</v>
      </c>
      <c r="T254" s="1">
        <f>SQRT(POWER(Dominus[[#This Row],[angvel_X]],2) + POWER(Dominus[[#This Row],[angvel_Y]],2) + POWER(Dominus[[#This Row],[angvel_Z]],2))</f>
        <v>2.0472000000000001</v>
      </c>
      <c r="U254" s="1">
        <f>DEGREES(ASIN(MAX(-1,MIN(1,2 * (Dominus[[#This Row],[quart_W]]*Dominus[[#This Row],[quart_Y]] - Dominus[[#This Row],[quart_Z]]*Dominus[[#This Row],[quart_X]])))))</f>
        <v>0.9616108772584615</v>
      </c>
      <c r="V25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140.74291499405004</v>
      </c>
      <c r="W25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89.99995557897239</v>
      </c>
      <c r="X254" s="1">
        <f>IF(Dominus[[#This Row],[Yaw]]&gt;V253,(360-ABS(Dominus[[#This Row],[Yaw]])-ABS(V253)),ABS(Dominus[[#This Row],[Yaw]]-V253))</f>
        <v>0.97769438541445197</v>
      </c>
      <c r="Y254" s="1">
        <f>Dominus[[#This Row],[Degree change]]+Y253</f>
        <v>188.40960742362944</v>
      </c>
    </row>
    <row r="255" spans="1:25">
      <c r="A255">
        <v>254</v>
      </c>
      <c r="B255" s="1">
        <v>-1656.369995</v>
      </c>
      <c r="C255" s="1">
        <v>857.97997999999995</v>
      </c>
      <c r="D255" s="1">
        <v>17.049999</v>
      </c>
      <c r="E255" s="1">
        <v>1375.7899170000001</v>
      </c>
      <c r="F255" s="1">
        <v>-1843.130005</v>
      </c>
      <c r="G255" s="1">
        <v>8.0399999999999991</v>
      </c>
      <c r="H255" s="1">
        <v>0</v>
      </c>
      <c r="I255" s="1">
        <v>0</v>
      </c>
      <c r="J255" s="1">
        <v>2.0472000000000001</v>
      </c>
      <c r="K255" s="1">
        <v>3.5309999999999999E-3</v>
      </c>
      <c r="L255" s="1">
        <v>7.6150000000000002E-3</v>
      </c>
      <c r="M255" s="1">
        <v>-0.42075000000000001</v>
      </c>
      <c r="N255" s="1">
        <v>0.907138</v>
      </c>
      <c r="O255">
        <v>1</v>
      </c>
      <c r="P255">
        <v>0</v>
      </c>
      <c r="Q255">
        <v>1</v>
      </c>
      <c r="R255">
        <v>1</v>
      </c>
      <c r="S255">
        <v>1</v>
      </c>
      <c r="T255" s="1">
        <f>SQRT(POWER(Dominus[[#This Row],[angvel_X]],2) + POWER(Dominus[[#This Row],[angvel_Y]],2) + POWER(Dominus[[#This Row],[angvel_Z]],2))</f>
        <v>2.0472000000000001</v>
      </c>
      <c r="U255" s="1">
        <f>DEGREES(ASIN(MAX(-1,MIN(1,2 * (Dominus[[#This Row],[quart_W]]*Dominus[[#This Row],[quart_Y]] - Dominus[[#This Row],[quart_Z]]*Dominus[[#This Row],[quart_X]])))))</f>
        <v>0.96187219497265564</v>
      </c>
      <c r="V25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139.76577398017022</v>
      </c>
      <c r="W25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90.000103945982744</v>
      </c>
      <c r="X255" s="1">
        <f>IF(Dominus[[#This Row],[Yaw]]&gt;V254,(360-ABS(Dominus[[#This Row],[Yaw]])-ABS(V254)),ABS(Dominus[[#This Row],[Yaw]]-V254))</f>
        <v>0.977141013879816</v>
      </c>
      <c r="Y255" s="1">
        <f>Dominus[[#This Row],[Degree change]]+Y254</f>
        <v>189.38674843750925</v>
      </c>
    </row>
    <row r="256" spans="1:25">
      <c r="A256">
        <v>255</v>
      </c>
      <c r="B256" s="1">
        <v>-1644.8599850000001</v>
      </c>
      <c r="C256" s="1">
        <v>842.57000700000003</v>
      </c>
      <c r="D256" s="1">
        <v>17.049999</v>
      </c>
      <c r="E256" s="1">
        <v>1407.030029</v>
      </c>
      <c r="F256" s="1">
        <v>-1819.3900149999999</v>
      </c>
      <c r="G256" s="1">
        <v>8.0399999999999991</v>
      </c>
      <c r="H256" s="1">
        <v>0</v>
      </c>
      <c r="I256" s="1">
        <v>0</v>
      </c>
      <c r="J256" s="1">
        <v>2.0472000000000001</v>
      </c>
      <c r="K256" s="1">
        <v>3.4659999999999999E-3</v>
      </c>
      <c r="L256" s="1">
        <v>7.6470000000000002E-3</v>
      </c>
      <c r="M256" s="1">
        <v>-0.41299799999999998</v>
      </c>
      <c r="N256" s="1">
        <v>0.91069299999999997</v>
      </c>
      <c r="O256">
        <v>1</v>
      </c>
      <c r="P256">
        <v>0</v>
      </c>
      <c r="Q256">
        <v>1</v>
      </c>
      <c r="R256">
        <v>1</v>
      </c>
      <c r="S256">
        <v>1</v>
      </c>
      <c r="T256" s="1">
        <f>SQRT(POWER(Dominus[[#This Row],[angvel_X]],2) + POWER(Dominus[[#This Row],[angvel_Y]],2) + POWER(Dominus[[#This Row],[angvel_Z]],2))</f>
        <v>2.0472000000000001</v>
      </c>
      <c r="U256" s="1">
        <f>DEGREES(ASIN(MAX(-1,MIN(1,2 * (Dominus[[#This Row],[quart_W]]*Dominus[[#This Row],[quart_Y]] - Dominus[[#This Row],[quart_Z]]*Dominus[[#This Row],[quart_X]])))))</f>
        <v>0.96210098852670223</v>
      </c>
      <c r="V25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138.78843430529588</v>
      </c>
      <c r="W25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90.000198703191188</v>
      </c>
      <c r="X256" s="1">
        <f>IF(Dominus[[#This Row],[Yaw]]&gt;V255,(360-ABS(Dominus[[#This Row],[Yaw]])-ABS(V255)),ABS(Dominus[[#This Row],[Yaw]]-V255))</f>
        <v>0.9773396748743437</v>
      </c>
      <c r="Y256" s="1">
        <f>Dominus[[#This Row],[Degree change]]+Y255</f>
        <v>190.3640881123836</v>
      </c>
    </row>
    <row r="257" spans="1:25">
      <c r="A257">
        <v>256</v>
      </c>
      <c r="B257" s="1">
        <v>-1633.089966</v>
      </c>
      <c r="C257" s="1">
        <v>827.35998500000005</v>
      </c>
      <c r="D257" s="1">
        <v>17.049999</v>
      </c>
      <c r="E257" s="1">
        <v>1437.8599850000001</v>
      </c>
      <c r="F257" s="1">
        <v>-1795.119995</v>
      </c>
      <c r="G257" s="1">
        <v>8.0399999999999991</v>
      </c>
      <c r="H257" s="1">
        <v>0</v>
      </c>
      <c r="I257" s="1">
        <v>0</v>
      </c>
      <c r="J257" s="1">
        <v>2.0472000000000001</v>
      </c>
      <c r="K257" s="1">
        <v>3.4009999999999999E-3</v>
      </c>
      <c r="L257" s="1">
        <v>7.6740000000000003E-3</v>
      </c>
      <c r="M257" s="1">
        <v>-0.40521299999999999</v>
      </c>
      <c r="N257" s="1">
        <v>0.914184</v>
      </c>
      <c r="O257">
        <v>1</v>
      </c>
      <c r="P257">
        <v>0</v>
      </c>
      <c r="Q257">
        <v>1</v>
      </c>
      <c r="R257">
        <v>1</v>
      </c>
      <c r="S257">
        <v>1</v>
      </c>
      <c r="T257" s="1">
        <f>SQRT(POWER(Dominus[[#This Row],[angvel_X]],2) + POWER(Dominus[[#This Row],[angvel_Y]],2) + POWER(Dominus[[#This Row],[angvel_Z]],2))</f>
        <v>2.0472000000000001</v>
      </c>
      <c r="U257" s="1">
        <f>DEGREES(ASIN(MAX(-1,MIN(1,2 * (Dominus[[#This Row],[quart_W]]*Dominus[[#This Row],[quart_Y]] - Dominus[[#This Row],[quart_Z]]*Dominus[[#This Row],[quart_X]])))))</f>
        <v>0.9618783045950029</v>
      </c>
      <c r="V25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137.81074797352113</v>
      </c>
      <c r="W25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90.000053267141709</v>
      </c>
      <c r="X257" s="1">
        <f>IF(Dominus[[#This Row],[Yaw]]&gt;V256,(360-ABS(Dominus[[#This Row],[Yaw]])-ABS(V256)),ABS(Dominus[[#This Row],[Yaw]]-V256))</f>
        <v>0.9776863317747484</v>
      </c>
      <c r="Y257" s="1">
        <f>Dominus[[#This Row],[Degree change]]+Y256</f>
        <v>191.34177444415835</v>
      </c>
    </row>
    <row r="258" spans="1:25">
      <c r="A258">
        <v>257</v>
      </c>
      <c r="B258" s="1">
        <v>-1621.059937</v>
      </c>
      <c r="C258" s="1">
        <v>812.34997599999997</v>
      </c>
      <c r="D258" s="1">
        <v>17.049999</v>
      </c>
      <c r="E258" s="1">
        <v>1468.2799070000001</v>
      </c>
      <c r="F258" s="1">
        <v>-1770.329956</v>
      </c>
      <c r="G258" s="1">
        <v>8.0399999999999991</v>
      </c>
      <c r="H258" s="1">
        <v>0</v>
      </c>
      <c r="I258" s="1">
        <v>0</v>
      </c>
      <c r="J258" s="1">
        <v>2.0472000000000001</v>
      </c>
      <c r="K258" s="1">
        <v>3.3370000000000001E-3</v>
      </c>
      <c r="L258" s="1">
        <v>7.7010000000000004E-3</v>
      </c>
      <c r="M258" s="1">
        <v>-0.397401</v>
      </c>
      <c r="N258" s="1">
        <v>0.91760699999999995</v>
      </c>
      <c r="O258">
        <v>1</v>
      </c>
      <c r="P258">
        <v>0</v>
      </c>
      <c r="Q258">
        <v>1</v>
      </c>
      <c r="R258">
        <v>1</v>
      </c>
      <c r="S258">
        <v>1</v>
      </c>
      <c r="T258" s="1">
        <f>SQRT(POWER(Dominus[[#This Row],[angvel_X]],2) + POWER(Dominus[[#This Row],[angvel_Y]],2) + POWER(Dominus[[#This Row],[angvel_Z]],2))</f>
        <v>2.0472000000000001</v>
      </c>
      <c r="U258" s="1">
        <f>DEGREES(ASIN(MAX(-1,MIN(1,2 * (Dominus[[#This Row],[quart_W]]*Dominus[[#This Row],[quart_Y]] - Dominus[[#This Row],[quart_Z]]*Dominus[[#This Row],[quart_X]])))))</f>
        <v>0.9617684204446123</v>
      </c>
      <c r="V25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136.83336187934771</v>
      </c>
      <c r="W25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89.999808667249724</v>
      </c>
      <c r="X258" s="1">
        <f>IF(Dominus[[#This Row],[Yaw]]&gt;V257,(360-ABS(Dominus[[#This Row],[Yaw]])-ABS(V257)),ABS(Dominus[[#This Row],[Yaw]]-V257))</f>
        <v>0.97738609417342559</v>
      </c>
      <c r="Y258" s="1">
        <f>Dominus[[#This Row],[Degree change]]+Y257</f>
        <v>192.31916053833177</v>
      </c>
    </row>
    <row r="259" spans="1:25">
      <c r="A259">
        <v>258</v>
      </c>
      <c r="B259" s="1">
        <v>-1608.7799070000001</v>
      </c>
      <c r="C259" s="1">
        <v>797.54998799999998</v>
      </c>
      <c r="D259" s="1">
        <v>17.049999</v>
      </c>
      <c r="E259" s="1">
        <v>1498.2700199999999</v>
      </c>
      <c r="F259" s="1">
        <v>-1745.0200199999999</v>
      </c>
      <c r="G259" s="1">
        <v>8.0399999999999991</v>
      </c>
      <c r="H259" s="1">
        <v>0</v>
      </c>
      <c r="I259" s="1">
        <v>0</v>
      </c>
      <c r="J259" s="1">
        <v>2.0472000000000001</v>
      </c>
      <c r="K259" s="1">
        <v>3.2720000000000002E-3</v>
      </c>
      <c r="L259" s="1">
        <v>7.7279999999999996E-3</v>
      </c>
      <c r="M259" s="1">
        <v>-0.38955699999999999</v>
      </c>
      <c r="N259" s="1">
        <v>0.920964</v>
      </c>
      <c r="O259">
        <v>1</v>
      </c>
      <c r="P259">
        <v>0</v>
      </c>
      <c r="Q259">
        <v>1</v>
      </c>
      <c r="R259">
        <v>1</v>
      </c>
      <c r="S259">
        <v>1</v>
      </c>
      <c r="T259" s="1">
        <f>SQRT(POWER(Dominus[[#This Row],[angvel_X]],2) + POWER(Dominus[[#This Row],[angvel_Y]],2) + POWER(Dominus[[#This Row],[angvel_Z]],2))</f>
        <v>2.0472000000000001</v>
      </c>
      <c r="U259" s="1">
        <f>DEGREES(ASIN(MAX(-1,MIN(1,2 * (Dominus[[#This Row],[quart_W]]*Dominus[[#This Row],[quart_Y]] - Dominus[[#This Row],[quart_Z]]*Dominus[[#This Row],[quart_X]])))))</f>
        <v>0.96167921576765802</v>
      </c>
      <c r="V25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135.85557518490674</v>
      </c>
      <c r="W25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89.999667899886049</v>
      </c>
      <c r="X259" s="1">
        <f>IF(Dominus[[#This Row],[Yaw]]&gt;V258,(360-ABS(Dominus[[#This Row],[Yaw]])-ABS(V258)),ABS(Dominus[[#This Row],[Yaw]]-V258))</f>
        <v>0.97778669444096522</v>
      </c>
      <c r="Y259" s="1">
        <f>Dominus[[#This Row],[Degree change]]+Y258</f>
        <v>193.29694723277274</v>
      </c>
    </row>
    <row r="260" spans="1:25">
      <c r="A260">
        <v>259</v>
      </c>
      <c r="B260" s="1">
        <v>-1596.25</v>
      </c>
      <c r="C260" s="1">
        <v>782.95996100000002</v>
      </c>
      <c r="D260" s="1">
        <v>17.049999</v>
      </c>
      <c r="E260" s="1">
        <v>1527.8199460000001</v>
      </c>
      <c r="F260" s="1">
        <v>-1719.1999510000001</v>
      </c>
      <c r="G260" s="1">
        <v>8.0399999999999991</v>
      </c>
      <c r="H260" s="1">
        <v>0</v>
      </c>
      <c r="I260" s="1">
        <v>0</v>
      </c>
      <c r="J260" s="1">
        <v>2.0472000000000001</v>
      </c>
      <c r="K260" s="1">
        <v>3.2070000000000002E-3</v>
      </c>
      <c r="L260" s="1">
        <v>7.7549999999999997E-3</v>
      </c>
      <c r="M260" s="1">
        <v>-0.38168600000000003</v>
      </c>
      <c r="N260" s="1">
        <v>0.92425400000000002</v>
      </c>
      <c r="O260">
        <v>1</v>
      </c>
      <c r="P260">
        <v>0</v>
      </c>
      <c r="Q260">
        <v>1</v>
      </c>
      <c r="R260">
        <v>1</v>
      </c>
      <c r="S260">
        <v>1</v>
      </c>
      <c r="T260" s="1">
        <f>SQRT(POWER(Dominus[[#This Row],[angvel_X]],2) + POWER(Dominus[[#This Row],[angvel_Y]],2) + POWER(Dominus[[#This Row],[angvel_Z]],2))</f>
        <v>2.0472000000000001</v>
      </c>
      <c r="U260" s="1">
        <f>DEGREES(ASIN(MAX(-1,MIN(1,2 * (Dominus[[#This Row],[quart_W]]*Dominus[[#This Row],[quart_Y]] - Dominus[[#This Row],[quart_Z]]*Dominus[[#This Row],[quart_X]])))))</f>
        <v>0.96165818250378476</v>
      </c>
      <c r="V26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134.87797690942924</v>
      </c>
      <c r="W26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89.999529231904205</v>
      </c>
      <c r="X260" s="1">
        <f>IF(Dominus[[#This Row],[Yaw]]&gt;V259,(360-ABS(Dominus[[#This Row],[Yaw]])-ABS(V259)),ABS(Dominus[[#This Row],[Yaw]]-V259))</f>
        <v>0.97759827547750433</v>
      </c>
      <c r="Y260" s="1">
        <f>Dominus[[#This Row],[Degree change]]+Y259</f>
        <v>194.27454550825024</v>
      </c>
    </row>
    <row r="261" spans="1:25">
      <c r="A261">
        <v>260</v>
      </c>
      <c r="B261" s="1">
        <v>-1583.469971</v>
      </c>
      <c r="C261" s="1">
        <v>768.57995600000004</v>
      </c>
      <c r="D261" s="1">
        <v>17.049999</v>
      </c>
      <c r="E261" s="1">
        <v>1556.929932</v>
      </c>
      <c r="F261" s="1">
        <v>-1692.8900149999999</v>
      </c>
      <c r="G261" s="1">
        <v>8.0399999999999991</v>
      </c>
      <c r="H261" s="1">
        <v>0</v>
      </c>
      <c r="I261" s="1">
        <v>0</v>
      </c>
      <c r="J261" s="1">
        <v>2.0472000000000001</v>
      </c>
      <c r="K261" s="1">
        <v>3.1419999999999998E-3</v>
      </c>
      <c r="L261" s="1">
        <v>7.7819999999999999E-3</v>
      </c>
      <c r="M261" s="1">
        <v>-0.37378800000000001</v>
      </c>
      <c r="N261" s="1">
        <v>0.92747599999999997</v>
      </c>
      <c r="O261">
        <v>1</v>
      </c>
      <c r="P261">
        <v>0</v>
      </c>
      <c r="Q261">
        <v>1</v>
      </c>
      <c r="R261">
        <v>1</v>
      </c>
      <c r="S261">
        <v>1</v>
      </c>
      <c r="T261" s="1">
        <f>SQRT(POWER(Dominus[[#This Row],[angvel_X]],2) + POWER(Dominus[[#This Row],[angvel_Y]],2) + POWER(Dominus[[#This Row],[angvel_Z]],2))</f>
        <v>2.0472000000000001</v>
      </c>
      <c r="U261" s="1">
        <f>DEGREES(ASIN(MAX(-1,MIN(1,2 * (Dominus[[#This Row],[quart_W]]*Dominus[[#This Row],[quart_Y]] - Dominus[[#This Row],[quart_Z]]*Dominus[[#This Row],[quart_X]])))))</f>
        <v>0.96170441020814001</v>
      </c>
      <c r="V26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133.90046238908727</v>
      </c>
      <c r="W26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89.999391275396604</v>
      </c>
      <c r="X261" s="1">
        <f>IF(Dominus[[#This Row],[Yaw]]&gt;V260,(360-ABS(Dominus[[#This Row],[Yaw]])-ABS(V260)),ABS(Dominus[[#This Row],[Yaw]]-V260))</f>
        <v>0.97751452034196973</v>
      </c>
      <c r="Y261" s="1">
        <f>Dominus[[#This Row],[Degree change]]+Y260</f>
        <v>195.25206002859221</v>
      </c>
    </row>
    <row r="262" spans="1:25">
      <c r="A262">
        <v>261</v>
      </c>
      <c r="B262" s="1">
        <v>-1570.4499510000001</v>
      </c>
      <c r="C262" s="1">
        <v>754.419983</v>
      </c>
      <c r="D262" s="1">
        <v>17.049999</v>
      </c>
      <c r="E262" s="1">
        <v>1585.579956</v>
      </c>
      <c r="F262" s="1">
        <v>-1666.079956</v>
      </c>
      <c r="G262" s="1">
        <v>8.0399999999999991</v>
      </c>
      <c r="H262" s="1">
        <v>0</v>
      </c>
      <c r="I262" s="1">
        <v>0</v>
      </c>
      <c r="J262" s="1">
        <v>2.0472000000000001</v>
      </c>
      <c r="K262" s="1">
        <v>3.078E-3</v>
      </c>
      <c r="L262" s="1">
        <v>7.809E-3</v>
      </c>
      <c r="M262" s="1">
        <v>-0.36586299999999999</v>
      </c>
      <c r="N262" s="1">
        <v>0.93063099999999999</v>
      </c>
      <c r="O262">
        <v>1</v>
      </c>
      <c r="P262">
        <v>0</v>
      </c>
      <c r="Q262">
        <v>1</v>
      </c>
      <c r="R262">
        <v>1</v>
      </c>
      <c r="S262">
        <v>1</v>
      </c>
      <c r="T262" s="1">
        <f>SQRT(POWER(Dominus[[#This Row],[angvel_X]],2) + POWER(Dominus[[#This Row],[angvel_Y]],2) + POWER(Dominus[[#This Row],[angvel_Z]],2))</f>
        <v>2.0472000000000001</v>
      </c>
      <c r="U262" s="1">
        <f>DEGREES(ASIN(MAX(-1,MIN(1,2 * (Dominus[[#This Row],[quart_W]]*Dominus[[#This Row],[quart_Y]] - Dominus[[#This Row],[quart_Z]]*Dominus[[#This Row],[quart_X]])))))</f>
        <v>0.96186069672508656</v>
      </c>
      <c r="V26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132.92298961113829</v>
      </c>
      <c r="W26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89.999145249866586</v>
      </c>
      <c r="X262" s="1">
        <f>IF(Dominus[[#This Row],[Yaw]]&gt;V261,(360-ABS(Dominus[[#This Row],[Yaw]])-ABS(V261)),ABS(Dominus[[#This Row],[Yaw]]-V261))</f>
        <v>0.97747277794897514</v>
      </c>
      <c r="Y262" s="1">
        <f>Dominus[[#This Row],[Degree change]]+Y261</f>
        <v>196.22953280654119</v>
      </c>
    </row>
    <row r="263" spans="1:25">
      <c r="A263">
        <v>262</v>
      </c>
      <c r="B263" s="1">
        <v>-1557.1899410000001</v>
      </c>
      <c r="C263" s="1">
        <v>740.48999000000003</v>
      </c>
      <c r="D263" s="1">
        <v>17.049999</v>
      </c>
      <c r="E263" s="1">
        <v>1613.7799070000001</v>
      </c>
      <c r="F263" s="1">
        <v>-1638.7899170000001</v>
      </c>
      <c r="G263" s="1">
        <v>8.0399999999999991</v>
      </c>
      <c r="H263" s="1">
        <v>0</v>
      </c>
      <c r="I263" s="1">
        <v>0</v>
      </c>
      <c r="J263" s="1">
        <v>2.0472000000000001</v>
      </c>
      <c r="K263" s="1">
        <v>3.0130000000000001E-3</v>
      </c>
      <c r="L263" s="1">
        <v>7.8359999999999992E-3</v>
      </c>
      <c r="M263" s="1">
        <v>-0.35791099999999998</v>
      </c>
      <c r="N263" s="1">
        <v>0.93371800000000005</v>
      </c>
      <c r="O263">
        <v>1</v>
      </c>
      <c r="P263">
        <v>0</v>
      </c>
      <c r="Q263">
        <v>1</v>
      </c>
      <c r="R263">
        <v>1</v>
      </c>
      <c r="S263">
        <v>1</v>
      </c>
      <c r="T263" s="1">
        <f>SQRT(POWER(Dominus[[#This Row],[angvel_X]],2) + POWER(Dominus[[#This Row],[angvel_Y]],2) + POWER(Dominus[[#This Row],[angvel_Z]],2))</f>
        <v>2.0472000000000001</v>
      </c>
      <c r="U263" s="1">
        <f>DEGREES(ASIN(MAX(-1,MIN(1,2 * (Dominus[[#This Row],[quart_W]]*Dominus[[#This Row],[quart_Y]] - Dominus[[#This Row],[quart_Z]]*Dominus[[#This Row],[quart_X]])))))</f>
        <v>0.96204135263123058</v>
      </c>
      <c r="V26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131.94545808190759</v>
      </c>
      <c r="W26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89.999002713696854</v>
      </c>
      <c r="X263" s="1">
        <f>IF(Dominus[[#This Row],[Yaw]]&gt;V262,(360-ABS(Dominus[[#This Row],[Yaw]])-ABS(V262)),ABS(Dominus[[#This Row],[Yaw]]-V262))</f>
        <v>0.97753152923070274</v>
      </c>
      <c r="Y263" s="1">
        <f>Dominus[[#This Row],[Degree change]]+Y262</f>
        <v>197.20706433577189</v>
      </c>
    </row>
    <row r="264" spans="1:25">
      <c r="A264">
        <v>263</v>
      </c>
      <c r="B264" s="1">
        <v>-1543.6899410000001</v>
      </c>
      <c r="C264" s="1">
        <v>726.78997800000002</v>
      </c>
      <c r="D264" s="1">
        <v>17.049999</v>
      </c>
      <c r="E264" s="1">
        <v>1641.5</v>
      </c>
      <c r="F264" s="1">
        <v>-1611.0200199999999</v>
      </c>
      <c r="G264" s="1">
        <v>8.0399999999999991</v>
      </c>
      <c r="H264" s="1">
        <v>0</v>
      </c>
      <c r="I264" s="1">
        <v>0</v>
      </c>
      <c r="J264" s="1">
        <v>2.0472000000000001</v>
      </c>
      <c r="K264" s="1">
        <v>2.9480000000000001E-3</v>
      </c>
      <c r="L264" s="1">
        <v>7.8630000000000002E-3</v>
      </c>
      <c r="M264" s="1">
        <v>-0.34993200000000002</v>
      </c>
      <c r="N264" s="1">
        <v>0.93673700000000004</v>
      </c>
      <c r="O264">
        <v>1</v>
      </c>
      <c r="P264">
        <v>0</v>
      </c>
      <c r="Q264">
        <v>1</v>
      </c>
      <c r="R264">
        <v>1</v>
      </c>
      <c r="S264">
        <v>1</v>
      </c>
      <c r="T264" s="1">
        <f>SQRT(POWER(Dominus[[#This Row],[angvel_X]],2) + POWER(Dominus[[#This Row],[angvel_Y]],2) + POWER(Dominus[[#This Row],[angvel_Z]],2))</f>
        <v>2.0472000000000001</v>
      </c>
      <c r="U264" s="1">
        <f>DEGREES(ASIN(MAX(-1,MIN(1,2 * (Dominus[[#This Row],[quart_W]]*Dominus[[#This Row],[quart_Y]] - Dominus[[#This Row],[quart_Z]]*Dominus[[#This Row],[quart_X]])))))</f>
        <v>0.96228918907194516</v>
      </c>
      <c r="V26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130.9677976472729</v>
      </c>
      <c r="W26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89.998855600630023</v>
      </c>
      <c r="X264" s="1">
        <f>IF(Dominus[[#This Row],[Yaw]]&gt;V263,(360-ABS(Dominus[[#This Row],[Yaw]])-ABS(V263)),ABS(Dominus[[#This Row],[Yaw]]-V263))</f>
        <v>0.97766043463468577</v>
      </c>
      <c r="Y264" s="1">
        <f>Dominus[[#This Row],[Degree change]]+Y263</f>
        <v>198.18472477040658</v>
      </c>
    </row>
    <row r="265" spans="1:25">
      <c r="A265">
        <v>264</v>
      </c>
      <c r="B265" s="1">
        <v>-1529.959961</v>
      </c>
      <c r="C265" s="1">
        <v>713.32000700000003</v>
      </c>
      <c r="D265" s="1">
        <v>17.049999</v>
      </c>
      <c r="E265" s="1">
        <v>1668.75</v>
      </c>
      <c r="F265" s="1">
        <v>-1582.7799070000001</v>
      </c>
      <c r="G265" s="1">
        <v>8.0399999999999991</v>
      </c>
      <c r="H265" s="1">
        <v>-1E-4</v>
      </c>
      <c r="I265" s="1">
        <v>0</v>
      </c>
      <c r="J265" s="1">
        <v>2.0472999999999999</v>
      </c>
      <c r="K265" s="1">
        <v>2.8839999999999998E-3</v>
      </c>
      <c r="L265" s="1">
        <v>7.8899999999999994E-3</v>
      </c>
      <c r="M265" s="1">
        <v>-0.34193200000000001</v>
      </c>
      <c r="N265" s="1">
        <v>0.93968700000000005</v>
      </c>
      <c r="O265">
        <v>1</v>
      </c>
      <c r="P265">
        <v>0</v>
      </c>
      <c r="Q265">
        <v>1</v>
      </c>
      <c r="R265">
        <v>1</v>
      </c>
      <c r="S265">
        <v>1</v>
      </c>
      <c r="T265" s="1">
        <f>SQRT(POWER(Dominus[[#This Row],[angvel_X]],2) + POWER(Dominus[[#This Row],[angvel_Y]],2) + POWER(Dominus[[#This Row],[angvel_Z]],2))</f>
        <v>2.047300002442241</v>
      </c>
      <c r="U265" s="1">
        <f>DEGREES(ASIN(MAX(-1,MIN(1,2 * (Dominus[[#This Row],[quart_W]]*Dominus[[#This Row],[quart_Y]] - Dominus[[#This Row],[quart_Z]]*Dominus[[#This Row],[quart_X]])))))</f>
        <v>0.96264444449344155</v>
      </c>
      <c r="V26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129.99070655170172</v>
      </c>
      <c r="W26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89.998600200841665</v>
      </c>
      <c r="X265" s="1">
        <f>IF(Dominus[[#This Row],[Yaw]]&gt;V264,(360-ABS(Dominus[[#This Row],[Yaw]])-ABS(V264)),ABS(Dominus[[#This Row],[Yaw]]-V264))</f>
        <v>0.97709109557118268</v>
      </c>
      <c r="Y265" s="1">
        <f>Dominus[[#This Row],[Degree change]]+Y264</f>
        <v>199.16181586597776</v>
      </c>
    </row>
    <row r="266" spans="1:25">
      <c r="A266">
        <v>265</v>
      </c>
      <c r="B266" s="1">
        <v>-1516</v>
      </c>
      <c r="C266" s="1">
        <v>700.089966</v>
      </c>
      <c r="D266" s="1">
        <v>17.049999</v>
      </c>
      <c r="E266" s="1">
        <v>1695.51001</v>
      </c>
      <c r="F266" s="1">
        <v>-1554.079956</v>
      </c>
      <c r="G266" s="1">
        <v>8.0399999999999991</v>
      </c>
      <c r="H266" s="1">
        <v>-2.0000000000000001E-4</v>
      </c>
      <c r="I266" s="1">
        <v>0</v>
      </c>
      <c r="J266" s="1">
        <v>2.0472999999999999</v>
      </c>
      <c r="K266" s="1">
        <v>2.813E-3</v>
      </c>
      <c r="L266" s="1">
        <v>7.9109999999999996E-3</v>
      </c>
      <c r="M266" s="1">
        <v>-0.33390399999999998</v>
      </c>
      <c r="N266" s="1">
        <v>0.94257000000000002</v>
      </c>
      <c r="O266">
        <v>1</v>
      </c>
      <c r="P266">
        <v>0</v>
      </c>
      <c r="Q266">
        <v>1</v>
      </c>
      <c r="R266">
        <v>1</v>
      </c>
      <c r="S266">
        <v>1</v>
      </c>
      <c r="T266" s="1">
        <f>SQRT(POWER(Dominus[[#This Row],[angvel_X]],2) + POWER(Dominus[[#This Row],[angvel_Y]],2) + POWER(Dominus[[#This Row],[angvel_Z]],2))</f>
        <v>2.0473000097689638</v>
      </c>
      <c r="U266" s="1">
        <f>DEGREES(ASIN(MAX(-1,MIN(1,2 * (Dominus[[#This Row],[quart_W]]*Dominus[[#This Row],[quart_Y]] - Dominus[[#This Row],[quart_Z]]*Dominus[[#This Row],[quart_X]])))))</f>
        <v>0.9621494427211924</v>
      </c>
      <c r="V26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129.01323959544814</v>
      </c>
      <c r="W26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89.998861387679241</v>
      </c>
      <c r="X266" s="1">
        <f>IF(Dominus[[#This Row],[Yaw]]&gt;V265,(360-ABS(Dominus[[#This Row],[Yaw]])-ABS(V265)),ABS(Dominus[[#This Row],[Yaw]]-V265))</f>
        <v>0.97746695625357916</v>
      </c>
      <c r="Y266" s="1">
        <f>Dominus[[#This Row],[Degree change]]+Y265</f>
        <v>200.13928282223134</v>
      </c>
    </row>
    <row r="267" spans="1:25">
      <c r="A267">
        <v>266</v>
      </c>
      <c r="B267" s="1">
        <v>-1501.8199460000001</v>
      </c>
      <c r="C267" s="1">
        <v>687.09997599999997</v>
      </c>
      <c r="D267" s="1">
        <v>17.049999</v>
      </c>
      <c r="E267" s="1">
        <v>1721.7700199999999</v>
      </c>
      <c r="F267" s="1">
        <v>-1524.929932</v>
      </c>
      <c r="G267" s="1">
        <v>8.0399999999999991</v>
      </c>
      <c r="H267" s="1">
        <v>-2.0000000000000001E-4</v>
      </c>
      <c r="I267" s="1">
        <v>0</v>
      </c>
      <c r="J267" s="1">
        <v>2.0472999999999999</v>
      </c>
      <c r="K267" s="1">
        <v>2.7430000000000002E-3</v>
      </c>
      <c r="L267" s="1">
        <v>7.9330000000000008E-3</v>
      </c>
      <c r="M267" s="1">
        <v>-0.32584999999999997</v>
      </c>
      <c r="N267" s="1">
        <v>0.945384</v>
      </c>
      <c r="O267">
        <v>1</v>
      </c>
      <c r="P267">
        <v>0</v>
      </c>
      <c r="Q267">
        <v>1</v>
      </c>
      <c r="R267">
        <v>1</v>
      </c>
      <c r="S267">
        <v>1</v>
      </c>
      <c r="T267" s="1">
        <f>SQRT(POWER(Dominus[[#This Row],[angvel_X]],2) + POWER(Dominus[[#This Row],[angvel_Y]],2) + POWER(Dominus[[#This Row],[angvel_Z]],2))</f>
        <v>2.0473000097689638</v>
      </c>
      <c r="U267" s="1">
        <f>DEGREES(ASIN(MAX(-1,MIN(1,2 * (Dominus[[#This Row],[quart_W]]*Dominus[[#This Row],[quart_Y]] - Dominus[[#This Row],[quart_Z]]*Dominus[[#This Row],[quart_X]])))))</f>
        <v>0.96187376532748026</v>
      </c>
      <c r="V26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128.03553694019959</v>
      </c>
      <c r="W26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89.999057894606935</v>
      </c>
      <c r="X267" s="1">
        <f>IF(Dominus[[#This Row],[Yaw]]&gt;V266,(360-ABS(Dominus[[#This Row],[Yaw]])-ABS(V266)),ABS(Dominus[[#This Row],[Yaw]]-V266))</f>
        <v>0.97770265524854949</v>
      </c>
      <c r="Y267" s="1">
        <f>Dominus[[#This Row],[Degree change]]+Y266</f>
        <v>201.11698547747989</v>
      </c>
    </row>
    <row r="268" spans="1:25">
      <c r="A268">
        <v>267</v>
      </c>
      <c r="B268" s="1">
        <v>-1487.419922</v>
      </c>
      <c r="C268" s="1">
        <v>674.34997599999997</v>
      </c>
      <c r="D268" s="1">
        <v>17.049999</v>
      </c>
      <c r="E268" s="1">
        <v>1747.5399170000001</v>
      </c>
      <c r="F268" s="1">
        <v>-1495.329956</v>
      </c>
      <c r="G268" s="1">
        <v>8.0399999999999991</v>
      </c>
      <c r="H268" s="1">
        <v>-2.0000000000000001E-4</v>
      </c>
      <c r="I268" s="1">
        <v>0</v>
      </c>
      <c r="J268" s="1">
        <v>2.0472999999999999</v>
      </c>
      <c r="K268" s="1">
        <v>2.673E-3</v>
      </c>
      <c r="L268" s="1">
        <v>7.9550000000000003E-3</v>
      </c>
      <c r="M268" s="1">
        <v>-0.317774</v>
      </c>
      <c r="N268" s="1">
        <v>0.948129</v>
      </c>
      <c r="O268">
        <v>1</v>
      </c>
      <c r="P268">
        <v>0</v>
      </c>
      <c r="Q268">
        <v>1</v>
      </c>
      <c r="R268">
        <v>1</v>
      </c>
      <c r="S268">
        <v>1</v>
      </c>
      <c r="T268" s="1">
        <f>SQRT(POWER(Dominus[[#This Row],[angvel_X]],2) + POWER(Dominus[[#This Row],[angvel_Y]],2) + POWER(Dominus[[#This Row],[angvel_Z]],2))</f>
        <v>2.0473000097689638</v>
      </c>
      <c r="U268" s="1">
        <f>DEGREES(ASIN(MAX(-1,MIN(1,2 * (Dominus[[#This Row],[quart_W]]*Dominus[[#This Row],[quart_Y]] - Dominus[[#This Row],[quart_Z]]*Dominus[[#This Row],[quart_X]])))))</f>
        <v>0.96167185806779265</v>
      </c>
      <c r="V26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127.05805442041343</v>
      </c>
      <c r="W26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89.99926001852495</v>
      </c>
      <c r="X268" s="1">
        <f>IF(Dominus[[#This Row],[Yaw]]&gt;V267,(360-ABS(Dominus[[#This Row],[Yaw]])-ABS(V267)),ABS(Dominus[[#This Row],[Yaw]]-V267))</f>
        <v>0.97748251978616452</v>
      </c>
      <c r="Y268" s="1">
        <f>Dominus[[#This Row],[Degree change]]+Y267</f>
        <v>202.09446799726607</v>
      </c>
    </row>
    <row r="269" spans="1:25">
      <c r="A269">
        <v>268</v>
      </c>
      <c r="B269" s="1">
        <v>-1472.799927</v>
      </c>
      <c r="C269" s="1">
        <v>661.84997599999997</v>
      </c>
      <c r="D269" s="1">
        <v>17.049999</v>
      </c>
      <c r="E269" s="1">
        <v>1772.799927</v>
      </c>
      <c r="F269" s="1">
        <v>-1465.299927</v>
      </c>
      <c r="G269" s="1">
        <v>8.0399999999999991</v>
      </c>
      <c r="H269" s="1">
        <v>-1E-4</v>
      </c>
      <c r="I269" s="1">
        <v>0</v>
      </c>
      <c r="J269" s="1">
        <v>2.0472999999999999</v>
      </c>
      <c r="K269" s="1">
        <v>2.6029999999999998E-3</v>
      </c>
      <c r="L269" s="1">
        <v>7.9760000000000005E-3</v>
      </c>
      <c r="M269" s="1">
        <v>-0.30967600000000001</v>
      </c>
      <c r="N269" s="1">
        <v>0.95080500000000001</v>
      </c>
      <c r="O269">
        <v>1</v>
      </c>
      <c r="P269">
        <v>0</v>
      </c>
      <c r="Q269">
        <v>1</v>
      </c>
      <c r="R269">
        <v>1</v>
      </c>
      <c r="S269">
        <v>1</v>
      </c>
      <c r="T269" s="1">
        <f>SQRT(POWER(Dominus[[#This Row],[angvel_X]],2) + POWER(Dominus[[#This Row],[angvel_Y]],2) + POWER(Dominus[[#This Row],[angvel_Z]],2))</f>
        <v>2.047300002442241</v>
      </c>
      <c r="U269" s="1">
        <f>DEGREES(ASIN(MAX(-1,MIN(1,2 * (Dominus[[#This Row],[quart_W]]*Dominus[[#This Row],[quart_Y]] - Dominus[[#This Row],[quart_Z]]*Dominus[[#This Row],[quart_X]])))))</f>
        <v>0.96143475892291996</v>
      </c>
      <c r="V26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126.08071697458242</v>
      </c>
      <c r="W26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89.999430441134237</v>
      </c>
      <c r="X269" s="1">
        <f>IF(Dominus[[#This Row],[Yaw]]&gt;V268,(360-ABS(Dominus[[#This Row],[Yaw]])-ABS(V268)),ABS(Dominus[[#This Row],[Yaw]]-V268))</f>
        <v>0.97733744583101156</v>
      </c>
      <c r="Y269" s="1">
        <f>Dominus[[#This Row],[Degree change]]+Y268</f>
        <v>203.07180544309708</v>
      </c>
    </row>
    <row r="270" spans="1:25">
      <c r="A270">
        <v>269</v>
      </c>
      <c r="B270" s="1">
        <v>-1457.969971</v>
      </c>
      <c r="C270" s="1">
        <v>649.59997599999997</v>
      </c>
      <c r="D270" s="1">
        <v>17.049999</v>
      </c>
      <c r="E270" s="1">
        <v>1797.5399170000001</v>
      </c>
      <c r="F270" s="1">
        <v>-1434.839966</v>
      </c>
      <c r="G270" s="1">
        <v>8.0399999999999991</v>
      </c>
      <c r="H270" s="1">
        <v>-1E-4</v>
      </c>
      <c r="I270" s="1">
        <v>0</v>
      </c>
      <c r="J270" s="1">
        <v>2.0472999999999999</v>
      </c>
      <c r="K270" s="1">
        <v>2.5330000000000001E-3</v>
      </c>
      <c r="L270" s="1">
        <v>7.9979999999999999E-3</v>
      </c>
      <c r="M270" s="1">
        <v>-0.30155100000000001</v>
      </c>
      <c r="N270" s="1">
        <v>0.95341299999999995</v>
      </c>
      <c r="O270">
        <v>1</v>
      </c>
      <c r="P270">
        <v>0</v>
      </c>
      <c r="Q270">
        <v>1</v>
      </c>
      <c r="R270">
        <v>1</v>
      </c>
      <c r="S270">
        <v>1</v>
      </c>
      <c r="T270" s="1">
        <f>SQRT(POWER(Dominus[[#This Row],[angvel_X]],2) + POWER(Dominus[[#This Row],[angvel_Y]],2) + POWER(Dominus[[#This Row],[angvel_Z]],2))</f>
        <v>2.047300002442241</v>
      </c>
      <c r="U270" s="1">
        <f>DEGREES(ASIN(MAX(-1,MIN(1,2 * (Dominus[[#This Row],[quart_W]]*Dominus[[#This Row],[quart_Y]] - Dominus[[#This Row],[quart_Z]]*Dominus[[#This Row],[quart_X]])))))</f>
        <v>0.96137958093448705</v>
      </c>
      <c r="V27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125.10283579214762</v>
      </c>
      <c r="W27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89.999634374987693</v>
      </c>
      <c r="X270" s="1">
        <f>IF(Dominus[[#This Row],[Yaw]]&gt;V269,(360-ABS(Dominus[[#This Row],[Yaw]])-ABS(V269)),ABS(Dominus[[#This Row],[Yaw]]-V269))</f>
        <v>0.97788118243479971</v>
      </c>
      <c r="Y270" s="1">
        <f>Dominus[[#This Row],[Degree change]]+Y269</f>
        <v>204.04968662553188</v>
      </c>
    </row>
    <row r="271" spans="1:25">
      <c r="A271">
        <v>270</v>
      </c>
      <c r="B271" s="1">
        <v>-1442.929932</v>
      </c>
      <c r="C271" s="1">
        <v>637.59997599999997</v>
      </c>
      <c r="D271" s="1">
        <v>17.049999</v>
      </c>
      <c r="E271" s="1">
        <v>1821.76001</v>
      </c>
      <c r="F271" s="1">
        <v>-1403.959961</v>
      </c>
      <c r="G271" s="1">
        <v>8.0399999999999991</v>
      </c>
      <c r="H271" s="1">
        <v>0</v>
      </c>
      <c r="I271" s="1">
        <v>0</v>
      </c>
      <c r="J271" s="1">
        <v>2.0472999999999999</v>
      </c>
      <c r="K271" s="1">
        <v>2.4629999999999999E-3</v>
      </c>
      <c r="L271" s="1">
        <v>8.0190000000000001E-3</v>
      </c>
      <c r="M271" s="1">
        <v>-0.29340500000000003</v>
      </c>
      <c r="N271" s="1">
        <v>0.955951</v>
      </c>
      <c r="O271">
        <v>1</v>
      </c>
      <c r="P271">
        <v>0</v>
      </c>
      <c r="Q271">
        <v>1</v>
      </c>
      <c r="R271">
        <v>1</v>
      </c>
      <c r="S271">
        <v>1</v>
      </c>
      <c r="T271" s="1">
        <f>SQRT(POWER(Dominus[[#This Row],[angvel_X]],2) + POWER(Dominus[[#This Row],[angvel_Y]],2) + POWER(Dominus[[#This Row],[angvel_Z]],2))</f>
        <v>2.0472999999999999</v>
      </c>
      <c r="U271" s="1">
        <f>DEGREES(ASIN(MAX(-1,MIN(1,2 * (Dominus[[#This Row],[quart_W]]*Dominus[[#This Row],[quart_Y]] - Dominus[[#This Row],[quart_Z]]*Dominus[[#This Row],[quart_X]])))))</f>
        <v>0.96128809270948812</v>
      </c>
      <c r="V27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124.1250615623082</v>
      </c>
      <c r="W27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89.999806012962523</v>
      </c>
      <c r="X271" s="1">
        <f>IF(Dominus[[#This Row],[Yaw]]&gt;V270,(360-ABS(Dominus[[#This Row],[Yaw]])-ABS(V270)),ABS(Dominus[[#This Row],[Yaw]]-V270))</f>
        <v>0.97777422983941165</v>
      </c>
      <c r="Y271" s="1">
        <f>Dominus[[#This Row],[Degree change]]+Y270</f>
        <v>205.02746085537129</v>
      </c>
    </row>
    <row r="272" spans="1:25">
      <c r="A272">
        <v>271</v>
      </c>
      <c r="B272" s="1">
        <v>-1427.6899410000001</v>
      </c>
      <c r="C272" s="1">
        <v>625.85998500000005</v>
      </c>
      <c r="D272" s="1">
        <v>17.049999</v>
      </c>
      <c r="E272" s="1">
        <v>1845.4499510000001</v>
      </c>
      <c r="F272" s="1">
        <v>-1372.669922</v>
      </c>
      <c r="G272" s="1">
        <v>8.0399999999999991</v>
      </c>
      <c r="H272" s="1">
        <v>0</v>
      </c>
      <c r="I272" s="1">
        <v>0</v>
      </c>
      <c r="J272" s="1">
        <v>2.0472999999999999</v>
      </c>
      <c r="K272" s="1">
        <v>2.3930000000000002E-3</v>
      </c>
      <c r="L272" s="1">
        <v>8.0409999999999995E-3</v>
      </c>
      <c r="M272" s="1">
        <v>-0.28523700000000002</v>
      </c>
      <c r="N272" s="1">
        <v>0.95842000000000005</v>
      </c>
      <c r="O272">
        <v>1</v>
      </c>
      <c r="P272">
        <v>0</v>
      </c>
      <c r="Q272">
        <v>1</v>
      </c>
      <c r="R272">
        <v>1</v>
      </c>
      <c r="S272">
        <v>1</v>
      </c>
      <c r="T272" s="1">
        <f>SQRT(POWER(Dominus[[#This Row],[angvel_X]],2) + POWER(Dominus[[#This Row],[angvel_Y]],2) + POWER(Dominus[[#This Row],[angvel_Z]],2))</f>
        <v>2.0472999999999999</v>
      </c>
      <c r="U272" s="1">
        <f>DEGREES(ASIN(MAX(-1,MIN(1,2 * (Dominus[[#This Row],[quart_W]]*Dominus[[#This Row],[quart_Y]] - Dominus[[#This Row],[quart_Z]]*Dominus[[#This Row],[quart_X]])))))</f>
        <v>0.96137975330445613</v>
      </c>
      <c r="V27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123.14722356741488</v>
      </c>
      <c r="W27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90.000010504597242</v>
      </c>
      <c r="X272" s="1">
        <f>IF(Dominus[[#This Row],[Yaw]]&gt;V271,(360-ABS(Dominus[[#This Row],[Yaw]])-ABS(V271)),ABS(Dominus[[#This Row],[Yaw]]-V271))</f>
        <v>0.97783799489332068</v>
      </c>
      <c r="Y272" s="1">
        <f>Dominus[[#This Row],[Degree change]]+Y271</f>
        <v>206.00529885026461</v>
      </c>
    </row>
    <row r="273" spans="1:25">
      <c r="A273">
        <v>272</v>
      </c>
      <c r="B273" s="1">
        <v>-1412.25</v>
      </c>
      <c r="C273" s="1">
        <v>614.38000499999998</v>
      </c>
      <c r="D273" s="1">
        <v>17.049999</v>
      </c>
      <c r="E273" s="1">
        <v>1868.599976</v>
      </c>
      <c r="F273" s="1">
        <v>-1340.9799800000001</v>
      </c>
      <c r="G273" s="1">
        <v>8.0399999999999991</v>
      </c>
      <c r="H273" s="1">
        <v>0</v>
      </c>
      <c r="I273" s="1">
        <v>0</v>
      </c>
      <c r="J273" s="1">
        <v>2.0472999999999999</v>
      </c>
      <c r="K273" s="1">
        <v>2.3219999999999998E-3</v>
      </c>
      <c r="L273" s="1">
        <v>8.0630000000000007E-3</v>
      </c>
      <c r="M273" s="1">
        <v>-0.27705400000000002</v>
      </c>
      <c r="N273" s="1">
        <v>0.96081799999999995</v>
      </c>
      <c r="O273">
        <v>1</v>
      </c>
      <c r="P273">
        <v>0</v>
      </c>
      <c r="Q273">
        <v>1</v>
      </c>
      <c r="R273">
        <v>1</v>
      </c>
      <c r="S273">
        <v>1</v>
      </c>
      <c r="T273" s="1">
        <f>SQRT(POWER(Dominus[[#This Row],[angvel_X]],2) + POWER(Dominus[[#This Row],[angvel_Y]],2) + POWER(Dominus[[#This Row],[angvel_Z]],2))</f>
        <v>2.0472999999999999</v>
      </c>
      <c r="U273" s="1">
        <f>DEGREES(ASIN(MAX(-1,MIN(1,2 * (Dominus[[#This Row],[quart_W]]*Dominus[[#This Row],[quart_Y]] - Dominus[[#This Row],[quart_Z]]*Dominus[[#This Row],[quart_X]])))))</f>
        <v>0.96151356477872363</v>
      </c>
      <c r="V27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122.17008690990797</v>
      </c>
      <c r="W27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90.000328580953877</v>
      </c>
      <c r="X273" s="1">
        <f>IF(Dominus[[#This Row],[Yaw]]&gt;V272,(360-ABS(Dominus[[#This Row],[Yaw]])-ABS(V272)),ABS(Dominus[[#This Row],[Yaw]]-V272))</f>
        <v>0.97713665750691803</v>
      </c>
      <c r="Y273" s="1">
        <f>Dominus[[#This Row],[Degree change]]+Y272</f>
        <v>206.98243550777153</v>
      </c>
    </row>
    <row r="274" spans="1:25">
      <c r="A274">
        <v>273</v>
      </c>
      <c r="B274" s="1">
        <v>-1396.619995</v>
      </c>
      <c r="C274" s="1">
        <v>603.169983</v>
      </c>
      <c r="D274" s="1">
        <v>17.049999</v>
      </c>
      <c r="E274" s="1">
        <v>1891.209961</v>
      </c>
      <c r="F274" s="1">
        <v>-1308.9099120000001</v>
      </c>
      <c r="G274" s="1">
        <v>8.0399999999999991</v>
      </c>
      <c r="H274" s="1">
        <v>0</v>
      </c>
      <c r="I274" s="1">
        <v>0</v>
      </c>
      <c r="J274" s="1">
        <v>2.0472999999999999</v>
      </c>
      <c r="K274" s="1">
        <v>2.2520000000000001E-3</v>
      </c>
      <c r="L274" s="1">
        <v>8.0839999999999992E-3</v>
      </c>
      <c r="M274" s="1">
        <v>-0.26884799999999998</v>
      </c>
      <c r="N274" s="1">
        <v>0.96314599999999995</v>
      </c>
      <c r="O274">
        <v>1</v>
      </c>
      <c r="P274">
        <v>0</v>
      </c>
      <c r="Q274">
        <v>1</v>
      </c>
      <c r="R274">
        <v>1</v>
      </c>
      <c r="S274">
        <v>1</v>
      </c>
      <c r="T274" s="1">
        <f>SQRT(POWER(Dominus[[#This Row],[angvel_X]],2) + POWER(Dominus[[#This Row],[angvel_Y]],2) + POWER(Dominus[[#This Row],[angvel_Z]],2))</f>
        <v>2.0472999999999999</v>
      </c>
      <c r="U274" s="1">
        <f>DEGREES(ASIN(MAX(-1,MIN(1,2 * (Dominus[[#This Row],[quart_W]]*Dominus[[#This Row],[quart_Y]] - Dominus[[#This Row],[quart_Z]]*Dominus[[#This Row],[quart_X]])))))</f>
        <v>0.96164227357956278</v>
      </c>
      <c r="V27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121.19258423854998</v>
      </c>
      <c r="W27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90.000499969218964</v>
      </c>
      <c r="X274" s="1">
        <f>IF(Dominus[[#This Row],[Yaw]]&gt;V273,(360-ABS(Dominus[[#This Row],[Yaw]])-ABS(V273)),ABS(Dominus[[#This Row],[Yaw]]-V273))</f>
        <v>0.97750267135798197</v>
      </c>
      <c r="Y274" s="1">
        <f>Dominus[[#This Row],[Degree change]]+Y273</f>
        <v>207.95993817912949</v>
      </c>
    </row>
    <row r="275" spans="1:25">
      <c r="A275">
        <v>274</v>
      </c>
      <c r="B275" s="1">
        <v>-1380.799927</v>
      </c>
      <c r="C275" s="1">
        <v>592.22997999999995</v>
      </c>
      <c r="D275" s="1">
        <v>17.049999</v>
      </c>
      <c r="E275" s="1">
        <v>1913.26001</v>
      </c>
      <c r="F275" s="1">
        <v>-1276.4499510000001</v>
      </c>
      <c r="G275" s="1">
        <v>8.0399999999999991</v>
      </c>
      <c r="H275" s="1">
        <v>0</v>
      </c>
      <c r="I275" s="1">
        <v>0</v>
      </c>
      <c r="J275" s="1">
        <v>2.0472999999999999</v>
      </c>
      <c r="K275" s="1">
        <v>2.1819999999999999E-3</v>
      </c>
      <c r="L275" s="1">
        <v>8.1060000000000004E-3</v>
      </c>
      <c r="M275" s="1">
        <v>-0.26062099999999999</v>
      </c>
      <c r="N275" s="1">
        <v>0.96540499999999996</v>
      </c>
      <c r="O275">
        <v>1</v>
      </c>
      <c r="P275">
        <v>0</v>
      </c>
      <c r="Q275">
        <v>1</v>
      </c>
      <c r="R275">
        <v>1</v>
      </c>
      <c r="S275">
        <v>1</v>
      </c>
      <c r="T275" s="1">
        <f>SQRT(POWER(Dominus[[#This Row],[angvel_X]],2) + POWER(Dominus[[#This Row],[angvel_Y]],2) + POWER(Dominus[[#This Row],[angvel_Z]],2))</f>
        <v>2.0472999999999999</v>
      </c>
      <c r="U275" s="1">
        <f>DEGREES(ASIN(MAX(-1,MIN(1,2 * (Dominus[[#This Row],[quart_W]]*Dominus[[#This Row],[quart_Y]] - Dominus[[#This Row],[quart_Z]]*Dominus[[#This Row],[quart_X]])))))</f>
        <v>0.96195515170065038</v>
      </c>
      <c r="V27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120.21493024219532</v>
      </c>
      <c r="W27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90.000696828180139</v>
      </c>
      <c r="X275" s="1">
        <f>IF(Dominus[[#This Row],[Yaw]]&gt;V274,(360-ABS(Dominus[[#This Row],[Yaw]])-ABS(V274)),ABS(Dominus[[#This Row],[Yaw]]-V274))</f>
        <v>0.9776539963546611</v>
      </c>
      <c r="Y275" s="1">
        <f>Dominus[[#This Row],[Degree change]]+Y274</f>
        <v>208.93759217548416</v>
      </c>
    </row>
    <row r="276" spans="1:25">
      <c r="A276">
        <v>275</v>
      </c>
      <c r="B276" s="1">
        <v>-1364.799927</v>
      </c>
      <c r="C276" s="1">
        <v>581.55999799999995</v>
      </c>
      <c r="D276" s="1">
        <v>17.049999</v>
      </c>
      <c r="E276" s="1">
        <v>1934.76001</v>
      </c>
      <c r="F276" s="1">
        <v>-1243.630005</v>
      </c>
      <c r="G276" s="1">
        <v>8.0399999999999991</v>
      </c>
      <c r="H276" s="1">
        <v>0</v>
      </c>
      <c r="I276" s="1">
        <v>0</v>
      </c>
      <c r="J276" s="1">
        <v>2.0472999999999999</v>
      </c>
      <c r="K276" s="1">
        <v>2.1120000000000002E-3</v>
      </c>
      <c r="L276" s="1">
        <v>8.1220000000000007E-3</v>
      </c>
      <c r="M276" s="1">
        <v>-0.25237799999999999</v>
      </c>
      <c r="N276" s="1">
        <v>0.96759200000000001</v>
      </c>
      <c r="O276">
        <v>1</v>
      </c>
      <c r="P276">
        <v>0</v>
      </c>
      <c r="Q276">
        <v>1</v>
      </c>
      <c r="R276">
        <v>1</v>
      </c>
      <c r="S276">
        <v>1</v>
      </c>
      <c r="T276" s="1">
        <f>SQRT(POWER(Dominus[[#This Row],[angvel_X]],2) + POWER(Dominus[[#This Row],[angvel_Y]],2) + POWER(Dominus[[#This Row],[angvel_Z]],2))</f>
        <v>2.0472999999999999</v>
      </c>
      <c r="U276" s="1">
        <f>DEGREES(ASIN(MAX(-1,MIN(1,2 * (Dominus[[#This Row],[quart_W]]*Dominus[[#This Row],[quart_Y]] - Dominus[[#This Row],[quart_Z]]*Dominus[[#This Row],[quart_X]])))))</f>
        <v>0.96167512014681478</v>
      </c>
      <c r="V27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119.23759962501288</v>
      </c>
      <c r="W27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90.000717422668714</v>
      </c>
      <c r="X276" s="1">
        <f>IF(Dominus[[#This Row],[Yaw]]&gt;V275,(360-ABS(Dominus[[#This Row],[Yaw]])-ABS(V275)),ABS(Dominus[[#This Row],[Yaw]]-V275))</f>
        <v>0.97733061718244585</v>
      </c>
      <c r="Y276" s="1">
        <f>Dominus[[#This Row],[Degree change]]+Y275</f>
        <v>209.9149227926666</v>
      </c>
    </row>
    <row r="277" spans="1:25">
      <c r="A277">
        <v>276</v>
      </c>
      <c r="B277" s="1">
        <v>-1348.619995</v>
      </c>
      <c r="C277" s="1">
        <v>571.15997300000004</v>
      </c>
      <c r="D277" s="1">
        <v>17.049999</v>
      </c>
      <c r="E277" s="1">
        <v>1955.6899410000001</v>
      </c>
      <c r="F277" s="1">
        <v>-1210.4399410000001</v>
      </c>
      <c r="G277" s="1">
        <v>8.0399999999999991</v>
      </c>
      <c r="H277" s="1">
        <v>0</v>
      </c>
      <c r="I277" s="1">
        <v>0</v>
      </c>
      <c r="J277" s="1">
        <v>2.0472999999999999</v>
      </c>
      <c r="K277" s="1">
        <v>2.042E-3</v>
      </c>
      <c r="L277" s="1">
        <v>8.1379999999999994E-3</v>
      </c>
      <c r="M277" s="1">
        <v>-0.244113</v>
      </c>
      <c r="N277" s="1">
        <v>0.96971099999999999</v>
      </c>
      <c r="O277">
        <v>1</v>
      </c>
      <c r="P277">
        <v>0</v>
      </c>
      <c r="Q277">
        <v>1</v>
      </c>
      <c r="R277">
        <v>1</v>
      </c>
      <c r="S277">
        <v>1</v>
      </c>
      <c r="T277" s="1">
        <f>SQRT(POWER(Dominus[[#This Row],[angvel_X]],2) + POWER(Dominus[[#This Row],[angvel_Y]],2) + POWER(Dominus[[#This Row],[angvel_Z]],2))</f>
        <v>2.0472999999999999</v>
      </c>
      <c r="U277" s="1">
        <f>DEGREES(ASIN(MAX(-1,MIN(1,2 * (Dominus[[#This Row],[quart_W]]*Dominus[[#This Row],[quart_Y]] - Dominus[[#This Row],[quart_Z]]*Dominus[[#This Row],[quart_X]])))))</f>
        <v>0.96146679819157066</v>
      </c>
      <c r="V27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118.25987570847562</v>
      </c>
      <c r="W27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90.000738272056665</v>
      </c>
      <c r="X277" s="1">
        <f>IF(Dominus[[#This Row],[Yaw]]&gt;V276,(360-ABS(Dominus[[#This Row],[Yaw]])-ABS(V276)),ABS(Dominus[[#This Row],[Yaw]]-V276))</f>
        <v>0.97772391653725776</v>
      </c>
      <c r="Y277" s="1">
        <f>Dominus[[#This Row],[Degree change]]+Y276</f>
        <v>210.89264670920386</v>
      </c>
    </row>
    <row r="278" spans="1:25">
      <c r="A278">
        <v>277</v>
      </c>
      <c r="B278" s="1">
        <v>-1332.26001</v>
      </c>
      <c r="C278" s="1">
        <v>561.03997800000002</v>
      </c>
      <c r="D278" s="1">
        <v>17.049999</v>
      </c>
      <c r="E278" s="1">
        <v>1976.059937</v>
      </c>
      <c r="F278" s="1">
        <v>-1176.900024</v>
      </c>
      <c r="G278" s="1">
        <v>8.0399999999999991</v>
      </c>
      <c r="H278" s="1">
        <v>0</v>
      </c>
      <c r="I278" s="1">
        <v>0</v>
      </c>
      <c r="J278" s="1">
        <v>2.0472999999999999</v>
      </c>
      <c r="K278" s="1">
        <v>1.9719999999999998E-3</v>
      </c>
      <c r="L278" s="1">
        <v>8.1539999999999998E-3</v>
      </c>
      <c r="M278" s="1">
        <v>-0.23583200000000001</v>
      </c>
      <c r="N278" s="1">
        <v>0.97175800000000001</v>
      </c>
      <c r="O278">
        <v>1</v>
      </c>
      <c r="P278">
        <v>0</v>
      </c>
      <c r="Q278">
        <v>1</v>
      </c>
      <c r="R278">
        <v>1</v>
      </c>
      <c r="S278">
        <v>1</v>
      </c>
      <c r="T278" s="1">
        <f>SQRT(POWER(Dominus[[#This Row],[angvel_X]],2) + POWER(Dominus[[#This Row],[angvel_Y]],2) + POWER(Dominus[[#This Row],[angvel_Z]],2))</f>
        <v>2.0472999999999999</v>
      </c>
      <c r="U278" s="1">
        <f>DEGREES(ASIN(MAX(-1,MIN(1,2 * (Dominus[[#This Row],[quart_W]]*Dominus[[#This Row],[quart_Y]] - Dominus[[#This Row],[quart_Z]]*Dominus[[#This Row],[quart_X]])))))</f>
        <v>0.96132795922357783</v>
      </c>
      <c r="V27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117.28233667552483</v>
      </c>
      <c r="W27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90.000764129813774</v>
      </c>
      <c r="X278" s="1">
        <f>IF(Dominus[[#This Row],[Yaw]]&gt;V277,(360-ABS(Dominus[[#This Row],[Yaw]])-ABS(V277)),ABS(Dominus[[#This Row],[Yaw]]-V277))</f>
        <v>0.97753903295078715</v>
      </c>
      <c r="Y278" s="1">
        <f>Dominus[[#This Row],[Degree change]]+Y277</f>
        <v>211.87018574215466</v>
      </c>
    </row>
    <row r="279" spans="1:25">
      <c r="A279">
        <v>278</v>
      </c>
      <c r="B279" s="1">
        <v>-1315.7299800000001</v>
      </c>
      <c r="C279" s="1">
        <v>551.20001200000002</v>
      </c>
      <c r="D279" s="1">
        <v>17.049999</v>
      </c>
      <c r="E279" s="1">
        <v>1995.849976</v>
      </c>
      <c r="F279" s="1">
        <v>-1143.0200199999999</v>
      </c>
      <c r="G279" s="1">
        <v>8.0399999999999991</v>
      </c>
      <c r="H279" s="1">
        <v>0</v>
      </c>
      <c r="I279" s="1">
        <v>0</v>
      </c>
      <c r="J279" s="1">
        <v>2.0472999999999999</v>
      </c>
      <c r="K279" s="1">
        <v>1.902E-3</v>
      </c>
      <c r="L279" s="1">
        <v>8.1700000000000002E-3</v>
      </c>
      <c r="M279" s="1">
        <v>-0.22753399999999999</v>
      </c>
      <c r="N279" s="1">
        <v>0.97373399999999999</v>
      </c>
      <c r="O279">
        <v>1</v>
      </c>
      <c r="P279">
        <v>0</v>
      </c>
      <c r="Q279">
        <v>1</v>
      </c>
      <c r="R279">
        <v>1</v>
      </c>
      <c r="S279">
        <v>1</v>
      </c>
      <c r="T279" s="1">
        <f>SQRT(POWER(Dominus[[#This Row],[angvel_X]],2) + POWER(Dominus[[#This Row],[angvel_Y]],2) + POWER(Dominus[[#This Row],[angvel_Z]],2))</f>
        <v>2.0472999999999999</v>
      </c>
      <c r="U279" s="1">
        <f>DEGREES(ASIN(MAX(-1,MIN(1,2 * (Dominus[[#This Row],[quart_W]]*Dominus[[#This Row],[quart_Y]] - Dominus[[#This Row],[quart_Z]]*Dominus[[#This Row],[quart_X]])))))</f>
        <v>0.96125931059300807</v>
      </c>
      <c r="V27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116.30481136549699</v>
      </c>
      <c r="W27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90.000792020725456</v>
      </c>
      <c r="X279" s="1">
        <f>IF(Dominus[[#This Row],[Yaw]]&gt;V278,(360-ABS(Dominus[[#This Row],[Yaw]])-ABS(V278)),ABS(Dominus[[#This Row],[Yaw]]-V278))</f>
        <v>0.97752531002784337</v>
      </c>
      <c r="Y279" s="1">
        <f>Dominus[[#This Row],[Degree change]]+Y278</f>
        <v>212.84771105218249</v>
      </c>
    </row>
    <row r="280" spans="1:25">
      <c r="A280">
        <v>279</v>
      </c>
      <c r="B280" s="1">
        <v>-1299.0399170000001</v>
      </c>
      <c r="C280" s="1">
        <v>541.64001499999995</v>
      </c>
      <c r="D280" s="1">
        <v>17.049999</v>
      </c>
      <c r="E280" s="1">
        <v>2015.059937</v>
      </c>
      <c r="F280" s="1">
        <v>-1108.799927</v>
      </c>
      <c r="G280" s="1">
        <v>8.0399999999999991</v>
      </c>
      <c r="H280" s="1">
        <v>0</v>
      </c>
      <c r="I280" s="1">
        <v>0</v>
      </c>
      <c r="J280" s="1">
        <v>2.0472999999999999</v>
      </c>
      <c r="K280" s="1">
        <v>1.8320000000000001E-3</v>
      </c>
      <c r="L280" s="1">
        <v>8.1869999999999998E-3</v>
      </c>
      <c r="M280" s="1">
        <v>-0.219221</v>
      </c>
      <c r="N280" s="1">
        <v>0.97563900000000003</v>
      </c>
      <c r="O280">
        <v>1</v>
      </c>
      <c r="P280">
        <v>0</v>
      </c>
      <c r="Q280">
        <v>1</v>
      </c>
      <c r="R280">
        <v>1</v>
      </c>
      <c r="S280">
        <v>1</v>
      </c>
      <c r="T280" s="1">
        <f>SQRT(POWER(Dominus[[#This Row],[angvel_X]],2) + POWER(Dominus[[#This Row],[angvel_Y]],2) + POWER(Dominus[[#This Row],[angvel_Z]],2))</f>
        <v>2.0472999999999999</v>
      </c>
      <c r="U280" s="1">
        <f>DEGREES(ASIN(MAX(-1,MIN(1,2 * (Dominus[[#This Row],[quart_W]]*Dominus[[#This Row],[quart_Y]] - Dominus[[#This Row],[quart_Z]]*Dominus[[#This Row],[quart_X]])))))</f>
        <v>0.96137310651674923</v>
      </c>
      <c r="V28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115.32747502866674</v>
      </c>
      <c r="W28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90.000847143269667</v>
      </c>
      <c r="X280" s="1">
        <f>IF(Dominus[[#This Row],[Yaw]]&gt;V279,(360-ABS(Dominus[[#This Row],[Yaw]])-ABS(V279)),ABS(Dominus[[#This Row],[Yaw]]-V279))</f>
        <v>0.97733633683024834</v>
      </c>
      <c r="Y280" s="1">
        <f>Dominus[[#This Row],[Degree change]]+Y279</f>
        <v>213.82504738901275</v>
      </c>
    </row>
    <row r="281" spans="1:25">
      <c r="A281">
        <v>280</v>
      </c>
      <c r="B281" s="1">
        <v>-1282.1899410000001</v>
      </c>
      <c r="C281" s="1">
        <v>532.36999500000002</v>
      </c>
      <c r="D281" s="1">
        <v>17.049999</v>
      </c>
      <c r="E281" s="1">
        <v>2033.679932</v>
      </c>
      <c r="F281" s="1">
        <v>-1074.26001</v>
      </c>
      <c r="G281" s="1">
        <v>8.0399999999999991</v>
      </c>
      <c r="H281" s="1">
        <v>0</v>
      </c>
      <c r="I281" s="1">
        <v>0</v>
      </c>
      <c r="J281" s="1">
        <v>2.0472999999999999</v>
      </c>
      <c r="K281" s="1">
        <v>1.761E-3</v>
      </c>
      <c r="L281" s="1">
        <v>8.2030000000000002E-3</v>
      </c>
      <c r="M281" s="1">
        <v>-0.210891</v>
      </c>
      <c r="N281" s="1">
        <v>0.97747300000000004</v>
      </c>
      <c r="O281">
        <v>1</v>
      </c>
      <c r="P281">
        <v>0</v>
      </c>
      <c r="Q281">
        <v>1</v>
      </c>
      <c r="R281">
        <v>1</v>
      </c>
      <c r="S281">
        <v>1</v>
      </c>
      <c r="T281" s="1">
        <f>SQRT(POWER(Dominus[[#This Row],[angvel_X]],2) + POWER(Dominus[[#This Row],[angvel_Y]],2) + POWER(Dominus[[#This Row],[angvel_Z]],2))</f>
        <v>2.0472999999999999</v>
      </c>
      <c r="U281" s="1">
        <f>DEGREES(ASIN(MAX(-1,MIN(1,2 * (Dominus[[#This Row],[quart_W]]*Dominus[[#This Row],[quart_Y]] - Dominus[[#This Row],[quart_Z]]*Dominus[[#This Row],[quart_X]])))))</f>
        <v>0.96142132254611845</v>
      </c>
      <c r="V28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114.35001014605596</v>
      </c>
      <c r="W28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90.000986648465243</v>
      </c>
      <c r="X281" s="1">
        <f>IF(Dominus[[#This Row],[Yaw]]&gt;V280,(360-ABS(Dominus[[#This Row],[Yaw]])-ABS(V280)),ABS(Dominus[[#This Row],[Yaw]]-V280))</f>
        <v>0.97746488261077502</v>
      </c>
      <c r="Y281" s="1">
        <f>Dominus[[#This Row],[Degree change]]+Y280</f>
        <v>214.80251227162353</v>
      </c>
    </row>
    <row r="282" spans="1:25">
      <c r="A282">
        <v>281</v>
      </c>
      <c r="B282" s="1">
        <v>-1265.179932</v>
      </c>
      <c r="C282" s="1">
        <v>523.39001499999995</v>
      </c>
      <c r="D282" s="1">
        <v>17.049999</v>
      </c>
      <c r="E282" s="1">
        <v>2051.709961</v>
      </c>
      <c r="F282" s="1">
        <v>-1039.410034</v>
      </c>
      <c r="G282" s="1">
        <v>8.0399999999999991</v>
      </c>
      <c r="H282" s="1">
        <v>0</v>
      </c>
      <c r="I282" s="1">
        <v>0</v>
      </c>
      <c r="J282" s="1">
        <v>2.0472999999999999</v>
      </c>
      <c r="K282" s="1">
        <v>1.691E-3</v>
      </c>
      <c r="L282" s="1">
        <v>8.2190000000000006E-3</v>
      </c>
      <c r="M282" s="1">
        <v>-0.202546</v>
      </c>
      <c r="N282" s="1">
        <v>0.97923700000000002</v>
      </c>
      <c r="O282">
        <v>1</v>
      </c>
      <c r="P282">
        <v>0</v>
      </c>
      <c r="Q282">
        <v>1</v>
      </c>
      <c r="R282">
        <v>1</v>
      </c>
      <c r="S282">
        <v>1</v>
      </c>
      <c r="T282" s="1">
        <f>SQRT(POWER(Dominus[[#This Row],[angvel_X]],2) + POWER(Dominus[[#This Row],[angvel_Y]],2) + POWER(Dominus[[#This Row],[angvel_Z]],2))</f>
        <v>2.0472999999999999</v>
      </c>
      <c r="U282" s="1">
        <f>DEGREES(ASIN(MAX(-1,MIN(1,2 * (Dominus[[#This Row],[quart_W]]*Dominus[[#This Row],[quart_Y]] - Dominus[[#This Row],[quart_Z]]*Dominus[[#This Row],[quart_X]])))))</f>
        <v>0.96156620031213991</v>
      </c>
      <c r="V28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113.37261089197038</v>
      </c>
      <c r="W28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90.001012651503785</v>
      </c>
      <c r="X282" s="1">
        <f>IF(Dominus[[#This Row],[Yaw]]&gt;V281,(360-ABS(Dominus[[#This Row],[Yaw]])-ABS(V281)),ABS(Dominus[[#This Row],[Yaw]]-V281))</f>
        <v>0.97739925408558292</v>
      </c>
      <c r="Y282" s="1">
        <f>Dominus[[#This Row],[Degree change]]+Y281</f>
        <v>215.77991152570911</v>
      </c>
    </row>
    <row r="283" spans="1:25">
      <c r="A283">
        <v>282</v>
      </c>
      <c r="B283" s="1">
        <v>-1248.0200199999999</v>
      </c>
      <c r="C283" s="1">
        <v>514.70001200000002</v>
      </c>
      <c r="D283" s="1">
        <v>17.049999</v>
      </c>
      <c r="E283" s="1">
        <v>2069.1499020000001</v>
      </c>
      <c r="F283" s="1">
        <v>-1004.259949</v>
      </c>
      <c r="G283" s="1">
        <v>8.0399999999999991</v>
      </c>
      <c r="H283" s="1">
        <v>0</v>
      </c>
      <c r="I283" s="1">
        <v>0</v>
      </c>
      <c r="J283" s="1">
        <v>2.0472999999999999</v>
      </c>
      <c r="K283" s="1">
        <v>1.621E-3</v>
      </c>
      <c r="L283" s="1">
        <v>8.2349999999999993E-3</v>
      </c>
      <c r="M283" s="1">
        <v>-0.194184</v>
      </c>
      <c r="N283" s="1">
        <v>0.98092900000000005</v>
      </c>
      <c r="O283">
        <v>1</v>
      </c>
      <c r="P283">
        <v>0</v>
      </c>
      <c r="Q283">
        <v>1</v>
      </c>
      <c r="R283">
        <v>1</v>
      </c>
      <c r="S283">
        <v>1</v>
      </c>
      <c r="T283" s="1">
        <f>SQRT(POWER(Dominus[[#This Row],[angvel_X]],2) + POWER(Dominus[[#This Row],[angvel_Y]],2) + POWER(Dominus[[#This Row],[angvel_Z]],2))</f>
        <v>2.0472999999999999</v>
      </c>
      <c r="U283" s="1">
        <f>DEGREES(ASIN(MAX(-1,MIN(1,2 * (Dominus[[#This Row],[quart_W]]*Dominus[[#This Row],[quart_Y]] - Dominus[[#This Row],[quart_Z]]*Dominus[[#This Row],[quart_X]])))))</f>
        <v>0.96178033219647219</v>
      </c>
      <c r="V28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112.39492136315381</v>
      </c>
      <c r="W28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90.001033684831995</v>
      </c>
      <c r="X283" s="1">
        <f>IF(Dominus[[#This Row],[Yaw]]&gt;V282,(360-ABS(Dominus[[#This Row],[Yaw]])-ABS(V282)),ABS(Dominus[[#This Row],[Yaw]]-V282))</f>
        <v>0.97768952881656901</v>
      </c>
      <c r="Y283" s="1">
        <f>Dominus[[#This Row],[Degree change]]+Y282</f>
        <v>216.75760105452568</v>
      </c>
    </row>
    <row r="284" spans="1:25">
      <c r="A284">
        <v>283</v>
      </c>
      <c r="B284" s="1">
        <v>-1230.709961</v>
      </c>
      <c r="C284" s="1">
        <v>506.29998799999998</v>
      </c>
      <c r="D284" s="1">
        <v>17.049999</v>
      </c>
      <c r="E284" s="1">
        <v>2085.9799800000001</v>
      </c>
      <c r="F284" s="1">
        <v>-968.80999799999995</v>
      </c>
      <c r="G284" s="1">
        <v>8.0399999999999991</v>
      </c>
      <c r="H284" s="1">
        <v>0</v>
      </c>
      <c r="I284" s="1">
        <v>0</v>
      </c>
      <c r="J284" s="1">
        <v>2.0472999999999999</v>
      </c>
      <c r="K284" s="1">
        <v>1.5510000000000001E-3</v>
      </c>
      <c r="L284" s="1">
        <v>8.2509999999999997E-3</v>
      </c>
      <c r="M284" s="1">
        <v>-0.185811</v>
      </c>
      <c r="N284" s="1">
        <v>0.98254900000000001</v>
      </c>
      <c r="O284">
        <v>1</v>
      </c>
      <c r="P284">
        <v>0</v>
      </c>
      <c r="Q284">
        <v>1</v>
      </c>
      <c r="R284">
        <v>1</v>
      </c>
      <c r="S284">
        <v>1</v>
      </c>
      <c r="T284" s="1">
        <f>SQRT(POWER(Dominus[[#This Row],[angvel_X]],2) + POWER(Dominus[[#This Row],[angvel_Y]],2) + POWER(Dominus[[#This Row],[angvel_Z]],2))</f>
        <v>2.0472999999999999</v>
      </c>
      <c r="U284" s="1">
        <f>DEGREES(ASIN(MAX(-1,MIN(1,2 * (Dominus[[#This Row],[quart_W]]*Dominus[[#This Row],[quart_Y]] - Dominus[[#This Row],[quart_Z]]*Dominus[[#This Row],[quart_X]])))))</f>
        <v>0.9620647978168293</v>
      </c>
      <c r="V28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111.41759822187088</v>
      </c>
      <c r="W28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90.001053595831252</v>
      </c>
      <c r="X284" s="1">
        <f>IF(Dominus[[#This Row],[Yaw]]&gt;V283,(360-ABS(Dominus[[#This Row],[Yaw]])-ABS(V283)),ABS(Dominus[[#This Row],[Yaw]]-V283))</f>
        <v>0.97732314128293751</v>
      </c>
      <c r="Y284" s="1">
        <f>Dominus[[#This Row],[Degree change]]+Y283</f>
        <v>217.73492419580862</v>
      </c>
    </row>
    <row r="285" spans="1:25">
      <c r="A285">
        <v>284</v>
      </c>
      <c r="B285" s="1">
        <v>-1213.26001</v>
      </c>
      <c r="C285" s="1">
        <v>498.19998199999998</v>
      </c>
      <c r="D285" s="1">
        <v>17.049999</v>
      </c>
      <c r="E285" s="1">
        <v>2102.1999510000001</v>
      </c>
      <c r="F285" s="1">
        <v>-933.07995600000004</v>
      </c>
      <c r="G285" s="1">
        <v>8.0399999999999991</v>
      </c>
      <c r="H285" s="1">
        <v>0</v>
      </c>
      <c r="I285" s="1">
        <v>0</v>
      </c>
      <c r="J285" s="1">
        <v>2.0472999999999999</v>
      </c>
      <c r="K285" s="1">
        <v>1.4809999999999999E-3</v>
      </c>
      <c r="L285" s="1">
        <v>8.2620000000000002E-3</v>
      </c>
      <c r="M285" s="1">
        <v>-0.177422</v>
      </c>
      <c r="N285" s="1">
        <v>0.98409899999999995</v>
      </c>
      <c r="O285">
        <v>1</v>
      </c>
      <c r="P285">
        <v>0</v>
      </c>
      <c r="Q285">
        <v>1</v>
      </c>
      <c r="R285">
        <v>1</v>
      </c>
      <c r="S285">
        <v>1</v>
      </c>
      <c r="T285" s="1">
        <f>SQRT(POWER(Dominus[[#This Row],[angvel_X]],2) + POWER(Dominus[[#This Row],[angvel_Y]],2) + POWER(Dominus[[#This Row],[angvel_Z]],2))</f>
        <v>2.0472999999999999</v>
      </c>
      <c r="U285" s="1">
        <f>DEGREES(ASIN(MAX(-1,MIN(1,2 * (Dominus[[#This Row],[quart_W]]*Dominus[[#This Row],[quart_Y]] - Dominus[[#This Row],[quart_Z]]*Dominus[[#This Row],[quart_X]])))))</f>
        <v>0.96185658540276964</v>
      </c>
      <c r="V28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110.44000346685102</v>
      </c>
      <c r="W28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90.00096384452219</v>
      </c>
      <c r="X285" s="1">
        <f>IF(Dominus[[#This Row],[Yaw]]&gt;V284,(360-ABS(Dominus[[#This Row],[Yaw]])-ABS(V284)),ABS(Dominus[[#This Row],[Yaw]]-V284))</f>
        <v>0.97759475501985094</v>
      </c>
      <c r="Y285" s="1">
        <f>Dominus[[#This Row],[Degree change]]+Y284</f>
        <v>218.71251895082847</v>
      </c>
    </row>
    <row r="286" spans="1:25">
      <c r="A286">
        <v>285</v>
      </c>
      <c r="B286" s="1">
        <v>-1195.679932</v>
      </c>
      <c r="C286" s="1">
        <v>490.39999399999999</v>
      </c>
      <c r="D286" s="1">
        <v>17.049999</v>
      </c>
      <c r="E286" s="1">
        <v>2117.820068</v>
      </c>
      <c r="F286" s="1">
        <v>-897.07995600000004</v>
      </c>
      <c r="G286" s="1">
        <v>8.0399999999999991</v>
      </c>
      <c r="H286" s="1">
        <v>0</v>
      </c>
      <c r="I286" s="1">
        <v>0</v>
      </c>
      <c r="J286" s="1">
        <v>2.0472999999999999</v>
      </c>
      <c r="K286" s="1">
        <v>1.4109999999999999E-3</v>
      </c>
      <c r="L286" s="1">
        <v>8.2730000000000008E-3</v>
      </c>
      <c r="M286" s="1">
        <v>-0.16902200000000001</v>
      </c>
      <c r="N286" s="1">
        <v>0.98557600000000001</v>
      </c>
      <c r="O286">
        <v>1</v>
      </c>
      <c r="P286">
        <v>0</v>
      </c>
      <c r="Q286">
        <v>1</v>
      </c>
      <c r="R286">
        <v>1</v>
      </c>
      <c r="S286">
        <v>1</v>
      </c>
      <c r="T286" s="1">
        <f>SQRT(POWER(Dominus[[#This Row],[angvel_X]],2) + POWER(Dominus[[#This Row],[angvel_Y]],2) + POWER(Dominus[[#This Row],[angvel_Z]],2))</f>
        <v>2.0472999999999999</v>
      </c>
      <c r="U286" s="1">
        <f>DEGREES(ASIN(MAX(-1,MIN(1,2 * (Dominus[[#This Row],[quart_W]]*Dominus[[#This Row],[quart_Y]] - Dominus[[#This Row],[quart_Z]]*Dominus[[#This Row],[quart_X]])))))</f>
        <v>0.96171588954491127</v>
      </c>
      <c r="V28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109.46261137191526</v>
      </c>
      <c r="W28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90.000879186637235</v>
      </c>
      <c r="X286" s="1">
        <f>IF(Dominus[[#This Row],[Yaw]]&gt;V285,(360-ABS(Dominus[[#This Row],[Yaw]])-ABS(V285)),ABS(Dominus[[#This Row],[Yaw]]-V285))</f>
        <v>0.97739209493576595</v>
      </c>
      <c r="Y286" s="1">
        <f>Dominus[[#This Row],[Degree change]]+Y285</f>
        <v>219.68991104576423</v>
      </c>
    </row>
    <row r="287" spans="1:25">
      <c r="A287">
        <v>286</v>
      </c>
      <c r="B287" s="1">
        <v>-1177.969971</v>
      </c>
      <c r="C287" s="1">
        <v>482.89999399999999</v>
      </c>
      <c r="D287" s="1">
        <v>17.049999</v>
      </c>
      <c r="E287" s="1">
        <v>2132.8100589999999</v>
      </c>
      <c r="F287" s="1">
        <v>-860.82000700000003</v>
      </c>
      <c r="G287" s="1">
        <v>8.0399999999999991</v>
      </c>
      <c r="H287" s="1">
        <v>0</v>
      </c>
      <c r="I287" s="1">
        <v>0</v>
      </c>
      <c r="J287" s="1">
        <v>2.0472999999999999</v>
      </c>
      <c r="K287" s="1">
        <v>1.341E-3</v>
      </c>
      <c r="L287" s="1">
        <v>8.2839999999999997E-3</v>
      </c>
      <c r="M287" s="1">
        <v>-0.160606</v>
      </c>
      <c r="N287" s="1">
        <v>0.98698300000000005</v>
      </c>
      <c r="O287">
        <v>1</v>
      </c>
      <c r="P287">
        <v>0</v>
      </c>
      <c r="Q287">
        <v>1</v>
      </c>
      <c r="R287">
        <v>1</v>
      </c>
      <c r="S287">
        <v>1</v>
      </c>
      <c r="T287" s="1">
        <f>SQRT(POWER(Dominus[[#This Row],[angvel_X]],2) + POWER(Dominus[[#This Row],[angvel_Y]],2) + POWER(Dominus[[#This Row],[angvel_Z]],2))</f>
        <v>2.0472999999999999</v>
      </c>
      <c r="U287" s="1">
        <f>DEGREES(ASIN(MAX(-1,MIN(1,2 * (Dominus[[#This Row],[quart_W]]*Dominus[[#This Row],[quart_Y]] - Dominus[[#This Row],[quart_Z]]*Dominus[[#This Row],[quart_X]])))))</f>
        <v>0.96164477867469134</v>
      </c>
      <c r="V28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108.48480932804372</v>
      </c>
      <c r="W28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90.000792615514229</v>
      </c>
      <c r="X287" s="1">
        <f>IF(Dominus[[#This Row],[Yaw]]&gt;V286,(360-ABS(Dominus[[#This Row],[Yaw]])-ABS(V286)),ABS(Dominus[[#This Row],[Yaw]]-V286))</f>
        <v>0.97780204387153447</v>
      </c>
      <c r="Y287" s="1">
        <f>Dominus[[#This Row],[Degree change]]+Y286</f>
        <v>220.66771308963575</v>
      </c>
    </row>
    <row r="288" spans="1:25">
      <c r="A288">
        <v>287</v>
      </c>
      <c r="B288" s="1">
        <v>-1160.130005</v>
      </c>
      <c r="C288" s="1">
        <v>475.69998199999998</v>
      </c>
      <c r="D288" s="1">
        <v>17.049999</v>
      </c>
      <c r="E288" s="1">
        <v>2147.1899410000001</v>
      </c>
      <c r="F288" s="1">
        <v>-824.30999799999995</v>
      </c>
      <c r="G288" s="1">
        <v>8.0399999999999991</v>
      </c>
      <c r="H288" s="1">
        <v>0</v>
      </c>
      <c r="I288" s="1">
        <v>0</v>
      </c>
      <c r="J288" s="1">
        <v>2.0472999999999999</v>
      </c>
      <c r="K288" s="1">
        <v>1.2700000000000001E-3</v>
      </c>
      <c r="L288" s="1">
        <v>8.2950000000000003E-3</v>
      </c>
      <c r="M288" s="1">
        <v>-0.15218000000000001</v>
      </c>
      <c r="N288" s="1">
        <v>0.988317</v>
      </c>
      <c r="O288">
        <v>1</v>
      </c>
      <c r="P288">
        <v>0</v>
      </c>
      <c r="Q288">
        <v>1</v>
      </c>
      <c r="R288">
        <v>1</v>
      </c>
      <c r="S288">
        <v>1</v>
      </c>
      <c r="T288" s="1">
        <f>SQRT(POWER(Dominus[[#This Row],[angvel_X]],2) + POWER(Dominus[[#This Row],[angvel_Y]],2) + POWER(Dominus[[#This Row],[angvel_Z]],2))</f>
        <v>2.0472999999999999</v>
      </c>
      <c r="U288" s="1">
        <f>DEGREES(ASIN(MAX(-1,MIN(1,2 * (Dominus[[#This Row],[quart_W]]*Dominus[[#This Row],[quart_Y]] - Dominus[[#This Row],[quart_Z]]*Dominus[[#This Row],[quart_X]])))))</f>
        <v>0.96162395411165247</v>
      </c>
      <c r="V28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107.5071892421231</v>
      </c>
      <c r="W28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90.000821795661423</v>
      </c>
      <c r="X288" s="1">
        <f>IF(Dominus[[#This Row],[Yaw]]&gt;V287,(360-ABS(Dominus[[#This Row],[Yaw]])-ABS(V287)),ABS(Dominus[[#This Row],[Yaw]]-V287))</f>
        <v>0.97762008592061989</v>
      </c>
      <c r="Y288" s="1">
        <f>Dominus[[#This Row],[Degree change]]+Y287</f>
        <v>221.64533317555637</v>
      </c>
    </row>
    <row r="289" spans="1:25">
      <c r="A289">
        <v>288</v>
      </c>
      <c r="B289" s="1">
        <v>-1142.169922</v>
      </c>
      <c r="C289" s="1">
        <v>468.80999800000001</v>
      </c>
      <c r="D289" s="1">
        <v>17.049999</v>
      </c>
      <c r="E289" s="1">
        <v>2160.9399410000001</v>
      </c>
      <c r="F289" s="1">
        <v>-787.55999799999995</v>
      </c>
      <c r="G289" s="1">
        <v>8.0399999999999991</v>
      </c>
      <c r="H289" s="1">
        <v>0</v>
      </c>
      <c r="I289" s="1">
        <v>0</v>
      </c>
      <c r="J289" s="1">
        <v>2.0472999999999999</v>
      </c>
      <c r="K289" s="1">
        <v>1.1999999999999999E-3</v>
      </c>
      <c r="L289" s="1">
        <v>8.3049999999999999E-3</v>
      </c>
      <c r="M289" s="1">
        <v>-0.14374200000000001</v>
      </c>
      <c r="N289" s="1">
        <v>0.98957899999999999</v>
      </c>
      <c r="O289">
        <v>1</v>
      </c>
      <c r="P289">
        <v>0</v>
      </c>
      <c r="Q289">
        <v>1</v>
      </c>
      <c r="R289">
        <v>1</v>
      </c>
      <c r="S289">
        <v>1</v>
      </c>
      <c r="T289" s="1">
        <f>SQRT(POWER(Dominus[[#This Row],[angvel_X]],2) + POWER(Dominus[[#This Row],[angvel_Y]],2) + POWER(Dominus[[#This Row],[angvel_Z]],2))</f>
        <v>2.0472999999999999</v>
      </c>
      <c r="U289" s="1">
        <f>DEGREES(ASIN(MAX(-1,MIN(1,2 * (Dominus[[#This Row],[quart_W]]*Dominus[[#This Row],[quart_Y]] - Dominus[[#This Row],[quart_Z]]*Dominus[[#This Row],[quart_X]])))))</f>
        <v>0.96157649277111756</v>
      </c>
      <c r="V28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106.5294582371629</v>
      </c>
      <c r="W28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90.000720024013589</v>
      </c>
      <c r="X289" s="1">
        <f>IF(Dominus[[#This Row],[Yaw]]&gt;V288,(360-ABS(Dominus[[#This Row],[Yaw]])-ABS(V288)),ABS(Dominus[[#This Row],[Yaw]]-V288))</f>
        <v>0.97773100496020504</v>
      </c>
      <c r="Y289" s="1">
        <f>Dominus[[#This Row],[Degree change]]+Y288</f>
        <v>222.62306418051656</v>
      </c>
    </row>
    <row r="290" spans="1:25">
      <c r="A290">
        <v>289</v>
      </c>
      <c r="B290" s="1">
        <v>-1124.099976</v>
      </c>
      <c r="C290" s="1">
        <v>462.22998000000001</v>
      </c>
      <c r="D290" s="1">
        <v>17.049999</v>
      </c>
      <c r="E290" s="1">
        <v>2174.0600589999999</v>
      </c>
      <c r="F290" s="1">
        <v>-750.57995600000004</v>
      </c>
      <c r="G290" s="1">
        <v>8.0399999999999991</v>
      </c>
      <c r="H290" s="1">
        <v>0</v>
      </c>
      <c r="I290" s="1">
        <v>0</v>
      </c>
      <c r="J290" s="1">
        <v>2.0472999999999999</v>
      </c>
      <c r="K290" s="1">
        <v>1.1299999999999999E-3</v>
      </c>
      <c r="L290" s="1">
        <v>8.3160000000000005E-3</v>
      </c>
      <c r="M290" s="1">
        <v>-0.135294</v>
      </c>
      <c r="N290" s="1">
        <v>0.99077000000000004</v>
      </c>
      <c r="O290">
        <v>1</v>
      </c>
      <c r="P290">
        <v>0</v>
      </c>
      <c r="Q290">
        <v>1</v>
      </c>
      <c r="R290">
        <v>1</v>
      </c>
      <c r="S290">
        <v>1</v>
      </c>
      <c r="T290" s="1">
        <f>SQRT(POWER(Dominus[[#This Row],[angvel_X]],2) + POWER(Dominus[[#This Row],[angvel_Y]],2) + POWER(Dominus[[#This Row],[angvel_Z]],2))</f>
        <v>2.0472999999999999</v>
      </c>
      <c r="U290" s="1">
        <f>DEGREES(ASIN(MAX(-1,MIN(1,2 * (Dominus[[#This Row],[quart_W]]*Dominus[[#This Row],[quart_Y]] - Dominus[[#This Row],[quart_Z]]*Dominus[[#This Row],[quart_X]])))))</f>
        <v>0.96171190692721964</v>
      </c>
      <c r="V29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105.55179873660498</v>
      </c>
      <c r="W29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90.000634331174624</v>
      </c>
      <c r="X290" s="1">
        <f>IF(Dominus[[#This Row],[Yaw]]&gt;V289,(360-ABS(Dominus[[#This Row],[Yaw]])-ABS(V289)),ABS(Dominus[[#This Row],[Yaw]]-V289))</f>
        <v>0.97765950055791961</v>
      </c>
      <c r="Y290" s="1">
        <f>Dominus[[#This Row],[Degree change]]+Y289</f>
        <v>223.6007236810745</v>
      </c>
    </row>
    <row r="291" spans="1:25">
      <c r="A291">
        <v>290</v>
      </c>
      <c r="B291" s="1">
        <v>-1105.919922</v>
      </c>
      <c r="C291" s="1">
        <v>455.959991</v>
      </c>
      <c r="D291" s="1">
        <v>17.049999</v>
      </c>
      <c r="E291" s="1">
        <v>2186.5500489999999</v>
      </c>
      <c r="F291" s="1">
        <v>-713.38000499999998</v>
      </c>
      <c r="G291" s="1">
        <v>8.0399999999999991</v>
      </c>
      <c r="H291" s="1">
        <v>0</v>
      </c>
      <c r="I291" s="1">
        <v>0</v>
      </c>
      <c r="J291" s="1">
        <v>2.0472999999999999</v>
      </c>
      <c r="K291" s="1">
        <v>1.06E-3</v>
      </c>
      <c r="L291" s="1">
        <v>8.3269999999999993E-3</v>
      </c>
      <c r="M291" s="1">
        <v>-0.126835</v>
      </c>
      <c r="N291" s="1">
        <v>0.99188799999999999</v>
      </c>
      <c r="O291">
        <v>1</v>
      </c>
      <c r="P291">
        <v>0</v>
      </c>
      <c r="Q291">
        <v>1</v>
      </c>
      <c r="R291">
        <v>1</v>
      </c>
      <c r="S291">
        <v>1</v>
      </c>
      <c r="T291" s="1">
        <f>SQRT(POWER(Dominus[[#This Row],[angvel_X]],2) + POWER(Dominus[[#This Row],[angvel_Y]],2) + POWER(Dominus[[#This Row],[angvel_Z]],2))</f>
        <v>2.0472999999999999</v>
      </c>
      <c r="U291" s="1">
        <f>DEGREES(ASIN(MAX(-1,MIN(1,2 * (Dominus[[#This Row],[quart_W]]*Dominus[[#This Row],[quart_Y]] - Dominus[[#This Row],[quart_Z]]*Dominus[[#This Row],[quart_X]])))))</f>
        <v>0.96191486984089425</v>
      </c>
      <c r="V29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104.57399063794193</v>
      </c>
      <c r="W29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90.000544818121099</v>
      </c>
      <c r="X291" s="1">
        <f>IF(Dominus[[#This Row],[Yaw]]&gt;V290,(360-ABS(Dominus[[#This Row],[Yaw]])-ABS(V290)),ABS(Dominus[[#This Row],[Yaw]]-V290))</f>
        <v>0.97780809866304708</v>
      </c>
      <c r="Y291" s="1">
        <f>Dominus[[#This Row],[Degree change]]+Y290</f>
        <v>224.57853177973755</v>
      </c>
    </row>
    <row r="292" spans="1:25">
      <c r="A292">
        <v>291</v>
      </c>
      <c r="B292" s="1">
        <v>-1087.630005</v>
      </c>
      <c r="C292" s="1">
        <v>450</v>
      </c>
      <c r="D292" s="1">
        <v>17.049999</v>
      </c>
      <c r="E292" s="1">
        <v>2198.3999020000001</v>
      </c>
      <c r="F292" s="1">
        <v>-675.96997099999999</v>
      </c>
      <c r="G292" s="1">
        <v>8.0399999999999991</v>
      </c>
      <c r="H292" s="1">
        <v>0</v>
      </c>
      <c r="I292" s="1">
        <v>0</v>
      </c>
      <c r="J292" s="1">
        <v>2.0472999999999999</v>
      </c>
      <c r="K292" s="1">
        <v>9.8999999999999999E-4</v>
      </c>
      <c r="L292" s="1">
        <v>8.3379999999999999E-3</v>
      </c>
      <c r="M292" s="1">
        <v>-0.11837</v>
      </c>
      <c r="N292" s="1">
        <v>0.99293399999999998</v>
      </c>
      <c r="O292">
        <v>1</v>
      </c>
      <c r="P292">
        <v>0</v>
      </c>
      <c r="Q292">
        <v>1</v>
      </c>
      <c r="R292">
        <v>1</v>
      </c>
      <c r="S292">
        <v>1</v>
      </c>
      <c r="T292" s="1">
        <f>SQRT(POWER(Dominus[[#This Row],[angvel_X]],2) + POWER(Dominus[[#This Row],[angvel_Y]],2) + POWER(Dominus[[#This Row],[angvel_Z]],2))</f>
        <v>2.0472999999999999</v>
      </c>
      <c r="U292" s="1">
        <f>DEGREES(ASIN(MAX(-1,MIN(1,2 * (Dominus[[#This Row],[quart_W]]*Dominus[[#This Row],[quart_Y]] - Dominus[[#This Row],[quart_Z]]*Dominus[[#This Row],[quart_X]])))))</f>
        <v>0.96218689308540506</v>
      </c>
      <c r="V29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103.59656458499947</v>
      </c>
      <c r="W29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90.00045435084219</v>
      </c>
      <c r="X292" s="1">
        <f>IF(Dominus[[#This Row],[Yaw]]&gt;V291,(360-ABS(Dominus[[#This Row],[Yaw]])-ABS(V291)),ABS(Dominus[[#This Row],[Yaw]]-V291))</f>
        <v>0.97742605294246232</v>
      </c>
      <c r="Y292" s="1">
        <f>Dominus[[#This Row],[Degree change]]+Y291</f>
        <v>225.55595783268001</v>
      </c>
    </row>
    <row r="293" spans="1:25">
      <c r="A293">
        <v>292</v>
      </c>
      <c r="B293" s="1">
        <v>-1069.23999</v>
      </c>
      <c r="C293" s="1">
        <v>444.34997600000003</v>
      </c>
      <c r="D293" s="1">
        <v>17.049999</v>
      </c>
      <c r="E293" s="1">
        <v>2209.6198730000001</v>
      </c>
      <c r="F293" s="1">
        <v>-638.35998500000005</v>
      </c>
      <c r="G293" s="1">
        <v>8.0399999999999991</v>
      </c>
      <c r="H293" s="1">
        <v>0</v>
      </c>
      <c r="I293" s="1">
        <v>0</v>
      </c>
      <c r="J293" s="1">
        <v>2.0472999999999999</v>
      </c>
      <c r="K293" s="1">
        <v>9.2000000000000003E-4</v>
      </c>
      <c r="L293" s="1">
        <v>8.3479999999999995E-3</v>
      </c>
      <c r="M293" s="1">
        <v>-0.10989500000000001</v>
      </c>
      <c r="N293" s="1">
        <v>0.99390800000000001</v>
      </c>
      <c r="O293">
        <v>1</v>
      </c>
      <c r="P293">
        <v>0</v>
      </c>
      <c r="Q293">
        <v>1</v>
      </c>
      <c r="R293">
        <v>1</v>
      </c>
      <c r="S293">
        <v>1</v>
      </c>
      <c r="T293" s="1">
        <f>SQRT(POWER(Dominus[[#This Row],[angvel_X]],2) + POWER(Dominus[[#This Row],[angvel_Y]],2) + POWER(Dominus[[#This Row],[angvel_Z]],2))</f>
        <v>2.0472999999999999</v>
      </c>
      <c r="U293" s="1">
        <f>DEGREES(ASIN(MAX(-1,MIN(1,2 * (Dominus[[#This Row],[quart_W]]*Dominus[[#This Row],[quart_Y]] - Dominus[[#This Row],[quart_Z]]*Dominus[[#This Row],[quart_X]])))))</f>
        <v>0.96241351748010895</v>
      </c>
      <c r="V29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102.61897884443485</v>
      </c>
      <c r="W29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90.000344751503135</v>
      </c>
      <c r="X293" s="1">
        <f>IF(Dominus[[#This Row],[Yaw]]&gt;V292,(360-ABS(Dominus[[#This Row],[Yaw]])-ABS(V292)),ABS(Dominus[[#This Row],[Yaw]]-V292))</f>
        <v>0.97758574056462066</v>
      </c>
      <c r="Y293" s="1">
        <f>Dominus[[#This Row],[Degree change]]+Y292</f>
        <v>226.53354357324463</v>
      </c>
    </row>
    <row r="294" spans="1:25">
      <c r="A294">
        <v>293</v>
      </c>
      <c r="B294" s="1">
        <v>-1050.76001</v>
      </c>
      <c r="C294" s="1">
        <v>439.01998900000001</v>
      </c>
      <c r="D294" s="1">
        <v>17.049999</v>
      </c>
      <c r="E294" s="1">
        <v>2220.1899410000001</v>
      </c>
      <c r="F294" s="1">
        <v>-600.57000700000003</v>
      </c>
      <c r="G294" s="1">
        <v>8.0399999999999991</v>
      </c>
      <c r="H294" s="1">
        <v>0</v>
      </c>
      <c r="I294" s="1">
        <v>0</v>
      </c>
      <c r="J294" s="1">
        <v>2.0472999999999999</v>
      </c>
      <c r="K294" s="1">
        <v>8.4999999999999995E-4</v>
      </c>
      <c r="L294" s="1">
        <v>8.3540000000000003E-3</v>
      </c>
      <c r="M294" s="1">
        <v>-0.101414</v>
      </c>
      <c r="N294" s="1">
        <v>0.99480900000000005</v>
      </c>
      <c r="O294">
        <v>1</v>
      </c>
      <c r="P294">
        <v>0</v>
      </c>
      <c r="Q294">
        <v>1</v>
      </c>
      <c r="R294">
        <v>1</v>
      </c>
      <c r="S294">
        <v>1</v>
      </c>
      <c r="T294" s="1">
        <f>SQRT(POWER(Dominus[[#This Row],[angvel_X]],2) + POWER(Dominus[[#This Row],[angvel_Y]],2) + POWER(Dominus[[#This Row],[angvel_Z]],2))</f>
        <v>2.0472999999999999</v>
      </c>
      <c r="U294" s="1">
        <f>DEGREES(ASIN(MAX(-1,MIN(1,2 * (Dominus[[#This Row],[quart_W]]*Dominus[[#This Row],[quart_Y]] - Dominus[[#This Row],[quart_Z]]*Dominus[[#This Row],[quart_X]])))))</f>
        <v>0.96225179474978495</v>
      </c>
      <c r="V29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101.6416162938738</v>
      </c>
      <c r="W29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90.000186226774176</v>
      </c>
      <c r="X294" s="1">
        <f>IF(Dominus[[#This Row],[Yaw]]&gt;V293,(360-ABS(Dominus[[#This Row],[Yaw]])-ABS(V293)),ABS(Dominus[[#This Row],[Yaw]]-V293))</f>
        <v>0.97736255056105392</v>
      </c>
      <c r="Y294" s="1">
        <f>Dominus[[#This Row],[Degree change]]+Y293</f>
        <v>227.51090612380568</v>
      </c>
    </row>
    <row r="295" spans="1:25">
      <c r="A295">
        <v>294</v>
      </c>
      <c r="B295" s="1">
        <v>-1032.1899410000001</v>
      </c>
      <c r="C295" s="1">
        <v>434</v>
      </c>
      <c r="D295" s="1">
        <v>17.049999</v>
      </c>
      <c r="E295" s="1">
        <v>2230.1098630000001</v>
      </c>
      <c r="F295" s="1">
        <v>-562.59997599999997</v>
      </c>
      <c r="G295" s="1">
        <v>8.0399999999999991</v>
      </c>
      <c r="H295" s="1">
        <v>0</v>
      </c>
      <c r="I295" s="1">
        <v>0</v>
      </c>
      <c r="J295" s="1">
        <v>2.0472999999999999</v>
      </c>
      <c r="K295" s="1">
        <v>7.7999999999999999E-4</v>
      </c>
      <c r="L295" s="1">
        <v>8.3590000000000001E-3</v>
      </c>
      <c r="M295" s="1">
        <v>-9.2923000000000006E-2</v>
      </c>
      <c r="N295" s="1">
        <v>0.99563800000000002</v>
      </c>
      <c r="O295">
        <v>1</v>
      </c>
      <c r="P295">
        <v>0</v>
      </c>
      <c r="Q295">
        <v>1</v>
      </c>
      <c r="R295">
        <v>1</v>
      </c>
      <c r="S295">
        <v>1</v>
      </c>
      <c r="T295" s="1">
        <f>SQRT(POWER(Dominus[[#This Row],[angvel_X]],2) + POWER(Dominus[[#This Row],[angvel_Y]],2) + POWER(Dominus[[#This Row],[angvel_Z]],2))</f>
        <v>2.0472999999999999</v>
      </c>
      <c r="U295" s="1">
        <f>DEGREES(ASIN(MAX(-1,MIN(1,2 * (Dominus[[#This Row],[quart_W]]*Dominus[[#This Row],[quart_Y]] - Dominus[[#This Row],[quart_Z]]*Dominus[[#This Row],[quart_X]])))))</f>
        <v>0.96204340307784875</v>
      </c>
      <c r="V29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100.66395330182837</v>
      </c>
      <c r="W29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90.000016700292321</v>
      </c>
      <c r="X295" s="1">
        <f>IF(Dominus[[#This Row],[Yaw]]&gt;V294,(360-ABS(Dominus[[#This Row],[Yaw]])-ABS(V294)),ABS(Dominus[[#This Row],[Yaw]]-V294))</f>
        <v>0.97766299204542406</v>
      </c>
      <c r="Y295" s="1">
        <f>Dominus[[#This Row],[Degree change]]+Y294</f>
        <v>228.48856911585111</v>
      </c>
    </row>
    <row r="296" spans="1:25">
      <c r="A296">
        <v>295</v>
      </c>
      <c r="B296" s="1">
        <v>-1013.539978</v>
      </c>
      <c r="C296" s="1">
        <v>429.29998799999998</v>
      </c>
      <c r="D296" s="1">
        <v>17.049999</v>
      </c>
      <c r="E296" s="1">
        <v>2239.3798830000001</v>
      </c>
      <c r="F296" s="1">
        <v>-524.46997099999999</v>
      </c>
      <c r="G296" s="1">
        <v>8.0399999999999991</v>
      </c>
      <c r="H296" s="1">
        <v>0</v>
      </c>
      <c r="I296" s="1">
        <v>0</v>
      </c>
      <c r="J296" s="1">
        <v>2.0472999999999999</v>
      </c>
      <c r="K296" s="1">
        <v>7.0899999999999999E-4</v>
      </c>
      <c r="L296" s="1">
        <v>8.3649999999999992E-3</v>
      </c>
      <c r="M296" s="1">
        <v>-8.4426000000000001E-2</v>
      </c>
      <c r="N296" s="1">
        <v>0.996394</v>
      </c>
      <c r="O296">
        <v>1</v>
      </c>
      <c r="P296">
        <v>0</v>
      </c>
      <c r="Q296">
        <v>1</v>
      </c>
      <c r="R296">
        <v>1</v>
      </c>
      <c r="S296">
        <v>1</v>
      </c>
      <c r="T296" s="1">
        <f>SQRT(POWER(Dominus[[#This Row],[angvel_X]],2) + POWER(Dominus[[#This Row],[angvel_Y]],2) + POWER(Dominus[[#This Row],[angvel_Z]],2))</f>
        <v>2.0472999999999999</v>
      </c>
      <c r="U296" s="1">
        <f>DEGREES(ASIN(MAX(-1,MIN(1,2 * (Dominus[[#This Row],[quart_W]]*Dominus[[#This Row],[quart_Y]] - Dominus[[#This Row],[quart_Z]]*Dominus[[#This Row],[quart_X]])))))</f>
        <v>0.96200625436271214</v>
      </c>
      <c r="V29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99.686375138828225</v>
      </c>
      <c r="W29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89.999974802806619</v>
      </c>
      <c r="X296" s="1">
        <f>IF(Dominus[[#This Row],[Yaw]]&gt;V295,(360-ABS(Dominus[[#This Row],[Yaw]])-ABS(V295)),ABS(Dominus[[#This Row],[Yaw]]-V295))</f>
        <v>0.97757816300014611</v>
      </c>
      <c r="Y296" s="1">
        <f>Dominus[[#This Row],[Degree change]]+Y295</f>
        <v>229.46614727885125</v>
      </c>
    </row>
    <row r="297" spans="1:25">
      <c r="A297">
        <v>296</v>
      </c>
      <c r="B297" s="1">
        <v>-994.80999799999995</v>
      </c>
      <c r="C297" s="1">
        <v>424.919983</v>
      </c>
      <c r="D297" s="1">
        <v>17.049999</v>
      </c>
      <c r="E297" s="1">
        <v>2248.01001</v>
      </c>
      <c r="F297" s="1">
        <v>-486.19000199999999</v>
      </c>
      <c r="G297" s="1">
        <v>8.0399999999999991</v>
      </c>
      <c r="H297" s="1">
        <v>0</v>
      </c>
      <c r="I297" s="1">
        <v>0</v>
      </c>
      <c r="J297" s="1">
        <v>2.0472999999999999</v>
      </c>
      <c r="K297" s="1">
        <v>6.3900000000000003E-4</v>
      </c>
      <c r="L297" s="1">
        <v>8.3700000000000007E-3</v>
      </c>
      <c r="M297" s="1">
        <v>-7.5924000000000005E-2</v>
      </c>
      <c r="N297" s="1">
        <v>0.99707800000000002</v>
      </c>
      <c r="O297">
        <v>1</v>
      </c>
      <c r="P297">
        <v>0</v>
      </c>
      <c r="Q297">
        <v>1</v>
      </c>
      <c r="R297">
        <v>1</v>
      </c>
      <c r="S297">
        <v>1</v>
      </c>
      <c r="T297" s="1">
        <f>SQRT(POWER(Dominus[[#This Row],[angvel_X]],2) + POWER(Dominus[[#This Row],[angvel_Y]],2) + POWER(Dominus[[#This Row],[angvel_Z]],2))</f>
        <v>2.0472999999999999</v>
      </c>
      <c r="U297" s="1">
        <f>DEGREES(ASIN(MAX(-1,MIN(1,2 * (Dominus[[#This Row],[quart_W]]*Dominus[[#This Row],[quart_Y]] - Dominus[[#This Row],[quart_Z]]*Dominus[[#This Row],[quart_X]])))))</f>
        <v>0.96193341566059454</v>
      </c>
      <c r="V29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98.708933490186809</v>
      </c>
      <c r="W29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89.999811016240074</v>
      </c>
      <c r="X297" s="1">
        <f>IF(Dominus[[#This Row],[Yaw]]&gt;V296,(360-ABS(Dominus[[#This Row],[Yaw]])-ABS(V296)),ABS(Dominus[[#This Row],[Yaw]]-V296))</f>
        <v>0.9774416486414168</v>
      </c>
      <c r="Y297" s="1">
        <f>Dominus[[#This Row],[Degree change]]+Y296</f>
        <v>230.44358892749267</v>
      </c>
    </row>
    <row r="298" spans="1:25">
      <c r="A298">
        <v>297</v>
      </c>
      <c r="B298" s="1">
        <v>-976.00994900000001</v>
      </c>
      <c r="C298" s="1">
        <v>420.85998499999999</v>
      </c>
      <c r="D298" s="1">
        <v>17.049999</v>
      </c>
      <c r="E298" s="1">
        <v>2255.969971</v>
      </c>
      <c r="F298" s="1">
        <v>-447.75997899999999</v>
      </c>
      <c r="G298" s="1">
        <v>8.0399999999999991</v>
      </c>
      <c r="H298" s="1">
        <v>0</v>
      </c>
      <c r="I298" s="1">
        <v>0</v>
      </c>
      <c r="J298" s="1">
        <v>2.0472999999999999</v>
      </c>
      <c r="K298" s="1">
        <v>5.6899999999999995E-4</v>
      </c>
      <c r="L298" s="1">
        <v>8.3750000000000005E-3</v>
      </c>
      <c r="M298" s="1">
        <v>-6.7416000000000004E-2</v>
      </c>
      <c r="N298" s="1">
        <v>0.99768999999999997</v>
      </c>
      <c r="O298">
        <v>1</v>
      </c>
      <c r="P298">
        <v>0</v>
      </c>
      <c r="Q298">
        <v>1</v>
      </c>
      <c r="R298">
        <v>1</v>
      </c>
      <c r="S298">
        <v>1</v>
      </c>
      <c r="T298" s="1">
        <f>SQRT(POWER(Dominus[[#This Row],[angvel_X]],2) + POWER(Dominus[[#This Row],[angvel_Y]],2) + POWER(Dominus[[#This Row],[angvel_Z]],2))</f>
        <v>2.0472999999999999</v>
      </c>
      <c r="U298" s="1">
        <f>DEGREES(ASIN(MAX(-1,MIN(1,2 * (Dominus[[#This Row],[quart_W]]*Dominus[[#This Row],[quart_Y]] - Dominus[[#This Row],[quart_Z]]*Dominus[[#This Row],[quart_X]])))))</f>
        <v>0.96192827642163392</v>
      </c>
      <c r="V29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97.73144096327556</v>
      </c>
      <c r="W29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89.99964739677165</v>
      </c>
      <c r="X298" s="1">
        <f>IF(Dominus[[#This Row],[Yaw]]&gt;V297,(360-ABS(Dominus[[#This Row],[Yaw]])-ABS(V297)),ABS(Dominus[[#This Row],[Yaw]]-V297))</f>
        <v>0.97749252691124866</v>
      </c>
      <c r="Y298" s="1">
        <f>Dominus[[#This Row],[Degree change]]+Y297</f>
        <v>231.42108145440392</v>
      </c>
    </row>
    <row r="299" spans="1:25">
      <c r="A299">
        <v>298</v>
      </c>
      <c r="B299" s="1">
        <v>-957.13995399999999</v>
      </c>
      <c r="C299" s="1">
        <v>417.11999500000002</v>
      </c>
      <c r="D299" s="1">
        <v>17.049999</v>
      </c>
      <c r="E299" s="1">
        <v>2263.290039</v>
      </c>
      <c r="F299" s="1">
        <v>-409.209991</v>
      </c>
      <c r="G299" s="1">
        <v>8.0399999999999991</v>
      </c>
      <c r="H299" s="1">
        <v>0</v>
      </c>
      <c r="I299" s="1">
        <v>0</v>
      </c>
      <c r="J299" s="1">
        <v>2.0472999999999999</v>
      </c>
      <c r="K299" s="1">
        <v>4.9899999999999999E-4</v>
      </c>
      <c r="L299" s="1">
        <v>8.3809999999999996E-3</v>
      </c>
      <c r="M299" s="1">
        <v>-5.8902999999999997E-2</v>
      </c>
      <c r="N299" s="1">
        <v>0.998228</v>
      </c>
      <c r="O299">
        <v>1</v>
      </c>
      <c r="P299">
        <v>0</v>
      </c>
      <c r="Q299">
        <v>1</v>
      </c>
      <c r="R299">
        <v>1</v>
      </c>
      <c r="S299">
        <v>1</v>
      </c>
      <c r="T299" s="1">
        <f>SQRT(POWER(Dominus[[#This Row],[angvel_X]],2) + POWER(Dominus[[#This Row],[angvel_Y]],2) + POWER(Dominus[[#This Row],[angvel_Z]],2))</f>
        <v>2.0472999999999999</v>
      </c>
      <c r="U299" s="1">
        <f>DEGREES(ASIN(MAX(-1,MIN(1,2 * (Dominus[[#This Row],[quart_W]]*Dominus[[#This Row],[quart_Y]] - Dominus[[#This Row],[quart_Z]]*Dominus[[#This Row],[quart_X]])))))</f>
        <v>0.96210339826854718</v>
      </c>
      <c r="V29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96.753927176556445</v>
      </c>
      <c r="W29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89.999490026720466</v>
      </c>
      <c r="X299" s="1">
        <f>IF(Dominus[[#This Row],[Yaw]]&gt;V298,(360-ABS(Dominus[[#This Row],[Yaw]])-ABS(V298)),ABS(Dominus[[#This Row],[Yaw]]-V298))</f>
        <v>0.97751378671911482</v>
      </c>
      <c r="Y299" s="1">
        <f>Dominus[[#This Row],[Degree change]]+Y298</f>
        <v>232.39859524112302</v>
      </c>
    </row>
    <row r="300" spans="1:25">
      <c r="A300">
        <v>299</v>
      </c>
      <c r="B300" s="1">
        <v>-938.20996100000002</v>
      </c>
      <c r="C300" s="1">
        <v>413.69998199999998</v>
      </c>
      <c r="D300" s="1">
        <v>17.049999</v>
      </c>
      <c r="E300" s="1">
        <v>2269.9399410000001</v>
      </c>
      <c r="F300" s="1">
        <v>-370.53997800000002</v>
      </c>
      <c r="G300" s="1">
        <v>8.0399999999999991</v>
      </c>
      <c r="H300" s="1">
        <v>0</v>
      </c>
      <c r="I300" s="1">
        <v>0</v>
      </c>
      <c r="J300" s="1">
        <v>2.0472999999999999</v>
      </c>
      <c r="K300" s="1">
        <v>4.2900000000000002E-4</v>
      </c>
      <c r="L300" s="1">
        <v>8.3859999999999994E-3</v>
      </c>
      <c r="M300" s="1">
        <v>-5.0384999999999999E-2</v>
      </c>
      <c r="N300" s="1">
        <v>0.99869399999999997</v>
      </c>
      <c r="O300">
        <v>1</v>
      </c>
      <c r="P300">
        <v>0</v>
      </c>
      <c r="Q300">
        <v>1</v>
      </c>
      <c r="R300">
        <v>1</v>
      </c>
      <c r="S300">
        <v>1</v>
      </c>
      <c r="T300" s="1">
        <f>SQRT(POWER(Dominus[[#This Row],[angvel_X]],2) + POWER(Dominus[[#This Row],[angvel_Y]],2) + POWER(Dominus[[#This Row],[angvel_Z]],2))</f>
        <v>2.0472999999999999</v>
      </c>
      <c r="U300" s="1">
        <f>DEGREES(ASIN(MAX(-1,MIN(1,2 * (Dominus[[#This Row],[quart_W]]*Dominus[[#This Row],[quart_Y]] - Dominus[[#This Row],[quart_Z]]*Dominus[[#This Row],[quart_X]])))))</f>
        <v>0.962231940452006</v>
      </c>
      <c r="V30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95.776336252329841</v>
      </c>
      <c r="W30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89.999322540467972</v>
      </c>
      <c r="X300" s="1">
        <f>IF(Dominus[[#This Row],[Yaw]]&gt;V299,(360-ABS(Dominus[[#This Row],[Yaw]])-ABS(V299)),ABS(Dominus[[#This Row],[Yaw]]-V299))</f>
        <v>0.97759092422660387</v>
      </c>
      <c r="Y300" s="1">
        <f>Dominus[[#This Row],[Degree change]]+Y299</f>
        <v>233.37618616534962</v>
      </c>
    </row>
    <row r="301" spans="1:25">
      <c r="A301">
        <v>300</v>
      </c>
      <c r="B301" s="1">
        <v>-919.22997999999995</v>
      </c>
      <c r="C301" s="1">
        <v>410.60998499999999</v>
      </c>
      <c r="D301" s="1">
        <v>17.049999</v>
      </c>
      <c r="E301" s="1">
        <v>2275.929932</v>
      </c>
      <c r="F301" s="1">
        <v>-331.75997899999999</v>
      </c>
      <c r="G301" s="1">
        <v>8.0399999999999991</v>
      </c>
      <c r="H301" s="1">
        <v>0</v>
      </c>
      <c r="I301" s="1">
        <v>0</v>
      </c>
      <c r="J301" s="1">
        <v>2.0472999999999999</v>
      </c>
      <c r="K301" s="1">
        <v>3.59E-4</v>
      </c>
      <c r="L301" s="1">
        <v>8.3920000000000002E-3</v>
      </c>
      <c r="M301" s="1">
        <v>-4.1866E-2</v>
      </c>
      <c r="N301" s="1">
        <v>0.99908799999999998</v>
      </c>
      <c r="O301">
        <v>1</v>
      </c>
      <c r="P301">
        <v>0</v>
      </c>
      <c r="Q301">
        <v>1</v>
      </c>
      <c r="R301">
        <v>1</v>
      </c>
      <c r="S301">
        <v>1</v>
      </c>
      <c r="T301" s="1">
        <f>SQRT(POWER(Dominus[[#This Row],[angvel_X]],2) + POWER(Dominus[[#This Row],[angvel_Y]],2) + POWER(Dominus[[#This Row],[angvel_Z]],2))</f>
        <v>2.0472999999999999</v>
      </c>
      <c r="U301" s="1">
        <f>DEGREES(ASIN(MAX(-1,MIN(1,2 * (Dominus[[#This Row],[quart_W]]*Dominus[[#This Row],[quart_Y]] - Dominus[[#This Row],[quart_Z]]*Dominus[[#This Row],[quart_X]])))))</f>
        <v>0.96254291029383554</v>
      </c>
      <c r="V30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94.799055488140951</v>
      </c>
      <c r="W30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89.999159567754106</v>
      </c>
      <c r="X301" s="1">
        <f>IF(Dominus[[#This Row],[Yaw]]&gt;V300,(360-ABS(Dominus[[#This Row],[Yaw]])-ABS(V300)),ABS(Dominus[[#This Row],[Yaw]]-V300))</f>
        <v>0.97728076418889032</v>
      </c>
      <c r="Y301" s="1">
        <f>Dominus[[#This Row],[Degree change]]+Y300</f>
        <v>234.35346692953851</v>
      </c>
    </row>
    <row r="302" spans="1:25">
      <c r="A302">
        <v>301</v>
      </c>
      <c r="B302" s="1">
        <v>-900.19995100000006</v>
      </c>
      <c r="C302" s="1">
        <v>407.83999599999999</v>
      </c>
      <c r="D302" s="1">
        <v>17.049999</v>
      </c>
      <c r="E302" s="1">
        <v>2281.26001</v>
      </c>
      <c r="F302" s="1">
        <v>-292.88000499999998</v>
      </c>
      <c r="G302" s="1">
        <v>8.0399999999999991</v>
      </c>
      <c r="H302" s="1">
        <v>0</v>
      </c>
      <c r="I302" s="1">
        <v>0</v>
      </c>
      <c r="J302" s="1">
        <v>2.0472999999999999</v>
      </c>
      <c r="K302" s="1">
        <v>2.8899999999999998E-4</v>
      </c>
      <c r="L302" s="1">
        <v>8.397E-3</v>
      </c>
      <c r="M302" s="1">
        <v>-3.3342999999999998E-2</v>
      </c>
      <c r="N302" s="1">
        <v>0.99940899999999999</v>
      </c>
      <c r="O302">
        <v>1</v>
      </c>
      <c r="P302">
        <v>0</v>
      </c>
      <c r="Q302">
        <v>1</v>
      </c>
      <c r="R302">
        <v>1</v>
      </c>
      <c r="S302">
        <v>1</v>
      </c>
      <c r="T302" s="1">
        <f>SQRT(POWER(Dominus[[#This Row],[angvel_X]],2) + POWER(Dominus[[#This Row],[angvel_Y]],2) + POWER(Dominus[[#This Row],[angvel_Z]],2))</f>
        <v>2.0472999999999999</v>
      </c>
      <c r="U302" s="1">
        <f>DEGREES(ASIN(MAX(-1,MIN(1,2 * (Dominus[[#This Row],[quart_W]]*Dominus[[#This Row],[quart_Y]] - Dominus[[#This Row],[quart_Z]]*Dominus[[#This Row],[quart_X]])))))</f>
        <v>0.9628061768694357</v>
      </c>
      <c r="V30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93.821662433488854</v>
      </c>
      <c r="W30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89.998985947277788</v>
      </c>
      <c r="X302" s="1">
        <f>IF(Dominus[[#This Row],[Yaw]]&gt;V301,(360-ABS(Dominus[[#This Row],[Yaw]])-ABS(V301)),ABS(Dominus[[#This Row],[Yaw]]-V301))</f>
        <v>0.97739305465209725</v>
      </c>
      <c r="Y302" s="1">
        <f>Dominus[[#This Row],[Degree change]]+Y301</f>
        <v>235.33085998419062</v>
      </c>
    </row>
    <row r="303" spans="1:25">
      <c r="A303">
        <v>302</v>
      </c>
      <c r="B303" s="1">
        <v>-881.11999500000002</v>
      </c>
      <c r="C303" s="1">
        <v>405.38998400000003</v>
      </c>
      <c r="D303" s="1">
        <v>17.049999</v>
      </c>
      <c r="E303" s="1">
        <v>2285.919922</v>
      </c>
      <c r="F303" s="1">
        <v>-253.91999799999999</v>
      </c>
      <c r="G303" s="1">
        <v>8.0399999999999991</v>
      </c>
      <c r="H303" s="1">
        <v>-1E-4</v>
      </c>
      <c r="I303" s="1">
        <v>0</v>
      </c>
      <c r="J303" s="1">
        <v>2.0472999999999999</v>
      </c>
      <c r="K303" s="1">
        <v>2.1800000000000001E-4</v>
      </c>
      <c r="L303" s="1">
        <v>8.397E-3</v>
      </c>
      <c r="M303" s="1">
        <v>-2.4819000000000001E-2</v>
      </c>
      <c r="N303" s="1">
        <v>0.99965700000000002</v>
      </c>
      <c r="O303">
        <v>1</v>
      </c>
      <c r="P303">
        <v>0</v>
      </c>
      <c r="Q303">
        <v>1</v>
      </c>
      <c r="R303">
        <v>1</v>
      </c>
      <c r="S303">
        <v>1</v>
      </c>
      <c r="T303" s="1">
        <f>SQRT(POWER(Dominus[[#This Row],[angvel_X]],2) + POWER(Dominus[[#This Row],[angvel_Y]],2) + POWER(Dominus[[#This Row],[angvel_Z]],2))</f>
        <v>2.047300002442241</v>
      </c>
      <c r="U303" s="1">
        <f>DEGREES(ASIN(MAX(-1,MIN(1,2 * (Dominus[[#This Row],[quart_W]]*Dominus[[#This Row],[quart_Y]] - Dominus[[#This Row],[quart_Z]]*Dominus[[#This Row],[quart_X]])))))</f>
        <v>0.96256055770694038</v>
      </c>
      <c r="V30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92.844432104592471</v>
      </c>
      <c r="W30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89.998908924880837</v>
      </c>
      <c r="X303" s="1">
        <f>IF(Dominus[[#This Row],[Yaw]]&gt;V302,(360-ABS(Dominus[[#This Row],[Yaw]])-ABS(V302)),ABS(Dominus[[#This Row],[Yaw]]-V302))</f>
        <v>0.97723032889638262</v>
      </c>
      <c r="Y303" s="1">
        <f>Dominus[[#This Row],[Degree change]]+Y302</f>
        <v>236.30809031308701</v>
      </c>
    </row>
    <row r="304" spans="1:25">
      <c r="A304">
        <v>303</v>
      </c>
      <c r="B304" s="1">
        <v>-862</v>
      </c>
      <c r="C304" s="1">
        <v>403.26998900000001</v>
      </c>
      <c r="D304" s="1">
        <v>17.049999</v>
      </c>
      <c r="E304" s="1">
        <v>2289.919922</v>
      </c>
      <c r="F304" s="1">
        <v>-214.88999899999999</v>
      </c>
      <c r="G304" s="1">
        <v>8.0399999999999991</v>
      </c>
      <c r="H304" s="1">
        <v>-1E-4</v>
      </c>
      <c r="I304" s="1">
        <v>0</v>
      </c>
      <c r="J304" s="1">
        <v>2.0472999999999999</v>
      </c>
      <c r="K304" s="1">
        <v>1.4799999999999999E-4</v>
      </c>
      <c r="L304" s="1">
        <v>8.397E-3</v>
      </c>
      <c r="M304" s="1">
        <v>-1.6289999999999999E-2</v>
      </c>
      <c r="N304" s="1">
        <v>0.99983200000000005</v>
      </c>
      <c r="O304">
        <v>1</v>
      </c>
      <c r="P304">
        <v>0</v>
      </c>
      <c r="Q304">
        <v>1</v>
      </c>
      <c r="R304">
        <v>1</v>
      </c>
      <c r="S304">
        <v>1</v>
      </c>
      <c r="T304" s="1">
        <f>SQRT(POWER(Dominus[[#This Row],[angvel_X]],2) + POWER(Dominus[[#This Row],[angvel_Y]],2) + POWER(Dominus[[#This Row],[angvel_Z]],2))</f>
        <v>2.047300002442241</v>
      </c>
      <c r="U304" s="1">
        <f>DEGREES(ASIN(MAX(-1,MIN(1,2 * (Dominus[[#This Row],[quart_W]]*Dominus[[#This Row],[quart_Y]] - Dominus[[#This Row],[quart_Z]]*Dominus[[#This Row],[quart_X]])))))</f>
        <v>0.96238519103445586</v>
      </c>
      <c r="V30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91.866834068099237</v>
      </c>
      <c r="W30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89.998717768074769</v>
      </c>
      <c r="X304" s="1">
        <f>IF(Dominus[[#This Row],[Yaw]]&gt;V303,(360-ABS(Dominus[[#This Row],[Yaw]])-ABS(V303)),ABS(Dominus[[#This Row],[Yaw]]-V303))</f>
        <v>0.97759803649323374</v>
      </c>
      <c r="Y304" s="1">
        <f>Dominus[[#This Row],[Degree change]]+Y303</f>
        <v>237.28568834958025</v>
      </c>
    </row>
    <row r="305" spans="1:25">
      <c r="A305">
        <v>304</v>
      </c>
      <c r="B305" s="1">
        <v>-842.84997599999997</v>
      </c>
      <c r="C305" s="1">
        <v>401.47998000000001</v>
      </c>
      <c r="D305" s="1">
        <v>17.049999</v>
      </c>
      <c r="E305" s="1">
        <v>2293.25</v>
      </c>
      <c r="F305" s="1">
        <v>-175.78999300000001</v>
      </c>
      <c r="G305" s="1">
        <v>8.0399999999999991</v>
      </c>
      <c r="H305" s="1">
        <v>-2.0000000000000001E-4</v>
      </c>
      <c r="I305" s="1">
        <v>0</v>
      </c>
      <c r="J305" s="1">
        <v>2.0472999999999999</v>
      </c>
      <c r="K305" s="1">
        <v>7.7999999999999999E-5</v>
      </c>
      <c r="L305" s="1">
        <v>8.397E-3</v>
      </c>
      <c r="M305" s="1">
        <v>-7.7600000000000004E-3</v>
      </c>
      <c r="N305" s="1">
        <v>0.99993500000000002</v>
      </c>
      <c r="O305">
        <v>1</v>
      </c>
      <c r="P305">
        <v>0</v>
      </c>
      <c r="Q305">
        <v>1</v>
      </c>
      <c r="R305">
        <v>1</v>
      </c>
      <c r="S305">
        <v>1</v>
      </c>
      <c r="T305" s="1">
        <f>SQRT(POWER(Dominus[[#This Row],[angvel_X]],2) + POWER(Dominus[[#This Row],[angvel_Y]],2) + POWER(Dominus[[#This Row],[angvel_Z]],2))</f>
        <v>2.0473000097689638</v>
      </c>
      <c r="U305" s="1">
        <f>DEGREES(ASIN(MAX(-1,MIN(1,2 * (Dominus[[#This Row],[quart_W]]*Dominus[[#This Row],[quart_Y]] - Dominus[[#This Row],[quart_Z]]*Dominus[[#This Row],[quart_X]])))))</f>
        <v>0.9622773739326187</v>
      </c>
      <c r="V30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90.88925875366391</v>
      </c>
      <c r="W30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89.998529100424548</v>
      </c>
      <c r="X305" s="1">
        <f>IF(Dominus[[#This Row],[Yaw]]&gt;V304,(360-ABS(Dominus[[#This Row],[Yaw]])-ABS(V304)),ABS(Dominus[[#This Row],[Yaw]]-V304))</f>
        <v>0.97757531443532741</v>
      </c>
      <c r="Y305" s="1">
        <f>Dominus[[#This Row],[Degree change]]+Y304</f>
        <v>238.2632636640156</v>
      </c>
    </row>
    <row r="306" spans="1:25">
      <c r="A306">
        <v>305</v>
      </c>
      <c r="B306" s="1">
        <v>-823.669983</v>
      </c>
      <c r="C306" s="1">
        <v>400.00997899999999</v>
      </c>
      <c r="D306" s="1">
        <v>17.049999</v>
      </c>
      <c r="E306" s="1">
        <v>2295.919922</v>
      </c>
      <c r="F306" s="1">
        <v>-136.63999899999999</v>
      </c>
      <c r="G306" s="1">
        <v>8.0399999999999991</v>
      </c>
      <c r="H306" s="1">
        <v>-2.0000000000000001E-4</v>
      </c>
      <c r="I306" s="1">
        <v>0</v>
      </c>
      <c r="J306" s="1">
        <v>2.0472999999999999</v>
      </c>
      <c r="K306" s="1">
        <v>7.9999999999999996E-6</v>
      </c>
      <c r="L306" s="1">
        <v>8.397E-3</v>
      </c>
      <c r="M306" s="1">
        <v>7.6900000000000004E-4</v>
      </c>
      <c r="N306" s="1">
        <v>0.99996399999999996</v>
      </c>
      <c r="O306">
        <v>1</v>
      </c>
      <c r="P306">
        <v>0</v>
      </c>
      <c r="Q306">
        <v>1</v>
      </c>
      <c r="R306">
        <v>1</v>
      </c>
      <c r="S306">
        <v>1</v>
      </c>
      <c r="T306" s="1">
        <f>SQRT(POWER(Dominus[[#This Row],[angvel_X]],2) + POWER(Dominus[[#This Row],[angvel_Y]],2) + POWER(Dominus[[#This Row],[angvel_Z]],2))</f>
        <v>2.0473000097689638</v>
      </c>
      <c r="U306" s="1">
        <f>DEGREES(ASIN(MAX(-1,MIN(1,2 * (Dominus[[#This Row],[quart_W]]*Dominus[[#This Row],[quart_Y]] - Dominus[[#This Row],[quart_Z]]*Dominus[[#This Row],[quart_X]])))))</f>
        <v>0.96223520757430359</v>
      </c>
      <c r="V30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89.911862101790987</v>
      </c>
      <c r="W30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89.998343115605905</v>
      </c>
      <c r="X306" s="1">
        <f>IF(Dominus[[#This Row],[Yaw]]&gt;V305,(360-ABS(Dominus[[#This Row],[Yaw]])-ABS(V305)),ABS(Dominus[[#This Row],[Yaw]]-V305))</f>
        <v>0.97739665187292246</v>
      </c>
      <c r="Y306" s="1">
        <f>Dominus[[#This Row],[Degree change]]+Y305</f>
        <v>239.24066031588853</v>
      </c>
    </row>
    <row r="307" spans="1:25">
      <c r="A307">
        <v>306</v>
      </c>
      <c r="B307" s="1">
        <v>-804.46997099999999</v>
      </c>
      <c r="C307" s="1">
        <v>398.86999500000002</v>
      </c>
      <c r="D307" s="1">
        <v>17.049999</v>
      </c>
      <c r="E307" s="1">
        <v>2297.919922</v>
      </c>
      <c r="F307" s="1">
        <v>-97.449996999999996</v>
      </c>
      <c r="G307" s="1">
        <v>8.0399999999999991</v>
      </c>
      <c r="H307" s="1">
        <v>-2.0000000000000001E-4</v>
      </c>
      <c r="I307" s="1">
        <v>0</v>
      </c>
      <c r="J307" s="1">
        <v>2.0472999999999999</v>
      </c>
      <c r="K307" s="1">
        <v>-6.2000000000000003E-5</v>
      </c>
      <c r="L307" s="1">
        <v>8.397E-3</v>
      </c>
      <c r="M307" s="1">
        <v>9.2980000000000007E-3</v>
      </c>
      <c r="N307" s="1">
        <v>0.99992199999999998</v>
      </c>
      <c r="O307">
        <v>1</v>
      </c>
      <c r="P307">
        <v>0</v>
      </c>
      <c r="Q307">
        <v>1</v>
      </c>
      <c r="R307">
        <v>1</v>
      </c>
      <c r="S307">
        <v>1</v>
      </c>
      <c r="T307" s="1">
        <f>SQRT(POWER(Dominus[[#This Row],[angvel_X]],2) + POWER(Dominus[[#This Row],[angvel_Y]],2) + POWER(Dominus[[#This Row],[angvel_Z]],2))</f>
        <v>2.0473000097689638</v>
      </c>
      <c r="U307" s="1">
        <f>DEGREES(ASIN(MAX(-1,MIN(1,2 * (Dominus[[#This Row],[quart_W]]*Dominus[[#This Row],[quart_Y]] - Dominus[[#This Row],[quart_Z]]*Dominus[[#This Row],[quart_X]])))))</f>
        <v>0.96226156207825031</v>
      </c>
      <c r="V30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88.9344587688269</v>
      </c>
      <c r="W30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89.998157091559833</v>
      </c>
      <c r="X307" s="1">
        <f>IF(Dominus[[#This Row],[Yaw]]&gt;V306,(360-ABS(Dominus[[#This Row],[Yaw]])-ABS(V306)),ABS(Dominus[[#This Row],[Yaw]]-V306))</f>
        <v>0.97740333296408721</v>
      </c>
      <c r="Y307" s="1">
        <f>Dominus[[#This Row],[Degree change]]+Y306</f>
        <v>240.21806364885262</v>
      </c>
    </row>
    <row r="308" spans="1:25">
      <c r="A308">
        <v>307</v>
      </c>
      <c r="B308" s="1">
        <v>-785.25</v>
      </c>
      <c r="C308" s="1">
        <v>398.05999800000001</v>
      </c>
      <c r="D308" s="1">
        <v>17.049999</v>
      </c>
      <c r="E308" s="1">
        <v>2299.23999</v>
      </c>
      <c r="F308" s="1">
        <v>-58.23</v>
      </c>
      <c r="G308" s="1">
        <v>8.0399999999999991</v>
      </c>
      <c r="H308" s="1">
        <v>-2.9999999999999997E-4</v>
      </c>
      <c r="I308" s="1">
        <v>0</v>
      </c>
      <c r="J308" s="1">
        <v>2.0472999999999999</v>
      </c>
      <c r="K308" s="1">
        <v>-1.3200000000000001E-4</v>
      </c>
      <c r="L308" s="1">
        <v>8.397E-3</v>
      </c>
      <c r="M308" s="1">
        <v>1.7826999999999999E-2</v>
      </c>
      <c r="N308" s="1">
        <v>0.99980599999999997</v>
      </c>
      <c r="O308">
        <v>1</v>
      </c>
      <c r="P308">
        <v>0</v>
      </c>
      <c r="Q308">
        <v>1</v>
      </c>
      <c r="R308">
        <v>1</v>
      </c>
      <c r="S308">
        <v>1</v>
      </c>
      <c r="T308" s="1">
        <f>SQRT(POWER(Dominus[[#This Row],[angvel_X]],2) + POWER(Dominus[[#This Row],[angvel_Y]],2) + POWER(Dominus[[#This Row],[angvel_Z]],2))</f>
        <v>2.0473000219801687</v>
      </c>
      <c r="U308" s="1">
        <f>DEGREES(ASIN(MAX(-1,MIN(1,2 * (Dominus[[#This Row],[quart_W]]*Dominus[[#This Row],[quart_Y]] - Dominus[[#This Row],[quart_Z]]*Dominus[[#This Row],[quart_X]])))))</f>
        <v>0.96235355036284886</v>
      </c>
      <c r="V30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87.956978578100419</v>
      </c>
      <c r="W30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89.997969274089499</v>
      </c>
      <c r="X308" s="1">
        <f>IF(Dominus[[#This Row],[Yaw]]&gt;V307,(360-ABS(Dominus[[#This Row],[Yaw]])-ABS(V307)),ABS(Dominus[[#This Row],[Yaw]]-V307))</f>
        <v>0.97748019072648162</v>
      </c>
      <c r="Y308" s="1">
        <f>Dominus[[#This Row],[Degree change]]+Y307</f>
        <v>241.1955438395791</v>
      </c>
    </row>
    <row r="309" spans="1:25">
      <c r="A309">
        <v>308</v>
      </c>
      <c r="B309" s="1">
        <v>-766.01995799999997</v>
      </c>
      <c r="C309" s="1">
        <v>397.57998700000002</v>
      </c>
      <c r="D309" s="1">
        <v>17.049999</v>
      </c>
      <c r="E309" s="1">
        <v>2299.8999020000001</v>
      </c>
      <c r="F309" s="1">
        <v>-19</v>
      </c>
      <c r="G309" s="1">
        <v>8.0399999999999991</v>
      </c>
      <c r="H309" s="1">
        <v>-2.9999999999999997E-4</v>
      </c>
      <c r="I309" s="1">
        <v>0</v>
      </c>
      <c r="J309" s="1">
        <v>2.0472999999999999</v>
      </c>
      <c r="K309" s="1">
        <v>-2.0799999999999999E-4</v>
      </c>
      <c r="L309" s="1">
        <v>8.397E-3</v>
      </c>
      <c r="M309" s="1">
        <v>2.6356000000000001E-2</v>
      </c>
      <c r="N309" s="1">
        <v>0.99961699999999998</v>
      </c>
      <c r="O309">
        <v>1</v>
      </c>
      <c r="P309">
        <v>0</v>
      </c>
      <c r="Q309">
        <v>1</v>
      </c>
      <c r="R309">
        <v>1</v>
      </c>
      <c r="S309">
        <v>1</v>
      </c>
      <c r="T309" s="1">
        <f>SQRT(POWER(Dominus[[#This Row],[angvel_X]],2) + POWER(Dominus[[#This Row],[angvel_Y]],2) + POWER(Dominus[[#This Row],[angvel_Z]],2))</f>
        <v>2.0473000219801687</v>
      </c>
      <c r="U309" s="1">
        <f>DEGREES(ASIN(MAX(-1,MIN(1,2 * (Dominus[[#This Row],[quart_W]]*Dominus[[#This Row],[quart_Y]] - Dominus[[#This Row],[quart_Z]]*Dominus[[#This Row],[quart_X]])))))</f>
        <v>0.96253025840258766</v>
      </c>
      <c r="V30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86.979356629240897</v>
      </c>
      <c r="W30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89.998465288335183</v>
      </c>
      <c r="X309" s="1">
        <f>IF(Dominus[[#This Row],[Yaw]]&gt;V308,(360-ABS(Dominus[[#This Row],[Yaw]])-ABS(V308)),ABS(Dominus[[#This Row],[Yaw]]-V308))</f>
        <v>0.97762194885952169</v>
      </c>
      <c r="Y309" s="1">
        <f>Dominus[[#This Row],[Degree change]]+Y308</f>
        <v>242.17316578843861</v>
      </c>
    </row>
    <row r="310" spans="1:25">
      <c r="A310">
        <v>309</v>
      </c>
      <c r="B310" s="1">
        <v>-746.78997800000002</v>
      </c>
      <c r="C310" s="1">
        <v>397.42999300000002</v>
      </c>
      <c r="D310" s="1">
        <v>17.049999</v>
      </c>
      <c r="E310" s="1">
        <v>2299.889893</v>
      </c>
      <c r="F310" s="1">
        <v>20.23</v>
      </c>
      <c r="G310" s="1">
        <v>8.0399999999999991</v>
      </c>
      <c r="H310" s="1">
        <v>-2.9999999999999997E-4</v>
      </c>
      <c r="I310" s="1">
        <v>0</v>
      </c>
      <c r="J310" s="1">
        <v>2.0472999999999999</v>
      </c>
      <c r="K310" s="1">
        <v>-2.8299999999999999E-4</v>
      </c>
      <c r="L310" s="1">
        <v>8.397E-3</v>
      </c>
      <c r="M310" s="1">
        <v>3.4880000000000001E-2</v>
      </c>
      <c r="N310" s="1">
        <v>0.99935600000000002</v>
      </c>
      <c r="O310">
        <v>1</v>
      </c>
      <c r="P310">
        <v>0</v>
      </c>
      <c r="Q310">
        <v>1</v>
      </c>
      <c r="R310">
        <v>1</v>
      </c>
      <c r="S310">
        <v>1</v>
      </c>
      <c r="T310" s="1">
        <f>SQRT(POWER(Dominus[[#This Row],[angvel_X]],2) + POWER(Dominus[[#This Row],[angvel_Y]],2) + POWER(Dominus[[#This Row],[angvel_Z]],2))</f>
        <v>2.0473000219801687</v>
      </c>
      <c r="U310" s="1">
        <f>DEGREES(ASIN(MAX(-1,MIN(1,2 * (Dominus[[#This Row],[quart_W]]*Dominus[[#This Row],[quart_Y]] - Dominus[[#This Row],[quart_Z]]*Dominus[[#This Row],[quart_X]])))))</f>
        <v>0.96278209457431785</v>
      </c>
      <c r="V31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86.002085417454623</v>
      </c>
      <c r="W31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89.998845944533429</v>
      </c>
      <c r="X310" s="1">
        <f>IF(Dominus[[#This Row],[Yaw]]&gt;V309,(360-ABS(Dominus[[#This Row],[Yaw]])-ABS(V309)),ABS(Dominus[[#This Row],[Yaw]]-V309))</f>
        <v>0.97727121178627385</v>
      </c>
      <c r="Y310" s="1">
        <f>Dominus[[#This Row],[Degree change]]+Y309</f>
        <v>243.15043700022488</v>
      </c>
    </row>
    <row r="311" spans="1:25">
      <c r="A311">
        <v>310</v>
      </c>
      <c r="B311" s="1">
        <v>-727.55999799999995</v>
      </c>
      <c r="C311" s="1">
        <v>397.60000600000001</v>
      </c>
      <c r="D311" s="1">
        <v>17.049999</v>
      </c>
      <c r="E311" s="1">
        <v>2299.209961</v>
      </c>
      <c r="F311" s="1">
        <v>59.449997000000003</v>
      </c>
      <c r="G311" s="1">
        <v>8.0399999999999991</v>
      </c>
      <c r="H311" s="1">
        <v>-2.0000000000000001E-4</v>
      </c>
      <c r="I311" s="1">
        <v>-1E-4</v>
      </c>
      <c r="J311" s="1">
        <v>2.0472999999999999</v>
      </c>
      <c r="K311" s="1">
        <v>-3.59E-4</v>
      </c>
      <c r="L311" s="1">
        <v>8.397E-3</v>
      </c>
      <c r="M311" s="1">
        <v>4.3403999999999998E-2</v>
      </c>
      <c r="N311" s="1">
        <v>0.99902199999999997</v>
      </c>
      <c r="O311">
        <v>1</v>
      </c>
      <c r="P311">
        <v>0</v>
      </c>
      <c r="Q311">
        <v>1</v>
      </c>
      <c r="R311">
        <v>1</v>
      </c>
      <c r="S311">
        <v>1</v>
      </c>
      <c r="T311" s="1">
        <f>SQRT(POWER(Dominus[[#This Row],[angvel_X]],2) + POWER(Dominus[[#This Row],[angvel_Y]],2) + POWER(Dominus[[#This Row],[angvel_Z]],2))</f>
        <v>2.0473000122112048</v>
      </c>
      <c r="U311" s="1">
        <f>DEGREES(ASIN(MAX(-1,MIN(1,2 * (Dominus[[#This Row],[quart_W]]*Dominus[[#This Row],[quart_Y]] - Dominus[[#This Row],[quart_Z]]*Dominus[[#This Row],[quart_X]])))))</f>
        <v>0.96311519029472681</v>
      </c>
      <c r="V31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85.024524762029912</v>
      </c>
      <c r="W31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89.999333614381044</v>
      </c>
      <c r="X311" s="1">
        <f>IF(Dominus[[#This Row],[Yaw]]&gt;V310,(360-ABS(Dominus[[#This Row],[Yaw]])-ABS(V310)),ABS(Dominus[[#This Row],[Yaw]]-V310))</f>
        <v>0.97756065542471049</v>
      </c>
      <c r="Y311" s="1">
        <f>Dominus[[#This Row],[Degree change]]+Y310</f>
        <v>244.12799765564961</v>
      </c>
    </row>
    <row r="312" spans="1:25">
      <c r="A312">
        <v>311</v>
      </c>
      <c r="B312" s="1">
        <v>-708.32995600000004</v>
      </c>
      <c r="C312" s="1">
        <v>398.10000600000001</v>
      </c>
      <c r="D312" s="1">
        <v>17.049999</v>
      </c>
      <c r="E312" s="1">
        <v>2297.8598630000001</v>
      </c>
      <c r="F312" s="1">
        <v>98.659996000000007</v>
      </c>
      <c r="G312" s="1">
        <v>8.0399999999999991</v>
      </c>
      <c r="H312" s="1">
        <v>-1E-4</v>
      </c>
      <c r="I312" s="1">
        <v>-1E-4</v>
      </c>
      <c r="J312" s="1">
        <v>2.0472999999999999</v>
      </c>
      <c r="K312" s="1">
        <v>-4.2900000000000002E-4</v>
      </c>
      <c r="L312" s="1">
        <v>8.3920000000000002E-3</v>
      </c>
      <c r="M312" s="1">
        <v>5.1922000000000003E-2</v>
      </c>
      <c r="N312" s="1">
        <v>0.99861599999999995</v>
      </c>
      <c r="O312">
        <v>1</v>
      </c>
      <c r="P312">
        <v>0</v>
      </c>
      <c r="Q312">
        <v>1</v>
      </c>
      <c r="R312">
        <v>1</v>
      </c>
      <c r="S312">
        <v>1</v>
      </c>
      <c r="T312" s="1">
        <f>SQRT(POWER(Dominus[[#This Row],[angvel_X]],2) + POWER(Dominus[[#This Row],[angvel_Y]],2) + POWER(Dominus[[#This Row],[angvel_Z]],2))</f>
        <v>2.047300004884482</v>
      </c>
      <c r="U312" s="1">
        <f>DEGREES(ASIN(MAX(-1,MIN(1,2 * (Dominus[[#This Row],[quart_W]]*Dominus[[#This Row],[quart_Y]] - Dominus[[#This Row],[quart_Z]]*Dominus[[#This Row],[quart_X]])))))</f>
        <v>0.96291923855295491</v>
      </c>
      <c r="V31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84.047281827375485</v>
      </c>
      <c r="W31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89.999160709154509</v>
      </c>
      <c r="X312" s="1">
        <f>IF(Dominus[[#This Row],[Yaw]]&gt;V311,(360-ABS(Dominus[[#This Row],[Yaw]])-ABS(V311)),ABS(Dominus[[#This Row],[Yaw]]-V311))</f>
        <v>0.97724293465442713</v>
      </c>
      <c r="Y312" s="1">
        <f>Dominus[[#This Row],[Degree change]]+Y311</f>
        <v>245.10524059030405</v>
      </c>
    </row>
    <row r="313" spans="1:25">
      <c r="A313">
        <v>312</v>
      </c>
      <c r="B313" s="1">
        <v>-689.10998500000005</v>
      </c>
      <c r="C313" s="1">
        <v>398.92999300000002</v>
      </c>
      <c r="D313" s="1">
        <v>17.049999</v>
      </c>
      <c r="E313" s="1">
        <v>2295.8498540000001</v>
      </c>
      <c r="F313" s="1">
        <v>137.83999600000001</v>
      </c>
      <c r="G313" s="1">
        <v>8.0399999999999991</v>
      </c>
      <c r="H313" s="1">
        <v>-1E-4</v>
      </c>
      <c r="I313" s="1">
        <v>-1E-4</v>
      </c>
      <c r="J313" s="1">
        <v>2.0472999999999999</v>
      </c>
      <c r="K313" s="1">
        <v>-4.9899999999999999E-4</v>
      </c>
      <c r="L313" s="1">
        <v>8.3859999999999994E-3</v>
      </c>
      <c r="M313" s="1">
        <v>6.0441000000000002E-2</v>
      </c>
      <c r="N313" s="1">
        <v>0.99813600000000002</v>
      </c>
      <c r="O313">
        <v>1</v>
      </c>
      <c r="P313">
        <v>0</v>
      </c>
      <c r="Q313">
        <v>1</v>
      </c>
      <c r="R313">
        <v>1</v>
      </c>
      <c r="S313">
        <v>1</v>
      </c>
      <c r="T313" s="1">
        <f>SQRT(POWER(Dominus[[#This Row],[angvel_X]],2) + POWER(Dominus[[#This Row],[angvel_Y]],2) + POWER(Dominus[[#This Row],[angvel_Z]],2))</f>
        <v>2.047300004884482</v>
      </c>
      <c r="U313" s="1">
        <f>DEGREES(ASIN(MAX(-1,MIN(1,2 * (Dominus[[#This Row],[quart_W]]*Dominus[[#This Row],[quart_Y]] - Dominus[[#This Row],[quart_Z]]*Dominus[[#This Row],[quart_X]])))))</f>
        <v>0.96267495731302055</v>
      </c>
      <c r="V31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83.069497266788744</v>
      </c>
      <c r="W31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89.998992785730962</v>
      </c>
      <c r="X313" s="1">
        <f>IF(Dominus[[#This Row],[Yaw]]&gt;V312,(360-ABS(Dominus[[#This Row],[Yaw]])-ABS(V312)),ABS(Dominus[[#This Row],[Yaw]]-V312))</f>
        <v>0.97778456058674124</v>
      </c>
      <c r="Y313" s="1">
        <f>Dominus[[#This Row],[Degree change]]+Y312</f>
        <v>246.08302515089079</v>
      </c>
    </row>
    <row r="314" spans="1:25">
      <c r="A314">
        <v>313</v>
      </c>
      <c r="B314" s="1">
        <v>-669.90997300000004</v>
      </c>
      <c r="C314" s="1">
        <v>400.08999599999999</v>
      </c>
      <c r="D314" s="1">
        <v>17.049999</v>
      </c>
      <c r="E314" s="1">
        <v>2293.1599120000001</v>
      </c>
      <c r="F314" s="1">
        <v>176.979996</v>
      </c>
      <c r="G314" s="1">
        <v>8.0399999999999991</v>
      </c>
      <c r="H314" s="1">
        <v>-1E-4</v>
      </c>
      <c r="I314" s="1">
        <v>-1E-4</v>
      </c>
      <c r="J314" s="1">
        <v>2.0472999999999999</v>
      </c>
      <c r="K314" s="1">
        <v>-5.6899999999999995E-4</v>
      </c>
      <c r="L314" s="1">
        <v>8.3809999999999996E-3</v>
      </c>
      <c r="M314" s="1">
        <v>6.8954000000000001E-2</v>
      </c>
      <c r="N314" s="1">
        <v>0.99758400000000003</v>
      </c>
      <c r="O314">
        <v>1</v>
      </c>
      <c r="P314">
        <v>0</v>
      </c>
      <c r="Q314">
        <v>1</v>
      </c>
      <c r="R314">
        <v>1</v>
      </c>
      <c r="S314">
        <v>1</v>
      </c>
      <c r="T314" s="1">
        <f>SQRT(POWER(Dominus[[#This Row],[angvel_X]],2) + POWER(Dominus[[#This Row],[angvel_Y]],2) + POWER(Dominus[[#This Row],[angvel_Z]],2))</f>
        <v>2.047300004884482</v>
      </c>
      <c r="U314" s="1">
        <f>DEGREES(ASIN(MAX(-1,MIN(1,2 * (Dominus[[#This Row],[quart_W]]*Dominus[[#This Row],[quart_Y]] - Dominus[[#This Row],[quart_Z]]*Dominus[[#This Row],[quart_X]])))))</f>
        <v>0.96261281413412558</v>
      </c>
      <c r="V31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82.09189302569726</v>
      </c>
      <c r="W31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89.998822041314085</v>
      </c>
      <c r="X314" s="1">
        <f>IF(Dominus[[#This Row],[Yaw]]&gt;V313,(360-ABS(Dominus[[#This Row],[Yaw]])-ABS(V313)),ABS(Dominus[[#This Row],[Yaw]]-V313))</f>
        <v>0.97760424109148403</v>
      </c>
      <c r="Y314" s="1">
        <f>Dominus[[#This Row],[Degree change]]+Y313</f>
        <v>247.06062939198227</v>
      </c>
    </row>
    <row r="315" spans="1:25">
      <c r="A315">
        <v>314</v>
      </c>
      <c r="B315" s="1">
        <v>-650.72997999999995</v>
      </c>
      <c r="C315" s="1">
        <v>401.56997699999999</v>
      </c>
      <c r="D315" s="1">
        <v>17.049999</v>
      </c>
      <c r="E315" s="1">
        <v>2289.8100589999999</v>
      </c>
      <c r="F315" s="1">
        <v>216.06999200000001</v>
      </c>
      <c r="G315" s="1">
        <v>8.0399999999999991</v>
      </c>
      <c r="H315" s="1">
        <v>-1E-4</v>
      </c>
      <c r="I315" s="1">
        <v>-1E-4</v>
      </c>
      <c r="J315" s="1">
        <v>2.0472999999999999</v>
      </c>
      <c r="K315" s="1">
        <v>-6.3900000000000003E-4</v>
      </c>
      <c r="L315" s="1">
        <v>8.3750000000000005E-3</v>
      </c>
      <c r="M315" s="1">
        <v>7.7461000000000002E-2</v>
      </c>
      <c r="N315" s="1">
        <v>0.99695999999999996</v>
      </c>
      <c r="O315">
        <v>1</v>
      </c>
      <c r="P315">
        <v>0</v>
      </c>
      <c r="Q315">
        <v>1</v>
      </c>
      <c r="R315">
        <v>1</v>
      </c>
      <c r="S315">
        <v>1</v>
      </c>
      <c r="T315" s="1">
        <f>SQRT(POWER(Dominus[[#This Row],[angvel_X]],2) + POWER(Dominus[[#This Row],[angvel_Y]],2) + POWER(Dominus[[#This Row],[angvel_Z]],2))</f>
        <v>2.047300004884482</v>
      </c>
      <c r="U315" s="1">
        <f>DEGREES(ASIN(MAX(-1,MIN(1,2 * (Dominus[[#This Row],[quart_W]]*Dominus[[#This Row],[quart_Y]] - Dominus[[#This Row],[quart_Z]]*Dominus[[#This Row],[quart_X]])))))</f>
        <v>0.9625040799340383</v>
      </c>
      <c r="V31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81.114397210911406</v>
      </c>
      <c r="W31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89.998661561075693</v>
      </c>
      <c r="X315" s="1">
        <f>IF(Dominus[[#This Row],[Yaw]]&gt;V314,(360-ABS(Dominus[[#This Row],[Yaw]])-ABS(V314)),ABS(Dominus[[#This Row],[Yaw]]-V314))</f>
        <v>0.97749581478585412</v>
      </c>
      <c r="Y315" s="1">
        <f>Dominus[[#This Row],[Degree change]]+Y314</f>
        <v>248.03812520676814</v>
      </c>
    </row>
    <row r="316" spans="1:25">
      <c r="A316">
        <v>315</v>
      </c>
      <c r="B316" s="1">
        <v>-631.57995600000004</v>
      </c>
      <c r="C316" s="1">
        <v>403.38000499999998</v>
      </c>
      <c r="D316" s="1">
        <v>17.049999</v>
      </c>
      <c r="E316" s="1">
        <v>2285.790039</v>
      </c>
      <c r="F316" s="1">
        <v>255.09999099999999</v>
      </c>
      <c r="G316" s="1">
        <v>8.0399999999999991</v>
      </c>
      <c r="H316" s="1">
        <v>-1E-4</v>
      </c>
      <c r="I316" s="1">
        <v>-1E-4</v>
      </c>
      <c r="J316" s="1">
        <v>2.0472999999999999</v>
      </c>
      <c r="K316" s="1">
        <v>-7.0899999999999999E-4</v>
      </c>
      <c r="L316" s="1">
        <v>8.3700000000000007E-3</v>
      </c>
      <c r="M316" s="1">
        <v>8.5963999999999999E-2</v>
      </c>
      <c r="N316" s="1">
        <v>0.99626300000000001</v>
      </c>
      <c r="O316">
        <v>1</v>
      </c>
      <c r="P316">
        <v>0</v>
      </c>
      <c r="Q316">
        <v>1</v>
      </c>
      <c r="R316">
        <v>1</v>
      </c>
      <c r="S316">
        <v>1</v>
      </c>
      <c r="T316" s="1">
        <f>SQRT(POWER(Dominus[[#This Row],[angvel_X]],2) + POWER(Dominus[[#This Row],[angvel_Y]],2) + POWER(Dominus[[#This Row],[angvel_Z]],2))</f>
        <v>2.047300004884482</v>
      </c>
      <c r="U316" s="1">
        <f>DEGREES(ASIN(MAX(-1,MIN(1,2 * (Dominus[[#This Row],[quart_W]]*Dominus[[#This Row],[quart_Y]] - Dominus[[#This Row],[quart_Z]]*Dominus[[#This Row],[quart_X]])))))</f>
        <v>0.96257653574390711</v>
      </c>
      <c r="V31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80.136715022992533</v>
      </c>
      <c r="W31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89.998490820969025</v>
      </c>
      <c r="X316" s="1">
        <f>IF(Dominus[[#This Row],[Yaw]]&gt;V315,(360-ABS(Dominus[[#This Row],[Yaw]])-ABS(V315)),ABS(Dominus[[#This Row],[Yaw]]-V315))</f>
        <v>0.97768218791887307</v>
      </c>
      <c r="Y316" s="1">
        <f>Dominus[[#This Row],[Degree change]]+Y315</f>
        <v>249.01580739468702</v>
      </c>
    </row>
    <row r="317" spans="1:25">
      <c r="A317">
        <v>316</v>
      </c>
      <c r="B317" s="1">
        <v>-612.45996100000002</v>
      </c>
      <c r="C317" s="1">
        <v>405.51998900000001</v>
      </c>
      <c r="D317" s="1">
        <v>17.049999</v>
      </c>
      <c r="E317" s="1">
        <v>2281.0998540000001</v>
      </c>
      <c r="F317" s="1">
        <v>294.05999800000001</v>
      </c>
      <c r="G317" s="1">
        <v>8.0399999999999991</v>
      </c>
      <c r="H317" s="1">
        <v>-1E-4</v>
      </c>
      <c r="I317" s="1">
        <v>-1E-4</v>
      </c>
      <c r="J317" s="1">
        <v>2.0472999999999999</v>
      </c>
      <c r="K317" s="1">
        <v>-7.7999999999999999E-4</v>
      </c>
      <c r="L317" s="1">
        <v>8.3649999999999992E-3</v>
      </c>
      <c r="M317" s="1">
        <v>9.4461000000000003E-2</v>
      </c>
      <c r="N317" s="1">
        <v>0.99549299999999996</v>
      </c>
      <c r="O317">
        <v>1</v>
      </c>
      <c r="P317">
        <v>0</v>
      </c>
      <c r="Q317">
        <v>1</v>
      </c>
      <c r="R317">
        <v>1</v>
      </c>
      <c r="S317">
        <v>1</v>
      </c>
      <c r="T317" s="1">
        <f>SQRT(POWER(Dominus[[#This Row],[angvel_X]],2) + POWER(Dominus[[#This Row],[angvel_Y]],2) + POWER(Dominus[[#This Row],[angvel_Z]],2))</f>
        <v>2.047300004884482</v>
      </c>
      <c r="U317" s="1">
        <f>DEGREES(ASIN(MAX(-1,MIN(1,2 * (Dominus[[#This Row],[quart_W]]*Dominus[[#This Row],[quart_Y]] - Dominus[[#This Row],[quart_Z]]*Dominus[[#This Row],[quart_X]])))))</f>
        <v>0.96272652735621944</v>
      </c>
      <c r="V31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79.15900852785947</v>
      </c>
      <c r="W31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89.998431968454042</v>
      </c>
      <c r="X317" s="1">
        <f>IF(Dominus[[#This Row],[Yaw]]&gt;V316,(360-ABS(Dominus[[#This Row],[Yaw]])-ABS(V316)),ABS(Dominus[[#This Row],[Yaw]]-V316))</f>
        <v>0.97770649513306296</v>
      </c>
      <c r="Y317" s="1">
        <f>Dominus[[#This Row],[Degree change]]+Y316</f>
        <v>249.99351388982006</v>
      </c>
    </row>
    <row r="318" spans="1:25">
      <c r="A318">
        <v>317</v>
      </c>
      <c r="B318" s="1">
        <v>-593.38000499999998</v>
      </c>
      <c r="C318" s="1">
        <v>407.97998000000001</v>
      </c>
      <c r="D318" s="1">
        <v>17.049999</v>
      </c>
      <c r="E318" s="1">
        <v>2275.76001</v>
      </c>
      <c r="F318" s="1">
        <v>332.92999300000002</v>
      </c>
      <c r="G318" s="1">
        <v>8.0399999999999991</v>
      </c>
      <c r="H318" s="1">
        <v>-2.0000000000000001E-4</v>
      </c>
      <c r="I318" s="1">
        <v>-1E-4</v>
      </c>
      <c r="J318" s="1">
        <v>2.0472999999999999</v>
      </c>
      <c r="K318" s="1">
        <v>-8.4999999999999995E-4</v>
      </c>
      <c r="L318" s="1">
        <v>8.3590000000000001E-3</v>
      </c>
      <c r="M318" s="1">
        <v>0.102947</v>
      </c>
      <c r="N318" s="1">
        <v>0.99465099999999995</v>
      </c>
      <c r="O318">
        <v>1</v>
      </c>
      <c r="P318">
        <v>0</v>
      </c>
      <c r="Q318">
        <v>1</v>
      </c>
      <c r="R318">
        <v>1</v>
      </c>
      <c r="S318">
        <v>1</v>
      </c>
      <c r="T318" s="1">
        <f>SQRT(POWER(Dominus[[#This Row],[angvel_X]],2) + POWER(Dominus[[#This Row],[angvel_Y]],2) + POWER(Dominus[[#This Row],[angvel_Z]],2))</f>
        <v>2.0473000122112048</v>
      </c>
      <c r="U318" s="1">
        <f>DEGREES(ASIN(MAX(-1,MIN(1,2 * (Dominus[[#This Row],[quart_W]]*Dominus[[#This Row],[quart_Y]] - Dominus[[#This Row],[quart_Z]]*Dominus[[#This Row],[quart_X]])))))</f>
        <v>0.96281983341316046</v>
      </c>
      <c r="V31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78.181776356244299</v>
      </c>
      <c r="W31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89.998271643871959</v>
      </c>
      <c r="X318" s="1">
        <f>IF(Dominus[[#This Row],[Yaw]]&gt;V317,(360-ABS(Dominus[[#This Row],[Yaw]])-ABS(V317)),ABS(Dominus[[#This Row],[Yaw]]-V317))</f>
        <v>0.97723217161517084</v>
      </c>
      <c r="Y318" s="1">
        <f>Dominus[[#This Row],[Degree change]]+Y317</f>
        <v>250.97074606143525</v>
      </c>
    </row>
    <row r="319" spans="1:25">
      <c r="A319">
        <v>318</v>
      </c>
      <c r="B319" s="1">
        <v>-574.34997599999997</v>
      </c>
      <c r="C319" s="1">
        <v>410.76998900000001</v>
      </c>
      <c r="D319" s="1">
        <v>17.049999</v>
      </c>
      <c r="E319" s="1">
        <v>2269.75</v>
      </c>
      <c r="F319" s="1">
        <v>371.69998199999998</v>
      </c>
      <c r="G319" s="1">
        <v>8.0399999999999991</v>
      </c>
      <c r="H319" s="1">
        <v>-2.0000000000000001E-4</v>
      </c>
      <c r="I319" s="1">
        <v>-2.0000000000000001E-4</v>
      </c>
      <c r="J319" s="1">
        <v>2.0472999999999999</v>
      </c>
      <c r="K319" s="1">
        <v>-9.2000000000000003E-4</v>
      </c>
      <c r="L319" s="1">
        <v>8.3540000000000003E-3</v>
      </c>
      <c r="M319" s="1">
        <v>0.111427</v>
      </c>
      <c r="N319" s="1">
        <v>0.99373699999999998</v>
      </c>
      <c r="O319">
        <v>1</v>
      </c>
      <c r="P319">
        <v>0</v>
      </c>
      <c r="Q319">
        <v>1</v>
      </c>
      <c r="R319">
        <v>1</v>
      </c>
      <c r="S319">
        <v>1</v>
      </c>
      <c r="T319" s="1">
        <f>SQRT(POWER(Dominus[[#This Row],[angvel_X]],2) + POWER(Dominus[[#This Row],[angvel_Y]],2) + POWER(Dominus[[#This Row],[angvel_Z]],2))</f>
        <v>2.0473000195379281</v>
      </c>
      <c r="U319" s="1">
        <f>DEGREES(ASIN(MAX(-1,MIN(1,2 * (Dominus[[#This Row],[quart_W]]*Dominus[[#This Row],[quart_Y]] - Dominus[[#This Row],[quart_Z]]*Dominus[[#This Row],[quart_X]])))))</f>
        <v>0.96309478644776036</v>
      </c>
      <c r="V31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77.204366397255214</v>
      </c>
      <c r="W31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89.998094861851612</v>
      </c>
      <c r="X319" s="1">
        <f>IF(Dominus[[#This Row],[Yaw]]&gt;V318,(360-ABS(Dominus[[#This Row],[Yaw]])-ABS(V318)),ABS(Dominus[[#This Row],[Yaw]]-V318))</f>
        <v>0.97740995898908523</v>
      </c>
      <c r="Y319" s="1">
        <f>Dominus[[#This Row],[Degree change]]+Y318</f>
        <v>251.94815602042434</v>
      </c>
    </row>
    <row r="320" spans="1:25">
      <c r="A320">
        <v>319</v>
      </c>
      <c r="B320" s="1">
        <v>-555.36999500000002</v>
      </c>
      <c r="C320" s="1">
        <v>413.88000499999998</v>
      </c>
      <c r="D320" s="1">
        <v>17.049999</v>
      </c>
      <c r="E320" s="1">
        <v>2263.070068</v>
      </c>
      <c r="F320" s="1">
        <v>410.36999500000002</v>
      </c>
      <c r="G320" s="1">
        <v>8.0399999999999991</v>
      </c>
      <c r="H320" s="1">
        <v>-2.0000000000000001E-4</v>
      </c>
      <c r="I320" s="1">
        <v>-2.9999999999999997E-4</v>
      </c>
      <c r="J320" s="1">
        <v>2.0472999999999999</v>
      </c>
      <c r="K320" s="1">
        <v>-9.8999999999999999E-4</v>
      </c>
      <c r="L320" s="1">
        <v>8.3429999999999997E-3</v>
      </c>
      <c r="M320" s="1">
        <v>0.11990199999999999</v>
      </c>
      <c r="N320" s="1">
        <v>0.99275000000000002</v>
      </c>
      <c r="O320">
        <v>1</v>
      </c>
      <c r="P320">
        <v>0</v>
      </c>
      <c r="Q320">
        <v>1</v>
      </c>
      <c r="R320">
        <v>1</v>
      </c>
      <c r="S320">
        <v>1</v>
      </c>
      <c r="T320" s="1">
        <f>SQRT(POWER(Dominus[[#This Row],[angvel_X]],2) + POWER(Dominus[[#This Row],[angvel_Y]],2) + POWER(Dominus[[#This Row],[angvel_Z]],2))</f>
        <v>2.0473000317491326</v>
      </c>
      <c r="U320" s="1">
        <f>DEGREES(ASIN(MAX(-1,MIN(1,2 * (Dominus[[#This Row],[quart_W]]*Dominus[[#This Row],[quart_Y]] - Dominus[[#This Row],[quart_Z]]*Dominus[[#This Row],[quart_X]])))))</f>
        <v>0.96275377018854225</v>
      </c>
      <c r="V32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76.226603585458079</v>
      </c>
      <c r="W32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89.997992085489827</v>
      </c>
      <c r="X320" s="1">
        <f>IF(Dominus[[#This Row],[Yaw]]&gt;V319,(360-ABS(Dominus[[#This Row],[Yaw]])-ABS(V319)),ABS(Dominus[[#This Row],[Yaw]]-V319))</f>
        <v>0.97776281179713465</v>
      </c>
      <c r="Y320" s="1">
        <f>Dominus[[#This Row],[Degree change]]+Y319</f>
        <v>252.92591883222147</v>
      </c>
    </row>
    <row r="321" spans="1:25">
      <c r="A321">
        <v>320</v>
      </c>
      <c r="B321" s="1">
        <v>-536.44000200000005</v>
      </c>
      <c r="C321" s="1">
        <v>417.31997699999999</v>
      </c>
      <c r="D321" s="1">
        <v>17.049999</v>
      </c>
      <c r="E321" s="1">
        <v>2255.73999</v>
      </c>
      <c r="F321" s="1">
        <v>448.919983</v>
      </c>
      <c r="G321" s="1">
        <v>8.0399999999999991</v>
      </c>
      <c r="H321" s="1">
        <v>-2.9999999999999997E-4</v>
      </c>
      <c r="I321" s="1">
        <v>-2.9999999999999997E-4</v>
      </c>
      <c r="J321" s="1">
        <v>2.0472999999999999</v>
      </c>
      <c r="K321" s="1">
        <v>-1.06E-3</v>
      </c>
      <c r="L321" s="1">
        <v>8.3320000000000009E-3</v>
      </c>
      <c r="M321" s="1">
        <v>0.12836700000000001</v>
      </c>
      <c r="N321" s="1">
        <v>0.99169099999999999</v>
      </c>
      <c r="O321">
        <v>1</v>
      </c>
      <c r="P321">
        <v>0</v>
      </c>
      <c r="Q321">
        <v>1</v>
      </c>
      <c r="R321">
        <v>1</v>
      </c>
      <c r="S321">
        <v>1</v>
      </c>
      <c r="T321" s="1">
        <f>SQRT(POWER(Dominus[[#This Row],[angvel_X]],2) + POWER(Dominus[[#This Row],[angvel_Y]],2) + POWER(Dominus[[#This Row],[angvel_Z]],2))</f>
        <v>2.0473000439603375</v>
      </c>
      <c r="U321" s="1">
        <f>DEGREES(ASIN(MAX(-1,MIN(1,2 * (Dominus[[#This Row],[quart_W]]*Dominus[[#This Row],[quart_Y]] - Dominus[[#This Row],[quart_Z]]*Dominus[[#This Row],[quart_X]])))))</f>
        <v>0.96248125614852742</v>
      </c>
      <c r="V32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75.248986120716594</v>
      </c>
      <c r="W32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89.997895643475374</v>
      </c>
      <c r="X321" s="1">
        <f>IF(Dominus[[#This Row],[Yaw]]&gt;V320,(360-ABS(Dominus[[#This Row],[Yaw]])-ABS(V320)),ABS(Dominus[[#This Row],[Yaw]]-V320))</f>
        <v>0.97761746474148481</v>
      </c>
      <c r="Y321" s="1">
        <f>Dominus[[#This Row],[Degree change]]+Y320</f>
        <v>253.90353629696295</v>
      </c>
    </row>
    <row r="322" spans="1:25">
      <c r="A322">
        <v>321</v>
      </c>
      <c r="B322" s="1">
        <v>-517.580017</v>
      </c>
      <c r="C322" s="1">
        <v>421.07998700000002</v>
      </c>
      <c r="D322" s="1">
        <v>17.049999</v>
      </c>
      <c r="E322" s="1">
        <v>2247.76001</v>
      </c>
      <c r="F322" s="1">
        <v>487.33999599999999</v>
      </c>
      <c r="G322" s="1">
        <v>8.0399999999999991</v>
      </c>
      <c r="H322" s="1">
        <v>-2.9999999999999997E-4</v>
      </c>
      <c r="I322" s="1">
        <v>-2.9999999999999997E-4</v>
      </c>
      <c r="J322" s="1">
        <v>2.0472999999999999</v>
      </c>
      <c r="K322" s="1">
        <v>-1.1299999999999999E-3</v>
      </c>
      <c r="L322" s="1">
        <v>8.3219999999999995E-3</v>
      </c>
      <c r="M322" s="1">
        <v>0.136821</v>
      </c>
      <c r="N322" s="1">
        <v>0.99056</v>
      </c>
      <c r="O322">
        <v>1</v>
      </c>
      <c r="P322">
        <v>0</v>
      </c>
      <c r="Q322">
        <v>1</v>
      </c>
      <c r="R322">
        <v>1</v>
      </c>
      <c r="S322">
        <v>1</v>
      </c>
      <c r="T322" s="1">
        <f>SQRT(POWER(Dominus[[#This Row],[angvel_X]],2) + POWER(Dominus[[#This Row],[angvel_Y]],2) + POWER(Dominus[[#This Row],[angvel_Z]],2))</f>
        <v>2.0473000439603375</v>
      </c>
      <c r="U322" s="1">
        <f>DEGREES(ASIN(MAX(-1,MIN(1,2 * (Dominus[[#This Row],[quart_W]]*Dominus[[#This Row],[quart_Y]] - Dominus[[#This Row],[quart_Z]]*Dominus[[#This Row],[quart_X]])))))</f>
        <v>0.96239067226355968</v>
      </c>
      <c r="V32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74.271560623218235</v>
      </c>
      <c r="W32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89.997789037945736</v>
      </c>
      <c r="X322" s="1">
        <f>IF(Dominus[[#This Row],[Yaw]]&gt;V321,(360-ABS(Dominus[[#This Row],[Yaw]])-ABS(V321)),ABS(Dominus[[#This Row],[Yaw]]-V321))</f>
        <v>0.97742549749835916</v>
      </c>
      <c r="Y322" s="1">
        <f>Dominus[[#This Row],[Degree change]]+Y321</f>
        <v>254.88096179446131</v>
      </c>
    </row>
    <row r="323" spans="1:25">
      <c r="A323">
        <v>322</v>
      </c>
      <c r="B323" s="1">
        <v>-498.77999899999998</v>
      </c>
      <c r="C323" s="1">
        <v>425.16000400000001</v>
      </c>
      <c r="D323" s="1">
        <v>17.049999</v>
      </c>
      <c r="E323" s="1">
        <v>2239.1098630000001</v>
      </c>
      <c r="F323" s="1">
        <v>525.61999500000002</v>
      </c>
      <c r="G323" s="1">
        <v>8.0399999999999991</v>
      </c>
      <c r="H323" s="1">
        <v>-2.9999999999999997E-4</v>
      </c>
      <c r="I323" s="1">
        <v>-2.9999999999999997E-4</v>
      </c>
      <c r="J323" s="1">
        <v>2.0472999999999999</v>
      </c>
      <c r="K323" s="1">
        <v>-1.1999999999999999E-3</v>
      </c>
      <c r="L323" s="1">
        <v>8.3110000000000007E-3</v>
      </c>
      <c r="M323" s="1">
        <v>0.145264</v>
      </c>
      <c r="N323" s="1">
        <v>0.98935700000000004</v>
      </c>
      <c r="O323">
        <v>1</v>
      </c>
      <c r="P323">
        <v>0</v>
      </c>
      <c r="Q323">
        <v>1</v>
      </c>
      <c r="R323">
        <v>1</v>
      </c>
      <c r="S323">
        <v>1</v>
      </c>
      <c r="T323" s="1">
        <f>SQRT(POWER(Dominus[[#This Row],[angvel_X]],2) + POWER(Dominus[[#This Row],[angvel_Y]],2) + POWER(Dominus[[#This Row],[angvel_Z]],2))</f>
        <v>2.0473000439603375</v>
      </c>
      <c r="U323" s="1">
        <f>DEGREES(ASIN(MAX(-1,MIN(1,2 * (Dominus[[#This Row],[quart_W]]*Dominus[[#This Row],[quart_Y]] - Dominus[[#This Row],[quart_Z]]*Dominus[[#This Row],[quart_X]])))))</f>
        <v>0.962254836553321</v>
      </c>
      <c r="V32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73.294257921299845</v>
      </c>
      <c r="W32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89.997700888421491</v>
      </c>
      <c r="X323" s="1">
        <f>IF(Dominus[[#This Row],[Yaw]]&gt;V322,(360-ABS(Dominus[[#This Row],[Yaw]])-ABS(V322)),ABS(Dominus[[#This Row],[Yaw]]-V322))</f>
        <v>0.97730270191838997</v>
      </c>
      <c r="Y323" s="1">
        <f>Dominus[[#This Row],[Degree change]]+Y322</f>
        <v>255.85826449637972</v>
      </c>
    </row>
    <row r="324" spans="1:25">
      <c r="A324">
        <v>323</v>
      </c>
      <c r="B324" s="1">
        <v>-480.04998799999998</v>
      </c>
      <c r="C324" s="1">
        <v>429.55999800000001</v>
      </c>
      <c r="D324" s="1">
        <v>17.049999</v>
      </c>
      <c r="E324" s="1">
        <v>2229.820068</v>
      </c>
      <c r="F324" s="1">
        <v>563.73999000000003</v>
      </c>
      <c r="G324" s="1">
        <v>8.0399999999999991</v>
      </c>
      <c r="H324" s="1">
        <v>-2.9999999999999997E-4</v>
      </c>
      <c r="I324" s="1">
        <v>-2.9999999999999997E-4</v>
      </c>
      <c r="J324" s="1">
        <v>2.0472999999999999</v>
      </c>
      <c r="K324" s="1">
        <v>-1.2700000000000001E-3</v>
      </c>
      <c r="L324" s="1">
        <v>8.3000000000000001E-3</v>
      </c>
      <c r="M324" s="1">
        <v>0.153696</v>
      </c>
      <c r="N324" s="1">
        <v>0.98808200000000002</v>
      </c>
      <c r="O324">
        <v>1</v>
      </c>
      <c r="P324">
        <v>0</v>
      </c>
      <c r="Q324">
        <v>1</v>
      </c>
      <c r="R324">
        <v>1</v>
      </c>
      <c r="S324">
        <v>1</v>
      </c>
      <c r="T324" s="1">
        <f>SQRT(POWER(Dominus[[#This Row],[angvel_X]],2) + POWER(Dominus[[#This Row],[angvel_Y]],2) + POWER(Dominus[[#This Row],[angvel_Z]],2))</f>
        <v>2.0473000439603375</v>
      </c>
      <c r="U324" s="1">
        <f>DEGREES(ASIN(MAX(-1,MIN(1,2 * (Dominus[[#This Row],[quart_W]]*Dominus[[#This Row],[quart_Y]] - Dominus[[#This Row],[quart_Z]]*Dominus[[#This Row],[quart_X]])))))</f>
        <v>0.9621874120291577</v>
      </c>
      <c r="V32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72.317007363377158</v>
      </c>
      <c r="W32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89.997614708504571</v>
      </c>
      <c r="X324" s="1">
        <f>IF(Dominus[[#This Row],[Yaw]]&gt;V323,(360-ABS(Dominus[[#This Row],[Yaw]])-ABS(V323)),ABS(Dominus[[#This Row],[Yaw]]-V323))</f>
        <v>0.97725055792268734</v>
      </c>
      <c r="Y324" s="1">
        <f>Dominus[[#This Row],[Degree change]]+Y323</f>
        <v>256.83551505430239</v>
      </c>
    </row>
    <row r="325" spans="1:25">
      <c r="A325">
        <v>324</v>
      </c>
      <c r="B325" s="1">
        <v>-461.39999399999999</v>
      </c>
      <c r="C325" s="1">
        <v>434.27999899999998</v>
      </c>
      <c r="D325" s="1">
        <v>17.049999</v>
      </c>
      <c r="E325" s="1">
        <v>2219.8798830000001</v>
      </c>
      <c r="F325" s="1">
        <v>601.70001200000002</v>
      </c>
      <c r="G325" s="1">
        <v>8.0399999999999991</v>
      </c>
      <c r="H325" s="1">
        <v>-4.0000000000000002E-4</v>
      </c>
      <c r="I325" s="1">
        <v>-2.9999999999999997E-4</v>
      </c>
      <c r="J325" s="1">
        <v>2.0472999999999999</v>
      </c>
      <c r="K325" s="1">
        <v>-1.341E-3</v>
      </c>
      <c r="L325" s="1">
        <v>8.2889999999999995E-3</v>
      </c>
      <c r="M325" s="1">
        <v>0.16211700000000001</v>
      </c>
      <c r="N325" s="1">
        <v>0.98673599999999995</v>
      </c>
      <c r="O325">
        <v>1</v>
      </c>
      <c r="P325">
        <v>0</v>
      </c>
      <c r="Q325">
        <v>1</v>
      </c>
      <c r="R325">
        <v>1</v>
      </c>
      <c r="S325">
        <v>1</v>
      </c>
      <c r="T325" s="1">
        <f>SQRT(POWER(Dominus[[#This Row],[angvel_X]],2) + POWER(Dominus[[#This Row],[angvel_Y]],2) + POWER(Dominus[[#This Row],[angvel_Z]],2))</f>
        <v>2.0473000610560241</v>
      </c>
      <c r="U325" s="1">
        <f>DEGREES(ASIN(MAX(-1,MIN(1,2 * (Dominus[[#This Row],[quart_W]]*Dominus[[#This Row],[quart_Y]] - Dominus[[#This Row],[quart_Z]]*Dominus[[#This Row],[quart_X]])))))</f>
        <v>0.96220793609419275</v>
      </c>
      <c r="V32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71.339721493394151</v>
      </c>
      <c r="W32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89.997641964842487</v>
      </c>
      <c r="X325" s="1">
        <f>IF(Dominus[[#This Row],[Yaw]]&gt;V324,(360-ABS(Dominus[[#This Row],[Yaw]])-ABS(V324)),ABS(Dominus[[#This Row],[Yaw]]-V324))</f>
        <v>0.97728586998300671</v>
      </c>
      <c r="Y325" s="1">
        <f>Dominus[[#This Row],[Degree change]]+Y324</f>
        <v>257.8128009242854</v>
      </c>
    </row>
    <row r="326" spans="1:25">
      <c r="A326">
        <v>325</v>
      </c>
      <c r="B326" s="1">
        <v>-442.83999599999999</v>
      </c>
      <c r="C326" s="1">
        <v>439.31997699999999</v>
      </c>
      <c r="D326" s="1">
        <v>17.049999</v>
      </c>
      <c r="E326" s="1">
        <v>2209.290039</v>
      </c>
      <c r="F326" s="1">
        <v>639.47997999999995</v>
      </c>
      <c r="G326" s="1">
        <v>8.0399999999999991</v>
      </c>
      <c r="H326" s="1">
        <v>-4.0000000000000002E-4</v>
      </c>
      <c r="I326" s="1">
        <v>-2.9999999999999997E-4</v>
      </c>
      <c r="J326" s="1">
        <v>2.0472999999999999</v>
      </c>
      <c r="K326" s="1">
        <v>-1.4109999999999999E-3</v>
      </c>
      <c r="L326" s="1">
        <v>8.2780000000000006E-3</v>
      </c>
      <c r="M326" s="1">
        <v>0.17052700000000001</v>
      </c>
      <c r="N326" s="1">
        <v>0.985317</v>
      </c>
      <c r="O326">
        <v>1</v>
      </c>
      <c r="P326">
        <v>0</v>
      </c>
      <c r="Q326">
        <v>1</v>
      </c>
      <c r="R326">
        <v>1</v>
      </c>
      <c r="S326">
        <v>1</v>
      </c>
      <c r="T326" s="1">
        <f>SQRT(POWER(Dominus[[#This Row],[angvel_X]],2) + POWER(Dominus[[#This Row],[angvel_Y]],2) + POWER(Dominus[[#This Row],[angvel_Z]],2))</f>
        <v>2.0473000610560241</v>
      </c>
      <c r="U326" s="1">
        <f>DEGREES(ASIN(MAX(-1,MIN(1,2 * (Dominus[[#This Row],[quart_W]]*Dominus[[#This Row],[quart_Y]] - Dominus[[#This Row],[quart_Z]]*Dominus[[#This Row],[quart_X]])))))</f>
        <v>0.96227831921711249</v>
      </c>
      <c r="V32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70.362361565885223</v>
      </c>
      <c r="W32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89.997554246105764</v>
      </c>
      <c r="X326" s="1">
        <f>IF(Dominus[[#This Row],[Yaw]]&gt;V325,(360-ABS(Dominus[[#This Row],[Yaw]])-ABS(V325)),ABS(Dominus[[#This Row],[Yaw]]-V325))</f>
        <v>0.97735992750892819</v>
      </c>
      <c r="Y326" s="1">
        <f>Dominus[[#This Row],[Degree change]]+Y325</f>
        <v>258.79016085179433</v>
      </c>
    </row>
    <row r="327" spans="1:25">
      <c r="A327">
        <v>326</v>
      </c>
      <c r="B327" s="1">
        <v>-424.35998499999999</v>
      </c>
      <c r="C327" s="1">
        <v>444.669983</v>
      </c>
      <c r="D327" s="1">
        <v>17.049999</v>
      </c>
      <c r="E327" s="1">
        <v>2198.0600589999999</v>
      </c>
      <c r="F327" s="1">
        <v>677.07000700000003</v>
      </c>
      <c r="G327" s="1">
        <v>8.0399999999999991</v>
      </c>
      <c r="H327" s="1">
        <v>-4.0000000000000002E-4</v>
      </c>
      <c r="I327" s="1">
        <v>-2.9999999999999997E-4</v>
      </c>
      <c r="J327" s="1">
        <v>2.0472999999999999</v>
      </c>
      <c r="K327" s="1">
        <v>-1.4809999999999999E-3</v>
      </c>
      <c r="L327" s="1">
        <v>8.2679999999999993E-3</v>
      </c>
      <c r="M327" s="1">
        <v>0.178927</v>
      </c>
      <c r="N327" s="1">
        <v>0.98382599999999998</v>
      </c>
      <c r="O327">
        <v>1</v>
      </c>
      <c r="P327">
        <v>0</v>
      </c>
      <c r="Q327">
        <v>1</v>
      </c>
      <c r="R327">
        <v>1</v>
      </c>
      <c r="S327">
        <v>1</v>
      </c>
      <c r="T327" s="1">
        <f>SQRT(POWER(Dominus[[#This Row],[angvel_X]],2) + POWER(Dominus[[#This Row],[angvel_Y]],2) + POWER(Dominus[[#This Row],[angvel_Z]],2))</f>
        <v>2.0473000610560241</v>
      </c>
      <c r="U327" s="1">
        <f>DEGREES(ASIN(MAX(-1,MIN(1,2 * (Dominus[[#This Row],[quart_W]]*Dominus[[#This Row],[quart_Y]] - Dominus[[#This Row],[quart_Z]]*Dominus[[#This Row],[quart_X]])))))</f>
        <v>0.96253005875592057</v>
      </c>
      <c r="V32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69.38471917732771</v>
      </c>
      <c r="W32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89.997441711333394</v>
      </c>
      <c r="X327" s="1">
        <f>IF(Dominus[[#This Row],[Yaw]]&gt;V326,(360-ABS(Dominus[[#This Row],[Yaw]])-ABS(V326)),ABS(Dominus[[#This Row],[Yaw]]-V326))</f>
        <v>0.97764238855751273</v>
      </c>
      <c r="Y327" s="1">
        <f>Dominus[[#This Row],[Degree change]]+Y326</f>
        <v>259.76780324035184</v>
      </c>
    </row>
    <row r="328" spans="1:25">
      <c r="A328">
        <v>327</v>
      </c>
      <c r="B328" s="1">
        <v>-405.97998000000001</v>
      </c>
      <c r="C328" s="1">
        <v>450.33999599999999</v>
      </c>
      <c r="D328" s="1">
        <v>17.049999</v>
      </c>
      <c r="E328" s="1">
        <v>2186.1899410000001</v>
      </c>
      <c r="F328" s="1">
        <v>714.46997099999999</v>
      </c>
      <c r="G328" s="1">
        <v>8.0399999999999991</v>
      </c>
      <c r="H328" s="1">
        <v>-4.0000000000000002E-4</v>
      </c>
      <c r="I328" s="1">
        <v>-2.9999999999999997E-4</v>
      </c>
      <c r="J328" s="1">
        <v>2.0472999999999999</v>
      </c>
      <c r="K328" s="1">
        <v>-1.5510000000000001E-3</v>
      </c>
      <c r="L328" s="1">
        <v>8.2509999999999997E-3</v>
      </c>
      <c r="M328" s="1">
        <v>0.18731100000000001</v>
      </c>
      <c r="N328" s="1">
        <v>0.98226500000000005</v>
      </c>
      <c r="O328">
        <v>1</v>
      </c>
      <c r="P328">
        <v>0</v>
      </c>
      <c r="Q328">
        <v>1</v>
      </c>
      <c r="R328">
        <v>1</v>
      </c>
      <c r="S328">
        <v>1</v>
      </c>
      <c r="T328" s="1">
        <f>SQRT(POWER(Dominus[[#This Row],[angvel_X]],2) + POWER(Dominus[[#This Row],[angvel_Y]],2) + POWER(Dominus[[#This Row],[angvel_Z]],2))</f>
        <v>2.0473000610560241</v>
      </c>
      <c r="U328" s="1">
        <f>DEGREES(ASIN(MAX(-1,MIN(1,2 * (Dominus[[#This Row],[quart_W]]*Dominus[[#This Row],[quart_Y]] - Dominus[[#This Row],[quart_Z]]*Dominus[[#This Row],[quart_X]])))))</f>
        <v>0.96206287424093917</v>
      </c>
      <c r="V32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68.407407071605306</v>
      </c>
      <c r="W32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89.997477478918469</v>
      </c>
      <c r="X328" s="1">
        <f>IF(Dominus[[#This Row],[Yaw]]&gt;V327,(360-ABS(Dominus[[#This Row],[Yaw]])-ABS(V327)),ABS(Dominus[[#This Row],[Yaw]]-V327))</f>
        <v>0.97731210572240457</v>
      </c>
      <c r="Y328" s="1">
        <f>Dominus[[#This Row],[Degree change]]+Y327</f>
        <v>260.74511534607427</v>
      </c>
    </row>
    <row r="329" spans="1:25">
      <c r="A329">
        <v>328</v>
      </c>
      <c r="B329" s="1">
        <v>-387.69998199999998</v>
      </c>
      <c r="C329" s="1">
        <v>456.31997699999999</v>
      </c>
      <c r="D329" s="1">
        <v>17.049999</v>
      </c>
      <c r="E329" s="1">
        <v>2173.6899410000001</v>
      </c>
      <c r="F329" s="1">
        <v>751.65997300000004</v>
      </c>
      <c r="G329" s="1">
        <v>8.0399999999999991</v>
      </c>
      <c r="H329" s="1">
        <v>-4.0000000000000002E-4</v>
      </c>
      <c r="I329" s="1">
        <v>-2.9999999999999997E-4</v>
      </c>
      <c r="J329" s="1">
        <v>2.0472999999999999</v>
      </c>
      <c r="K329" s="1">
        <v>-1.621E-3</v>
      </c>
      <c r="L329" s="1">
        <v>8.2349999999999993E-3</v>
      </c>
      <c r="M329" s="1">
        <v>0.195683</v>
      </c>
      <c r="N329" s="1">
        <v>0.98063100000000003</v>
      </c>
      <c r="O329">
        <v>1</v>
      </c>
      <c r="P329">
        <v>0</v>
      </c>
      <c r="Q329">
        <v>1</v>
      </c>
      <c r="R329">
        <v>1</v>
      </c>
      <c r="S329">
        <v>1</v>
      </c>
      <c r="T329" s="1">
        <f>SQRT(POWER(Dominus[[#This Row],[angvel_X]],2) + POWER(Dominus[[#This Row],[angvel_Y]],2) + POWER(Dominus[[#This Row],[angvel_Z]],2))</f>
        <v>2.0473000610560241</v>
      </c>
      <c r="U329" s="1">
        <f>DEGREES(ASIN(MAX(-1,MIN(1,2 * (Dominus[[#This Row],[quart_W]]*Dominus[[#This Row],[quart_Y]] - Dominus[[#This Row],[quart_Z]]*Dominus[[#This Row],[quart_X]])))))</f>
        <v>0.96177756430577521</v>
      </c>
      <c r="V32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67.42992890798692</v>
      </c>
      <c r="W32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89.997496205111261</v>
      </c>
      <c r="X329" s="1">
        <f>IF(Dominus[[#This Row],[Yaw]]&gt;V328,(360-ABS(Dominus[[#This Row],[Yaw]])-ABS(V328)),ABS(Dominus[[#This Row],[Yaw]]-V328))</f>
        <v>0.97747816361838602</v>
      </c>
      <c r="Y329" s="1">
        <f>Dominus[[#This Row],[Degree change]]+Y328</f>
        <v>261.72259350969267</v>
      </c>
    </row>
    <row r="330" spans="1:25">
      <c r="A330">
        <v>329</v>
      </c>
      <c r="B330" s="1">
        <v>-369.51998900000001</v>
      </c>
      <c r="C330" s="1">
        <v>462.60998499999999</v>
      </c>
      <c r="D330" s="1">
        <v>17.049999</v>
      </c>
      <c r="E330" s="1">
        <v>2160.5500489999999</v>
      </c>
      <c r="F330" s="1">
        <v>788.63000499999998</v>
      </c>
      <c r="G330" s="1">
        <v>8.0399999999999991</v>
      </c>
      <c r="H330" s="1">
        <v>-4.0000000000000002E-4</v>
      </c>
      <c r="I330" s="1">
        <v>-2.9999999999999997E-4</v>
      </c>
      <c r="J330" s="1">
        <v>2.0472999999999999</v>
      </c>
      <c r="K330" s="1">
        <v>-1.691E-3</v>
      </c>
      <c r="L330" s="1">
        <v>8.2190000000000006E-3</v>
      </c>
      <c r="M330" s="1">
        <v>0.20404</v>
      </c>
      <c r="N330" s="1">
        <v>0.97892599999999996</v>
      </c>
      <c r="O330">
        <v>1</v>
      </c>
      <c r="P330">
        <v>0</v>
      </c>
      <c r="Q330">
        <v>1</v>
      </c>
      <c r="R330">
        <v>1</v>
      </c>
      <c r="S330">
        <v>1</v>
      </c>
      <c r="T330" s="1">
        <f>SQRT(POWER(Dominus[[#This Row],[angvel_X]],2) + POWER(Dominus[[#This Row],[angvel_Y]],2) + POWER(Dominus[[#This Row],[angvel_Z]],2))</f>
        <v>2.0473000610560241</v>
      </c>
      <c r="U330" s="1">
        <f>DEGREES(ASIN(MAX(-1,MIN(1,2 * (Dominus[[#This Row],[quart_W]]*Dominus[[#This Row],[quart_Y]] - Dominus[[#This Row],[quart_Z]]*Dominus[[#This Row],[quart_X]])))))</f>
        <v>0.96156279016007562</v>
      </c>
      <c r="V33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66.452536251647984</v>
      </c>
      <c r="W33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89.997519786948615</v>
      </c>
      <c r="X330" s="1">
        <f>IF(Dominus[[#This Row],[Yaw]]&gt;V329,(360-ABS(Dominus[[#This Row],[Yaw]])-ABS(V329)),ABS(Dominus[[#This Row],[Yaw]]-V329))</f>
        <v>0.97739265633893524</v>
      </c>
      <c r="Y330" s="1">
        <f>Dominus[[#This Row],[Degree change]]+Y329</f>
        <v>262.69998616603164</v>
      </c>
    </row>
    <row r="331" spans="1:25">
      <c r="A331">
        <v>330</v>
      </c>
      <c r="B331" s="1">
        <v>-351.44998199999998</v>
      </c>
      <c r="C331" s="1">
        <v>469.209991</v>
      </c>
      <c r="D331" s="1">
        <v>17.049999</v>
      </c>
      <c r="E331" s="1">
        <v>2146.780029</v>
      </c>
      <c r="F331" s="1">
        <v>825.36999500000002</v>
      </c>
      <c r="G331" s="1">
        <v>8.0399999999999991</v>
      </c>
      <c r="H331" s="1">
        <v>-4.0000000000000002E-4</v>
      </c>
      <c r="I331" s="1">
        <v>-2.0000000000000001E-4</v>
      </c>
      <c r="J331" s="1">
        <v>2.0472999999999999</v>
      </c>
      <c r="K331" s="1">
        <v>-1.761E-3</v>
      </c>
      <c r="L331" s="1">
        <v>8.2030000000000002E-3</v>
      </c>
      <c r="M331" s="1">
        <v>0.21238599999999999</v>
      </c>
      <c r="N331" s="1">
        <v>0.97714999999999996</v>
      </c>
      <c r="O331">
        <v>1</v>
      </c>
      <c r="P331">
        <v>0</v>
      </c>
      <c r="Q331">
        <v>1</v>
      </c>
      <c r="R331">
        <v>1</v>
      </c>
      <c r="S331">
        <v>1</v>
      </c>
      <c r="T331" s="1">
        <f>SQRT(POWER(Dominus[[#This Row],[angvel_X]],2) + POWER(Dominus[[#This Row],[angvel_Y]],2) + POWER(Dominus[[#This Row],[angvel_Z]],2))</f>
        <v>2.0473000488448192</v>
      </c>
      <c r="U331" s="1">
        <f>DEGREES(ASIN(MAX(-1,MIN(1,2 * (Dominus[[#This Row],[quart_W]]*Dominus[[#This Row],[quart_Y]] - Dominus[[#This Row],[quart_Z]]*Dominus[[#This Row],[quart_X]])))))</f>
        <v>0.96141938865589838</v>
      </c>
      <c r="V33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65.474669682438375</v>
      </c>
      <c r="W33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89.997542672605221</v>
      </c>
      <c r="X331" s="1">
        <f>IF(Dominus[[#This Row],[Yaw]]&gt;V330,(360-ABS(Dominus[[#This Row],[Yaw]])-ABS(V330)),ABS(Dominus[[#This Row],[Yaw]]-V330))</f>
        <v>0.97786656920960979</v>
      </c>
      <c r="Y331" s="1">
        <f>Dominus[[#This Row],[Degree change]]+Y330</f>
        <v>263.67785273524123</v>
      </c>
    </row>
    <row r="332" spans="1:25">
      <c r="A332">
        <v>331</v>
      </c>
      <c r="B332" s="1">
        <v>-333.5</v>
      </c>
      <c r="C332" s="1">
        <v>476.11999500000002</v>
      </c>
      <c r="D332" s="1">
        <v>17.049999</v>
      </c>
      <c r="E332" s="1">
        <v>2132.389893</v>
      </c>
      <c r="F332" s="1">
        <v>861.86999500000002</v>
      </c>
      <c r="G332" s="1">
        <v>8.0399999999999991</v>
      </c>
      <c r="H332" s="1">
        <v>-4.0000000000000002E-4</v>
      </c>
      <c r="I332" s="1">
        <v>-2.0000000000000001E-4</v>
      </c>
      <c r="J332" s="1">
        <v>2.0472999999999999</v>
      </c>
      <c r="K332" s="1">
        <v>-1.8320000000000001E-3</v>
      </c>
      <c r="L332" s="1">
        <v>8.1869999999999998E-3</v>
      </c>
      <c r="M332" s="1">
        <v>0.22071499999999999</v>
      </c>
      <c r="N332" s="1">
        <v>0.975302</v>
      </c>
      <c r="O332">
        <v>1</v>
      </c>
      <c r="P332">
        <v>0</v>
      </c>
      <c r="Q332">
        <v>1</v>
      </c>
      <c r="R332">
        <v>1</v>
      </c>
      <c r="S332">
        <v>1</v>
      </c>
      <c r="T332" s="1">
        <f>SQRT(POWER(Dominus[[#This Row],[angvel_X]],2) + POWER(Dominus[[#This Row],[angvel_Y]],2) + POWER(Dominus[[#This Row],[angvel_Z]],2))</f>
        <v>2.0473000488448192</v>
      </c>
      <c r="U332" s="1">
        <f>DEGREES(ASIN(MAX(-1,MIN(1,2 * (Dominus[[#This Row],[quart_W]]*Dominus[[#This Row],[quart_Y]] - Dominus[[#This Row],[quart_Z]]*Dominus[[#This Row],[quart_X]])))))</f>
        <v>0.96137058388684304</v>
      </c>
      <c r="V33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64.497010248001558</v>
      </c>
      <c r="W33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89.997680289774479</v>
      </c>
      <c r="X332" s="1">
        <f>IF(Dominus[[#This Row],[Yaw]]&gt;V331,(360-ABS(Dominus[[#This Row],[Yaw]])-ABS(V331)),ABS(Dominus[[#This Row],[Yaw]]-V331))</f>
        <v>0.97765943443681635</v>
      </c>
      <c r="Y332" s="1">
        <f>Dominus[[#This Row],[Degree change]]+Y331</f>
        <v>264.65551216967805</v>
      </c>
    </row>
    <row r="333" spans="1:25">
      <c r="A333">
        <v>332</v>
      </c>
      <c r="B333" s="1">
        <v>-315.669983</v>
      </c>
      <c r="C333" s="1">
        <v>483.32998700000002</v>
      </c>
      <c r="D333" s="1">
        <v>17.049999</v>
      </c>
      <c r="E333" s="1">
        <v>2117.3698730000001</v>
      </c>
      <c r="F333" s="1">
        <v>898.13000499999998</v>
      </c>
      <c r="G333" s="1">
        <v>8.0399999999999991</v>
      </c>
      <c r="H333" s="1">
        <v>-4.0000000000000002E-4</v>
      </c>
      <c r="I333" s="1">
        <v>-2.0000000000000001E-4</v>
      </c>
      <c r="J333" s="1">
        <v>2.0472999999999999</v>
      </c>
      <c r="K333" s="1">
        <v>-1.902E-3</v>
      </c>
      <c r="L333" s="1">
        <v>8.1700000000000002E-3</v>
      </c>
      <c r="M333" s="1">
        <v>0.22902900000000001</v>
      </c>
      <c r="N333" s="1">
        <v>0.973383</v>
      </c>
      <c r="O333">
        <v>1</v>
      </c>
      <c r="P333">
        <v>0</v>
      </c>
      <c r="Q333">
        <v>1</v>
      </c>
      <c r="R333">
        <v>1</v>
      </c>
      <c r="S333">
        <v>1</v>
      </c>
      <c r="T333" s="1">
        <f>SQRT(POWER(Dominus[[#This Row],[angvel_X]],2) + POWER(Dominus[[#This Row],[angvel_Y]],2) + POWER(Dominus[[#This Row],[angvel_Z]],2))</f>
        <v>2.0473000488448192</v>
      </c>
      <c r="U333" s="1">
        <f>DEGREES(ASIN(MAX(-1,MIN(1,2 * (Dominus[[#This Row],[quart_W]]*Dominus[[#This Row],[quart_Y]] - Dominus[[#This Row],[quart_Z]]*Dominus[[#This Row],[quart_X]])))))</f>
        <v>0.96125653937911093</v>
      </c>
      <c r="V33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63.519219686108435</v>
      </c>
      <c r="W33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89.997731631460141</v>
      </c>
      <c r="X333" s="1">
        <f>IF(Dominus[[#This Row],[Yaw]]&gt;V332,(360-ABS(Dominus[[#This Row],[Yaw]])-ABS(V332)),ABS(Dominus[[#This Row],[Yaw]]-V332))</f>
        <v>0.97779056189312286</v>
      </c>
      <c r="Y333" s="1">
        <f>Dominus[[#This Row],[Degree change]]+Y332</f>
        <v>265.63330273157118</v>
      </c>
    </row>
    <row r="334" spans="1:25">
      <c r="A334">
        <v>333</v>
      </c>
      <c r="B334" s="1">
        <v>-297.959991</v>
      </c>
      <c r="C334" s="1">
        <v>490.84997600000003</v>
      </c>
      <c r="D334" s="1">
        <v>17.049999</v>
      </c>
      <c r="E334" s="1">
        <v>2101.73999</v>
      </c>
      <c r="F334" s="1">
        <v>934.13000499999998</v>
      </c>
      <c r="G334" s="1">
        <v>8.0399999999999991</v>
      </c>
      <c r="H334" s="1">
        <v>-4.0000000000000002E-4</v>
      </c>
      <c r="I334" s="1">
        <v>-2.0000000000000001E-4</v>
      </c>
      <c r="J334" s="1">
        <v>2.0472999999999999</v>
      </c>
      <c r="K334" s="1">
        <v>-1.9719999999999998E-3</v>
      </c>
      <c r="L334" s="1">
        <v>8.1539999999999998E-3</v>
      </c>
      <c r="M334" s="1">
        <v>0.23732600000000001</v>
      </c>
      <c r="N334" s="1">
        <v>0.97139399999999998</v>
      </c>
      <c r="O334">
        <v>1</v>
      </c>
      <c r="P334">
        <v>0</v>
      </c>
      <c r="Q334">
        <v>1</v>
      </c>
      <c r="R334">
        <v>1</v>
      </c>
      <c r="S334">
        <v>1</v>
      </c>
      <c r="T334" s="1">
        <f>SQRT(POWER(Dominus[[#This Row],[angvel_X]],2) + POWER(Dominus[[#This Row],[angvel_Y]],2) + POWER(Dominus[[#This Row],[angvel_Z]],2))</f>
        <v>2.0473000488448192</v>
      </c>
      <c r="U334" s="1">
        <f>DEGREES(ASIN(MAX(-1,MIN(1,2 * (Dominus[[#This Row],[quart_W]]*Dominus[[#This Row],[quart_Y]] - Dominus[[#This Row],[quart_Z]]*Dominus[[#This Row],[quart_X]])))))</f>
        <v>0.96132545069045094</v>
      </c>
      <c r="V33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62.54144761265961</v>
      </c>
      <c r="W33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89.997757444275621</v>
      </c>
      <c r="X334" s="1">
        <f>IF(Dominus[[#This Row],[Yaw]]&gt;V333,(360-ABS(Dominus[[#This Row],[Yaw]])-ABS(V333)),ABS(Dominus[[#This Row],[Yaw]]-V333))</f>
        <v>0.97777207344882555</v>
      </c>
      <c r="Y334" s="1">
        <f>Dominus[[#This Row],[Degree change]]+Y333</f>
        <v>266.61107480502</v>
      </c>
    </row>
    <row r="335" spans="1:25">
      <c r="A335">
        <v>334</v>
      </c>
      <c r="B335" s="1">
        <v>-280.38000499999998</v>
      </c>
      <c r="C335" s="1">
        <v>498.669983</v>
      </c>
      <c r="D335" s="1">
        <v>17.049999</v>
      </c>
      <c r="E335" s="1">
        <v>2085.5</v>
      </c>
      <c r="F335" s="1">
        <v>969.84997599999997</v>
      </c>
      <c r="G335" s="1">
        <v>8.0399999999999991</v>
      </c>
      <c r="H335" s="1">
        <v>-4.0000000000000002E-4</v>
      </c>
      <c r="I335" s="1">
        <v>-2.0000000000000001E-4</v>
      </c>
      <c r="J335" s="1">
        <v>2.0472999999999999</v>
      </c>
      <c r="K335" s="1">
        <v>-2.042E-3</v>
      </c>
      <c r="L335" s="1">
        <v>8.1379999999999994E-3</v>
      </c>
      <c r="M335" s="1">
        <v>0.24560199999999999</v>
      </c>
      <c r="N335" s="1">
        <v>0.96933400000000003</v>
      </c>
      <c r="O335">
        <v>1</v>
      </c>
      <c r="P335">
        <v>0</v>
      </c>
      <c r="Q335">
        <v>1</v>
      </c>
      <c r="R335">
        <v>1</v>
      </c>
      <c r="S335">
        <v>1</v>
      </c>
      <c r="T335" s="1">
        <f>SQRT(POWER(Dominus[[#This Row],[angvel_X]],2) + POWER(Dominus[[#This Row],[angvel_Y]],2) + POWER(Dominus[[#This Row],[angvel_Z]],2))</f>
        <v>2.0473000488448192</v>
      </c>
      <c r="U335" s="1">
        <f>DEGREES(ASIN(MAX(-1,MIN(1,2 * (Dominus[[#This Row],[quart_W]]*Dominus[[#This Row],[quart_Y]] - Dominus[[#This Row],[quart_Z]]*Dominus[[#This Row],[quart_X]])))))</f>
        <v>0.96146364785525029</v>
      </c>
      <c r="V33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61.564144705073886</v>
      </c>
      <c r="W33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89.997784742362171</v>
      </c>
      <c r="X335" s="1">
        <f>IF(Dominus[[#This Row],[Yaw]]&gt;V334,(360-ABS(Dominus[[#This Row],[Yaw]])-ABS(V334)),ABS(Dominus[[#This Row],[Yaw]]-V334))</f>
        <v>0.9773029075857238</v>
      </c>
      <c r="Y335" s="1">
        <f>Dominus[[#This Row],[Degree change]]+Y334</f>
        <v>267.58837771260573</v>
      </c>
    </row>
    <row r="336" spans="1:25">
      <c r="A336">
        <v>335</v>
      </c>
      <c r="B336" s="1">
        <v>-262.94000199999999</v>
      </c>
      <c r="C336" s="1">
        <v>506.77999899999998</v>
      </c>
      <c r="D336" s="1">
        <v>17.049999</v>
      </c>
      <c r="E336" s="1">
        <v>2068.6499020000001</v>
      </c>
      <c r="F336" s="1">
        <v>1005.289978</v>
      </c>
      <c r="G336" s="1">
        <v>8.0399999999999991</v>
      </c>
      <c r="H336" s="1">
        <v>-4.0000000000000002E-4</v>
      </c>
      <c r="I336" s="1">
        <v>-2.0000000000000001E-4</v>
      </c>
      <c r="J336" s="1">
        <v>2.0472999999999999</v>
      </c>
      <c r="K336" s="1">
        <v>-2.1120000000000002E-3</v>
      </c>
      <c r="L336" s="1">
        <v>8.1220000000000007E-3</v>
      </c>
      <c r="M336" s="1">
        <v>0.253861</v>
      </c>
      <c r="N336" s="1">
        <v>0.96720399999999995</v>
      </c>
      <c r="O336">
        <v>1</v>
      </c>
      <c r="P336">
        <v>0</v>
      </c>
      <c r="Q336">
        <v>1</v>
      </c>
      <c r="R336">
        <v>1</v>
      </c>
      <c r="S336">
        <v>1</v>
      </c>
      <c r="T336" s="1">
        <f>SQRT(POWER(Dominus[[#This Row],[angvel_X]],2) + POWER(Dominus[[#This Row],[angvel_Y]],2) + POWER(Dominus[[#This Row],[angvel_Z]],2))</f>
        <v>2.0473000488448192</v>
      </c>
      <c r="U336" s="1">
        <f>DEGREES(ASIN(MAX(-1,MIN(1,2 * (Dominus[[#This Row],[quart_W]]*Dominus[[#This Row],[quart_Y]] - Dominus[[#This Row],[quart_Z]]*Dominus[[#This Row],[quart_X]])))))</f>
        <v>0.96167291509462804</v>
      </c>
      <c r="V33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60.586721098971303</v>
      </c>
      <c r="W33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89.997808220072656</v>
      </c>
      <c r="X336" s="1">
        <f>IF(Dominus[[#This Row],[Yaw]]&gt;V335,(360-ABS(Dominus[[#This Row],[Yaw]])-ABS(V335)),ABS(Dominus[[#This Row],[Yaw]]-V335))</f>
        <v>0.97742360610258316</v>
      </c>
      <c r="Y336" s="1">
        <f>Dominus[[#This Row],[Degree change]]+Y335</f>
        <v>268.56580131870834</v>
      </c>
    </row>
    <row r="337" spans="1:25">
      <c r="A337">
        <v>336</v>
      </c>
      <c r="B337" s="1">
        <v>-245.63999899999999</v>
      </c>
      <c r="C337" s="1">
        <v>515.19000200000005</v>
      </c>
      <c r="D337" s="1">
        <v>17.049999</v>
      </c>
      <c r="E337" s="1">
        <v>2051.1999510000001</v>
      </c>
      <c r="F337" s="1">
        <v>1040.429932</v>
      </c>
      <c r="G337" s="1">
        <v>8.0399999999999991</v>
      </c>
      <c r="H337" s="1">
        <v>-4.0000000000000002E-4</v>
      </c>
      <c r="I337" s="1">
        <v>-2.0000000000000001E-4</v>
      </c>
      <c r="J337" s="1">
        <v>2.0472999999999999</v>
      </c>
      <c r="K337" s="1">
        <v>-2.1819999999999999E-3</v>
      </c>
      <c r="L337" s="1">
        <v>8.1060000000000004E-3</v>
      </c>
      <c r="M337" s="1">
        <v>0.262104</v>
      </c>
      <c r="N337" s="1">
        <v>0.96500300000000006</v>
      </c>
      <c r="O337">
        <v>1</v>
      </c>
      <c r="P337">
        <v>0</v>
      </c>
      <c r="Q337">
        <v>1</v>
      </c>
      <c r="R337">
        <v>1</v>
      </c>
      <c r="S337">
        <v>1</v>
      </c>
      <c r="T337" s="1">
        <f>SQRT(POWER(Dominus[[#This Row],[angvel_X]],2) + POWER(Dominus[[#This Row],[angvel_Y]],2) + POWER(Dominus[[#This Row],[angvel_Z]],2))</f>
        <v>2.0473000488448192</v>
      </c>
      <c r="U337" s="1">
        <f>DEGREES(ASIN(MAX(-1,MIN(1,2 * (Dominus[[#This Row],[quart_W]]*Dominus[[#This Row],[quart_Y]] - Dominus[[#This Row],[quart_Z]]*Dominus[[#This Row],[quart_X]])))))</f>
        <v>0.96195254941795494</v>
      </c>
      <c r="V33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59.609002717507138</v>
      </c>
      <c r="W33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89.997824920070443</v>
      </c>
      <c r="X337" s="1">
        <f>IF(Dominus[[#This Row],[Yaw]]&gt;V336,(360-ABS(Dominus[[#This Row],[Yaw]])-ABS(V336)),ABS(Dominus[[#This Row],[Yaw]]-V336))</f>
        <v>0.97771838146416457</v>
      </c>
      <c r="Y337" s="1">
        <f>Dominus[[#This Row],[Degree change]]+Y336</f>
        <v>269.54351970017251</v>
      </c>
    </row>
    <row r="338" spans="1:25">
      <c r="A338">
        <v>337</v>
      </c>
      <c r="B338" s="1">
        <v>-228.48999000000001</v>
      </c>
      <c r="C338" s="1">
        <v>523.89996299999996</v>
      </c>
      <c r="D338" s="1">
        <v>17.049999</v>
      </c>
      <c r="E338" s="1">
        <v>2033.1499020000001</v>
      </c>
      <c r="F338" s="1">
        <v>1075.2700199999999</v>
      </c>
      <c r="G338" s="1">
        <v>8.0399999999999991</v>
      </c>
      <c r="H338" s="1">
        <v>-4.0000000000000002E-4</v>
      </c>
      <c r="I338" s="1">
        <v>-2.0000000000000001E-4</v>
      </c>
      <c r="J338" s="1">
        <v>2.0472999999999999</v>
      </c>
      <c r="K338" s="1">
        <v>-2.2520000000000001E-3</v>
      </c>
      <c r="L338" s="1">
        <v>8.0839999999999992E-3</v>
      </c>
      <c r="M338" s="1">
        <v>0.27032600000000001</v>
      </c>
      <c r="N338" s="1">
        <v>0.96273200000000003</v>
      </c>
      <c r="O338">
        <v>1</v>
      </c>
      <c r="P338">
        <v>0</v>
      </c>
      <c r="Q338">
        <v>1</v>
      </c>
      <c r="R338">
        <v>1</v>
      </c>
      <c r="S338">
        <v>1</v>
      </c>
      <c r="T338" s="1">
        <f>SQRT(POWER(Dominus[[#This Row],[angvel_X]],2) + POWER(Dominus[[#This Row],[angvel_Y]],2) + POWER(Dominus[[#This Row],[angvel_Z]],2))</f>
        <v>2.0473000488448192</v>
      </c>
      <c r="U338" s="1">
        <f>DEGREES(ASIN(MAX(-1,MIN(1,2 * (Dominus[[#This Row],[quart_W]]*Dominus[[#This Row],[quart_Y]] - Dominus[[#This Row],[quart_Z]]*Dominus[[#This Row],[quart_X]])))))</f>
        <v>0.96164017396648194</v>
      </c>
      <c r="V33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58.631524346372153</v>
      </c>
      <c r="W33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89.998023828581722</v>
      </c>
      <c r="X338" s="1">
        <f>IF(Dominus[[#This Row],[Yaw]]&gt;V337,(360-ABS(Dominus[[#This Row],[Yaw]])-ABS(V337)),ABS(Dominus[[#This Row],[Yaw]]-V337))</f>
        <v>0.97747837113498548</v>
      </c>
      <c r="Y338" s="1">
        <f>Dominus[[#This Row],[Degree change]]+Y337</f>
        <v>270.52099807130747</v>
      </c>
    </row>
    <row r="339" spans="1:25">
      <c r="A339">
        <v>338</v>
      </c>
      <c r="B339" s="1">
        <v>-211.48999000000001</v>
      </c>
      <c r="C339" s="1">
        <v>532.89996299999996</v>
      </c>
      <c r="D339" s="1">
        <v>17.049999</v>
      </c>
      <c r="E339" s="1">
        <v>2014.51001</v>
      </c>
      <c r="F339" s="1">
        <v>1109.799927</v>
      </c>
      <c r="G339" s="1">
        <v>8.0399999999999991</v>
      </c>
      <c r="H339" s="1">
        <v>-4.0000000000000002E-4</v>
      </c>
      <c r="I339" s="1">
        <v>-2.0000000000000001E-4</v>
      </c>
      <c r="J339" s="1">
        <v>2.0472999999999999</v>
      </c>
      <c r="K339" s="1">
        <v>-2.3219999999999998E-3</v>
      </c>
      <c r="L339" s="1">
        <v>8.0630000000000007E-3</v>
      </c>
      <c r="M339" s="1">
        <v>0.278526</v>
      </c>
      <c r="N339" s="1">
        <v>0.96039200000000002</v>
      </c>
      <c r="O339">
        <v>1</v>
      </c>
      <c r="P339">
        <v>0</v>
      </c>
      <c r="Q339">
        <v>1</v>
      </c>
      <c r="R339">
        <v>1</v>
      </c>
      <c r="S339">
        <v>1</v>
      </c>
      <c r="T339" s="1">
        <f>SQRT(POWER(Dominus[[#This Row],[angvel_X]],2) + POWER(Dominus[[#This Row],[angvel_Y]],2) + POWER(Dominus[[#This Row],[angvel_Z]],2))</f>
        <v>2.0473000488448192</v>
      </c>
      <c r="U339" s="1">
        <f>DEGREES(ASIN(MAX(-1,MIN(1,2 * (Dominus[[#This Row],[quart_W]]*Dominus[[#This Row],[quart_Y]] - Dominus[[#This Row],[quart_Z]]*Dominus[[#This Row],[quart_X]])))))</f>
        <v>0.96151163318060551</v>
      </c>
      <c r="V33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57.654313041698188</v>
      </c>
      <c r="W33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89.998197803827395</v>
      </c>
      <c r="X339" s="1">
        <f>IF(Dominus[[#This Row],[Yaw]]&gt;V338,(360-ABS(Dominus[[#This Row],[Yaw]])-ABS(V338)),ABS(Dominus[[#This Row],[Yaw]]-V338))</f>
        <v>0.97721130467396478</v>
      </c>
      <c r="Y339" s="1">
        <f>Dominus[[#This Row],[Degree change]]+Y338</f>
        <v>271.49820937598145</v>
      </c>
    </row>
    <row r="340" spans="1:25">
      <c r="A340">
        <v>339</v>
      </c>
      <c r="B340" s="1">
        <v>-194.63999899999999</v>
      </c>
      <c r="C340" s="1">
        <v>542.19000200000005</v>
      </c>
      <c r="D340" s="1">
        <v>17.049999</v>
      </c>
      <c r="E340" s="1">
        <v>1995.2799070000001</v>
      </c>
      <c r="F340" s="1">
        <v>1144.01001</v>
      </c>
      <c r="G340" s="1">
        <v>8.0399999999999991</v>
      </c>
      <c r="H340" s="1">
        <v>-4.0000000000000002E-4</v>
      </c>
      <c r="I340" s="1">
        <v>-2.0000000000000001E-4</v>
      </c>
      <c r="J340" s="1">
        <v>2.0472999999999999</v>
      </c>
      <c r="K340" s="1">
        <v>-2.3930000000000002E-3</v>
      </c>
      <c r="L340" s="1">
        <v>8.0409999999999995E-3</v>
      </c>
      <c r="M340" s="1">
        <v>0.28671000000000002</v>
      </c>
      <c r="N340" s="1">
        <v>0.95798099999999997</v>
      </c>
      <c r="O340">
        <v>1</v>
      </c>
      <c r="P340">
        <v>0</v>
      </c>
      <c r="Q340">
        <v>1</v>
      </c>
      <c r="R340">
        <v>1</v>
      </c>
      <c r="S340">
        <v>1</v>
      </c>
      <c r="T340" s="1">
        <f>SQRT(POWER(Dominus[[#This Row],[angvel_X]],2) + POWER(Dominus[[#This Row],[angvel_Y]],2) + POWER(Dominus[[#This Row],[angvel_Z]],2))</f>
        <v>2.0473000488448192</v>
      </c>
      <c r="U340" s="1">
        <f>DEGREES(ASIN(MAX(-1,MIN(1,2 * (Dominus[[#This Row],[quart_W]]*Dominus[[#This Row],[quart_Y]] - Dominus[[#This Row],[quart_Z]]*Dominus[[#This Row],[quart_X]])))))</f>
        <v>0.96137916765914944</v>
      </c>
      <c r="V34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56.67659058987509</v>
      </c>
      <c r="W34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89.998511638381416</v>
      </c>
      <c r="X340" s="1">
        <f>IF(Dominus[[#This Row],[Yaw]]&gt;V339,(360-ABS(Dominus[[#This Row],[Yaw]])-ABS(V339)),ABS(Dominus[[#This Row],[Yaw]]-V339))</f>
        <v>0.97772245182309803</v>
      </c>
      <c r="Y340" s="1">
        <f>Dominus[[#This Row],[Degree change]]+Y339</f>
        <v>272.47593182780452</v>
      </c>
    </row>
    <row r="341" spans="1:25">
      <c r="A341">
        <v>340</v>
      </c>
      <c r="B341" s="1">
        <v>-177.959991</v>
      </c>
      <c r="C341" s="1">
        <v>551.76000999999997</v>
      </c>
      <c r="D341" s="1">
        <v>17.049999</v>
      </c>
      <c r="E341" s="1">
        <v>1975.469971</v>
      </c>
      <c r="F341" s="1">
        <v>1177.8900149999999</v>
      </c>
      <c r="G341" s="1">
        <v>8.0399999999999991</v>
      </c>
      <c r="H341" s="1">
        <v>-4.0000000000000002E-4</v>
      </c>
      <c r="I341" s="1">
        <v>-1E-4</v>
      </c>
      <c r="J341" s="1">
        <v>2.0472999999999999</v>
      </c>
      <c r="K341" s="1">
        <v>-2.4629999999999999E-3</v>
      </c>
      <c r="L341" s="1">
        <v>8.0190000000000001E-3</v>
      </c>
      <c r="M341" s="1">
        <v>0.294873</v>
      </c>
      <c r="N341" s="1">
        <v>0.95550000000000002</v>
      </c>
      <c r="O341">
        <v>1</v>
      </c>
      <c r="P341">
        <v>0</v>
      </c>
      <c r="Q341">
        <v>1</v>
      </c>
      <c r="R341">
        <v>1</v>
      </c>
      <c r="S341">
        <v>1</v>
      </c>
      <c r="T341" s="1">
        <f>SQRT(POWER(Dominus[[#This Row],[angvel_X]],2) + POWER(Dominus[[#This Row],[angvel_Y]],2) + POWER(Dominus[[#This Row],[angvel_Z]],2))</f>
        <v>2.0473000415180964</v>
      </c>
      <c r="U341" s="1">
        <f>DEGREES(ASIN(MAX(-1,MIN(1,2 * (Dominus[[#This Row],[quart_W]]*Dominus[[#This Row],[quart_Y]] - Dominus[[#This Row],[quart_Z]]*Dominus[[#This Row],[quart_X]])))))</f>
        <v>0.96128799128168341</v>
      </c>
      <c r="V34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55.698890502420817</v>
      </c>
      <c r="W34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89.998717529988554</v>
      </c>
      <c r="X341" s="1">
        <f>IF(Dominus[[#This Row],[Yaw]]&gt;V340,(360-ABS(Dominus[[#This Row],[Yaw]])-ABS(V340)),ABS(Dominus[[#This Row],[Yaw]]-V340))</f>
        <v>0.97770008745427361</v>
      </c>
      <c r="Y341" s="1">
        <f>Dominus[[#This Row],[Degree change]]+Y340</f>
        <v>273.45363191525877</v>
      </c>
    </row>
    <row r="342" spans="1:25">
      <c r="A342">
        <v>341</v>
      </c>
      <c r="B342" s="1">
        <v>-161.44000199999999</v>
      </c>
      <c r="C342" s="1">
        <v>561.60998500000005</v>
      </c>
      <c r="D342" s="1">
        <v>17.049999</v>
      </c>
      <c r="E342" s="1">
        <v>1955.089966</v>
      </c>
      <c r="F342" s="1">
        <v>1211.419922</v>
      </c>
      <c r="G342" s="1">
        <v>8.0399999999999991</v>
      </c>
      <c r="H342" s="1">
        <v>-2.9999999999999997E-4</v>
      </c>
      <c r="I342" s="1">
        <v>-1E-4</v>
      </c>
      <c r="J342" s="1">
        <v>2.0472999999999999</v>
      </c>
      <c r="K342" s="1">
        <v>-2.5330000000000001E-3</v>
      </c>
      <c r="L342" s="1">
        <v>7.9979999999999999E-3</v>
      </c>
      <c r="M342" s="1">
        <v>0.30301299999999998</v>
      </c>
      <c r="N342" s="1">
        <v>0.95294900000000005</v>
      </c>
      <c r="O342">
        <v>1</v>
      </c>
      <c r="P342">
        <v>0</v>
      </c>
      <c r="Q342">
        <v>1</v>
      </c>
      <c r="R342">
        <v>1</v>
      </c>
      <c r="S342">
        <v>1</v>
      </c>
      <c r="T342" s="1">
        <f>SQRT(POWER(Dominus[[#This Row],[angvel_X]],2) + POWER(Dominus[[#This Row],[angvel_Y]],2) + POWER(Dominus[[#This Row],[angvel_Z]],2))</f>
        <v>2.0473000244224098</v>
      </c>
      <c r="U342" s="1">
        <f>DEGREES(ASIN(MAX(-1,MIN(1,2 * (Dominus[[#This Row],[quart_W]]*Dominus[[#This Row],[quart_Y]] - Dominus[[#This Row],[quart_Z]]*Dominus[[#This Row],[quart_X]])))))</f>
        <v>0.96137868401468873</v>
      </c>
      <c r="V34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54.721400192687511</v>
      </c>
      <c r="W34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89.99889080876217</v>
      </c>
      <c r="X342" s="1">
        <f>IF(Dominus[[#This Row],[Yaw]]&gt;V341,(360-ABS(Dominus[[#This Row],[Yaw]])-ABS(V341)),ABS(Dominus[[#This Row],[Yaw]]-V341))</f>
        <v>0.9774903097333052</v>
      </c>
      <c r="Y342" s="1">
        <f>Dominus[[#This Row],[Degree change]]+Y341</f>
        <v>274.43112222499207</v>
      </c>
    </row>
    <row r="343" spans="1:25">
      <c r="A343">
        <v>342</v>
      </c>
      <c r="B343" s="1">
        <v>-145.08999600000001</v>
      </c>
      <c r="C343" s="1">
        <v>571.73999000000003</v>
      </c>
      <c r="D343" s="1">
        <v>17.049999</v>
      </c>
      <c r="E343" s="1">
        <v>1934.1400149999999</v>
      </c>
      <c r="F343" s="1">
        <v>1244.599976</v>
      </c>
      <c r="G343" s="1">
        <v>8.0399999999999991</v>
      </c>
      <c r="H343" s="1">
        <v>-2.9999999999999997E-4</v>
      </c>
      <c r="I343" s="1">
        <v>-1E-4</v>
      </c>
      <c r="J343" s="1">
        <v>2.0472999999999999</v>
      </c>
      <c r="K343" s="1">
        <v>-2.6029999999999998E-3</v>
      </c>
      <c r="L343" s="1">
        <v>7.9760000000000005E-3</v>
      </c>
      <c r="M343" s="1">
        <v>0.31113299999999999</v>
      </c>
      <c r="N343" s="1">
        <v>0.95032899999999998</v>
      </c>
      <c r="O343">
        <v>1</v>
      </c>
      <c r="P343">
        <v>0</v>
      </c>
      <c r="Q343">
        <v>1</v>
      </c>
      <c r="R343">
        <v>1</v>
      </c>
      <c r="S343">
        <v>1</v>
      </c>
      <c r="T343" s="1">
        <f>SQRT(POWER(Dominus[[#This Row],[angvel_X]],2) + POWER(Dominus[[#This Row],[angvel_Y]],2) + POWER(Dominus[[#This Row],[angvel_Z]],2))</f>
        <v>2.0473000244224098</v>
      </c>
      <c r="U343" s="1">
        <f>DEGREES(ASIN(MAX(-1,MIN(1,2 * (Dominus[[#This Row],[quart_W]]*Dominus[[#This Row],[quart_Y]] - Dominus[[#This Row],[quart_Z]]*Dominus[[#This Row],[quart_X]])))))</f>
        <v>0.96143429991910556</v>
      </c>
      <c r="V34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53.743634684207763</v>
      </c>
      <c r="W34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89.999095697044595</v>
      </c>
      <c r="X343" s="1">
        <f>IF(Dominus[[#This Row],[Yaw]]&gt;V342,(360-ABS(Dominus[[#This Row],[Yaw]])-ABS(V342)),ABS(Dominus[[#This Row],[Yaw]]-V342))</f>
        <v>0.97776550847974875</v>
      </c>
      <c r="Y343" s="1">
        <f>Dominus[[#This Row],[Degree change]]+Y342</f>
        <v>275.40888773347183</v>
      </c>
    </row>
    <row r="344" spans="1:25">
      <c r="A344">
        <v>343</v>
      </c>
      <c r="B344" s="1">
        <v>-128.91999799999999</v>
      </c>
      <c r="C344" s="1">
        <v>582.14996299999996</v>
      </c>
      <c r="D344" s="1">
        <v>17.049999</v>
      </c>
      <c r="E344" s="1">
        <v>1912.619995</v>
      </c>
      <c r="F344" s="1">
        <v>1277.419922</v>
      </c>
      <c r="G344" s="1">
        <v>8.0399999999999991</v>
      </c>
      <c r="H344" s="1">
        <v>-2.0000000000000001E-4</v>
      </c>
      <c r="I344" s="1">
        <v>-1E-4</v>
      </c>
      <c r="J344" s="1">
        <v>2.0472999999999999</v>
      </c>
      <c r="K344" s="1">
        <v>-2.673E-3</v>
      </c>
      <c r="L344" s="1">
        <v>7.9550000000000003E-3</v>
      </c>
      <c r="M344" s="1">
        <v>0.31923000000000001</v>
      </c>
      <c r="N344" s="1">
        <v>0.94764000000000004</v>
      </c>
      <c r="O344">
        <v>1</v>
      </c>
      <c r="P344">
        <v>0</v>
      </c>
      <c r="Q344">
        <v>1</v>
      </c>
      <c r="R344">
        <v>1</v>
      </c>
      <c r="S344">
        <v>1</v>
      </c>
      <c r="T344" s="1">
        <f>SQRT(POWER(Dominus[[#This Row],[angvel_X]],2) + POWER(Dominus[[#This Row],[angvel_Y]],2) + POWER(Dominus[[#This Row],[angvel_Z]],2))</f>
        <v>2.0473000122112048</v>
      </c>
      <c r="U344" s="1">
        <f>DEGREES(ASIN(MAX(-1,MIN(1,2 * (Dominus[[#This Row],[quart_W]]*Dominus[[#This Row],[quart_Y]] - Dominus[[#This Row],[quart_Z]]*Dominus[[#This Row],[quart_X]])))))</f>
        <v>0.96167207502017227</v>
      </c>
      <c r="V34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52.765907811980938</v>
      </c>
      <c r="W34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89.999262736675817</v>
      </c>
      <c r="X344" s="1">
        <f>IF(Dominus[[#This Row],[Yaw]]&gt;V343,(360-ABS(Dominus[[#This Row],[Yaw]])-ABS(V343)),ABS(Dominus[[#This Row],[Yaw]]-V343))</f>
        <v>0.97772687222682464</v>
      </c>
      <c r="Y344" s="1">
        <f>Dominus[[#This Row],[Degree change]]+Y343</f>
        <v>276.38661460569864</v>
      </c>
    </row>
    <row r="345" spans="1:25">
      <c r="A345">
        <v>344</v>
      </c>
      <c r="B345" s="1">
        <v>-112.93</v>
      </c>
      <c r="C345" s="1">
        <v>592.839966</v>
      </c>
      <c r="D345" s="1">
        <v>17.049999</v>
      </c>
      <c r="E345" s="1">
        <v>1890.5399170000001</v>
      </c>
      <c r="F345" s="1">
        <v>1309.8599850000001</v>
      </c>
      <c r="G345" s="1">
        <v>8.0399999999999991</v>
      </c>
      <c r="H345" s="1">
        <v>-1E-4</v>
      </c>
      <c r="I345" s="1">
        <v>-1E-4</v>
      </c>
      <c r="J345" s="1">
        <v>2.0472999999999999</v>
      </c>
      <c r="K345" s="1">
        <v>-2.7430000000000002E-3</v>
      </c>
      <c r="L345" s="1">
        <v>7.9330000000000008E-3</v>
      </c>
      <c r="M345" s="1">
        <v>0.32730100000000001</v>
      </c>
      <c r="N345" s="1">
        <v>0.94488300000000003</v>
      </c>
      <c r="O345">
        <v>1</v>
      </c>
      <c r="P345">
        <v>0</v>
      </c>
      <c r="Q345">
        <v>1</v>
      </c>
      <c r="R345">
        <v>1</v>
      </c>
      <c r="S345">
        <v>1</v>
      </c>
      <c r="T345" s="1">
        <f>SQRT(POWER(Dominus[[#This Row],[angvel_X]],2) + POWER(Dominus[[#This Row],[angvel_Y]],2) + POWER(Dominus[[#This Row],[angvel_Z]],2))</f>
        <v>2.047300004884482</v>
      </c>
      <c r="U345" s="1">
        <f>DEGREES(ASIN(MAX(-1,MIN(1,2 * (Dominus[[#This Row],[quart_W]]*Dominus[[#This Row],[quart_Y]] - Dominus[[#This Row],[quart_Z]]*Dominus[[#This Row],[quart_X]])))))</f>
        <v>0.96187441400711193</v>
      </c>
      <c r="V34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51.788515102682773</v>
      </c>
      <c r="W34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89.999465382086115</v>
      </c>
      <c r="X345" s="1">
        <f>IF(Dominus[[#This Row],[Yaw]]&gt;V344,(360-ABS(Dominus[[#This Row],[Yaw]])-ABS(V344)),ABS(Dominus[[#This Row],[Yaw]]-V344))</f>
        <v>0.97739270929816513</v>
      </c>
      <c r="Y345" s="1">
        <f>Dominus[[#This Row],[Degree change]]+Y344</f>
        <v>277.3640073149968</v>
      </c>
    </row>
    <row r="346" spans="1:25">
      <c r="A346">
        <v>345</v>
      </c>
      <c r="B346" s="1">
        <v>-97.119995000000003</v>
      </c>
      <c r="C346" s="1">
        <v>603.79998799999998</v>
      </c>
      <c r="D346" s="1">
        <v>17.049999</v>
      </c>
      <c r="E346" s="1">
        <v>1867.919922</v>
      </c>
      <c r="F346" s="1">
        <v>1341.929932</v>
      </c>
      <c r="G346" s="1">
        <v>8.0399999999999991</v>
      </c>
      <c r="H346" s="1">
        <v>0</v>
      </c>
      <c r="I346" s="1">
        <v>-1E-4</v>
      </c>
      <c r="J346" s="1">
        <v>2.0472999999999999</v>
      </c>
      <c r="K346" s="1">
        <v>-2.813E-3</v>
      </c>
      <c r="L346" s="1">
        <v>7.9109999999999996E-3</v>
      </c>
      <c r="M346" s="1">
        <v>0.33534999999999998</v>
      </c>
      <c r="N346" s="1">
        <v>0.942056</v>
      </c>
      <c r="O346">
        <v>1</v>
      </c>
      <c r="P346">
        <v>0</v>
      </c>
      <c r="Q346">
        <v>1</v>
      </c>
      <c r="R346">
        <v>1</v>
      </c>
      <c r="S346">
        <v>1</v>
      </c>
      <c r="T346" s="1">
        <f>SQRT(POWER(Dominus[[#This Row],[angvel_X]],2) + POWER(Dominus[[#This Row],[angvel_Y]],2) + POWER(Dominus[[#This Row],[angvel_Z]],2))</f>
        <v>2.047300002442241</v>
      </c>
      <c r="U346" s="1">
        <f>DEGREES(ASIN(MAX(-1,MIN(1,2 * (Dominus[[#This Row],[quart_W]]*Dominus[[#This Row],[quart_Y]] - Dominus[[#This Row],[quart_Z]]*Dominus[[#This Row],[quart_X]])))))</f>
        <v>0.96214959675396527</v>
      </c>
      <c r="V34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50.810919866303664</v>
      </c>
      <c r="W34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89.999661870328211</v>
      </c>
      <c r="X346" s="1">
        <f>IF(Dominus[[#This Row],[Yaw]]&gt;V345,(360-ABS(Dominus[[#This Row],[Yaw]])-ABS(V345)),ABS(Dominus[[#This Row],[Yaw]]-V345))</f>
        <v>0.97759523637910917</v>
      </c>
      <c r="Y346" s="1">
        <f>Dominus[[#This Row],[Degree change]]+Y345</f>
        <v>278.3416025513759</v>
      </c>
    </row>
    <row r="347" spans="1:25">
      <c r="A347">
        <v>346</v>
      </c>
      <c r="B347" s="1">
        <v>-81.5</v>
      </c>
      <c r="C347" s="1">
        <v>615.02996800000005</v>
      </c>
      <c r="D347" s="1">
        <v>17.049999</v>
      </c>
      <c r="E347" s="1">
        <v>1844.75</v>
      </c>
      <c r="F347" s="1">
        <v>1373.599976</v>
      </c>
      <c r="G347" s="1">
        <v>8.0399999999999991</v>
      </c>
      <c r="H347" s="1">
        <v>0</v>
      </c>
      <c r="I347" s="1">
        <v>-1E-4</v>
      </c>
      <c r="J347" s="1">
        <v>2.0472999999999999</v>
      </c>
      <c r="K347" s="1">
        <v>-2.8839999999999998E-3</v>
      </c>
      <c r="L347" s="1">
        <v>7.8849999999999996E-3</v>
      </c>
      <c r="M347" s="1">
        <v>0.34337200000000001</v>
      </c>
      <c r="N347" s="1">
        <v>0.93916200000000005</v>
      </c>
      <c r="O347">
        <v>1</v>
      </c>
      <c r="P347">
        <v>0</v>
      </c>
      <c r="Q347">
        <v>1</v>
      </c>
      <c r="R347">
        <v>1</v>
      </c>
      <c r="S347">
        <v>1</v>
      </c>
      <c r="T347" s="1">
        <f>SQRT(POWER(Dominus[[#This Row],[angvel_X]],2) + POWER(Dominus[[#This Row],[angvel_Y]],2) + POWER(Dominus[[#This Row],[angvel_Z]],2))</f>
        <v>2.047300002442241</v>
      </c>
      <c r="U347" s="1">
        <f>DEGREES(ASIN(MAX(-1,MIN(1,2 * (Dominus[[#This Row],[quart_W]]*Dominus[[#This Row],[quart_Y]] - Dominus[[#This Row],[quart_Z]]*Dominus[[#This Row],[quart_X]])))))</f>
        <v>0.96210749583823563</v>
      </c>
      <c r="V34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49.833626535398423</v>
      </c>
      <c r="W34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90.000120909765698</v>
      </c>
      <c r="X347" s="1">
        <f>IF(Dominus[[#This Row],[Yaw]]&gt;V346,(360-ABS(Dominus[[#This Row],[Yaw]])-ABS(V346)),ABS(Dominus[[#This Row],[Yaw]]-V346))</f>
        <v>0.97729333090524051</v>
      </c>
      <c r="Y347" s="1">
        <f>Dominus[[#This Row],[Degree change]]+Y346</f>
        <v>279.31889588228114</v>
      </c>
    </row>
    <row r="348" spans="1:25">
      <c r="A348">
        <v>347</v>
      </c>
      <c r="B348" s="1">
        <v>-66.069999999999993</v>
      </c>
      <c r="C348" s="1">
        <v>626.51995799999997</v>
      </c>
      <c r="D348" s="1">
        <v>17.049999</v>
      </c>
      <c r="E348" s="1">
        <v>1821.049927</v>
      </c>
      <c r="F348" s="1">
        <v>1404.869995</v>
      </c>
      <c r="G348" s="1">
        <v>8.0399999999999991</v>
      </c>
      <c r="H348" s="1">
        <v>0</v>
      </c>
      <c r="I348" s="1">
        <v>0</v>
      </c>
      <c r="J348" s="1">
        <v>2.0472999999999999</v>
      </c>
      <c r="K348" s="1">
        <v>-2.9480000000000001E-3</v>
      </c>
      <c r="L348" s="1">
        <v>7.8580000000000004E-3</v>
      </c>
      <c r="M348" s="1">
        <v>0.35137299999999999</v>
      </c>
      <c r="N348" s="1">
        <v>0.93619799999999997</v>
      </c>
      <c r="O348">
        <v>1</v>
      </c>
      <c r="P348">
        <v>0</v>
      </c>
      <c r="Q348">
        <v>1</v>
      </c>
      <c r="R348">
        <v>1</v>
      </c>
      <c r="S348">
        <v>1</v>
      </c>
      <c r="T348" s="1">
        <f>SQRT(POWER(Dominus[[#This Row],[angvel_X]],2) + POWER(Dominus[[#This Row],[angvel_Y]],2) + POWER(Dominus[[#This Row],[angvel_Z]],2))</f>
        <v>2.0472999999999999</v>
      </c>
      <c r="U348" s="1">
        <f>DEGREES(ASIN(MAX(-1,MIN(1,2 * (Dominus[[#This Row],[quart_W]]*Dominus[[#This Row],[quart_Y]] - Dominus[[#This Row],[quart_Z]]*Dominus[[#This Row],[quart_X]])))))</f>
        <v>0.9617538473872822</v>
      </c>
      <c r="V34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48.855848299764112</v>
      </c>
      <c r="W34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89.999865068911035</v>
      </c>
      <c r="X348" s="1">
        <f>IF(Dominus[[#This Row],[Yaw]]&gt;V347,(360-ABS(Dominus[[#This Row],[Yaw]])-ABS(V347)),ABS(Dominus[[#This Row],[Yaw]]-V347))</f>
        <v>0.97777823563431099</v>
      </c>
      <c r="Y348" s="1">
        <f>Dominus[[#This Row],[Degree change]]+Y347</f>
        <v>280.29667411791547</v>
      </c>
    </row>
    <row r="349" spans="1:25">
      <c r="A349">
        <v>348</v>
      </c>
      <c r="B349" s="1">
        <v>-50.84</v>
      </c>
      <c r="C349" s="1">
        <v>638.26995799999997</v>
      </c>
      <c r="D349" s="1">
        <v>17.049999</v>
      </c>
      <c r="E349" s="1">
        <v>1796.8199460000001</v>
      </c>
      <c r="F349" s="1">
        <v>1435.73999</v>
      </c>
      <c r="G349" s="1">
        <v>8.0399999999999991</v>
      </c>
      <c r="H349" s="1">
        <v>0</v>
      </c>
      <c r="I349" s="1">
        <v>0</v>
      </c>
      <c r="J349" s="1">
        <v>2.0472999999999999</v>
      </c>
      <c r="K349" s="1">
        <v>-3.0130000000000001E-3</v>
      </c>
      <c r="L349" s="1">
        <v>7.8309999999999994E-3</v>
      </c>
      <c r="M349" s="1">
        <v>0.359346</v>
      </c>
      <c r="N349" s="1">
        <v>0.93316699999999997</v>
      </c>
      <c r="O349">
        <v>1</v>
      </c>
      <c r="P349">
        <v>0</v>
      </c>
      <c r="Q349">
        <v>1</v>
      </c>
      <c r="R349">
        <v>1</v>
      </c>
      <c r="S349">
        <v>1</v>
      </c>
      <c r="T349" s="1">
        <f>SQRT(POWER(Dominus[[#This Row],[angvel_X]],2) + POWER(Dominus[[#This Row],[angvel_Y]],2) + POWER(Dominus[[#This Row],[angvel_Z]],2))</f>
        <v>2.0472999999999999</v>
      </c>
      <c r="U349" s="1">
        <f>DEGREES(ASIN(MAX(-1,MIN(1,2 * (Dominus[[#This Row],[quart_W]]*Dominus[[#This Row],[quart_Y]] - Dominus[[#This Row],[quart_Z]]*Dominus[[#This Row],[quart_X]])))))</f>
        <v>0.96150730181193134</v>
      </c>
      <c r="V34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47.878360332014182</v>
      </c>
      <c r="W34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89.999724213196686</v>
      </c>
      <c r="X349" s="1">
        <f>IF(Dominus[[#This Row],[Yaw]]&gt;V348,(360-ABS(Dominus[[#This Row],[Yaw]])-ABS(V348)),ABS(Dominus[[#This Row],[Yaw]]-V348))</f>
        <v>0.97748796774992996</v>
      </c>
      <c r="Y349" s="1">
        <f>Dominus[[#This Row],[Degree change]]+Y348</f>
        <v>281.27416208566541</v>
      </c>
    </row>
    <row r="350" spans="1:25">
      <c r="A350">
        <v>349</v>
      </c>
      <c r="B350" s="1">
        <v>-35.82</v>
      </c>
      <c r="C350" s="1">
        <v>650.27996800000005</v>
      </c>
      <c r="D350" s="1">
        <v>17.049999</v>
      </c>
      <c r="E350" s="1">
        <v>1772.059937</v>
      </c>
      <c r="F350" s="1">
        <v>1466.1899410000001</v>
      </c>
      <c r="G350" s="1">
        <v>8.0399999999999991</v>
      </c>
      <c r="H350" s="1">
        <v>0</v>
      </c>
      <c r="I350" s="1">
        <v>0</v>
      </c>
      <c r="J350" s="1">
        <v>2.0472999999999999</v>
      </c>
      <c r="K350" s="1">
        <v>-3.078E-3</v>
      </c>
      <c r="L350" s="1">
        <v>7.8040000000000002E-3</v>
      </c>
      <c r="M350" s="1">
        <v>0.36729299999999998</v>
      </c>
      <c r="N350" s="1">
        <v>0.93006800000000001</v>
      </c>
      <c r="O350">
        <v>1</v>
      </c>
      <c r="P350">
        <v>0</v>
      </c>
      <c r="Q350">
        <v>1</v>
      </c>
      <c r="R350">
        <v>1</v>
      </c>
      <c r="S350">
        <v>1</v>
      </c>
      <c r="T350" s="1">
        <f>SQRT(POWER(Dominus[[#This Row],[angvel_X]],2) + POWER(Dominus[[#This Row],[angvel_Y]],2) + POWER(Dominus[[#This Row],[angvel_Z]],2))</f>
        <v>2.0472999999999999</v>
      </c>
      <c r="U350" s="1">
        <f>DEGREES(ASIN(MAX(-1,MIN(1,2 * (Dominus[[#This Row],[quart_W]]*Dominus[[#This Row],[quart_Y]] - Dominus[[#This Row],[quart_Z]]*Dominus[[#This Row],[quart_X]])))))</f>
        <v>0.96132831336134106</v>
      </c>
      <c r="V35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46.900855158671405</v>
      </c>
      <c r="W35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89.999586808561247</v>
      </c>
      <c r="X350" s="1">
        <f>IF(Dominus[[#This Row],[Yaw]]&gt;V349,(360-ABS(Dominus[[#This Row],[Yaw]])-ABS(V349)),ABS(Dominus[[#This Row],[Yaw]]-V349))</f>
        <v>0.97750517334277731</v>
      </c>
      <c r="Y350" s="1">
        <f>Dominus[[#This Row],[Degree change]]+Y349</f>
        <v>282.25166725900817</v>
      </c>
    </row>
    <row r="351" spans="1:25">
      <c r="A351">
        <v>350</v>
      </c>
      <c r="B351" s="1">
        <v>-21</v>
      </c>
      <c r="C351" s="1">
        <v>662.54998799999998</v>
      </c>
      <c r="D351" s="1">
        <v>17.049999</v>
      </c>
      <c r="E351" s="1">
        <v>1746.7899170000001</v>
      </c>
      <c r="F351" s="1">
        <v>1496.209961</v>
      </c>
      <c r="G351" s="1">
        <v>8.0399999999999991</v>
      </c>
      <c r="H351" s="1">
        <v>0</v>
      </c>
      <c r="I351" s="1">
        <v>0</v>
      </c>
      <c r="J351" s="1">
        <v>2.0472999999999999</v>
      </c>
      <c r="K351" s="1">
        <v>-3.1419999999999998E-3</v>
      </c>
      <c r="L351" s="1">
        <v>7.7770000000000001E-3</v>
      </c>
      <c r="M351" s="1">
        <v>0.37521199999999999</v>
      </c>
      <c r="N351" s="1">
        <v>0.92690099999999997</v>
      </c>
      <c r="O351">
        <v>1</v>
      </c>
      <c r="P351">
        <v>0</v>
      </c>
      <c r="Q351">
        <v>1</v>
      </c>
      <c r="R351">
        <v>1</v>
      </c>
      <c r="S351">
        <v>1</v>
      </c>
      <c r="T351" s="1">
        <f>SQRT(POWER(Dominus[[#This Row],[angvel_X]],2) + POWER(Dominus[[#This Row],[angvel_Y]],2) + POWER(Dominus[[#This Row],[angvel_Z]],2))</f>
        <v>2.0472999999999999</v>
      </c>
      <c r="U351" s="1">
        <f>DEGREES(ASIN(MAX(-1,MIN(1,2 * (Dominus[[#This Row],[quart_W]]*Dominus[[#This Row],[quart_Y]] - Dominus[[#This Row],[quart_Z]]*Dominus[[#This Row],[quart_X]])))))</f>
        <v>0.9611732096200778</v>
      </c>
      <c r="V35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45.923532364195751</v>
      </c>
      <c r="W35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89.99934664657107</v>
      </c>
      <c r="X351" s="1">
        <f>IF(Dominus[[#This Row],[Yaw]]&gt;V350,(360-ABS(Dominus[[#This Row],[Yaw]])-ABS(V350)),ABS(Dominus[[#This Row],[Yaw]]-V350))</f>
        <v>0.97732279447565418</v>
      </c>
      <c r="Y351" s="1">
        <f>Dominus[[#This Row],[Degree change]]+Y350</f>
        <v>283.22899005348381</v>
      </c>
    </row>
    <row r="352" spans="1:25">
      <c r="A352">
        <v>351</v>
      </c>
      <c r="B352" s="1">
        <v>-6.39</v>
      </c>
      <c r="C352" s="1">
        <v>675.07000700000003</v>
      </c>
      <c r="D352" s="1">
        <v>17.049999</v>
      </c>
      <c r="E352" s="1">
        <v>1721.01001</v>
      </c>
      <c r="F352" s="1">
        <v>1525.7899170000001</v>
      </c>
      <c r="G352" s="1">
        <v>8.0399999999999991</v>
      </c>
      <c r="H352" s="1">
        <v>0</v>
      </c>
      <c r="I352" s="1">
        <v>0</v>
      </c>
      <c r="J352" s="1">
        <v>2.0472999999999999</v>
      </c>
      <c r="K352" s="1">
        <v>-3.2070000000000002E-3</v>
      </c>
      <c r="L352" s="1">
        <v>7.7499999999999999E-3</v>
      </c>
      <c r="M352" s="1">
        <v>0.38310499999999997</v>
      </c>
      <c r="N352" s="1">
        <v>0.92366700000000002</v>
      </c>
      <c r="O352">
        <v>1</v>
      </c>
      <c r="P352">
        <v>0</v>
      </c>
      <c r="Q352">
        <v>1</v>
      </c>
      <c r="R352">
        <v>1</v>
      </c>
      <c r="S352">
        <v>1</v>
      </c>
      <c r="T352" s="1">
        <f>SQRT(POWER(Dominus[[#This Row],[angvel_X]],2) + POWER(Dominus[[#This Row],[angvel_Y]],2) + POWER(Dominus[[#This Row],[angvel_Z]],2))</f>
        <v>2.0472999999999999</v>
      </c>
      <c r="U352" s="1">
        <f>DEGREES(ASIN(MAX(-1,MIN(1,2 * (Dominus[[#This Row],[quart_W]]*Dominus[[#This Row],[quart_Y]] - Dominus[[#This Row],[quart_Z]]*Dominus[[#This Row],[quart_X]])))))</f>
        <v>0.96112871937540001</v>
      </c>
      <c r="V35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44.946019722633061</v>
      </c>
      <c r="W35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89.999213369418854</v>
      </c>
      <c r="X352" s="1">
        <f>IF(Dominus[[#This Row],[Yaw]]&gt;V351,(360-ABS(Dominus[[#This Row],[Yaw]])-ABS(V351)),ABS(Dominus[[#This Row],[Yaw]]-V351))</f>
        <v>0.97751264156269002</v>
      </c>
      <c r="Y352" s="1">
        <f>Dominus[[#This Row],[Degree change]]+Y351</f>
        <v>284.20650269504648</v>
      </c>
    </row>
    <row r="353" spans="1:25">
      <c r="A353">
        <v>352</v>
      </c>
      <c r="B353" s="1">
        <v>8</v>
      </c>
      <c r="C353" s="1">
        <v>687.82995600000004</v>
      </c>
      <c r="D353" s="1">
        <v>17.049999</v>
      </c>
      <c r="E353" s="1">
        <v>1694.7299800000001</v>
      </c>
      <c r="F353" s="1">
        <v>1554.929932</v>
      </c>
      <c r="G353" s="1">
        <v>8.0399999999999991</v>
      </c>
      <c r="H353" s="1">
        <v>0</v>
      </c>
      <c r="I353" s="1">
        <v>0</v>
      </c>
      <c r="J353" s="1">
        <v>2.0472999999999999</v>
      </c>
      <c r="K353" s="1">
        <v>-3.2720000000000002E-3</v>
      </c>
      <c r="L353" s="1">
        <v>7.7229999999999998E-3</v>
      </c>
      <c r="M353" s="1">
        <v>0.39096999999999998</v>
      </c>
      <c r="N353" s="1">
        <v>0.92036499999999999</v>
      </c>
      <c r="O353">
        <v>1</v>
      </c>
      <c r="P353">
        <v>0</v>
      </c>
      <c r="Q353">
        <v>1</v>
      </c>
      <c r="R353">
        <v>1</v>
      </c>
      <c r="S353">
        <v>1</v>
      </c>
      <c r="T353" s="1">
        <f>SQRT(POWER(Dominus[[#This Row],[angvel_X]],2) + POWER(Dominus[[#This Row],[angvel_Y]],2) + POWER(Dominus[[#This Row],[angvel_Z]],2))</f>
        <v>2.0472999999999999</v>
      </c>
      <c r="U353" s="1">
        <f>DEGREES(ASIN(MAX(-1,MIN(1,2 * (Dominus[[#This Row],[quart_W]]*Dominus[[#This Row],[quart_Y]] - Dominus[[#This Row],[quart_Z]]*Dominus[[#This Row],[quart_X]])))))</f>
        <v>0.96115115382956118</v>
      </c>
      <c r="V35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43.968548111158739</v>
      </c>
      <c r="W35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89.999080040678436</v>
      </c>
      <c r="X353" s="1">
        <f>IF(Dominus[[#This Row],[Yaw]]&gt;V352,(360-ABS(Dominus[[#This Row],[Yaw]])-ABS(V352)),ABS(Dominus[[#This Row],[Yaw]]-V352))</f>
        <v>0.97747161147432138</v>
      </c>
      <c r="Y353" s="1">
        <f>Dominus[[#This Row],[Degree change]]+Y352</f>
        <v>285.18397430652078</v>
      </c>
    </row>
    <row r="354" spans="1:25">
      <c r="A354">
        <v>353</v>
      </c>
      <c r="B354" s="1">
        <v>22.17</v>
      </c>
      <c r="C354" s="1">
        <v>700.839966</v>
      </c>
      <c r="D354" s="1">
        <v>17.049999</v>
      </c>
      <c r="E354" s="1">
        <v>1667.9499510000001</v>
      </c>
      <c r="F354" s="1">
        <v>1583.6099850000001</v>
      </c>
      <c r="G354" s="1">
        <v>8.0399999999999991</v>
      </c>
      <c r="H354" s="1">
        <v>0</v>
      </c>
      <c r="I354" s="1">
        <v>0</v>
      </c>
      <c r="J354" s="1">
        <v>2.0472999999999999</v>
      </c>
      <c r="K354" s="1">
        <v>-3.3370000000000001E-3</v>
      </c>
      <c r="L354" s="1">
        <v>7.6959999999999997E-3</v>
      </c>
      <c r="M354" s="1">
        <v>0.39880900000000002</v>
      </c>
      <c r="N354" s="1">
        <v>0.91699600000000003</v>
      </c>
      <c r="O354">
        <v>1</v>
      </c>
      <c r="P354">
        <v>0</v>
      </c>
      <c r="Q354">
        <v>1</v>
      </c>
      <c r="R354">
        <v>1</v>
      </c>
      <c r="S354">
        <v>1</v>
      </c>
      <c r="T354" s="1">
        <f>SQRT(POWER(Dominus[[#This Row],[angvel_X]],2) + POWER(Dominus[[#This Row],[angvel_Y]],2) + POWER(Dominus[[#This Row],[angvel_Z]],2))</f>
        <v>2.0472999999999999</v>
      </c>
      <c r="U354" s="1">
        <f>DEGREES(ASIN(MAX(-1,MIN(1,2 * (Dominus[[#This Row],[quart_W]]*Dominus[[#This Row],[quart_Y]] - Dominus[[#This Row],[quart_Z]]*Dominus[[#This Row],[quart_X]])))))</f>
        <v>0.96124216539751905</v>
      </c>
      <c r="V35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42.990737951973891</v>
      </c>
      <c r="W35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89.998943499118084</v>
      </c>
      <c r="X354" s="1">
        <f>IF(Dominus[[#This Row],[Yaw]]&gt;V353,(360-ABS(Dominus[[#This Row],[Yaw]])-ABS(V353)),ABS(Dominus[[#This Row],[Yaw]]-V353))</f>
        <v>0.97781015918484826</v>
      </c>
      <c r="Y354" s="1">
        <f>Dominus[[#This Row],[Degree change]]+Y353</f>
        <v>286.16178446570564</v>
      </c>
    </row>
    <row r="355" spans="1:25">
      <c r="A355">
        <v>354</v>
      </c>
      <c r="B355" s="1">
        <v>36.119999</v>
      </c>
      <c r="C355" s="1">
        <v>714.089966</v>
      </c>
      <c r="D355" s="1">
        <v>17.049999</v>
      </c>
      <c r="E355" s="1">
        <v>1640.6899410000001</v>
      </c>
      <c r="F355" s="1">
        <v>1611.839966</v>
      </c>
      <c r="G355" s="1">
        <v>8.0399999999999991</v>
      </c>
      <c r="H355" s="1">
        <v>-1E-4</v>
      </c>
      <c r="I355" s="1">
        <v>0</v>
      </c>
      <c r="J355" s="1">
        <v>2.0472999999999999</v>
      </c>
      <c r="K355" s="1">
        <v>-3.4009999999999999E-3</v>
      </c>
      <c r="L355" s="1">
        <v>7.6689999999999996E-3</v>
      </c>
      <c r="M355" s="1">
        <v>0.406615</v>
      </c>
      <c r="N355" s="1">
        <v>0.91356099999999996</v>
      </c>
      <c r="O355">
        <v>1</v>
      </c>
      <c r="P355">
        <v>0</v>
      </c>
      <c r="Q355">
        <v>1</v>
      </c>
      <c r="R355">
        <v>1</v>
      </c>
      <c r="S355">
        <v>1</v>
      </c>
      <c r="T355" s="1">
        <f>SQRT(POWER(Dominus[[#This Row],[angvel_X]],2) + POWER(Dominus[[#This Row],[angvel_Y]],2) + POWER(Dominus[[#This Row],[angvel_Z]],2))</f>
        <v>2.047300002442241</v>
      </c>
      <c r="U355" s="1">
        <f>DEGREES(ASIN(MAX(-1,MIN(1,2 * (Dominus[[#This Row],[quart_W]]*Dominus[[#This Row],[quart_Y]] - Dominus[[#This Row],[quart_Z]]*Dominus[[#This Row],[quart_X]])))))</f>
        <v>0.96135334345180412</v>
      </c>
      <c r="V35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42.013455006008741</v>
      </c>
      <c r="W35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89.998703847295403</v>
      </c>
      <c r="X355" s="1">
        <f>IF(Dominus[[#This Row],[Yaw]]&gt;V354,(360-ABS(Dominus[[#This Row],[Yaw]])-ABS(V354)),ABS(Dominus[[#This Row],[Yaw]]-V354))</f>
        <v>0.97728294596515042</v>
      </c>
      <c r="Y355" s="1">
        <f>Dominus[[#This Row],[Degree change]]+Y354</f>
        <v>287.13906741167079</v>
      </c>
    </row>
    <row r="356" spans="1:25">
      <c r="A356">
        <v>355</v>
      </c>
      <c r="B356" s="1">
        <v>49.84</v>
      </c>
      <c r="C356" s="1">
        <v>727.57000700000003</v>
      </c>
      <c r="D356" s="1">
        <v>17.049999</v>
      </c>
      <c r="E356" s="1">
        <v>1612.9499510000001</v>
      </c>
      <c r="F356" s="1">
        <v>1639.599976</v>
      </c>
      <c r="G356" s="1">
        <v>8.0399999999999991</v>
      </c>
      <c r="H356" s="1">
        <v>-1E-4</v>
      </c>
      <c r="I356" s="1">
        <v>0</v>
      </c>
      <c r="J356" s="1">
        <v>2.0472999999999999</v>
      </c>
      <c r="K356" s="1">
        <v>-3.4659999999999999E-3</v>
      </c>
      <c r="L356" s="1">
        <v>7.6420000000000004E-3</v>
      </c>
      <c r="M356" s="1">
        <v>0.41439500000000001</v>
      </c>
      <c r="N356" s="1">
        <v>0.91005800000000003</v>
      </c>
      <c r="O356">
        <v>1</v>
      </c>
      <c r="P356">
        <v>0</v>
      </c>
      <c r="Q356">
        <v>1</v>
      </c>
      <c r="R356">
        <v>1</v>
      </c>
      <c r="S356">
        <v>1</v>
      </c>
      <c r="T356" s="1">
        <f>SQRT(POWER(Dominus[[#This Row],[angvel_X]],2) + POWER(Dominus[[#This Row],[angvel_Y]],2) + POWER(Dominus[[#This Row],[angvel_Z]],2))</f>
        <v>2.047300002442241</v>
      </c>
      <c r="U356" s="1">
        <f>DEGREES(ASIN(MAX(-1,MIN(1,2 * (Dominus[[#This Row],[quart_W]]*Dominus[[#This Row],[quart_Y]] - Dominus[[#This Row],[quart_Z]]*Dominus[[#This Row],[quart_X]])))))</f>
        <v>0.96157790370649743</v>
      </c>
      <c r="V35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41.035719621356151</v>
      </c>
      <c r="W35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89.998562182008797</v>
      </c>
      <c r="X356" s="1">
        <f>IF(Dominus[[#This Row],[Yaw]]&gt;V355,(360-ABS(Dominus[[#This Row],[Yaw]])-ABS(V355)),ABS(Dominus[[#This Row],[Yaw]]-V355))</f>
        <v>0.9777353846525898</v>
      </c>
      <c r="Y356" s="1">
        <f>Dominus[[#This Row],[Degree change]]+Y355</f>
        <v>288.11680279632338</v>
      </c>
    </row>
    <row r="357" spans="1:25">
      <c r="A357">
        <v>356</v>
      </c>
      <c r="B357" s="1">
        <v>63.329998000000003</v>
      </c>
      <c r="C357" s="1">
        <v>741.28997800000002</v>
      </c>
      <c r="D357" s="1">
        <v>17.049999</v>
      </c>
      <c r="E357" s="1">
        <v>1584.73999</v>
      </c>
      <c r="F357" s="1">
        <v>1666.880005</v>
      </c>
      <c r="G357" s="1">
        <v>8.0399999999999991</v>
      </c>
      <c r="H357" s="1">
        <v>-1E-4</v>
      </c>
      <c r="I357" s="1">
        <v>-1E-4</v>
      </c>
      <c r="J357" s="1">
        <v>2.0472999999999999</v>
      </c>
      <c r="K357" s="1">
        <v>-3.5309999999999999E-3</v>
      </c>
      <c r="L357" s="1">
        <v>7.6150000000000002E-3</v>
      </c>
      <c r="M357" s="1">
        <v>0.42214200000000002</v>
      </c>
      <c r="N357" s="1">
        <v>0.90649100000000005</v>
      </c>
      <c r="O357">
        <v>1</v>
      </c>
      <c r="P357">
        <v>0</v>
      </c>
      <c r="Q357">
        <v>1</v>
      </c>
      <c r="R357">
        <v>1</v>
      </c>
      <c r="S357">
        <v>1</v>
      </c>
      <c r="T357" s="1">
        <f>SQRT(POWER(Dominus[[#This Row],[angvel_X]],2) + POWER(Dominus[[#This Row],[angvel_Y]],2) + POWER(Dominus[[#This Row],[angvel_Z]],2))</f>
        <v>2.047300004884482</v>
      </c>
      <c r="U357" s="1">
        <f>DEGREES(ASIN(MAX(-1,MIN(1,2 * (Dominus[[#This Row],[quart_W]]*Dominus[[#This Row],[quart_Y]] - Dominus[[#This Row],[quart_Z]]*Dominus[[#This Row],[quart_X]])))))</f>
        <v>0.96187084798825573</v>
      </c>
      <c r="V35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40.058312486639743</v>
      </c>
      <c r="W35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89.998419375294034</v>
      </c>
      <c r="X357" s="1">
        <f>IF(Dominus[[#This Row],[Yaw]]&gt;V356,(360-ABS(Dominus[[#This Row],[Yaw]])-ABS(V356)),ABS(Dominus[[#This Row],[Yaw]]-V356))</f>
        <v>0.97740713471640817</v>
      </c>
      <c r="Y357" s="1">
        <f>Dominus[[#This Row],[Degree change]]+Y356</f>
        <v>289.09420993103981</v>
      </c>
    </row>
    <row r="358" spans="1:25">
      <c r="A358">
        <v>357</v>
      </c>
      <c r="B358" s="1">
        <v>76.580001999999993</v>
      </c>
      <c r="C358" s="1">
        <v>755.22997999999995</v>
      </c>
      <c r="D358" s="1">
        <v>17.049999</v>
      </c>
      <c r="E358" s="1">
        <v>1556.0699460000001</v>
      </c>
      <c r="F358" s="1">
        <v>1693.669922</v>
      </c>
      <c r="G358" s="1">
        <v>8.0399999999999991</v>
      </c>
      <c r="H358" s="1">
        <v>-1E-4</v>
      </c>
      <c r="I358" s="1">
        <v>-1E-4</v>
      </c>
      <c r="J358" s="1">
        <v>2.0472999999999999</v>
      </c>
      <c r="K358" s="1">
        <v>-3.5959999999999998E-3</v>
      </c>
      <c r="L358" s="1">
        <v>7.5820000000000002E-3</v>
      </c>
      <c r="M358" s="1">
        <v>0.42986200000000002</v>
      </c>
      <c r="N358" s="1">
        <v>0.90285599999999999</v>
      </c>
      <c r="O358">
        <v>1</v>
      </c>
      <c r="P358">
        <v>0</v>
      </c>
      <c r="Q358">
        <v>1</v>
      </c>
      <c r="R358">
        <v>1</v>
      </c>
      <c r="S358">
        <v>1</v>
      </c>
      <c r="T358" s="1">
        <f>SQRT(POWER(Dominus[[#This Row],[angvel_X]],2) + POWER(Dominus[[#This Row],[angvel_Y]],2) + POWER(Dominus[[#This Row],[angvel_Z]],2))</f>
        <v>2.047300004884482</v>
      </c>
      <c r="U358" s="1">
        <f>DEGREES(ASIN(MAX(-1,MIN(1,2 * (Dominus[[#This Row],[quart_W]]*Dominus[[#This Row],[quart_Y]] - Dominus[[#This Row],[quart_Z]]*Dominus[[#This Row],[quart_X]])))))</f>
        <v>0.96161018158972311</v>
      </c>
      <c r="V35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39.080449407965645</v>
      </c>
      <c r="W35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89.998562417399711</v>
      </c>
      <c r="X358" s="1">
        <f>IF(Dominus[[#This Row],[Yaw]]&gt;V357,(360-ABS(Dominus[[#This Row],[Yaw]])-ABS(V357)),ABS(Dominus[[#This Row],[Yaw]]-V357))</f>
        <v>0.97786307867409761</v>
      </c>
      <c r="Y358" s="1">
        <f>Dominus[[#This Row],[Degree change]]+Y357</f>
        <v>290.0720730097139</v>
      </c>
    </row>
    <row r="359" spans="1:25">
      <c r="A359">
        <v>358</v>
      </c>
      <c r="B359" s="1">
        <v>89.589995999999999</v>
      </c>
      <c r="C359" s="1">
        <v>769.39996299999996</v>
      </c>
      <c r="D359" s="1">
        <v>17.049999</v>
      </c>
      <c r="E359" s="1">
        <v>1526.9499510000001</v>
      </c>
      <c r="F359" s="1">
        <v>1719.9799800000001</v>
      </c>
      <c r="G359" s="1">
        <v>8.0399999999999991</v>
      </c>
      <c r="H359" s="1">
        <v>-1E-4</v>
      </c>
      <c r="I359" s="1">
        <v>-1E-4</v>
      </c>
      <c r="J359" s="1">
        <v>2.0472999999999999</v>
      </c>
      <c r="K359" s="1">
        <v>-3.6600000000000001E-3</v>
      </c>
      <c r="L359" s="1">
        <v>7.5500000000000003E-3</v>
      </c>
      <c r="M359" s="1">
        <v>0.43754900000000002</v>
      </c>
      <c r="N359" s="1">
        <v>0.89915500000000004</v>
      </c>
      <c r="O359">
        <v>1</v>
      </c>
      <c r="P359">
        <v>0</v>
      </c>
      <c r="Q359">
        <v>1</v>
      </c>
      <c r="R359">
        <v>1</v>
      </c>
      <c r="S359">
        <v>1</v>
      </c>
      <c r="T359" s="1">
        <f>SQRT(POWER(Dominus[[#This Row],[angvel_X]],2) + POWER(Dominus[[#This Row],[angvel_Y]],2) + POWER(Dominus[[#This Row],[angvel_Z]],2))</f>
        <v>2.047300004884482</v>
      </c>
      <c r="U359" s="1">
        <f>DEGREES(ASIN(MAX(-1,MIN(1,2 * (Dominus[[#This Row],[quart_W]]*Dominus[[#This Row],[quart_Y]] - Dominus[[#This Row],[quart_Z]]*Dominus[[#This Row],[quart_X]])))))</f>
        <v>0.96147398707385912</v>
      </c>
      <c r="V35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38.102834234614491</v>
      </c>
      <c r="W35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89.99855735844389</v>
      </c>
      <c r="X359" s="1">
        <f>IF(Dominus[[#This Row],[Yaw]]&gt;V358,(360-ABS(Dominus[[#This Row],[Yaw]])-ABS(V358)),ABS(Dominus[[#This Row],[Yaw]]-V358))</f>
        <v>0.977615173351154</v>
      </c>
      <c r="Y359" s="1">
        <f>Dominus[[#This Row],[Degree change]]+Y358</f>
        <v>291.04968818306509</v>
      </c>
    </row>
    <row r="360" spans="1:25">
      <c r="A360">
        <v>359</v>
      </c>
      <c r="B360" s="1">
        <v>102.360001</v>
      </c>
      <c r="C360" s="1">
        <v>783.78997800000002</v>
      </c>
      <c r="D360" s="1">
        <v>17.049999</v>
      </c>
      <c r="E360" s="1">
        <v>1497.380005</v>
      </c>
      <c r="F360" s="1">
        <v>1745.7799070000001</v>
      </c>
      <c r="G360" s="1">
        <v>8.0399999999999991</v>
      </c>
      <c r="H360" s="1">
        <v>-1E-4</v>
      </c>
      <c r="I360" s="1">
        <v>-1E-4</v>
      </c>
      <c r="J360" s="1">
        <v>2.0472999999999999</v>
      </c>
      <c r="K360" s="1">
        <v>-3.725E-3</v>
      </c>
      <c r="L360" s="1">
        <v>7.5180000000000004E-3</v>
      </c>
      <c r="M360" s="1">
        <v>0.44520500000000002</v>
      </c>
      <c r="N360" s="1">
        <v>0.89538899999999999</v>
      </c>
      <c r="O360">
        <v>1</v>
      </c>
      <c r="P360">
        <v>0</v>
      </c>
      <c r="Q360">
        <v>1</v>
      </c>
      <c r="R360">
        <v>1</v>
      </c>
      <c r="S360">
        <v>1</v>
      </c>
      <c r="T360" s="1">
        <f>SQRT(POWER(Dominus[[#This Row],[angvel_X]],2) + POWER(Dominus[[#This Row],[angvel_Y]],2) + POWER(Dominus[[#This Row],[angvel_Z]],2))</f>
        <v>2.047300004884482</v>
      </c>
      <c r="U360" s="1">
        <f>DEGREES(ASIN(MAX(-1,MIN(1,2 * (Dominus[[#This Row],[quart_W]]*Dominus[[#This Row],[quart_Y]] - Dominus[[#This Row],[quart_Z]]*Dominus[[#This Row],[quart_X]])))))</f>
        <v>0.96145949344091863</v>
      </c>
      <c r="V36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37.125083705275102</v>
      </c>
      <c r="W36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89.998655976652344</v>
      </c>
      <c r="X360" s="1">
        <f>IF(Dominus[[#This Row],[Yaw]]&gt;V359,(360-ABS(Dominus[[#This Row],[Yaw]])-ABS(V359)),ABS(Dominus[[#This Row],[Yaw]]-V359))</f>
        <v>0.97775052933938866</v>
      </c>
      <c r="Y360" s="1">
        <f>Dominus[[#This Row],[Degree change]]+Y359</f>
        <v>292.02743871240449</v>
      </c>
    </row>
    <row r="361" spans="1:25">
      <c r="A361">
        <v>360</v>
      </c>
      <c r="B361" s="1">
        <v>114.879997</v>
      </c>
      <c r="C361" s="1">
        <v>798.38995399999999</v>
      </c>
      <c r="D361" s="1">
        <v>17.049999</v>
      </c>
      <c r="E361" s="1">
        <v>1467.380005</v>
      </c>
      <c r="F361" s="1">
        <v>1771.0699460000001</v>
      </c>
      <c r="G361" s="1">
        <v>8.0399999999999991</v>
      </c>
      <c r="H361" s="1">
        <v>-1E-4</v>
      </c>
      <c r="I361" s="1">
        <v>-1E-4</v>
      </c>
      <c r="J361" s="1">
        <v>2.0472999999999999</v>
      </c>
      <c r="K361" s="1">
        <v>-3.79E-3</v>
      </c>
      <c r="L361" s="1">
        <v>7.4850000000000003E-3</v>
      </c>
      <c r="M361" s="1">
        <v>0.45282699999999998</v>
      </c>
      <c r="N361" s="1">
        <v>0.89155899999999999</v>
      </c>
      <c r="O361">
        <v>1</v>
      </c>
      <c r="P361">
        <v>0</v>
      </c>
      <c r="Q361">
        <v>1</v>
      </c>
      <c r="R361">
        <v>1</v>
      </c>
      <c r="S361">
        <v>1</v>
      </c>
      <c r="T361" s="1">
        <f>SQRT(POWER(Dominus[[#This Row],[angvel_X]],2) + POWER(Dominus[[#This Row],[angvel_Y]],2) + POWER(Dominus[[#This Row],[angvel_Z]],2))</f>
        <v>2.047300004884482</v>
      </c>
      <c r="U361" s="1">
        <f>DEGREES(ASIN(MAX(-1,MIN(1,2 * (Dominus[[#This Row],[quart_W]]*Dominus[[#This Row],[quart_Y]] - Dominus[[#This Row],[quart_Z]]*Dominus[[#This Row],[quart_X]])))))</f>
        <v>0.96141483288547813</v>
      </c>
      <c r="V36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36.147526288948733</v>
      </c>
      <c r="W36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89.99880790979698</v>
      </c>
      <c r="X361" s="1">
        <f>IF(Dominus[[#This Row],[Yaw]]&gt;V360,(360-ABS(Dominus[[#This Row],[Yaw]])-ABS(V360)),ABS(Dominus[[#This Row],[Yaw]]-V360))</f>
        <v>0.97755741632636983</v>
      </c>
      <c r="Y361" s="1">
        <f>Dominus[[#This Row],[Degree change]]+Y360</f>
        <v>293.00499612873085</v>
      </c>
    </row>
    <row r="362" spans="1:25">
      <c r="A362">
        <v>361</v>
      </c>
      <c r="B362" s="1">
        <v>127.14999400000001</v>
      </c>
      <c r="C362" s="1">
        <v>813.20001200000002</v>
      </c>
      <c r="D362" s="1">
        <v>17.049999</v>
      </c>
      <c r="E362" s="1">
        <v>1436.9499510000001</v>
      </c>
      <c r="F362" s="1">
        <v>1795.849976</v>
      </c>
      <c r="G362" s="1">
        <v>8.0399999999999991</v>
      </c>
      <c r="H362" s="1">
        <v>-1E-4</v>
      </c>
      <c r="I362" s="1">
        <v>-1E-4</v>
      </c>
      <c r="J362" s="1">
        <v>2.0472999999999999</v>
      </c>
      <c r="K362" s="1">
        <v>-3.8549999999999999E-3</v>
      </c>
      <c r="L362" s="1">
        <v>7.4530000000000004E-3</v>
      </c>
      <c r="M362" s="1">
        <v>0.46041799999999999</v>
      </c>
      <c r="N362" s="1">
        <v>0.88766299999999998</v>
      </c>
      <c r="O362">
        <v>1</v>
      </c>
      <c r="P362">
        <v>0</v>
      </c>
      <c r="Q362">
        <v>1</v>
      </c>
      <c r="R362">
        <v>1</v>
      </c>
      <c r="S362">
        <v>1</v>
      </c>
      <c r="T362" s="1">
        <f>SQRT(POWER(Dominus[[#This Row],[angvel_X]],2) + POWER(Dominus[[#This Row],[angvel_Y]],2) + POWER(Dominus[[#This Row],[angvel_Z]],2))</f>
        <v>2.047300004884482</v>
      </c>
      <c r="U362" s="1">
        <f>DEGREES(ASIN(MAX(-1,MIN(1,2 * (Dominus[[#This Row],[quart_W]]*Dominus[[#This Row],[quart_Y]] - Dominus[[#This Row],[quart_Z]]*Dominus[[#This Row],[quart_X]])))))</f>
        <v>0.96154437212997179</v>
      </c>
      <c r="V36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35.169718474409166</v>
      </c>
      <c r="W36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89.998904982013357</v>
      </c>
      <c r="X362" s="1">
        <f>IF(Dominus[[#This Row],[Yaw]]&gt;V361,(360-ABS(Dominus[[#This Row],[Yaw]])-ABS(V361)),ABS(Dominus[[#This Row],[Yaw]]-V361))</f>
        <v>0.97780781453956678</v>
      </c>
      <c r="Y362" s="1">
        <f>Dominus[[#This Row],[Degree change]]+Y361</f>
        <v>293.98280394327043</v>
      </c>
    </row>
    <row r="363" spans="1:25">
      <c r="A363">
        <v>362</v>
      </c>
      <c r="B363" s="1">
        <v>139.16000399999999</v>
      </c>
      <c r="C363" s="1">
        <v>828.21997099999999</v>
      </c>
      <c r="D363" s="1">
        <v>17.049999</v>
      </c>
      <c r="E363" s="1">
        <v>1406.099976</v>
      </c>
      <c r="F363" s="1">
        <v>1820.1099850000001</v>
      </c>
      <c r="G363" s="1">
        <v>8.0399999999999991</v>
      </c>
      <c r="H363" s="1">
        <v>-1E-4</v>
      </c>
      <c r="I363" s="1">
        <v>-1E-4</v>
      </c>
      <c r="J363" s="1">
        <v>2.0472999999999999</v>
      </c>
      <c r="K363" s="1">
        <v>-3.9189999999999997E-3</v>
      </c>
      <c r="L363" s="1">
        <v>7.4209999999999996E-3</v>
      </c>
      <c r="M363" s="1">
        <v>0.46797100000000003</v>
      </c>
      <c r="N363" s="1">
        <v>0.88370400000000005</v>
      </c>
      <c r="O363">
        <v>1</v>
      </c>
      <c r="P363">
        <v>0</v>
      </c>
      <c r="Q363">
        <v>1</v>
      </c>
      <c r="R363">
        <v>1</v>
      </c>
      <c r="S363">
        <v>1</v>
      </c>
      <c r="T363" s="1">
        <f>SQRT(POWER(Dominus[[#This Row],[angvel_X]],2) + POWER(Dominus[[#This Row],[angvel_Y]],2) + POWER(Dominus[[#This Row],[angvel_Z]],2))</f>
        <v>2.047300004884482</v>
      </c>
      <c r="U363" s="1">
        <f>DEGREES(ASIN(MAX(-1,MIN(1,2 * (Dominus[[#This Row],[quart_W]]*Dominus[[#This Row],[quart_Y]] - Dominus[[#This Row],[quart_Z]]*Dominus[[#This Row],[quart_X]])))))</f>
        <v>0.96169129965997557</v>
      </c>
      <c r="V36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34.192512712171258</v>
      </c>
      <c r="W36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89.998902423234554</v>
      </c>
      <c r="X363" s="1">
        <f>IF(Dominus[[#This Row],[Yaw]]&gt;V362,(360-ABS(Dominus[[#This Row],[Yaw]])-ABS(V362)),ABS(Dominus[[#This Row],[Yaw]]-V362))</f>
        <v>0.977205762237908</v>
      </c>
      <c r="Y363" s="1">
        <f>Dominus[[#This Row],[Degree change]]+Y362</f>
        <v>294.96000970550836</v>
      </c>
    </row>
    <row r="364" spans="1:25">
      <c r="A364">
        <v>363</v>
      </c>
      <c r="B364" s="1">
        <v>150.91999799999999</v>
      </c>
      <c r="C364" s="1">
        <v>843.44000200000005</v>
      </c>
      <c r="D364" s="1">
        <v>17.049999</v>
      </c>
      <c r="E364" s="1">
        <v>1374.839966</v>
      </c>
      <c r="F364" s="1">
        <v>1843.829956</v>
      </c>
      <c r="G364" s="1">
        <v>8.0399999999999991</v>
      </c>
      <c r="H364" s="1">
        <v>-1E-4</v>
      </c>
      <c r="I364" s="1">
        <v>-1E-4</v>
      </c>
      <c r="J364" s="1">
        <v>2.0472999999999999</v>
      </c>
      <c r="K364" s="1">
        <v>-3.9839999999999997E-3</v>
      </c>
      <c r="L364" s="1">
        <v>7.3879999999999996E-3</v>
      </c>
      <c r="M364" s="1">
        <v>0.475491</v>
      </c>
      <c r="N364" s="1">
        <v>0.87968000000000002</v>
      </c>
      <c r="O364">
        <v>1</v>
      </c>
      <c r="P364">
        <v>0</v>
      </c>
      <c r="Q364">
        <v>1</v>
      </c>
      <c r="R364">
        <v>1</v>
      </c>
      <c r="S364">
        <v>1</v>
      </c>
      <c r="T364" s="1">
        <f>SQRT(POWER(Dominus[[#This Row],[angvel_X]],2) + POWER(Dominus[[#This Row],[angvel_Y]],2) + POWER(Dominus[[#This Row],[angvel_Z]],2))</f>
        <v>2.047300004884482</v>
      </c>
      <c r="U364" s="1">
        <f>DEGREES(ASIN(MAX(-1,MIN(1,2 * (Dominus[[#This Row],[quart_W]]*Dominus[[#This Row],[quart_Y]] - Dominus[[#This Row],[quart_Z]]*Dominus[[#This Row],[quart_X]])))))</f>
        <v>0.96186163547682546</v>
      </c>
      <c r="V36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33.215178572064758</v>
      </c>
      <c r="W36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89.999050774491721</v>
      </c>
      <c r="X364" s="1">
        <f>IF(Dominus[[#This Row],[Yaw]]&gt;V363,(360-ABS(Dominus[[#This Row],[Yaw]])-ABS(V363)),ABS(Dominus[[#This Row],[Yaw]]-V363))</f>
        <v>0.97733414010649966</v>
      </c>
      <c r="Y364" s="1">
        <f>Dominus[[#This Row],[Degree change]]+Y363</f>
        <v>295.93734384561486</v>
      </c>
    </row>
    <row r="365" spans="1:25">
      <c r="A365">
        <v>364</v>
      </c>
      <c r="B365" s="1">
        <v>162.41000399999999</v>
      </c>
      <c r="C365" s="1">
        <v>858.85998500000005</v>
      </c>
      <c r="D365" s="1">
        <v>17.049999</v>
      </c>
      <c r="E365" s="1">
        <v>1343.1899410000001</v>
      </c>
      <c r="F365" s="1">
        <v>1867.0198969999999</v>
      </c>
      <c r="G365" s="1">
        <v>8.0399999999999991</v>
      </c>
      <c r="H365" s="1">
        <v>-1E-4</v>
      </c>
      <c r="I365" s="1">
        <v>-1E-4</v>
      </c>
      <c r="J365" s="1">
        <v>2.0472999999999999</v>
      </c>
      <c r="K365" s="1">
        <v>-4.0489999999999996E-3</v>
      </c>
      <c r="L365" s="1">
        <v>7.3559999999999997E-3</v>
      </c>
      <c r="M365" s="1">
        <v>0.48297899999999999</v>
      </c>
      <c r="N365" s="1">
        <v>0.87559200000000004</v>
      </c>
      <c r="O365">
        <v>1</v>
      </c>
      <c r="P365">
        <v>0</v>
      </c>
      <c r="Q365">
        <v>1</v>
      </c>
      <c r="R365">
        <v>1</v>
      </c>
      <c r="S365">
        <v>1</v>
      </c>
      <c r="T365" s="1">
        <f>SQRT(POWER(Dominus[[#This Row],[angvel_X]],2) + POWER(Dominus[[#This Row],[angvel_Y]],2) + POWER(Dominus[[#This Row],[angvel_Z]],2))</f>
        <v>2.047300004884482</v>
      </c>
      <c r="U365" s="1">
        <f>DEGREES(ASIN(MAX(-1,MIN(1,2 * (Dominus[[#This Row],[quart_W]]*Dominus[[#This Row],[quart_Y]] - Dominus[[#This Row],[quart_Z]]*Dominus[[#This Row],[quart_X]])))))</f>
        <v>0.96220600174509596</v>
      </c>
      <c r="V36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32.237461573076203</v>
      </c>
      <c r="W36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89.999137976201169</v>
      </c>
      <c r="X365" s="1">
        <f>IF(Dominus[[#This Row],[Yaw]]&gt;V364,(360-ABS(Dominus[[#This Row],[Yaw]])-ABS(V364)),ABS(Dominus[[#This Row],[Yaw]]-V364))</f>
        <v>0.97771699898855502</v>
      </c>
      <c r="Y365" s="1">
        <f>Dominus[[#This Row],[Degree change]]+Y364</f>
        <v>296.91506084460343</v>
      </c>
    </row>
    <row r="366" spans="1:25">
      <c r="A366">
        <v>365</v>
      </c>
      <c r="B366" s="1">
        <v>173.63999899999999</v>
      </c>
      <c r="C366" s="1">
        <v>874.47997999999995</v>
      </c>
      <c r="D366" s="1">
        <v>17.049999</v>
      </c>
      <c r="E366" s="1">
        <v>1311.1400149999999</v>
      </c>
      <c r="F366" s="1">
        <v>1889.6599120000001</v>
      </c>
      <c r="G366" s="1">
        <v>8.0399999999999991</v>
      </c>
      <c r="H366" s="1">
        <v>0</v>
      </c>
      <c r="I366" s="1">
        <v>-1E-4</v>
      </c>
      <c r="J366" s="1">
        <v>2.0472999999999999</v>
      </c>
      <c r="K366" s="1">
        <v>-4.1139999999999996E-3</v>
      </c>
      <c r="L366" s="1">
        <v>7.3229999999999996E-3</v>
      </c>
      <c r="M366" s="1">
        <v>0.490429</v>
      </c>
      <c r="N366" s="1">
        <v>0.87143999999999999</v>
      </c>
      <c r="O366">
        <v>1</v>
      </c>
      <c r="P366">
        <v>0</v>
      </c>
      <c r="Q366">
        <v>1</v>
      </c>
      <c r="R366">
        <v>1</v>
      </c>
      <c r="S366">
        <v>1</v>
      </c>
      <c r="T366" s="1">
        <f>SQRT(POWER(Dominus[[#This Row],[angvel_X]],2) + POWER(Dominus[[#This Row],[angvel_Y]],2) + POWER(Dominus[[#This Row],[angvel_Z]],2))</f>
        <v>2.047300002442241</v>
      </c>
      <c r="U366" s="1">
        <f>DEGREES(ASIN(MAX(-1,MIN(1,2 * (Dominus[[#This Row],[quart_W]]*Dominus[[#This Row],[quart_Y]] - Dominus[[#This Row],[quart_Z]]*Dominus[[#This Row],[quart_X]])))))</f>
        <v>0.96252040546137885</v>
      </c>
      <c r="V36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31.260173782092995</v>
      </c>
      <c r="W36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89.999277122398553</v>
      </c>
      <c r="X366" s="1">
        <f>IF(Dominus[[#This Row],[Yaw]]&gt;V365,(360-ABS(Dominus[[#This Row],[Yaw]])-ABS(V365)),ABS(Dominus[[#This Row],[Yaw]]-V365))</f>
        <v>0.97728779098320828</v>
      </c>
      <c r="Y366" s="1">
        <f>Dominus[[#This Row],[Degree change]]+Y365</f>
        <v>297.89234863558664</v>
      </c>
    </row>
    <row r="367" spans="1:25">
      <c r="A367">
        <v>366</v>
      </c>
      <c r="B367" s="1">
        <v>184.59999099999999</v>
      </c>
      <c r="C367" s="1">
        <v>890.28997800000002</v>
      </c>
      <c r="D367" s="1">
        <v>17.049999</v>
      </c>
      <c r="E367" s="1">
        <v>1278.709961</v>
      </c>
      <c r="F367" s="1">
        <v>1911.75</v>
      </c>
      <c r="G367" s="1">
        <v>8.0399999999999991</v>
      </c>
      <c r="H367" s="1">
        <v>0</v>
      </c>
      <c r="I367" s="1">
        <v>-1E-4</v>
      </c>
      <c r="J367" s="1">
        <v>2.0472999999999999</v>
      </c>
      <c r="K367" s="1">
        <v>-4.1780000000000003E-3</v>
      </c>
      <c r="L367" s="1">
        <v>7.2859999999999999E-3</v>
      </c>
      <c r="M367" s="1">
        <v>0.49784699999999998</v>
      </c>
      <c r="N367" s="1">
        <v>0.86722399999999999</v>
      </c>
      <c r="O367">
        <v>1</v>
      </c>
      <c r="P367">
        <v>0</v>
      </c>
      <c r="Q367">
        <v>1</v>
      </c>
      <c r="R367">
        <v>1</v>
      </c>
      <c r="S367">
        <v>1</v>
      </c>
      <c r="T367" s="1">
        <f>SQRT(POWER(Dominus[[#This Row],[angvel_X]],2) + POWER(Dominus[[#This Row],[angvel_Y]],2) + POWER(Dominus[[#This Row],[angvel_Z]],2))</f>
        <v>2.047300002442241</v>
      </c>
      <c r="U367" s="1">
        <f>DEGREES(ASIN(MAX(-1,MIN(1,2 * (Dominus[[#This Row],[quart_W]]*Dominus[[#This Row],[quart_Y]] - Dominus[[#This Row],[quart_Z]]*Dominus[[#This Row],[quart_X]])))))</f>
        <v>0.96245379590752111</v>
      </c>
      <c r="V36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30.28236056241153</v>
      </c>
      <c r="W36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89.99953568168813</v>
      </c>
      <c r="X367" s="1">
        <f>IF(Dominus[[#This Row],[Yaw]]&gt;V366,(360-ABS(Dominus[[#This Row],[Yaw]])-ABS(V366)),ABS(Dominus[[#This Row],[Yaw]]-V366))</f>
        <v>0.97781321968146528</v>
      </c>
      <c r="Y367" s="1">
        <f>Dominus[[#This Row],[Degree change]]+Y366</f>
        <v>298.87016185526812</v>
      </c>
    </row>
    <row r="368" spans="1:25">
      <c r="A368">
        <v>367</v>
      </c>
      <c r="B368" s="1">
        <v>195.28999300000001</v>
      </c>
      <c r="C368" s="1">
        <v>906.27996800000005</v>
      </c>
      <c r="D368" s="1">
        <v>17.049999</v>
      </c>
      <c r="E368" s="1">
        <v>1245.9099120000001</v>
      </c>
      <c r="F368" s="1">
        <v>1933.2899170000001</v>
      </c>
      <c r="G368" s="1">
        <v>8.0399999999999991</v>
      </c>
      <c r="H368" s="1">
        <v>0</v>
      </c>
      <c r="I368" s="1">
        <v>-1E-4</v>
      </c>
      <c r="J368" s="1">
        <v>2.0472999999999999</v>
      </c>
      <c r="K368" s="1">
        <v>-4.2430000000000002E-3</v>
      </c>
      <c r="L368" s="1">
        <v>7.2480000000000001E-3</v>
      </c>
      <c r="M368" s="1">
        <v>0.50522699999999998</v>
      </c>
      <c r="N368" s="1">
        <v>0.86294499999999996</v>
      </c>
      <c r="O368">
        <v>1</v>
      </c>
      <c r="P368">
        <v>0</v>
      </c>
      <c r="Q368">
        <v>1</v>
      </c>
      <c r="R368">
        <v>1</v>
      </c>
      <c r="S368">
        <v>1</v>
      </c>
      <c r="T368" s="1">
        <f>SQRT(POWER(Dominus[[#This Row],[angvel_X]],2) + POWER(Dominus[[#This Row],[angvel_Y]],2) + POWER(Dominus[[#This Row],[angvel_Z]],2))</f>
        <v>2.047300002442241</v>
      </c>
      <c r="U368" s="1">
        <f>DEGREES(ASIN(MAX(-1,MIN(1,2 * (Dominus[[#This Row],[quart_W]]*Dominus[[#This Row],[quart_Y]] - Dominus[[#This Row],[quart_Z]]*Dominus[[#This Row],[quart_X]])))))</f>
        <v>0.96241995121407775</v>
      </c>
      <c r="V36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29.30480642093411</v>
      </c>
      <c r="W36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89.999953049683924</v>
      </c>
      <c r="X368" s="1">
        <f>IF(Dominus[[#This Row],[Yaw]]&gt;V367,(360-ABS(Dominus[[#This Row],[Yaw]])-ABS(V367)),ABS(Dominus[[#This Row],[Yaw]]-V367))</f>
        <v>0.97755414147741959</v>
      </c>
      <c r="Y368" s="1">
        <f>Dominus[[#This Row],[Degree change]]+Y367</f>
        <v>299.84771599674553</v>
      </c>
    </row>
    <row r="369" spans="1:25">
      <c r="A369">
        <v>368</v>
      </c>
      <c r="B369" s="1">
        <v>205.709991</v>
      </c>
      <c r="C369" s="1">
        <v>922.44995100000006</v>
      </c>
      <c r="D369" s="1">
        <v>17.049999</v>
      </c>
      <c r="E369" s="1">
        <v>1212.73999</v>
      </c>
      <c r="F369" s="1">
        <v>1954.2698969999999</v>
      </c>
      <c r="G369" s="1">
        <v>8.0399999999999991</v>
      </c>
      <c r="H369" s="1">
        <v>0</v>
      </c>
      <c r="I369" s="1">
        <v>0</v>
      </c>
      <c r="J369" s="1">
        <v>2.0472999999999999</v>
      </c>
      <c r="K369" s="1">
        <v>-4.3020000000000003E-3</v>
      </c>
      <c r="L369" s="1">
        <v>7.2100000000000003E-3</v>
      </c>
      <c r="M369" s="1">
        <v>0.51256999999999997</v>
      </c>
      <c r="N369" s="1">
        <v>0.85860499999999995</v>
      </c>
      <c r="O369">
        <v>1</v>
      </c>
      <c r="P369">
        <v>0</v>
      </c>
      <c r="Q369">
        <v>1</v>
      </c>
      <c r="R369">
        <v>1</v>
      </c>
      <c r="S369">
        <v>1</v>
      </c>
      <c r="T369" s="1">
        <f>SQRT(POWER(Dominus[[#This Row],[angvel_X]],2) + POWER(Dominus[[#This Row],[angvel_Y]],2) + POWER(Dominus[[#This Row],[angvel_Z]],2))</f>
        <v>2.0472999999999999</v>
      </c>
      <c r="U369" s="1">
        <f>DEGREES(ASIN(MAX(-1,MIN(1,2 * (Dominus[[#This Row],[quart_W]]*Dominus[[#This Row],[quart_Y]] - Dominus[[#This Row],[quart_Z]]*Dominus[[#This Row],[quart_X]])))))</f>
        <v>0.96211219154560257</v>
      </c>
      <c r="V36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28.327233526032447</v>
      </c>
      <c r="W36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89.999780985799433</v>
      </c>
      <c r="X369" s="1">
        <f>IF(Dominus[[#This Row],[Yaw]]&gt;V368,(360-ABS(Dominus[[#This Row],[Yaw]])-ABS(V368)),ABS(Dominus[[#This Row],[Yaw]]-V368))</f>
        <v>0.97757289490166244</v>
      </c>
      <c r="Y369" s="1">
        <f>Dominus[[#This Row],[Degree change]]+Y368</f>
        <v>300.82528889164718</v>
      </c>
    </row>
    <row r="370" spans="1:25">
      <c r="A370">
        <v>369</v>
      </c>
      <c r="B370" s="1">
        <v>215.84999099999999</v>
      </c>
      <c r="C370" s="1">
        <v>938.79998799999998</v>
      </c>
      <c r="D370" s="1">
        <v>17.049999</v>
      </c>
      <c r="E370" s="1">
        <v>1179.219971</v>
      </c>
      <c r="F370" s="1">
        <v>1974.669922</v>
      </c>
      <c r="G370" s="1">
        <v>8.0399999999999991</v>
      </c>
      <c r="H370" s="1">
        <v>0</v>
      </c>
      <c r="I370" s="1">
        <v>0</v>
      </c>
      <c r="J370" s="1">
        <v>2.0472999999999999</v>
      </c>
      <c r="K370" s="1">
        <v>-4.3620000000000004E-3</v>
      </c>
      <c r="L370" s="1">
        <v>7.1720000000000004E-3</v>
      </c>
      <c r="M370" s="1">
        <v>0.51987399999999995</v>
      </c>
      <c r="N370" s="1">
        <v>0.85420099999999999</v>
      </c>
      <c r="O370">
        <v>1</v>
      </c>
      <c r="P370">
        <v>0</v>
      </c>
      <c r="Q370">
        <v>1</v>
      </c>
      <c r="R370">
        <v>1</v>
      </c>
      <c r="S370">
        <v>1</v>
      </c>
      <c r="T370" s="1">
        <f>SQRT(POWER(Dominus[[#This Row],[angvel_X]],2) + POWER(Dominus[[#This Row],[angvel_Y]],2) + POWER(Dominus[[#This Row],[angvel_Z]],2))</f>
        <v>2.0472999999999999</v>
      </c>
      <c r="U370" s="1">
        <f>DEGREES(ASIN(MAX(-1,MIN(1,2 * (Dominus[[#This Row],[quart_W]]*Dominus[[#This Row],[quart_Y]] - Dominus[[#This Row],[quart_Z]]*Dominus[[#This Row],[quart_X]])))))</f>
        <v>0.96192902205939856</v>
      </c>
      <c r="V37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27.34995972197958</v>
      </c>
      <c r="W37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89.999712155170712</v>
      </c>
      <c r="X370" s="1">
        <f>IF(Dominus[[#This Row],[Yaw]]&gt;V369,(360-ABS(Dominus[[#This Row],[Yaw]])-ABS(V369)),ABS(Dominus[[#This Row],[Yaw]]-V369))</f>
        <v>0.97727380405286723</v>
      </c>
      <c r="Y370" s="1">
        <f>Dominus[[#This Row],[Degree change]]+Y369</f>
        <v>301.80256269570003</v>
      </c>
    </row>
    <row r="371" spans="1:25">
      <c r="A371">
        <v>370</v>
      </c>
      <c r="B371" s="1">
        <v>225.709991</v>
      </c>
      <c r="C371" s="1">
        <v>955.32000700000003</v>
      </c>
      <c r="D371" s="1">
        <v>17.049999</v>
      </c>
      <c r="E371" s="1">
        <v>1145.3599850000001</v>
      </c>
      <c r="F371" s="1">
        <v>1994.5</v>
      </c>
      <c r="G371" s="1">
        <v>8.0399999999999991</v>
      </c>
      <c r="H371" s="1">
        <v>0</v>
      </c>
      <c r="I371" s="1">
        <v>0</v>
      </c>
      <c r="J371" s="1">
        <v>2.0472999999999999</v>
      </c>
      <c r="K371" s="1">
        <v>-4.4209999999999996E-3</v>
      </c>
      <c r="L371" s="1">
        <v>7.1349999999999998E-3</v>
      </c>
      <c r="M371" s="1">
        <v>0.52714099999999997</v>
      </c>
      <c r="N371" s="1">
        <v>0.84973600000000005</v>
      </c>
      <c r="O371">
        <v>1</v>
      </c>
      <c r="P371">
        <v>0</v>
      </c>
      <c r="Q371">
        <v>1</v>
      </c>
      <c r="R371">
        <v>1</v>
      </c>
      <c r="S371">
        <v>1</v>
      </c>
      <c r="T371" s="1">
        <f>SQRT(POWER(Dominus[[#This Row],[angvel_X]],2) + POWER(Dominus[[#This Row],[angvel_Y]],2) + POWER(Dominus[[#This Row],[angvel_Z]],2))</f>
        <v>2.0472999999999999</v>
      </c>
      <c r="U371" s="1">
        <f>DEGREES(ASIN(MAX(-1,MIN(1,2 * (Dominus[[#This Row],[quart_W]]*Dominus[[#This Row],[quart_Y]] - Dominus[[#This Row],[quart_Z]]*Dominus[[#This Row],[quart_X]])))))</f>
        <v>0.96185300975688492</v>
      </c>
      <c r="V37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26.372528711770663</v>
      </c>
      <c r="W37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89.999487912245684</v>
      </c>
      <c r="X371" s="1">
        <f>IF(Dominus[[#This Row],[Yaw]]&gt;V370,(360-ABS(Dominus[[#This Row],[Yaw]])-ABS(V370)),ABS(Dominus[[#This Row],[Yaw]]-V370))</f>
        <v>0.97743101020891743</v>
      </c>
      <c r="Y371" s="1">
        <f>Dominus[[#This Row],[Degree change]]+Y370</f>
        <v>302.77999370590896</v>
      </c>
    </row>
    <row r="372" spans="1:25">
      <c r="A372">
        <v>371</v>
      </c>
      <c r="B372" s="1">
        <v>235.28999300000001</v>
      </c>
      <c r="C372" s="1">
        <v>972</v>
      </c>
      <c r="D372" s="1">
        <v>17.049999</v>
      </c>
      <c r="E372" s="1">
        <v>1111.169922</v>
      </c>
      <c r="F372" s="1">
        <v>2013.75</v>
      </c>
      <c r="G372" s="1">
        <v>8.0399999999999991</v>
      </c>
      <c r="H372" s="1">
        <v>0</v>
      </c>
      <c r="I372" s="1">
        <v>0</v>
      </c>
      <c r="J372" s="1">
        <v>2.0472999999999999</v>
      </c>
      <c r="K372" s="1">
        <v>-4.4799999999999996E-3</v>
      </c>
      <c r="L372" s="1">
        <v>7.097E-3</v>
      </c>
      <c r="M372" s="1">
        <v>0.53437000000000001</v>
      </c>
      <c r="N372" s="1">
        <v>0.84520899999999999</v>
      </c>
      <c r="O372">
        <v>1</v>
      </c>
      <c r="P372">
        <v>0</v>
      </c>
      <c r="Q372">
        <v>1</v>
      </c>
      <c r="R372">
        <v>1</v>
      </c>
      <c r="S372">
        <v>1</v>
      </c>
      <c r="T372" s="1">
        <f>SQRT(POWER(Dominus[[#This Row],[angvel_X]],2) + POWER(Dominus[[#This Row],[angvel_Y]],2) + POWER(Dominus[[#This Row],[angvel_Z]],2))</f>
        <v>2.0472999999999999</v>
      </c>
      <c r="U372" s="1">
        <f>DEGREES(ASIN(MAX(-1,MIN(1,2 * (Dominus[[#This Row],[quart_W]]*Dominus[[#This Row],[quart_Y]] - Dominus[[#This Row],[quart_Z]]*Dominus[[#This Row],[quart_X]])))))</f>
        <v>0.96174632740274668</v>
      </c>
      <c r="V37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25.395050029673794</v>
      </c>
      <c r="W37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89.999325239117496</v>
      </c>
      <c r="X372" s="1">
        <f>IF(Dominus[[#This Row],[Yaw]]&gt;V371,(360-ABS(Dominus[[#This Row],[Yaw]])-ABS(V371)),ABS(Dominus[[#This Row],[Yaw]]-V371))</f>
        <v>0.97747868209686928</v>
      </c>
      <c r="Y372" s="1">
        <f>Dominus[[#This Row],[Degree change]]+Y371</f>
        <v>303.75747238800585</v>
      </c>
    </row>
    <row r="373" spans="1:25">
      <c r="A373">
        <v>372</v>
      </c>
      <c r="B373" s="1">
        <v>244.58000200000001</v>
      </c>
      <c r="C373" s="1">
        <v>988.839966</v>
      </c>
      <c r="D373" s="1">
        <v>17.049999</v>
      </c>
      <c r="E373" s="1">
        <v>1076.660034</v>
      </c>
      <c r="F373" s="1">
        <v>2032.419922</v>
      </c>
      <c r="G373" s="1">
        <v>8.0399999999999991</v>
      </c>
      <c r="H373" s="1">
        <v>0</v>
      </c>
      <c r="I373" s="1">
        <v>0</v>
      </c>
      <c r="J373" s="1">
        <v>2.0472999999999999</v>
      </c>
      <c r="K373" s="1">
        <v>-4.5399999999999998E-3</v>
      </c>
      <c r="L373" s="1">
        <v>7.0590000000000002E-3</v>
      </c>
      <c r="M373" s="1">
        <v>0.54156099999999996</v>
      </c>
      <c r="N373" s="1">
        <v>0.84061900000000001</v>
      </c>
      <c r="O373">
        <v>1</v>
      </c>
      <c r="P373">
        <v>0</v>
      </c>
      <c r="Q373">
        <v>1</v>
      </c>
      <c r="R373">
        <v>1</v>
      </c>
      <c r="S373">
        <v>1</v>
      </c>
      <c r="T373" s="1">
        <f>SQRT(POWER(Dominus[[#This Row],[angvel_X]],2) + POWER(Dominus[[#This Row],[angvel_Y]],2) + POWER(Dominus[[#This Row],[angvel_Z]],2))</f>
        <v>2.0472999999999999</v>
      </c>
      <c r="U373" s="1">
        <f>DEGREES(ASIN(MAX(-1,MIN(1,2 * (Dominus[[#This Row],[quart_W]]*Dominus[[#This Row],[quart_Y]] - Dominus[[#This Row],[quart_Z]]*Dominus[[#This Row],[quart_X]])))))</f>
        <v>0.96176817025599193</v>
      </c>
      <c r="V37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24.417475485060809</v>
      </c>
      <c r="W37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89.999258621206906</v>
      </c>
      <c r="X373" s="1">
        <f>IF(Dominus[[#This Row],[Yaw]]&gt;V372,(360-ABS(Dominus[[#This Row],[Yaw]])-ABS(V372)),ABS(Dominus[[#This Row],[Yaw]]-V372))</f>
        <v>0.97757454461298465</v>
      </c>
      <c r="Y373" s="1">
        <f>Dominus[[#This Row],[Degree change]]+Y372</f>
        <v>304.73504693261884</v>
      </c>
    </row>
    <row r="374" spans="1:25">
      <c r="A374">
        <v>373</v>
      </c>
      <c r="B374" s="1">
        <v>253.58000200000001</v>
      </c>
      <c r="C374" s="1">
        <v>1005.839966</v>
      </c>
      <c r="D374" s="1">
        <v>17.049999</v>
      </c>
      <c r="E374" s="1">
        <v>1041.829956</v>
      </c>
      <c r="F374" s="1">
        <v>2050.48999</v>
      </c>
      <c r="G374" s="1">
        <v>8.0399999999999991</v>
      </c>
      <c r="H374" s="1">
        <v>0</v>
      </c>
      <c r="I374" s="1">
        <v>0</v>
      </c>
      <c r="J374" s="1">
        <v>2.0472999999999999</v>
      </c>
      <c r="K374" s="1">
        <v>-4.5989999999999998E-3</v>
      </c>
      <c r="L374" s="1">
        <v>7.0210000000000003E-3</v>
      </c>
      <c r="M374" s="1">
        <v>0.54871499999999995</v>
      </c>
      <c r="N374" s="1">
        <v>0.83596700000000002</v>
      </c>
      <c r="O374">
        <v>1</v>
      </c>
      <c r="P374">
        <v>0</v>
      </c>
      <c r="Q374">
        <v>1</v>
      </c>
      <c r="R374">
        <v>1</v>
      </c>
      <c r="S374">
        <v>1</v>
      </c>
      <c r="T374" s="1">
        <f>SQRT(POWER(Dominus[[#This Row],[angvel_X]],2) + POWER(Dominus[[#This Row],[angvel_Y]],2) + POWER(Dominus[[#This Row],[angvel_Z]],2))</f>
        <v>2.0472999999999999</v>
      </c>
      <c r="U374" s="1">
        <f>DEGREES(ASIN(MAX(-1,MIN(1,2 * (Dominus[[#This Row],[quart_W]]*Dominus[[#This Row],[quart_Y]] - Dominus[[#This Row],[quart_Z]]*Dominus[[#This Row],[quart_X]])))))</f>
        <v>0.96179660798060518</v>
      </c>
      <c r="V37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23.439549328469475</v>
      </c>
      <c r="W37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89.999092790382576</v>
      </c>
      <c r="X374" s="1">
        <f>IF(Dominus[[#This Row],[Yaw]]&gt;V373,(360-ABS(Dominus[[#This Row],[Yaw]])-ABS(V373)),ABS(Dominus[[#This Row],[Yaw]]-V373))</f>
        <v>0.97792615659133375</v>
      </c>
      <c r="Y374" s="1">
        <f>Dominus[[#This Row],[Degree change]]+Y373</f>
        <v>305.71297308921015</v>
      </c>
    </row>
    <row r="375" spans="1:25">
      <c r="A375">
        <v>374</v>
      </c>
      <c r="B375" s="1">
        <v>262.290009</v>
      </c>
      <c r="C375" s="1">
        <v>1022.98999</v>
      </c>
      <c r="D375" s="1">
        <v>17.049999</v>
      </c>
      <c r="E375" s="1">
        <v>1006.690002</v>
      </c>
      <c r="F375" s="1">
        <v>2067.959961</v>
      </c>
      <c r="G375" s="1">
        <v>8.0399999999999991</v>
      </c>
      <c r="H375" s="1">
        <v>0</v>
      </c>
      <c r="I375" s="1">
        <v>0</v>
      </c>
      <c r="J375" s="1">
        <v>2.0472999999999999</v>
      </c>
      <c r="K375" s="1">
        <v>-4.6579999999999998E-3</v>
      </c>
      <c r="L375" s="1">
        <v>6.9839999999999998E-3</v>
      </c>
      <c r="M375" s="1">
        <v>0.55582500000000001</v>
      </c>
      <c r="N375" s="1">
        <v>0.83125700000000002</v>
      </c>
      <c r="O375">
        <v>1</v>
      </c>
      <c r="P375">
        <v>0</v>
      </c>
      <c r="Q375">
        <v>1</v>
      </c>
      <c r="R375">
        <v>1</v>
      </c>
      <c r="S375">
        <v>1</v>
      </c>
      <c r="T375" s="1">
        <f>SQRT(POWER(Dominus[[#This Row],[angvel_X]],2) + POWER(Dominus[[#This Row],[angvel_Y]],2) + POWER(Dominus[[#This Row],[angvel_Z]],2))</f>
        <v>2.0472999999999999</v>
      </c>
      <c r="U375" s="1">
        <f>DEGREES(ASIN(MAX(-1,MIN(1,2 * (Dominus[[#This Row],[quart_W]]*Dominus[[#This Row],[quart_Y]] - Dominus[[#This Row],[quart_Z]]*Dominus[[#This Row],[quart_X]])))))</f>
        <v>0.96198767576481026</v>
      </c>
      <c r="V37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22.462173932659766</v>
      </c>
      <c r="W37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89.998866908615881</v>
      </c>
      <c r="X375" s="1">
        <f>IF(Dominus[[#This Row],[Yaw]]&gt;V374,(360-ABS(Dominus[[#This Row],[Yaw]])-ABS(V374)),ABS(Dominus[[#This Row],[Yaw]]-V374))</f>
        <v>0.97737539580970889</v>
      </c>
      <c r="Y375" s="1">
        <f>Dominus[[#This Row],[Degree change]]+Y374</f>
        <v>306.69034848501985</v>
      </c>
    </row>
    <row r="376" spans="1:25">
      <c r="A376">
        <v>375</v>
      </c>
      <c r="B376" s="1">
        <v>270.709991</v>
      </c>
      <c r="C376" s="1">
        <v>1040.2899170000001</v>
      </c>
      <c r="D376" s="1">
        <v>17.049999</v>
      </c>
      <c r="E376" s="1">
        <v>971.25994900000001</v>
      </c>
      <c r="F376" s="1">
        <v>2084.8398440000001</v>
      </c>
      <c r="G376" s="1">
        <v>8.0399999999999991</v>
      </c>
      <c r="H376" s="1">
        <v>0</v>
      </c>
      <c r="I376" s="1">
        <v>-1E-4</v>
      </c>
      <c r="J376" s="1">
        <v>2.0472999999999999</v>
      </c>
      <c r="K376" s="1">
        <v>-4.718E-3</v>
      </c>
      <c r="L376" s="1">
        <v>6.9459999999999999E-3</v>
      </c>
      <c r="M376" s="1">
        <v>0.56289800000000001</v>
      </c>
      <c r="N376" s="1">
        <v>0.826484</v>
      </c>
      <c r="O376">
        <v>1</v>
      </c>
      <c r="P376">
        <v>0</v>
      </c>
      <c r="Q376">
        <v>1</v>
      </c>
      <c r="R376">
        <v>1</v>
      </c>
      <c r="S376">
        <v>1</v>
      </c>
      <c r="T376" s="1">
        <f>SQRT(POWER(Dominus[[#This Row],[angvel_X]],2) + POWER(Dominus[[#This Row],[angvel_Y]],2) + POWER(Dominus[[#This Row],[angvel_Z]],2))</f>
        <v>2.047300002442241</v>
      </c>
      <c r="U376" s="1">
        <f>DEGREES(ASIN(MAX(-1,MIN(1,2 * (Dominus[[#This Row],[quart_W]]*Dominus[[#This Row],[quart_Y]] - Dominus[[#This Row],[quart_Z]]*Dominus[[#This Row],[quart_X]])))))</f>
        <v>0.96221447182864517</v>
      </c>
      <c r="V37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21.484328529877107</v>
      </c>
      <c r="W37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89.998792264303233</v>
      </c>
      <c r="X376" s="1">
        <f>IF(Dominus[[#This Row],[Yaw]]&gt;V375,(360-ABS(Dominus[[#This Row],[Yaw]])-ABS(V375)),ABS(Dominus[[#This Row],[Yaw]]-V375))</f>
        <v>0.97784540278265908</v>
      </c>
      <c r="Y376" s="1">
        <f>Dominus[[#This Row],[Degree change]]+Y375</f>
        <v>307.66819388780249</v>
      </c>
    </row>
    <row r="377" spans="1:25">
      <c r="A377">
        <v>376</v>
      </c>
      <c r="B377" s="1">
        <v>278.82998700000002</v>
      </c>
      <c r="C377" s="1">
        <v>1057.7299800000001</v>
      </c>
      <c r="D377" s="1">
        <v>17.049999</v>
      </c>
      <c r="E377" s="1">
        <v>935.54998799999998</v>
      </c>
      <c r="F377" s="1">
        <v>2101.1098630000001</v>
      </c>
      <c r="G377" s="1">
        <v>8.0399999999999991</v>
      </c>
      <c r="H377" s="1">
        <v>0</v>
      </c>
      <c r="I377" s="1">
        <v>-1E-4</v>
      </c>
      <c r="J377" s="1">
        <v>2.0472999999999999</v>
      </c>
      <c r="K377" s="1">
        <v>-4.777E-3</v>
      </c>
      <c r="L377" s="1">
        <v>6.9030000000000003E-3</v>
      </c>
      <c r="M377" s="1">
        <v>0.56992699999999996</v>
      </c>
      <c r="N377" s="1">
        <v>0.82165200000000005</v>
      </c>
      <c r="O377">
        <v>1</v>
      </c>
      <c r="P377">
        <v>0</v>
      </c>
      <c r="Q377">
        <v>1</v>
      </c>
      <c r="R377">
        <v>1</v>
      </c>
      <c r="S377">
        <v>1</v>
      </c>
      <c r="T377" s="1">
        <f>SQRT(POWER(Dominus[[#This Row],[angvel_X]],2) + POWER(Dominus[[#This Row],[angvel_Y]],2) + POWER(Dominus[[#This Row],[angvel_Z]],2))</f>
        <v>2.047300002442241</v>
      </c>
      <c r="U377" s="1">
        <f>DEGREES(ASIN(MAX(-1,MIN(1,2 * (Dominus[[#This Row],[quart_W]]*Dominus[[#This Row],[quart_Y]] - Dominus[[#This Row],[quart_Z]]*Dominus[[#This Row],[quart_X]])))))</f>
        <v>0.96197315462383737</v>
      </c>
      <c r="V37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20.506929888546491</v>
      </c>
      <c r="W37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89.998948534181466</v>
      </c>
      <c r="X377" s="1">
        <f>IF(Dominus[[#This Row],[Yaw]]&gt;V376,(360-ABS(Dominus[[#This Row],[Yaw]])-ABS(V376)),ABS(Dominus[[#This Row],[Yaw]]-V376))</f>
        <v>0.97739864133061616</v>
      </c>
      <c r="Y377" s="1">
        <f>Dominus[[#This Row],[Degree change]]+Y376</f>
        <v>308.64559252913313</v>
      </c>
    </row>
    <row r="378" spans="1:25">
      <c r="A378">
        <v>377</v>
      </c>
      <c r="B378" s="1">
        <v>286.64999399999999</v>
      </c>
      <c r="C378" s="1">
        <v>1075.299927</v>
      </c>
      <c r="D378" s="1">
        <v>17.049999</v>
      </c>
      <c r="E378" s="1">
        <v>899.57000700000003</v>
      </c>
      <c r="F378" s="1">
        <v>2116.76001</v>
      </c>
      <c r="G378" s="1">
        <v>8.0399999999999991</v>
      </c>
      <c r="H378" s="1">
        <v>0</v>
      </c>
      <c r="I378" s="1">
        <v>-1E-4</v>
      </c>
      <c r="J378" s="1">
        <v>2.0472999999999999</v>
      </c>
      <c r="K378" s="1">
        <v>-4.836E-3</v>
      </c>
      <c r="L378" s="1">
        <v>6.8599999999999998E-3</v>
      </c>
      <c r="M378" s="1">
        <v>0.57691400000000004</v>
      </c>
      <c r="N378" s="1">
        <v>0.81676199999999999</v>
      </c>
      <c r="O378">
        <v>1</v>
      </c>
      <c r="P378">
        <v>0</v>
      </c>
      <c r="Q378">
        <v>1</v>
      </c>
      <c r="R378">
        <v>1</v>
      </c>
      <c r="S378">
        <v>1</v>
      </c>
      <c r="T378" s="1">
        <f>SQRT(POWER(Dominus[[#This Row],[angvel_X]],2) + POWER(Dominus[[#This Row],[angvel_Y]],2) + POWER(Dominus[[#This Row],[angvel_Z]],2))</f>
        <v>2.047300002442241</v>
      </c>
      <c r="U378" s="1">
        <f>DEGREES(ASIN(MAX(-1,MIN(1,2 * (Dominus[[#This Row],[quart_W]]*Dominus[[#This Row],[quart_Y]] - Dominus[[#This Row],[quart_Z]]*Dominus[[#This Row],[quart_X]])))))</f>
        <v>0.96180564273530711</v>
      </c>
      <c r="V37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19.529573888856611</v>
      </c>
      <c r="W37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89.999109611811818</v>
      </c>
      <c r="X378" s="1">
        <f>IF(Dominus[[#This Row],[Yaw]]&gt;V377,(360-ABS(Dominus[[#This Row],[Yaw]])-ABS(V377)),ABS(Dominus[[#This Row],[Yaw]]-V377))</f>
        <v>0.97735599968988041</v>
      </c>
      <c r="Y378" s="1">
        <f>Dominus[[#This Row],[Degree change]]+Y377</f>
        <v>309.62294852882303</v>
      </c>
    </row>
    <row r="379" spans="1:25">
      <c r="A379">
        <v>378</v>
      </c>
      <c r="B379" s="1">
        <v>294.169983</v>
      </c>
      <c r="C379" s="1">
        <v>1093</v>
      </c>
      <c r="D379" s="1">
        <v>17.049999</v>
      </c>
      <c r="E379" s="1">
        <v>863.32995600000004</v>
      </c>
      <c r="F379" s="1">
        <v>2131.8000489999999</v>
      </c>
      <c r="G379" s="1">
        <v>8.0399999999999991</v>
      </c>
      <c r="H379" s="1">
        <v>0</v>
      </c>
      <c r="I379" s="1">
        <v>-1E-4</v>
      </c>
      <c r="J379" s="1">
        <v>2.0472999999999999</v>
      </c>
      <c r="K379" s="1">
        <v>-4.8960000000000002E-3</v>
      </c>
      <c r="L379" s="1">
        <v>6.816E-3</v>
      </c>
      <c r="M379" s="1">
        <v>0.58386199999999999</v>
      </c>
      <c r="N379" s="1">
        <v>0.811809</v>
      </c>
      <c r="O379">
        <v>1</v>
      </c>
      <c r="P379">
        <v>0</v>
      </c>
      <c r="Q379">
        <v>1</v>
      </c>
      <c r="R379">
        <v>1</v>
      </c>
      <c r="S379">
        <v>1</v>
      </c>
      <c r="T379" s="1">
        <f>SQRT(POWER(Dominus[[#This Row],[angvel_X]],2) + POWER(Dominus[[#This Row],[angvel_Y]],2) + POWER(Dominus[[#This Row],[angvel_Z]],2))</f>
        <v>2.047300002442241</v>
      </c>
      <c r="U379" s="1">
        <f>DEGREES(ASIN(MAX(-1,MIN(1,2 * (Dominus[[#This Row],[quart_W]]*Dominus[[#This Row],[quart_Y]] - Dominus[[#This Row],[quart_Z]]*Dominus[[#This Row],[quart_X]])))))</f>
        <v>0.96168359378188439</v>
      </c>
      <c r="V37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18.551832263278556</v>
      </c>
      <c r="W37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89.999428505483181</v>
      </c>
      <c r="X379" s="1">
        <f>IF(Dominus[[#This Row],[Yaw]]&gt;V378,(360-ABS(Dominus[[#This Row],[Yaw]])-ABS(V378)),ABS(Dominus[[#This Row],[Yaw]]-V378))</f>
        <v>0.97774162557805511</v>
      </c>
      <c r="Y379" s="1">
        <f>Dominus[[#This Row],[Degree change]]+Y378</f>
        <v>310.60069015440109</v>
      </c>
    </row>
    <row r="380" spans="1:25">
      <c r="A380">
        <v>379</v>
      </c>
      <c r="B380" s="1">
        <v>301.38998400000003</v>
      </c>
      <c r="C380" s="1">
        <v>1110.829956</v>
      </c>
      <c r="D380" s="1">
        <v>17.049999</v>
      </c>
      <c r="E380" s="1">
        <v>826.82995600000004</v>
      </c>
      <c r="F380" s="1">
        <v>2146.219971</v>
      </c>
      <c r="G380" s="1">
        <v>8.0399999999999991</v>
      </c>
      <c r="H380" s="1">
        <v>0</v>
      </c>
      <c r="I380" s="1">
        <v>-1E-4</v>
      </c>
      <c r="J380" s="1">
        <v>2.0472999999999999</v>
      </c>
      <c r="K380" s="1">
        <v>-4.9550000000000002E-3</v>
      </c>
      <c r="L380" s="1">
        <v>6.7730000000000004E-3</v>
      </c>
      <c r="M380" s="1">
        <v>0.59076799999999996</v>
      </c>
      <c r="N380" s="1">
        <v>0.80679800000000002</v>
      </c>
      <c r="O380">
        <v>1</v>
      </c>
      <c r="P380">
        <v>0</v>
      </c>
      <c r="Q380">
        <v>1</v>
      </c>
      <c r="R380">
        <v>1</v>
      </c>
      <c r="S380">
        <v>1</v>
      </c>
      <c r="T380" s="1">
        <f>SQRT(POWER(Dominus[[#This Row],[angvel_X]],2) + POWER(Dominus[[#This Row],[angvel_Y]],2) + POWER(Dominus[[#This Row],[angvel_Z]],2))</f>
        <v>2.047300002442241</v>
      </c>
      <c r="U380" s="1">
        <f>DEGREES(ASIN(MAX(-1,MIN(1,2 * (Dominus[[#This Row],[quart_W]]*Dominus[[#This Row],[quart_Y]] - Dominus[[#This Row],[quart_Z]]*Dominus[[#This Row],[quart_X]])))))</f>
        <v>0.96166294124476959</v>
      </c>
      <c r="V38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17.573984944905046</v>
      </c>
      <c r="W38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89.999588836389378</v>
      </c>
      <c r="X380" s="1">
        <f>IF(Dominus[[#This Row],[Yaw]]&gt;V379,(360-ABS(Dominus[[#This Row],[Yaw]])-ABS(V379)),ABS(Dominus[[#This Row],[Yaw]]-V379))</f>
        <v>0.97784731837350947</v>
      </c>
      <c r="Y380" s="1">
        <f>Dominus[[#This Row],[Degree change]]+Y379</f>
        <v>311.5785374727746</v>
      </c>
    </row>
    <row r="381" spans="1:25">
      <c r="A381">
        <v>380</v>
      </c>
      <c r="B381" s="1">
        <v>308.29998799999998</v>
      </c>
      <c r="C381" s="1">
        <v>1128.780029</v>
      </c>
      <c r="D381" s="1">
        <v>17.049999</v>
      </c>
      <c r="E381" s="1">
        <v>790.089966</v>
      </c>
      <c r="F381" s="1">
        <v>2160.01001</v>
      </c>
      <c r="G381" s="1">
        <v>8.0399999999999991</v>
      </c>
      <c r="H381" s="1">
        <v>0</v>
      </c>
      <c r="I381" s="1">
        <v>-1E-4</v>
      </c>
      <c r="J381" s="1">
        <v>2.0472999999999999</v>
      </c>
      <c r="K381" s="1">
        <v>-5.0140000000000002E-3</v>
      </c>
      <c r="L381" s="1">
        <v>6.7299999999999999E-3</v>
      </c>
      <c r="M381" s="1">
        <v>0.59762999999999999</v>
      </c>
      <c r="N381" s="1">
        <v>0.801728</v>
      </c>
      <c r="O381">
        <v>1</v>
      </c>
      <c r="P381">
        <v>0</v>
      </c>
      <c r="Q381">
        <v>1</v>
      </c>
      <c r="R381">
        <v>1</v>
      </c>
      <c r="S381">
        <v>1</v>
      </c>
      <c r="T381" s="1">
        <f>SQRT(POWER(Dominus[[#This Row],[angvel_X]],2) + POWER(Dominus[[#This Row],[angvel_Y]],2) + POWER(Dominus[[#This Row],[angvel_Z]],2))</f>
        <v>2.047300002442241</v>
      </c>
      <c r="U381" s="1">
        <f>DEGREES(ASIN(MAX(-1,MIN(1,2 * (Dominus[[#This Row],[quart_W]]*Dominus[[#This Row],[quart_Y]] - Dominus[[#This Row],[quart_Z]]*Dominus[[#This Row],[quart_X]])))))</f>
        <v>0.96171428159883254</v>
      </c>
      <c r="V38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16.596298083071574</v>
      </c>
      <c r="W38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89.999749501025875</v>
      </c>
      <c r="X381" s="1">
        <f>IF(Dominus[[#This Row],[Yaw]]&gt;V380,(360-ABS(Dominus[[#This Row],[Yaw]])-ABS(V380)),ABS(Dominus[[#This Row],[Yaw]]-V380))</f>
        <v>0.97768686183347242</v>
      </c>
      <c r="Y381" s="1">
        <f>Dominus[[#This Row],[Degree change]]+Y380</f>
        <v>312.55622433460809</v>
      </c>
    </row>
    <row r="382" spans="1:25">
      <c r="A382">
        <v>381</v>
      </c>
      <c r="B382" s="1">
        <v>314.89999399999999</v>
      </c>
      <c r="C382" s="1">
        <v>1146.849976</v>
      </c>
      <c r="D382" s="1">
        <v>17.049999</v>
      </c>
      <c r="E382" s="1">
        <v>753.11999500000002</v>
      </c>
      <c r="F382" s="1">
        <v>2173.179932</v>
      </c>
      <c r="G382" s="1">
        <v>8.0399999999999991</v>
      </c>
      <c r="H382" s="1">
        <v>0</v>
      </c>
      <c r="I382" s="1">
        <v>0</v>
      </c>
      <c r="J382" s="1">
        <v>2.0472999999999999</v>
      </c>
      <c r="K382" s="1">
        <v>-5.0740000000000004E-3</v>
      </c>
      <c r="L382" s="1">
        <v>6.6870000000000002E-3</v>
      </c>
      <c r="M382" s="1">
        <v>0.60444900000000001</v>
      </c>
      <c r="N382" s="1">
        <v>0.79659999999999997</v>
      </c>
      <c r="O382">
        <v>1</v>
      </c>
      <c r="P382">
        <v>0</v>
      </c>
      <c r="Q382">
        <v>1</v>
      </c>
      <c r="R382">
        <v>1</v>
      </c>
      <c r="S382">
        <v>1</v>
      </c>
      <c r="T382" s="1">
        <f>SQRT(POWER(Dominus[[#This Row],[angvel_X]],2) + POWER(Dominus[[#This Row],[angvel_Y]],2) + POWER(Dominus[[#This Row],[angvel_Z]],2))</f>
        <v>2.0472999999999999</v>
      </c>
      <c r="U382" s="1">
        <f>DEGREES(ASIN(MAX(-1,MIN(1,2 * (Dominus[[#This Row],[quart_W]]*Dominus[[#This Row],[quart_Y]] - Dominus[[#This Row],[quart_Z]]*Dominus[[#This Row],[quart_X]])))))</f>
        <v>0.96190821686332895</v>
      </c>
      <c r="V38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15.61852394431126</v>
      </c>
      <c r="W38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89.99999976356429</v>
      </c>
      <c r="X382" s="1">
        <f>IF(Dominus[[#This Row],[Yaw]]&gt;V381,(360-ABS(Dominus[[#This Row],[Yaw]])-ABS(V381)),ABS(Dominus[[#This Row],[Yaw]]-V381))</f>
        <v>0.9777741387603136</v>
      </c>
      <c r="Y382" s="1">
        <f>Dominus[[#This Row],[Degree change]]+Y381</f>
        <v>313.5339984733684</v>
      </c>
    </row>
    <row r="383" spans="1:25">
      <c r="A383">
        <v>382</v>
      </c>
      <c r="B383" s="1">
        <v>321.19000199999999</v>
      </c>
      <c r="C383" s="1">
        <v>1165.030029</v>
      </c>
      <c r="D383" s="1">
        <v>17.049999</v>
      </c>
      <c r="E383" s="1">
        <v>715.92999299999997</v>
      </c>
      <c r="F383" s="1">
        <v>2185.719971</v>
      </c>
      <c r="G383" s="1">
        <v>8.0399999999999991</v>
      </c>
      <c r="H383" s="1">
        <v>0</v>
      </c>
      <c r="I383" s="1">
        <v>0</v>
      </c>
      <c r="J383" s="1">
        <v>2.0472999999999999</v>
      </c>
      <c r="K383" s="1">
        <v>-5.1330000000000004E-3</v>
      </c>
      <c r="L383" s="1">
        <v>6.6439999999999997E-3</v>
      </c>
      <c r="M383" s="1">
        <v>0.61122500000000002</v>
      </c>
      <c r="N383" s="1">
        <v>0.79141300000000003</v>
      </c>
      <c r="O383">
        <v>1</v>
      </c>
      <c r="P383">
        <v>0</v>
      </c>
      <c r="Q383">
        <v>1</v>
      </c>
      <c r="R383">
        <v>1</v>
      </c>
      <c r="S383">
        <v>1</v>
      </c>
      <c r="T383" s="1">
        <f>SQRT(POWER(Dominus[[#This Row],[angvel_X]],2) + POWER(Dominus[[#This Row],[angvel_Y]],2) + POWER(Dominus[[#This Row],[angvel_Z]],2))</f>
        <v>2.0472999999999999</v>
      </c>
      <c r="U383" s="1">
        <f>DEGREES(ASIN(MAX(-1,MIN(1,2 * (Dominus[[#This Row],[quart_W]]*Dominus[[#This Row],[quart_Y]] - Dominus[[#This Row],[quart_Z]]*Dominus[[#This Row],[quart_X]])))))</f>
        <v>0.96210619836427635</v>
      </c>
      <c r="V38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14.640608033002245</v>
      </c>
      <c r="W38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90.000154036094628</v>
      </c>
      <c r="X383" s="1">
        <f>IF(Dominus[[#This Row],[Yaw]]&gt;V382,(360-ABS(Dominus[[#This Row],[Yaw]])-ABS(V382)),ABS(Dominus[[#This Row],[Yaw]]-V382))</f>
        <v>0.97791591130901523</v>
      </c>
      <c r="Y383" s="1">
        <f>Dominus[[#This Row],[Degree change]]+Y382</f>
        <v>314.51191438467743</v>
      </c>
    </row>
    <row r="384" spans="1:25">
      <c r="A384">
        <v>383</v>
      </c>
      <c r="B384" s="1">
        <v>327.169983</v>
      </c>
      <c r="C384" s="1">
        <v>1183.309937</v>
      </c>
      <c r="D384" s="1">
        <v>17.049999</v>
      </c>
      <c r="E384" s="1">
        <v>678.52996800000005</v>
      </c>
      <c r="F384" s="1">
        <v>2197.6098630000001</v>
      </c>
      <c r="G384" s="1">
        <v>8.0399999999999991</v>
      </c>
      <c r="H384" s="1">
        <v>0</v>
      </c>
      <c r="I384" s="1">
        <v>0</v>
      </c>
      <c r="J384" s="1">
        <v>2.0472999999999999</v>
      </c>
      <c r="K384" s="1">
        <v>-5.1869999999999998E-3</v>
      </c>
      <c r="L384" s="1">
        <v>6.6010000000000001E-3</v>
      </c>
      <c r="M384" s="1">
        <v>0.61795199999999995</v>
      </c>
      <c r="N384" s="1">
        <v>0.78617099999999995</v>
      </c>
      <c r="O384">
        <v>1</v>
      </c>
      <c r="P384">
        <v>0</v>
      </c>
      <c r="Q384">
        <v>1</v>
      </c>
      <c r="R384">
        <v>1</v>
      </c>
      <c r="S384">
        <v>1</v>
      </c>
      <c r="T384" s="1">
        <f>SQRT(POWER(Dominus[[#This Row],[angvel_X]],2) + POWER(Dominus[[#This Row],[angvel_Y]],2) + POWER(Dominus[[#This Row],[angvel_Z]],2))</f>
        <v>2.0472999999999999</v>
      </c>
      <c r="U384" s="1">
        <f>DEGREES(ASIN(MAX(-1,MIN(1,2 * (Dominus[[#This Row],[quart_W]]*Dominus[[#This Row],[quart_Y]] - Dominus[[#This Row],[quart_Z]]*Dominus[[#This Row],[quart_X]])))))</f>
        <v>0.96202206461138939</v>
      </c>
      <c r="V38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13.6633599599961</v>
      </c>
      <c r="W38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89.99985878324037</v>
      </c>
      <c r="X384" s="1">
        <f>IF(Dominus[[#This Row],[Yaw]]&gt;V383,(360-ABS(Dominus[[#This Row],[Yaw]])-ABS(V383)),ABS(Dominus[[#This Row],[Yaw]]-V383))</f>
        <v>0.97724807300614458</v>
      </c>
      <c r="Y384" s="1">
        <f>Dominus[[#This Row],[Degree change]]+Y383</f>
        <v>315.48916245768356</v>
      </c>
    </row>
    <row r="385" spans="1:25">
      <c r="A385">
        <v>384</v>
      </c>
      <c r="B385" s="1">
        <v>332.83999599999999</v>
      </c>
      <c r="C385" s="1">
        <v>1201.6899410000001</v>
      </c>
      <c r="D385" s="1">
        <v>17.049999</v>
      </c>
      <c r="E385" s="1">
        <v>640.94000200000005</v>
      </c>
      <c r="F385" s="1">
        <v>2208.8698730000001</v>
      </c>
      <c r="G385" s="1">
        <v>8.0399999999999991</v>
      </c>
      <c r="H385" s="1">
        <v>0</v>
      </c>
      <c r="I385" s="1">
        <v>0</v>
      </c>
      <c r="J385" s="1">
        <v>2.0472999999999999</v>
      </c>
      <c r="K385" s="1">
        <v>-5.241E-3</v>
      </c>
      <c r="L385" s="1">
        <v>6.5570000000000003E-3</v>
      </c>
      <c r="M385" s="1">
        <v>0.62463599999999997</v>
      </c>
      <c r="N385" s="1">
        <v>0.78087099999999998</v>
      </c>
      <c r="O385">
        <v>1</v>
      </c>
      <c r="P385">
        <v>0</v>
      </c>
      <c r="Q385">
        <v>1</v>
      </c>
      <c r="R385">
        <v>1</v>
      </c>
      <c r="S385">
        <v>1</v>
      </c>
      <c r="T385" s="1">
        <f>SQRT(POWER(Dominus[[#This Row],[angvel_X]],2) + POWER(Dominus[[#This Row],[angvel_Y]],2) + POWER(Dominus[[#This Row],[angvel_Z]],2))</f>
        <v>2.0472999999999999</v>
      </c>
      <c r="U385" s="1">
        <f>DEGREES(ASIN(MAX(-1,MIN(1,2 * (Dominus[[#This Row],[quart_W]]*Dominus[[#This Row],[quart_Y]] - Dominus[[#This Row],[quart_Z]]*Dominus[[#This Row],[quart_X]])))))</f>
        <v>0.96191394690500509</v>
      </c>
      <c r="V38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12.685814710835611</v>
      </c>
      <c r="W38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89.999634018500501</v>
      </c>
      <c r="X385" s="1">
        <f>IF(Dominus[[#This Row],[Yaw]]&gt;V384,(360-ABS(Dominus[[#This Row],[Yaw]])-ABS(V384)),ABS(Dominus[[#This Row],[Yaw]]-V384))</f>
        <v>0.97754524916048879</v>
      </c>
      <c r="Y385" s="1">
        <f>Dominus[[#This Row],[Degree change]]+Y384</f>
        <v>316.46670770684403</v>
      </c>
    </row>
    <row r="386" spans="1:25">
      <c r="A386">
        <v>385</v>
      </c>
      <c r="B386" s="1">
        <v>338.19998199999998</v>
      </c>
      <c r="C386" s="1">
        <v>1220.1599120000001</v>
      </c>
      <c r="D386" s="1">
        <v>17.049999</v>
      </c>
      <c r="E386" s="1">
        <v>603.15997300000004</v>
      </c>
      <c r="F386" s="1">
        <v>2219.4799800000001</v>
      </c>
      <c r="G386" s="1">
        <v>8.0399999999999991</v>
      </c>
      <c r="H386" s="1">
        <v>0</v>
      </c>
      <c r="I386" s="1">
        <v>0</v>
      </c>
      <c r="J386" s="1">
        <v>2.0472999999999999</v>
      </c>
      <c r="K386" s="1">
        <v>-5.2950000000000002E-3</v>
      </c>
      <c r="L386" s="1">
        <v>6.5139999999999998E-3</v>
      </c>
      <c r="M386" s="1">
        <v>0.63127200000000006</v>
      </c>
      <c r="N386" s="1">
        <v>0.77551599999999998</v>
      </c>
      <c r="O386">
        <v>1</v>
      </c>
      <c r="P386">
        <v>0</v>
      </c>
      <c r="Q386">
        <v>1</v>
      </c>
      <c r="R386">
        <v>1</v>
      </c>
      <c r="S386">
        <v>1</v>
      </c>
      <c r="T386" s="1">
        <f>SQRT(POWER(Dominus[[#This Row],[angvel_X]],2) + POWER(Dominus[[#This Row],[angvel_Y]],2) + POWER(Dominus[[#This Row],[angvel_Z]],2))</f>
        <v>2.0472999999999999</v>
      </c>
      <c r="U386" s="1">
        <f>DEGREES(ASIN(MAX(-1,MIN(1,2 * (Dominus[[#This Row],[quart_W]]*Dominus[[#This Row],[quart_Y]] - Dominus[[#This Row],[quart_Z]]*Dominus[[#This Row],[quart_X]])))))</f>
        <v>0.96196071154995333</v>
      </c>
      <c r="V38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11.70864731869603</v>
      </c>
      <c r="W38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89.999341167484076</v>
      </c>
      <c r="X386" s="1">
        <f>IF(Dominus[[#This Row],[Yaw]]&gt;V385,(360-ABS(Dominus[[#This Row],[Yaw]])-ABS(V385)),ABS(Dominus[[#This Row],[Yaw]]-V385))</f>
        <v>0.97716739213958093</v>
      </c>
      <c r="Y386" s="1">
        <f>Dominus[[#This Row],[Degree change]]+Y385</f>
        <v>317.4438750989836</v>
      </c>
    </row>
    <row r="387" spans="1:25">
      <c r="A387">
        <v>386</v>
      </c>
      <c r="B387" s="1">
        <v>343.23998999999998</v>
      </c>
      <c r="C387" s="1">
        <v>1238.719971</v>
      </c>
      <c r="D387" s="1">
        <v>17.049999</v>
      </c>
      <c r="E387" s="1">
        <v>565.20996100000002</v>
      </c>
      <c r="F387" s="1">
        <v>2229.4499510000001</v>
      </c>
      <c r="G387" s="1">
        <v>8.0399999999999991</v>
      </c>
      <c r="H387" s="1">
        <v>0</v>
      </c>
      <c r="I387" s="1">
        <v>0</v>
      </c>
      <c r="J387" s="1">
        <v>2.0472999999999999</v>
      </c>
      <c r="K387" s="1">
        <v>-5.3489999999999996E-3</v>
      </c>
      <c r="L387" s="1">
        <v>6.4710000000000002E-3</v>
      </c>
      <c r="M387" s="1">
        <v>0.63786399999999999</v>
      </c>
      <c r="N387" s="1">
        <v>0.77010299999999998</v>
      </c>
      <c r="O387">
        <v>1</v>
      </c>
      <c r="P387">
        <v>0</v>
      </c>
      <c r="Q387">
        <v>1</v>
      </c>
      <c r="R387">
        <v>1</v>
      </c>
      <c r="S387">
        <v>1</v>
      </c>
      <c r="T387" s="1">
        <f>SQRT(POWER(Dominus[[#This Row],[angvel_X]],2) + POWER(Dominus[[#This Row],[angvel_Y]],2) + POWER(Dominus[[#This Row],[angvel_Z]],2))</f>
        <v>2.0472999999999999</v>
      </c>
      <c r="U387" s="1">
        <f>DEGREES(ASIN(MAX(-1,MIN(1,2 * (Dominus[[#This Row],[quart_W]]*Dominus[[#This Row],[quart_Y]] - Dominus[[#This Row],[quart_Z]]*Dominus[[#This Row],[quart_X]])))))</f>
        <v>0.96207240650843873</v>
      </c>
      <c r="V38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10.731196191840185</v>
      </c>
      <c r="W38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89.99904451582043</v>
      </c>
      <c r="X387" s="1">
        <f>IF(Dominus[[#This Row],[Yaw]]&gt;V386,(360-ABS(Dominus[[#This Row],[Yaw]])-ABS(V386)),ABS(Dominus[[#This Row],[Yaw]]-V386))</f>
        <v>0.97745112685584523</v>
      </c>
      <c r="Y387" s="1">
        <f>Dominus[[#This Row],[Degree change]]+Y386</f>
        <v>318.42132622583944</v>
      </c>
    </row>
    <row r="388" spans="1:25">
      <c r="A388">
        <v>387</v>
      </c>
      <c r="B388" s="1">
        <v>347.959991</v>
      </c>
      <c r="C388" s="1">
        <v>1257.369995</v>
      </c>
      <c r="D388" s="1">
        <v>17.049999</v>
      </c>
      <c r="E388" s="1">
        <v>527.089966</v>
      </c>
      <c r="F388" s="1">
        <v>2238.7700199999999</v>
      </c>
      <c r="G388" s="1">
        <v>8.0399999999999991</v>
      </c>
      <c r="H388" s="1">
        <v>0</v>
      </c>
      <c r="I388" s="1">
        <v>-1E-4</v>
      </c>
      <c r="J388" s="1">
        <v>2.0472999999999999</v>
      </c>
      <c r="K388" s="1">
        <v>-5.4029999999999998E-3</v>
      </c>
      <c r="L388" s="1">
        <v>6.4279999999999997E-3</v>
      </c>
      <c r="M388" s="1">
        <v>0.64440799999999998</v>
      </c>
      <c r="N388" s="1">
        <v>0.76463599999999998</v>
      </c>
      <c r="O388">
        <v>1</v>
      </c>
      <c r="P388">
        <v>0</v>
      </c>
      <c r="Q388">
        <v>1</v>
      </c>
      <c r="R388">
        <v>1</v>
      </c>
      <c r="S388">
        <v>1</v>
      </c>
      <c r="T388" s="1">
        <f>SQRT(POWER(Dominus[[#This Row],[angvel_X]],2) + POWER(Dominus[[#This Row],[angvel_Y]],2) + POWER(Dominus[[#This Row],[angvel_Z]],2))</f>
        <v>2.047300002442241</v>
      </c>
      <c r="U388" s="1">
        <f>DEGREES(ASIN(MAX(-1,MIN(1,2 * (Dominus[[#This Row],[quart_W]]*Dominus[[#This Row],[quart_Y]] - Dominus[[#This Row],[quart_Z]]*Dominus[[#This Row],[quart_X]])))))</f>
        <v>0.96224954224962911</v>
      </c>
      <c r="V38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9.7539737666743864</v>
      </c>
      <c r="W38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89.998747759820446</v>
      </c>
      <c r="X388" s="1">
        <f>IF(Dominus[[#This Row],[Yaw]]&gt;V387,(360-ABS(Dominus[[#This Row],[Yaw]])-ABS(V387)),ABS(Dominus[[#This Row],[Yaw]]-V387))</f>
        <v>0.97722242516579882</v>
      </c>
      <c r="Y388" s="1">
        <f>Dominus[[#This Row],[Degree change]]+Y387</f>
        <v>319.39854865100523</v>
      </c>
    </row>
    <row r="389" spans="1:25">
      <c r="A389">
        <v>388</v>
      </c>
      <c r="B389" s="1">
        <v>352.35998499999999</v>
      </c>
      <c r="C389" s="1">
        <v>1276.089966</v>
      </c>
      <c r="D389" s="1">
        <v>17.049999</v>
      </c>
      <c r="E389" s="1">
        <v>488.81997699999999</v>
      </c>
      <c r="F389" s="1">
        <v>2247.4399410000001</v>
      </c>
      <c r="G389" s="1">
        <v>8.0399999999999991</v>
      </c>
      <c r="H389" s="1">
        <v>0</v>
      </c>
      <c r="I389" s="1">
        <v>-1E-4</v>
      </c>
      <c r="J389" s="1">
        <v>2.0472999999999999</v>
      </c>
      <c r="K389" s="1">
        <v>-5.457E-3</v>
      </c>
      <c r="L389" s="1">
        <v>6.3790000000000001E-3</v>
      </c>
      <c r="M389" s="1">
        <v>0.65090899999999996</v>
      </c>
      <c r="N389" s="1">
        <v>0.75910900000000003</v>
      </c>
      <c r="O389">
        <v>1</v>
      </c>
      <c r="P389">
        <v>0</v>
      </c>
      <c r="Q389">
        <v>1</v>
      </c>
      <c r="R389">
        <v>1</v>
      </c>
      <c r="S389">
        <v>1</v>
      </c>
      <c r="T389" s="1">
        <f>SQRT(POWER(Dominus[[#This Row],[angvel_X]],2) + POWER(Dominus[[#This Row],[angvel_Y]],2) + POWER(Dominus[[#This Row],[angvel_Z]],2))</f>
        <v>2.047300002442241</v>
      </c>
      <c r="U389" s="1">
        <f>DEGREES(ASIN(MAX(-1,MIN(1,2 * (Dominus[[#This Row],[quart_W]]*Dominus[[#This Row],[quart_Y]] - Dominus[[#This Row],[quart_Z]]*Dominus[[#This Row],[quart_X]])))))</f>
        <v>0.96196876388778318</v>
      </c>
      <c r="V38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8.7761891083581887</v>
      </c>
      <c r="W38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89.998889371275169</v>
      </c>
      <c r="X389" s="1">
        <f>IF(Dominus[[#This Row],[Yaw]]&gt;V388,(360-ABS(Dominus[[#This Row],[Yaw]])-ABS(V388)),ABS(Dominus[[#This Row],[Yaw]]-V388))</f>
        <v>0.97778465831619776</v>
      </c>
      <c r="Y389" s="1">
        <f>Dominus[[#This Row],[Degree change]]+Y388</f>
        <v>320.37633330932141</v>
      </c>
    </row>
    <row r="390" spans="1:25">
      <c r="A390">
        <v>389</v>
      </c>
      <c r="B390" s="1">
        <v>356.44000199999999</v>
      </c>
      <c r="C390" s="1">
        <v>1294.8900149999999</v>
      </c>
      <c r="D390" s="1">
        <v>17.049999</v>
      </c>
      <c r="E390" s="1">
        <v>450.39999399999999</v>
      </c>
      <c r="F390" s="1">
        <v>2255.4499510000001</v>
      </c>
      <c r="G390" s="1">
        <v>8.0399999999999991</v>
      </c>
      <c r="H390" s="1">
        <v>0</v>
      </c>
      <c r="I390" s="1">
        <v>-1E-4</v>
      </c>
      <c r="J390" s="1">
        <v>2.0472999999999999</v>
      </c>
      <c r="K390" s="1">
        <v>-5.5110000000000003E-3</v>
      </c>
      <c r="L390" s="1">
        <v>6.3309999999999998E-3</v>
      </c>
      <c r="M390" s="1">
        <v>0.65736099999999997</v>
      </c>
      <c r="N390" s="1">
        <v>0.753529</v>
      </c>
      <c r="O390">
        <v>1</v>
      </c>
      <c r="P390">
        <v>0</v>
      </c>
      <c r="Q390">
        <v>1</v>
      </c>
      <c r="R390">
        <v>1</v>
      </c>
      <c r="S390">
        <v>1</v>
      </c>
      <c r="T390" s="1">
        <f>SQRT(POWER(Dominus[[#This Row],[angvel_X]],2) + POWER(Dominus[[#This Row],[angvel_Y]],2) + POWER(Dominus[[#This Row],[angvel_Z]],2))</f>
        <v>2.047300002442241</v>
      </c>
      <c r="U390" s="1">
        <f>DEGREES(ASIN(MAX(-1,MIN(1,2 * (Dominus[[#This Row],[quart_W]]*Dominus[[#This Row],[quart_Y]] - Dominus[[#This Row],[quart_Z]]*Dominus[[#This Row],[quart_X]])))))</f>
        <v>0.96184749128113989</v>
      </c>
      <c r="V39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7.7986368317108488</v>
      </c>
      <c r="W39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89.998962322100567</v>
      </c>
      <c r="X390" s="1">
        <f>IF(Dominus[[#This Row],[Yaw]]&gt;V389,(360-ABS(Dominus[[#This Row],[Yaw]])-ABS(V389)),ABS(Dominus[[#This Row],[Yaw]]-V389))</f>
        <v>0.9775522766473399</v>
      </c>
      <c r="Y390" s="1">
        <f>Dominus[[#This Row],[Degree change]]+Y389</f>
        <v>321.35388558596873</v>
      </c>
    </row>
    <row r="391" spans="1:25">
      <c r="A391">
        <v>390</v>
      </c>
      <c r="B391" s="1">
        <v>360.19998199999998</v>
      </c>
      <c r="C391" s="1">
        <v>1313.75</v>
      </c>
      <c r="D391" s="1">
        <v>17.049999</v>
      </c>
      <c r="E391" s="1">
        <v>411.84997600000003</v>
      </c>
      <c r="F391" s="1">
        <v>2262.8000489999999</v>
      </c>
      <c r="G391" s="1">
        <v>8.0399999999999991</v>
      </c>
      <c r="H391" s="1">
        <v>0</v>
      </c>
      <c r="I391" s="1">
        <v>-1E-4</v>
      </c>
      <c r="J391" s="1">
        <v>2.0472999999999999</v>
      </c>
      <c r="K391" s="1">
        <v>-5.5649999999999996E-3</v>
      </c>
      <c r="L391" s="1">
        <v>6.2820000000000003E-3</v>
      </c>
      <c r="M391" s="1">
        <v>0.66376500000000005</v>
      </c>
      <c r="N391" s="1">
        <v>0.74789399999999995</v>
      </c>
      <c r="O391">
        <v>1</v>
      </c>
      <c r="P391">
        <v>0</v>
      </c>
      <c r="Q391">
        <v>1</v>
      </c>
      <c r="R391">
        <v>1</v>
      </c>
      <c r="S391">
        <v>1</v>
      </c>
      <c r="T391" s="1">
        <f>SQRT(POWER(Dominus[[#This Row],[angvel_X]],2) + POWER(Dominus[[#This Row],[angvel_Y]],2) + POWER(Dominus[[#This Row],[angvel_Z]],2))</f>
        <v>2.047300002442241</v>
      </c>
      <c r="U391" s="1">
        <f>DEGREES(ASIN(MAX(-1,MIN(1,2 * (Dominus[[#This Row],[quart_W]]*Dominus[[#This Row],[quart_Y]] - Dominus[[#This Row],[quart_Z]]*Dominus[[#This Row],[quart_X]])))))</f>
        <v>0.96171153938031484</v>
      </c>
      <c r="V39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6.8211135770362841</v>
      </c>
      <c r="W39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89.999112750712072</v>
      </c>
      <c r="X391" s="1">
        <f>IF(Dominus[[#This Row],[Yaw]]&gt;V390,(360-ABS(Dominus[[#This Row],[Yaw]])-ABS(V390)),ABS(Dominus[[#This Row],[Yaw]]-V390))</f>
        <v>0.97752325467456469</v>
      </c>
      <c r="Y391" s="1">
        <f>Dominus[[#This Row],[Degree change]]+Y390</f>
        <v>322.33140884064329</v>
      </c>
    </row>
    <row r="392" spans="1:25">
      <c r="A392">
        <v>391</v>
      </c>
      <c r="B392" s="1">
        <v>363.63998400000003</v>
      </c>
      <c r="C392" s="1">
        <v>1332.679932</v>
      </c>
      <c r="D392" s="1">
        <v>17.049999</v>
      </c>
      <c r="E392" s="1">
        <v>373.19000199999999</v>
      </c>
      <c r="F392" s="1">
        <v>2269.5</v>
      </c>
      <c r="G392" s="1">
        <v>8.0399999999999991</v>
      </c>
      <c r="H392" s="1">
        <v>0</v>
      </c>
      <c r="I392" s="1">
        <v>-1E-4</v>
      </c>
      <c r="J392" s="1">
        <v>2.0472999999999999</v>
      </c>
      <c r="K392" s="1">
        <v>-5.6189999999999999E-3</v>
      </c>
      <c r="L392" s="1">
        <v>6.234E-3</v>
      </c>
      <c r="M392" s="1">
        <v>0.67012000000000005</v>
      </c>
      <c r="N392" s="1">
        <v>0.742205</v>
      </c>
      <c r="O392">
        <v>1</v>
      </c>
      <c r="P392">
        <v>0</v>
      </c>
      <c r="Q392">
        <v>1</v>
      </c>
      <c r="R392">
        <v>1</v>
      </c>
      <c r="S392">
        <v>1</v>
      </c>
      <c r="T392" s="1">
        <f>SQRT(POWER(Dominus[[#This Row],[angvel_X]],2) + POWER(Dominus[[#This Row],[angvel_Y]],2) + POWER(Dominus[[#This Row],[angvel_Z]],2))</f>
        <v>2.047300002442241</v>
      </c>
      <c r="U392" s="1">
        <f>DEGREES(ASIN(MAX(-1,MIN(1,2 * (Dominus[[#This Row],[quart_W]]*Dominus[[#This Row],[quart_Y]] - Dominus[[#This Row],[quart_Z]]*Dominus[[#This Row],[quart_X]])))))</f>
        <v>0.96173307611616066</v>
      </c>
      <c r="V39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5.8436977580419232</v>
      </c>
      <c r="W39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89.999188785468561</v>
      </c>
      <c r="X392" s="1">
        <f>IF(Dominus[[#This Row],[Yaw]]&gt;V391,(360-ABS(Dominus[[#This Row],[Yaw]])-ABS(V391)),ABS(Dominus[[#This Row],[Yaw]]-V391))</f>
        <v>0.97741581899436092</v>
      </c>
      <c r="Y392" s="1">
        <f>Dominus[[#This Row],[Degree change]]+Y391</f>
        <v>323.30882465963765</v>
      </c>
    </row>
    <row r="393" spans="1:25">
      <c r="A393">
        <v>392</v>
      </c>
      <c r="B393" s="1">
        <v>366.75997899999999</v>
      </c>
      <c r="C393" s="1">
        <v>1351.6599120000001</v>
      </c>
      <c r="D393" s="1">
        <v>17.049999</v>
      </c>
      <c r="E393" s="1">
        <v>334.419983</v>
      </c>
      <c r="F393" s="1">
        <v>2275.540039</v>
      </c>
      <c r="G393" s="1">
        <v>8.0399999999999991</v>
      </c>
      <c r="H393" s="1">
        <v>0</v>
      </c>
      <c r="I393" s="1">
        <v>-1E-4</v>
      </c>
      <c r="J393" s="1">
        <v>2.0472999999999999</v>
      </c>
      <c r="K393" s="1">
        <v>-5.6730000000000001E-3</v>
      </c>
      <c r="L393" s="1">
        <v>6.1850000000000004E-3</v>
      </c>
      <c r="M393" s="1">
        <v>0.67642599999999997</v>
      </c>
      <c r="N393" s="1">
        <v>0.73646199999999995</v>
      </c>
      <c r="O393">
        <v>1</v>
      </c>
      <c r="P393">
        <v>0</v>
      </c>
      <c r="Q393">
        <v>1</v>
      </c>
      <c r="R393">
        <v>1</v>
      </c>
      <c r="S393">
        <v>1</v>
      </c>
      <c r="T393" s="1">
        <f>SQRT(POWER(Dominus[[#This Row],[angvel_X]],2) + POWER(Dominus[[#This Row],[angvel_Y]],2) + POWER(Dominus[[#This Row],[angvel_Z]],2))</f>
        <v>2.047300002442241</v>
      </c>
      <c r="U393" s="1">
        <f>DEGREES(ASIN(MAX(-1,MIN(1,2 * (Dominus[[#This Row],[quart_W]]*Dominus[[#This Row],[quart_Y]] - Dominus[[#This Row],[quart_Z]]*Dominus[[#This Row],[quart_X]])))))</f>
        <v>0.96174131847302724</v>
      </c>
      <c r="V39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4.8663219961108624</v>
      </c>
      <c r="W39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89.999341477425574</v>
      </c>
      <c r="X393" s="1">
        <f>IF(Dominus[[#This Row],[Yaw]]&gt;V392,(360-ABS(Dominus[[#This Row],[Yaw]])-ABS(V392)),ABS(Dominus[[#This Row],[Yaw]]-V392))</f>
        <v>0.97737576193106079</v>
      </c>
      <c r="Y393" s="1">
        <f>Dominus[[#This Row],[Degree change]]+Y392</f>
        <v>324.28620042156871</v>
      </c>
    </row>
    <row r="394" spans="1:25">
      <c r="A394">
        <v>393</v>
      </c>
      <c r="B394" s="1">
        <v>369.54998799999998</v>
      </c>
      <c r="C394" s="1">
        <v>1370.6899410000001</v>
      </c>
      <c r="D394" s="1">
        <v>17.049999</v>
      </c>
      <c r="E394" s="1">
        <v>295.54998799999998</v>
      </c>
      <c r="F394" s="1">
        <v>2280.9099120000001</v>
      </c>
      <c r="G394" s="1">
        <v>8.0399999999999991</v>
      </c>
      <c r="H394" s="1">
        <v>0</v>
      </c>
      <c r="I394" s="1">
        <v>-1E-4</v>
      </c>
      <c r="J394" s="1">
        <v>2.0472999999999999</v>
      </c>
      <c r="K394" s="1">
        <v>-5.7270000000000003E-3</v>
      </c>
      <c r="L394" s="1">
        <v>6.1370000000000001E-3</v>
      </c>
      <c r="M394" s="1">
        <v>0.68268399999999996</v>
      </c>
      <c r="N394" s="1">
        <v>0.73066500000000001</v>
      </c>
      <c r="O394">
        <v>1</v>
      </c>
      <c r="P394">
        <v>0</v>
      </c>
      <c r="Q394">
        <v>1</v>
      </c>
      <c r="R394">
        <v>1</v>
      </c>
      <c r="S394">
        <v>1</v>
      </c>
      <c r="T394" s="1">
        <f>SQRT(POWER(Dominus[[#This Row],[angvel_X]],2) + POWER(Dominus[[#This Row],[angvel_Y]],2) + POWER(Dominus[[#This Row],[angvel_Z]],2))</f>
        <v>2.047300002442241</v>
      </c>
      <c r="U394" s="1">
        <f>DEGREES(ASIN(MAX(-1,MIN(1,2 * (Dominus[[#This Row],[quart_W]]*Dominus[[#This Row],[quart_Y]] - Dominus[[#This Row],[quart_Z]]*Dominus[[#This Row],[quart_X]])))))</f>
        <v>0.96190637706576276</v>
      </c>
      <c r="V39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3.8887498338317821</v>
      </c>
      <c r="W39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89.99941398178386</v>
      </c>
      <c r="X394" s="1">
        <f>IF(Dominus[[#This Row],[Yaw]]&gt;V393,(360-ABS(Dominus[[#This Row],[Yaw]])-ABS(V393)),ABS(Dominus[[#This Row],[Yaw]]-V393))</f>
        <v>0.97757216227908028</v>
      </c>
      <c r="Y394" s="1">
        <f>Dominus[[#This Row],[Degree change]]+Y393</f>
        <v>325.26377258384781</v>
      </c>
    </row>
    <row r="395" spans="1:25">
      <c r="A395">
        <v>394</v>
      </c>
      <c r="B395" s="1">
        <v>372.01998900000001</v>
      </c>
      <c r="C395" s="1">
        <v>1389.7700199999999</v>
      </c>
      <c r="D395" s="1">
        <v>17.049999</v>
      </c>
      <c r="E395" s="1">
        <v>256.58999599999999</v>
      </c>
      <c r="F395" s="1">
        <v>2285.6198730000001</v>
      </c>
      <c r="G395" s="1">
        <v>8.0399999999999991</v>
      </c>
      <c r="H395" s="1">
        <v>0</v>
      </c>
      <c r="I395" s="1">
        <v>-1E-4</v>
      </c>
      <c r="J395" s="1">
        <v>2.0472999999999999</v>
      </c>
      <c r="K395" s="1">
        <v>-5.7809999999999997E-3</v>
      </c>
      <c r="L395" s="1">
        <v>6.0879999999999997E-3</v>
      </c>
      <c r="M395" s="1">
        <v>0.68889400000000001</v>
      </c>
      <c r="N395" s="1">
        <v>0.72481399999999996</v>
      </c>
      <c r="O395">
        <v>1</v>
      </c>
      <c r="P395">
        <v>0</v>
      </c>
      <c r="Q395">
        <v>1</v>
      </c>
      <c r="R395">
        <v>1</v>
      </c>
      <c r="S395">
        <v>1</v>
      </c>
      <c r="T395" s="1">
        <f>SQRT(POWER(Dominus[[#This Row],[angvel_X]],2) + POWER(Dominus[[#This Row],[angvel_Y]],2) + POWER(Dominus[[#This Row],[angvel_Z]],2))</f>
        <v>2.047300002442241</v>
      </c>
      <c r="U395" s="1">
        <f>DEGREES(ASIN(MAX(-1,MIN(1,2 * (Dominus[[#This Row],[quart_W]]*Dominus[[#This Row],[quart_Y]] - Dominus[[#This Row],[quart_Z]]*Dominus[[#This Row],[quart_X]])))))</f>
        <v>0.96206012021754672</v>
      </c>
      <c r="V39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2.9109098489369338</v>
      </c>
      <c r="W39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89.999560257303315</v>
      </c>
      <c r="X395" s="1">
        <f>IF(Dominus[[#This Row],[Yaw]]&gt;V394,(360-ABS(Dominus[[#This Row],[Yaw]])-ABS(V394)),ABS(Dominus[[#This Row],[Yaw]]-V394))</f>
        <v>0.97783998489484825</v>
      </c>
      <c r="Y395" s="1">
        <f>Dominus[[#This Row],[Degree change]]+Y394</f>
        <v>326.24161256874265</v>
      </c>
    </row>
    <row r="396" spans="1:25">
      <c r="A396">
        <v>395</v>
      </c>
      <c r="B396" s="1">
        <v>374.16000400000001</v>
      </c>
      <c r="C396" s="1">
        <v>1408.8900149999999</v>
      </c>
      <c r="D396" s="1">
        <v>17.049999</v>
      </c>
      <c r="E396" s="1">
        <v>217.55999800000001</v>
      </c>
      <c r="F396" s="1">
        <v>2289.669922</v>
      </c>
      <c r="G396" s="1">
        <v>8.0399999999999991</v>
      </c>
      <c r="H396" s="1">
        <v>0</v>
      </c>
      <c r="I396" s="1">
        <v>-1E-4</v>
      </c>
      <c r="J396" s="1">
        <v>2.0472999999999999</v>
      </c>
      <c r="K396" s="1">
        <v>-5.8339999999999998E-3</v>
      </c>
      <c r="L396" s="1">
        <v>6.0390000000000001E-3</v>
      </c>
      <c r="M396" s="1">
        <v>0.69504900000000003</v>
      </c>
      <c r="N396" s="1">
        <v>0.71891300000000002</v>
      </c>
      <c r="O396">
        <v>1</v>
      </c>
      <c r="P396">
        <v>0</v>
      </c>
      <c r="Q396">
        <v>1</v>
      </c>
      <c r="R396">
        <v>1</v>
      </c>
      <c r="S396">
        <v>1</v>
      </c>
      <c r="T396" s="1">
        <f>SQRT(POWER(Dominus[[#This Row],[angvel_X]],2) + POWER(Dominus[[#This Row],[angvel_Y]],2) + POWER(Dominus[[#This Row],[angvel_Z]],2))</f>
        <v>2.047300002442241</v>
      </c>
      <c r="U396" s="1">
        <f>DEGREES(ASIN(MAX(-1,MIN(1,2 * (Dominus[[#This Row],[quart_W]]*Dominus[[#This Row],[quart_Y]] - Dominus[[#This Row],[quart_Z]]*Dominus[[#This Row],[quart_X]])))))</f>
        <v>0.96220540005456678</v>
      </c>
      <c r="V39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1.9338481999257437</v>
      </c>
      <c r="W39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89.999626095866745</v>
      </c>
      <c r="X396" s="1">
        <f>IF(Dominus[[#This Row],[Yaw]]&gt;V395,(360-ABS(Dominus[[#This Row],[Yaw]])-ABS(V395)),ABS(Dominus[[#This Row],[Yaw]]-V395))</f>
        <v>0.97706164901119008</v>
      </c>
      <c r="Y396" s="1">
        <f>Dominus[[#This Row],[Degree change]]+Y395</f>
        <v>327.21867421775386</v>
      </c>
    </row>
    <row r="397" spans="1:25">
      <c r="A397">
        <v>396</v>
      </c>
      <c r="B397" s="1">
        <v>375.97998000000001</v>
      </c>
      <c r="C397" s="1">
        <v>1428.0399170000001</v>
      </c>
      <c r="D397" s="1">
        <v>17.049999</v>
      </c>
      <c r="E397" s="1">
        <v>178.470001</v>
      </c>
      <c r="F397" s="1">
        <v>2293.0500489999999</v>
      </c>
      <c r="G397" s="1">
        <v>8.0399999999999991</v>
      </c>
      <c r="H397" s="1">
        <v>0</v>
      </c>
      <c r="I397" s="1">
        <v>-1E-4</v>
      </c>
      <c r="J397" s="1">
        <v>2.0472999999999999</v>
      </c>
      <c r="K397" s="1">
        <v>-5.888E-3</v>
      </c>
      <c r="L397" s="1">
        <v>5.9909999999999998E-3</v>
      </c>
      <c r="M397" s="1">
        <v>0.701156</v>
      </c>
      <c r="N397" s="1">
        <v>0.71295799999999998</v>
      </c>
      <c r="O397">
        <v>1</v>
      </c>
      <c r="P397">
        <v>0</v>
      </c>
      <c r="Q397">
        <v>1</v>
      </c>
      <c r="R397">
        <v>1</v>
      </c>
      <c r="S397">
        <v>1</v>
      </c>
      <c r="T397" s="1">
        <f>SQRT(POWER(Dominus[[#This Row],[angvel_X]],2) + POWER(Dominus[[#This Row],[angvel_Y]],2) + POWER(Dominus[[#This Row],[angvel_Z]],2))</f>
        <v>2.047300002442241</v>
      </c>
      <c r="U397" s="1">
        <f>DEGREES(ASIN(MAX(-1,MIN(1,2 * (Dominus[[#This Row],[quart_W]]*Dominus[[#This Row],[quart_Y]] - Dominus[[#This Row],[quart_Z]]*Dominus[[#This Row],[quart_X]])))))</f>
        <v>0.96258434282264294</v>
      </c>
      <c r="V39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0.95637447522695263</v>
      </c>
      <c r="W39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89.999687247875343</v>
      </c>
      <c r="X397" s="1">
        <f>IF(Dominus[[#This Row],[Yaw]]&gt;V396,(360-ABS(Dominus[[#This Row],[Yaw]])-ABS(V396)),ABS(Dominus[[#This Row],[Yaw]]-V396))</f>
        <v>0.97747372469879112</v>
      </c>
      <c r="Y397" s="1">
        <f>Dominus[[#This Row],[Degree change]]+Y396</f>
        <v>328.19614794245263</v>
      </c>
    </row>
    <row r="398" spans="1:25">
      <c r="A398">
        <v>397</v>
      </c>
      <c r="B398" s="1">
        <v>377.47000100000002</v>
      </c>
      <c r="C398" s="1">
        <v>1447.219971</v>
      </c>
      <c r="D398" s="1">
        <v>17.049999</v>
      </c>
      <c r="E398" s="1">
        <v>139.31999200000001</v>
      </c>
      <c r="F398" s="1">
        <v>2295.76001</v>
      </c>
      <c r="G398" s="1">
        <v>8.0399999999999991</v>
      </c>
      <c r="H398" s="1">
        <v>0</v>
      </c>
      <c r="I398" s="1">
        <v>0</v>
      </c>
      <c r="J398" s="1">
        <v>2.0472999999999999</v>
      </c>
      <c r="K398" s="1">
        <v>-5.9369999999999996E-3</v>
      </c>
      <c r="L398" s="1">
        <v>5.9420000000000002E-3</v>
      </c>
      <c r="M398" s="1">
        <v>0.70721299999999998</v>
      </c>
      <c r="N398" s="1">
        <v>0.70694999999999997</v>
      </c>
      <c r="O398">
        <v>1</v>
      </c>
      <c r="P398">
        <v>0</v>
      </c>
      <c r="Q398">
        <v>1</v>
      </c>
      <c r="R398">
        <v>1</v>
      </c>
      <c r="S398">
        <v>1</v>
      </c>
      <c r="T398" s="1">
        <f>SQRT(POWER(Dominus[[#This Row],[angvel_X]],2) + POWER(Dominus[[#This Row],[angvel_Y]],2) + POWER(Dominus[[#This Row],[angvel_Z]],2))</f>
        <v>2.0472999999999999</v>
      </c>
      <c r="U398" s="1">
        <f>DEGREES(ASIN(MAX(-1,MIN(1,2 * (Dominus[[#This Row],[quart_W]]*Dominus[[#This Row],[quart_Y]] - Dominus[[#This Row],[quart_Z]]*Dominus[[#This Row],[quart_X]])))))</f>
        <v>0.96254796346331595</v>
      </c>
      <c r="V39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-2.1263734793939938E-2</v>
      </c>
      <c r="W39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89.999415787547647</v>
      </c>
      <c r="X398" s="1">
        <f>IF(Dominus[[#This Row],[Yaw]]&gt;V397,(360-ABS(Dominus[[#This Row],[Yaw]])-ABS(V397)),ABS(Dominus[[#This Row],[Yaw]]-V397))</f>
        <v>0.97763821002089257</v>
      </c>
      <c r="Y398" s="1">
        <f>Dominus[[#This Row],[Degree change]]+Y397</f>
        <v>329.1737861524735</v>
      </c>
    </row>
    <row r="399" spans="1:25">
      <c r="A399">
        <v>398</v>
      </c>
      <c r="B399" s="1">
        <v>378.63000499999998</v>
      </c>
      <c r="C399" s="1">
        <v>1466.419922</v>
      </c>
      <c r="D399" s="1">
        <v>17.049999</v>
      </c>
      <c r="E399" s="1">
        <v>100.129997</v>
      </c>
      <c r="F399" s="1">
        <v>2297.8000489999999</v>
      </c>
      <c r="G399" s="1">
        <v>8.0399999999999991</v>
      </c>
      <c r="H399" s="1">
        <v>0</v>
      </c>
      <c r="I399" s="1">
        <v>0</v>
      </c>
      <c r="J399" s="1">
        <v>2.0472999999999999</v>
      </c>
      <c r="K399" s="1">
        <v>-5.986E-3</v>
      </c>
      <c r="L399" s="1">
        <v>5.8939999999999999E-3</v>
      </c>
      <c r="M399" s="1">
        <v>0.71321800000000002</v>
      </c>
      <c r="N399" s="1">
        <v>0.70089199999999996</v>
      </c>
      <c r="O399">
        <v>1</v>
      </c>
      <c r="P399">
        <v>0</v>
      </c>
      <c r="Q399">
        <v>1</v>
      </c>
      <c r="R399">
        <v>1</v>
      </c>
      <c r="S399">
        <v>1</v>
      </c>
      <c r="T399" s="1">
        <f>SQRT(POWER(Dominus[[#This Row],[angvel_X]],2) + POWER(Dominus[[#This Row],[angvel_Y]],2) + POWER(Dominus[[#This Row],[angvel_Z]],2))</f>
        <v>2.0472999999999999</v>
      </c>
      <c r="U399" s="1">
        <f>DEGREES(ASIN(MAX(-1,MIN(1,2 * (Dominus[[#This Row],[quart_W]]*Dominus[[#This Row],[quart_Y]] - Dominus[[#This Row],[quart_Z]]*Dominus[[#This Row],[quart_X]])))))</f>
        <v>0.96265797714555712</v>
      </c>
      <c r="V39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-0.99881734892050744</v>
      </c>
      <c r="W39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89.999063955076664</v>
      </c>
      <c r="X399" s="1">
        <f>IF(Dominus[[#This Row],[Yaw]]&gt;V398,(360-ABS(Dominus[[#This Row],[Yaw]])-ABS(V398)),ABS(Dominus[[#This Row],[Yaw]]-V398))</f>
        <v>0.97755361412656749</v>
      </c>
      <c r="Y399" s="1">
        <f>Dominus[[#This Row],[Degree change]]+Y398</f>
        <v>330.15133976660007</v>
      </c>
    </row>
    <row r="400" spans="1:25">
      <c r="A400">
        <v>399</v>
      </c>
      <c r="B400" s="1">
        <v>379.459991</v>
      </c>
      <c r="C400" s="1">
        <v>1485.6400149999999</v>
      </c>
      <c r="D400" s="1">
        <v>17.049999</v>
      </c>
      <c r="E400" s="1">
        <v>60.919998</v>
      </c>
      <c r="F400" s="1">
        <v>2299.169922</v>
      </c>
      <c r="G400" s="1">
        <v>8.0399999999999991</v>
      </c>
      <c r="H400" s="1">
        <v>0</v>
      </c>
      <c r="I400" s="1">
        <v>0</v>
      </c>
      <c r="J400" s="1">
        <v>2.0472999999999999</v>
      </c>
      <c r="K400" s="1">
        <v>-6.0340000000000003E-3</v>
      </c>
      <c r="L400" s="1">
        <v>5.8450000000000004E-3</v>
      </c>
      <c r="M400" s="1">
        <v>0.71916800000000003</v>
      </c>
      <c r="N400" s="1">
        <v>0.69478499999999999</v>
      </c>
      <c r="O400">
        <v>1</v>
      </c>
      <c r="P400">
        <v>0</v>
      </c>
      <c r="Q400">
        <v>1</v>
      </c>
      <c r="R400">
        <v>1</v>
      </c>
      <c r="S400">
        <v>1</v>
      </c>
      <c r="T400" s="1">
        <f>SQRT(POWER(Dominus[[#This Row],[angvel_X]],2) + POWER(Dominus[[#This Row],[angvel_Y]],2) + POWER(Dominus[[#This Row],[angvel_Z]],2))</f>
        <v>2.0472999999999999</v>
      </c>
      <c r="U400" s="1">
        <f>DEGREES(ASIN(MAX(-1,MIN(1,2 * (Dominus[[#This Row],[quart_W]]*Dominus[[#This Row],[quart_Y]] - Dominus[[#This Row],[quart_Z]]*Dominus[[#This Row],[quart_X]])))))</f>
        <v>0.96266916755943588</v>
      </c>
      <c r="V40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-1.9758607600307048</v>
      </c>
      <c r="W40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89.998715903987687</v>
      </c>
      <c r="X400" s="1">
        <f>IF(Dominus[[#This Row],[Yaw]]&gt;V399,(360-ABS(Dominus[[#This Row],[Yaw]])-ABS(V399)),ABS(Dominus[[#This Row],[Yaw]]-V399))</f>
        <v>0.97704341111019732</v>
      </c>
      <c r="Y400" s="1">
        <f>Dominus[[#This Row],[Degree change]]+Y399</f>
        <v>331.12838317771025</v>
      </c>
    </row>
    <row r="401" spans="1:25">
      <c r="A401">
        <v>400</v>
      </c>
      <c r="B401" s="1">
        <v>379.97000100000002</v>
      </c>
      <c r="C401" s="1">
        <v>1504.869995</v>
      </c>
      <c r="D401" s="1">
        <v>17.049999</v>
      </c>
      <c r="E401" s="1">
        <v>21.689999</v>
      </c>
      <c r="F401" s="1">
        <v>2299.8798830000001</v>
      </c>
      <c r="G401" s="1">
        <v>8.0399999999999991</v>
      </c>
      <c r="H401" s="1">
        <v>0</v>
      </c>
      <c r="I401" s="1">
        <v>-1E-4</v>
      </c>
      <c r="J401" s="1">
        <v>2.0472999999999999</v>
      </c>
      <c r="K401" s="1">
        <v>-6.0829999999999999E-3</v>
      </c>
      <c r="L401" s="1">
        <v>5.7910000000000001E-3</v>
      </c>
      <c r="M401" s="1">
        <v>0.72506999999999999</v>
      </c>
      <c r="N401" s="1">
        <v>0.68862400000000001</v>
      </c>
      <c r="O401">
        <v>1</v>
      </c>
      <c r="P401">
        <v>0</v>
      </c>
      <c r="Q401">
        <v>1</v>
      </c>
      <c r="R401">
        <v>1</v>
      </c>
      <c r="S401">
        <v>1</v>
      </c>
      <c r="T401" s="1">
        <f>SQRT(POWER(Dominus[[#This Row],[angvel_X]],2) + POWER(Dominus[[#This Row],[angvel_Y]],2) + POWER(Dominus[[#This Row],[angvel_Z]],2))</f>
        <v>2.047300002442241</v>
      </c>
      <c r="U401" s="1">
        <f>DEGREES(ASIN(MAX(-1,MIN(1,2 * (Dominus[[#This Row],[quart_W]]*Dominus[[#This Row],[quart_Y]] - Dominus[[#This Row],[quart_Z]]*Dominus[[#This Row],[quart_X]])))))</f>
        <v>0.96243357497844595</v>
      </c>
      <c r="V40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-2.9536075248026625</v>
      </c>
      <c r="W40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89.99885614863588</v>
      </c>
      <c r="X401" s="1">
        <f>IF(Dominus[[#This Row],[Yaw]]&gt;V400,(360-ABS(Dominus[[#This Row],[Yaw]])-ABS(V400)),ABS(Dominus[[#This Row],[Yaw]]-V400))</f>
        <v>0.97774676477195777</v>
      </c>
      <c r="Y401" s="1">
        <f>Dominus[[#This Row],[Degree change]]+Y400</f>
        <v>332.1061299424822</v>
      </c>
    </row>
    <row r="402" spans="1:25">
      <c r="A402">
        <v>401</v>
      </c>
      <c r="B402" s="1">
        <v>380.14999399999999</v>
      </c>
      <c r="C402" s="1">
        <v>1524.099976</v>
      </c>
      <c r="D402" s="1">
        <v>17.049999</v>
      </c>
      <c r="E402" s="1">
        <v>-17.539999000000002</v>
      </c>
      <c r="F402" s="1">
        <v>2299.9099120000001</v>
      </c>
      <c r="G402" s="1">
        <v>8.0399999999999991</v>
      </c>
      <c r="H402" s="1">
        <v>0</v>
      </c>
      <c r="I402" s="1">
        <v>-1E-4</v>
      </c>
      <c r="J402" s="1">
        <v>2.0472999999999999</v>
      </c>
      <c r="K402" s="1">
        <v>-6.1310000000000002E-3</v>
      </c>
      <c r="L402" s="1">
        <v>5.7369999999999999E-3</v>
      </c>
      <c r="M402" s="1">
        <v>0.73091700000000004</v>
      </c>
      <c r="N402" s="1">
        <v>0.68241499999999999</v>
      </c>
      <c r="O402">
        <v>1</v>
      </c>
      <c r="P402">
        <v>0</v>
      </c>
      <c r="Q402">
        <v>1</v>
      </c>
      <c r="R402">
        <v>1</v>
      </c>
      <c r="S402">
        <v>1</v>
      </c>
      <c r="T402" s="1">
        <f>SQRT(POWER(Dominus[[#This Row],[angvel_X]],2) + POWER(Dominus[[#This Row],[angvel_Y]],2) + POWER(Dominus[[#This Row],[angvel_Z]],2))</f>
        <v>2.047300002442241</v>
      </c>
      <c r="U402" s="1">
        <f>DEGREES(ASIN(MAX(-1,MIN(1,2 * (Dominus[[#This Row],[quart_W]]*Dominus[[#This Row],[quart_Y]] - Dominus[[#This Row],[quart_Z]]*Dominus[[#This Row],[quart_X]])))))</f>
        <v>0.96218654811617033</v>
      </c>
      <c r="V40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-3.9309831069382355</v>
      </c>
      <c r="W40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89.998924467984722</v>
      </c>
      <c r="X402" s="1">
        <f>IF(Dominus[[#This Row],[Yaw]]&gt;V401,(360-ABS(Dominus[[#This Row],[Yaw]])-ABS(V401)),ABS(Dominus[[#This Row],[Yaw]]-V401))</f>
        <v>0.97737558213557296</v>
      </c>
      <c r="Y402" s="1">
        <f>Dominus[[#This Row],[Degree change]]+Y401</f>
        <v>333.08350552461775</v>
      </c>
    </row>
    <row r="403" spans="1:25">
      <c r="A403">
        <v>402</v>
      </c>
      <c r="B403" s="1">
        <v>380</v>
      </c>
      <c r="C403" s="1">
        <v>1543.329956</v>
      </c>
      <c r="D403" s="1">
        <v>17.049999</v>
      </c>
      <c r="E403" s="1">
        <v>-56.759998000000003</v>
      </c>
      <c r="F403" s="1">
        <v>2299.280029</v>
      </c>
      <c r="G403" s="1">
        <v>8.0399999999999991</v>
      </c>
      <c r="H403" s="1">
        <v>0</v>
      </c>
      <c r="I403" s="1">
        <v>-1E-4</v>
      </c>
      <c r="J403" s="1">
        <v>2.0472999999999999</v>
      </c>
      <c r="K403" s="1">
        <v>-6.1799999999999997E-3</v>
      </c>
      <c r="L403" s="1">
        <v>5.6829999999999997E-3</v>
      </c>
      <c r="M403" s="1">
        <v>0.73670999999999998</v>
      </c>
      <c r="N403" s="1">
        <v>0.67615700000000001</v>
      </c>
      <c r="O403">
        <v>1</v>
      </c>
      <c r="P403">
        <v>0</v>
      </c>
      <c r="Q403">
        <v>1</v>
      </c>
      <c r="R403">
        <v>1</v>
      </c>
      <c r="S403">
        <v>1</v>
      </c>
      <c r="T403" s="1">
        <f>SQRT(POWER(Dominus[[#This Row],[angvel_X]],2) + POWER(Dominus[[#This Row],[angvel_Y]],2) + POWER(Dominus[[#This Row],[angvel_Z]],2))</f>
        <v>2.047300002442241</v>
      </c>
      <c r="U403" s="1">
        <f>DEGREES(ASIN(MAX(-1,MIN(1,2 * (Dominus[[#This Row],[quart_W]]*Dominus[[#This Row],[quart_Y]] - Dominus[[#This Row],[quart_Z]]*Dominus[[#This Row],[quart_X]])))))</f>
        <v>0.96209498216550837</v>
      </c>
      <c r="V40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-4.9082201096066935</v>
      </c>
      <c r="W40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89.999074809728015</v>
      </c>
      <c r="X403" s="1">
        <f>IF(Dominus[[#This Row],[Yaw]]&gt;V402,(360-ABS(Dominus[[#This Row],[Yaw]])-ABS(V402)),ABS(Dominus[[#This Row],[Yaw]]-V402))</f>
        <v>0.97723700266845803</v>
      </c>
      <c r="Y403" s="1">
        <f>Dominus[[#This Row],[Degree change]]+Y402</f>
        <v>334.06074252728621</v>
      </c>
    </row>
    <row r="404" spans="1:25">
      <c r="A404">
        <v>403</v>
      </c>
      <c r="B404" s="1">
        <v>379.51998900000001</v>
      </c>
      <c r="C404" s="1">
        <v>1562.559937</v>
      </c>
      <c r="D404" s="1">
        <v>17.049999</v>
      </c>
      <c r="E404" s="1">
        <v>-95.970000999999996</v>
      </c>
      <c r="F404" s="1">
        <v>2297.9799800000001</v>
      </c>
      <c r="G404" s="1">
        <v>8.0399999999999991</v>
      </c>
      <c r="H404" s="1">
        <v>0</v>
      </c>
      <c r="I404" s="1">
        <v>-1E-4</v>
      </c>
      <c r="J404" s="1">
        <v>2.0472999999999999</v>
      </c>
      <c r="K404" s="1">
        <v>-6.228E-3</v>
      </c>
      <c r="L404" s="1">
        <v>5.6290000000000003E-3</v>
      </c>
      <c r="M404" s="1">
        <v>0.74244900000000003</v>
      </c>
      <c r="N404" s="1">
        <v>0.66984999999999995</v>
      </c>
      <c r="O404">
        <v>1</v>
      </c>
      <c r="P404">
        <v>0</v>
      </c>
      <c r="Q404">
        <v>1</v>
      </c>
      <c r="R404">
        <v>1</v>
      </c>
      <c r="S404">
        <v>1</v>
      </c>
      <c r="T404" s="1">
        <f>SQRT(POWER(Dominus[[#This Row],[angvel_X]],2) + POWER(Dominus[[#This Row],[angvel_Y]],2) + POWER(Dominus[[#This Row],[angvel_Z]],2))</f>
        <v>2.047300002442241</v>
      </c>
      <c r="U404" s="1">
        <f>DEGREES(ASIN(MAX(-1,MIN(1,2 * (Dominus[[#This Row],[quart_W]]*Dominus[[#This Row],[quart_Y]] - Dominus[[#This Row],[quart_Z]]*Dominus[[#This Row],[quart_X]])))))</f>
        <v>0.9619906881139284</v>
      </c>
      <c r="V40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-5.8853880360934934</v>
      </c>
      <c r="W40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89.999149654208381</v>
      </c>
      <c r="X404" s="1">
        <f>IF(Dominus[[#This Row],[Yaw]]&gt;V403,(360-ABS(Dominus[[#This Row],[Yaw]])-ABS(V403)),ABS(Dominus[[#This Row],[Yaw]]-V403))</f>
        <v>0.97716792648679984</v>
      </c>
      <c r="Y404" s="1">
        <f>Dominus[[#This Row],[Degree change]]+Y403</f>
        <v>335.03791045377301</v>
      </c>
    </row>
    <row r="405" spans="1:25">
      <c r="A405">
        <v>404</v>
      </c>
      <c r="B405" s="1">
        <v>378.709991</v>
      </c>
      <c r="C405" s="1">
        <v>1581.7799070000001</v>
      </c>
      <c r="D405" s="1">
        <v>17.049999</v>
      </c>
      <c r="E405" s="1">
        <v>-135.14999399999999</v>
      </c>
      <c r="F405" s="1">
        <v>2296.01001</v>
      </c>
      <c r="G405" s="1">
        <v>8.0399999999999991</v>
      </c>
      <c r="H405" s="1">
        <v>0</v>
      </c>
      <c r="I405" s="1">
        <v>-1E-4</v>
      </c>
      <c r="J405" s="1">
        <v>2.0472999999999999</v>
      </c>
      <c r="K405" s="1">
        <v>-6.2769999999999996E-3</v>
      </c>
      <c r="L405" s="1">
        <v>5.5760000000000002E-3</v>
      </c>
      <c r="M405" s="1">
        <v>0.74813799999999997</v>
      </c>
      <c r="N405" s="1">
        <v>0.66349000000000002</v>
      </c>
      <c r="O405">
        <v>1</v>
      </c>
      <c r="P405">
        <v>0</v>
      </c>
      <c r="Q405">
        <v>1</v>
      </c>
      <c r="R405">
        <v>1</v>
      </c>
      <c r="S405">
        <v>1</v>
      </c>
      <c r="T405" s="1">
        <f>SQRT(POWER(Dominus[[#This Row],[angvel_X]],2) + POWER(Dominus[[#This Row],[angvel_Y]],2) + POWER(Dominus[[#This Row],[angvel_Z]],2))</f>
        <v>2.047300002442241</v>
      </c>
      <c r="U405" s="1">
        <f>DEGREES(ASIN(MAX(-1,MIN(1,2 * (Dominus[[#This Row],[quart_W]]*Dominus[[#This Row],[quart_Y]] - Dominus[[#This Row],[quart_Z]]*Dominus[[#This Row],[quart_X]])))))</f>
        <v>0.96211955807121152</v>
      </c>
      <c r="V40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-6.86324551247505</v>
      </c>
      <c r="W40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89.999210265957302</v>
      </c>
      <c r="X405" s="1">
        <f>IF(Dominus[[#This Row],[Yaw]]&gt;V404,(360-ABS(Dominus[[#This Row],[Yaw]])-ABS(V404)),ABS(Dominus[[#This Row],[Yaw]]-V404))</f>
        <v>0.97785747638155662</v>
      </c>
      <c r="Y405" s="1">
        <f>Dominus[[#This Row],[Degree change]]+Y404</f>
        <v>336.01576793015454</v>
      </c>
    </row>
    <row r="406" spans="1:25">
      <c r="A406">
        <v>405</v>
      </c>
      <c r="B406" s="1">
        <v>377.57998700000002</v>
      </c>
      <c r="C406" s="1">
        <v>1600.9799800000001</v>
      </c>
      <c r="D406" s="1">
        <v>17.049999</v>
      </c>
      <c r="E406" s="1">
        <v>-174.28999300000001</v>
      </c>
      <c r="F406" s="1">
        <v>2293.3698730000001</v>
      </c>
      <c r="G406" s="1">
        <v>8.0399999999999991</v>
      </c>
      <c r="H406" s="1">
        <v>0</v>
      </c>
      <c r="I406" s="1">
        <v>-1E-4</v>
      </c>
      <c r="J406" s="1">
        <v>2.0472999999999999</v>
      </c>
      <c r="K406" s="1">
        <v>-6.3249999999999999E-3</v>
      </c>
      <c r="L406" s="1">
        <v>5.522E-3</v>
      </c>
      <c r="M406" s="1">
        <v>0.75376900000000002</v>
      </c>
      <c r="N406" s="1">
        <v>0.65708599999999995</v>
      </c>
      <c r="O406">
        <v>1</v>
      </c>
      <c r="P406">
        <v>0</v>
      </c>
      <c r="Q406">
        <v>1</v>
      </c>
      <c r="R406">
        <v>1</v>
      </c>
      <c r="S406">
        <v>1</v>
      </c>
      <c r="T406" s="1">
        <f>SQRT(POWER(Dominus[[#This Row],[angvel_X]],2) + POWER(Dominus[[#This Row],[angvel_Y]],2) + POWER(Dominus[[#This Row],[angvel_Z]],2))</f>
        <v>2.047300002442241</v>
      </c>
      <c r="U406" s="1">
        <f>DEGREES(ASIN(MAX(-1,MIN(1,2 * (Dominus[[#This Row],[quart_W]]*Dominus[[#This Row],[quart_Y]] - Dominus[[#This Row],[quart_Z]]*Dominus[[#This Row],[quart_X]])))))</f>
        <v>0.96215799188392637</v>
      </c>
      <c r="V40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-7.8404849394560605</v>
      </c>
      <c r="W40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89.999284450378411</v>
      </c>
      <c r="X406" s="1">
        <f>IF(Dominus[[#This Row],[Yaw]]&gt;V405,(360-ABS(Dominus[[#This Row],[Yaw]])-ABS(V405)),ABS(Dominus[[#This Row],[Yaw]]-V405))</f>
        <v>0.97723942698101052</v>
      </c>
      <c r="Y406" s="1">
        <f>Dominus[[#This Row],[Degree change]]+Y405</f>
        <v>336.99300735713553</v>
      </c>
    </row>
    <row r="407" spans="1:25">
      <c r="A407">
        <v>406</v>
      </c>
      <c r="B407" s="1">
        <v>376.11999500000002</v>
      </c>
      <c r="C407" s="1">
        <v>1620.1599120000001</v>
      </c>
      <c r="D407" s="1">
        <v>17.049999</v>
      </c>
      <c r="E407" s="1">
        <v>-213.37998999999999</v>
      </c>
      <c r="F407" s="1">
        <v>2290.0600589999999</v>
      </c>
      <c r="G407" s="1">
        <v>8.0399999999999991</v>
      </c>
      <c r="H407" s="1">
        <v>0</v>
      </c>
      <c r="I407" s="1">
        <v>-1E-4</v>
      </c>
      <c r="J407" s="1">
        <v>2.0472999999999999</v>
      </c>
      <c r="K407" s="1">
        <v>-6.3740000000000003E-3</v>
      </c>
      <c r="L407" s="1">
        <v>5.4679999999999998E-3</v>
      </c>
      <c r="M407" s="1">
        <v>0.75934500000000005</v>
      </c>
      <c r="N407" s="1">
        <v>0.65063400000000005</v>
      </c>
      <c r="O407">
        <v>1</v>
      </c>
      <c r="P407">
        <v>0</v>
      </c>
      <c r="Q407">
        <v>1</v>
      </c>
      <c r="R407">
        <v>1</v>
      </c>
      <c r="S407">
        <v>1</v>
      </c>
      <c r="T407" s="1">
        <f>SQRT(POWER(Dominus[[#This Row],[angvel_X]],2) + POWER(Dominus[[#This Row],[angvel_Y]],2) + POWER(Dominus[[#This Row],[angvel_Z]],2))</f>
        <v>2.047300002442241</v>
      </c>
      <c r="U407" s="1">
        <f>DEGREES(ASIN(MAX(-1,MIN(1,2 * (Dominus[[#This Row],[quart_W]]*Dominus[[#This Row],[quart_Y]] - Dominus[[#This Row],[quart_Z]]*Dominus[[#This Row],[quart_X]])))))</f>
        <v>0.9623544209231274</v>
      </c>
      <c r="V40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-8.8176982661930143</v>
      </c>
      <c r="W40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89.999431850082729</v>
      </c>
      <c r="X407" s="1">
        <f>IF(Dominus[[#This Row],[Yaw]]&gt;V406,(360-ABS(Dominus[[#This Row],[Yaw]])-ABS(V406)),ABS(Dominus[[#This Row],[Yaw]]-V406))</f>
        <v>0.97721332673695382</v>
      </c>
      <c r="Y407" s="1">
        <f>Dominus[[#This Row],[Degree change]]+Y406</f>
        <v>337.97022068387247</v>
      </c>
    </row>
    <row r="408" spans="1:25">
      <c r="A408">
        <v>407</v>
      </c>
      <c r="B408" s="1">
        <v>374.32998700000002</v>
      </c>
      <c r="C408" s="1">
        <v>1639.309937</v>
      </c>
      <c r="D408" s="1">
        <v>17.049999</v>
      </c>
      <c r="E408" s="1">
        <v>-252.409988</v>
      </c>
      <c r="F408" s="1">
        <v>2286.0898440000001</v>
      </c>
      <c r="G408" s="1">
        <v>8.0399999999999991</v>
      </c>
      <c r="H408" s="1">
        <v>0</v>
      </c>
      <c r="I408" s="1">
        <v>-1E-4</v>
      </c>
      <c r="J408" s="1">
        <v>2.0472999999999999</v>
      </c>
      <c r="K408" s="1">
        <v>-6.4229999999999999E-3</v>
      </c>
      <c r="L408" s="1">
        <v>5.4140000000000004E-3</v>
      </c>
      <c r="M408" s="1">
        <v>0.76486699999999996</v>
      </c>
      <c r="N408" s="1">
        <v>0.64413299999999996</v>
      </c>
      <c r="O408">
        <v>1</v>
      </c>
      <c r="P408">
        <v>0</v>
      </c>
      <c r="Q408">
        <v>1</v>
      </c>
      <c r="R408">
        <v>1</v>
      </c>
      <c r="S408">
        <v>1</v>
      </c>
      <c r="T408" s="1">
        <f>SQRT(POWER(Dominus[[#This Row],[angvel_X]],2) + POWER(Dominus[[#This Row],[angvel_Y]],2) + POWER(Dominus[[#This Row],[angvel_Z]],2))</f>
        <v>2.047300002442241</v>
      </c>
      <c r="U408" s="1">
        <f>DEGREES(ASIN(MAX(-1,MIN(1,2 * (Dominus[[#This Row],[quart_W]]*Dominus[[#This Row],[quart_Y]] - Dominus[[#This Row],[quart_Z]]*Dominus[[#This Row],[quart_X]])))))</f>
        <v>0.96262318303961936</v>
      </c>
      <c r="V40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-9.7951336907544757</v>
      </c>
      <c r="W40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89.999573237587967</v>
      </c>
      <c r="X408" s="1">
        <f>IF(Dominus[[#This Row],[Yaw]]&gt;V407,(360-ABS(Dominus[[#This Row],[Yaw]])-ABS(V407)),ABS(Dominus[[#This Row],[Yaw]]-V407))</f>
        <v>0.97743542456146137</v>
      </c>
      <c r="Y408" s="1">
        <f>Dominus[[#This Row],[Degree change]]+Y407</f>
        <v>338.94765610843393</v>
      </c>
    </row>
    <row r="409" spans="1:25">
      <c r="A409">
        <v>408</v>
      </c>
      <c r="B409" s="1">
        <v>372.209991</v>
      </c>
      <c r="C409" s="1">
        <v>1658.429932</v>
      </c>
      <c r="D409" s="1">
        <v>17.049999</v>
      </c>
      <c r="E409" s="1">
        <v>-291.36999500000002</v>
      </c>
      <c r="F409" s="1">
        <v>2281.4499510000001</v>
      </c>
      <c r="G409" s="1">
        <v>8.0399999999999991</v>
      </c>
      <c r="H409" s="1">
        <v>0</v>
      </c>
      <c r="I409" s="1">
        <v>0</v>
      </c>
      <c r="J409" s="1">
        <v>2.0472999999999999</v>
      </c>
      <c r="K409" s="1">
        <v>-6.4710000000000002E-3</v>
      </c>
      <c r="L409" s="1">
        <v>5.3600000000000002E-3</v>
      </c>
      <c r="M409" s="1">
        <v>0.77033499999999999</v>
      </c>
      <c r="N409" s="1">
        <v>0.63758400000000004</v>
      </c>
      <c r="O409">
        <v>1</v>
      </c>
      <c r="P409">
        <v>0</v>
      </c>
      <c r="Q409">
        <v>1</v>
      </c>
      <c r="R409">
        <v>1</v>
      </c>
      <c r="S409">
        <v>1</v>
      </c>
      <c r="T409" s="1">
        <f>SQRT(POWER(Dominus[[#This Row],[angvel_X]],2) + POWER(Dominus[[#This Row],[angvel_Y]],2) + POWER(Dominus[[#This Row],[angvel_Z]],2))</f>
        <v>2.0472999999999999</v>
      </c>
      <c r="U409" s="1">
        <f>DEGREES(ASIN(MAX(-1,MIN(1,2 * (Dominus[[#This Row],[quart_W]]*Dominus[[#This Row],[quart_Y]] - Dominus[[#This Row],[quart_Z]]*Dominus[[#This Row],[quart_X]])))))</f>
        <v>0.96287660619162196</v>
      </c>
      <c r="V40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-10.772853121763859</v>
      </c>
      <c r="W40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89.999634454479647</v>
      </c>
      <c r="X409" s="1">
        <f>IF(Dominus[[#This Row],[Yaw]]&gt;V408,(360-ABS(Dominus[[#This Row],[Yaw]])-ABS(V408)),ABS(Dominus[[#This Row],[Yaw]]-V408))</f>
        <v>0.9777194310093833</v>
      </c>
      <c r="Y409" s="1">
        <f>Dominus[[#This Row],[Degree change]]+Y408</f>
        <v>339.92537553944334</v>
      </c>
    </row>
    <row r="410" spans="1:25">
      <c r="A410">
        <v>409</v>
      </c>
      <c r="B410" s="1">
        <v>369.76998900000001</v>
      </c>
      <c r="C410" s="1">
        <v>1677.51001</v>
      </c>
      <c r="D410" s="1">
        <v>17.049999</v>
      </c>
      <c r="E410" s="1">
        <v>-330.25</v>
      </c>
      <c r="F410" s="1">
        <v>2276.1499020000001</v>
      </c>
      <c r="G410" s="1">
        <v>8.0399999999999991</v>
      </c>
      <c r="H410" s="1">
        <v>1E-4</v>
      </c>
      <c r="I410" s="1">
        <v>0</v>
      </c>
      <c r="J410" s="1">
        <v>2.0472999999999999</v>
      </c>
      <c r="K410" s="1">
        <v>-6.5139999999999998E-3</v>
      </c>
      <c r="L410" s="1">
        <v>5.306E-3</v>
      </c>
      <c r="M410" s="1">
        <v>0.77574399999999999</v>
      </c>
      <c r="N410" s="1">
        <v>0.63099099999999997</v>
      </c>
      <c r="O410">
        <v>1</v>
      </c>
      <c r="P410">
        <v>0</v>
      </c>
      <c r="Q410">
        <v>1</v>
      </c>
      <c r="R410">
        <v>1</v>
      </c>
      <c r="S410">
        <v>1</v>
      </c>
      <c r="T410" s="1">
        <f>SQRT(POWER(Dominus[[#This Row],[angvel_X]],2) + POWER(Dominus[[#This Row],[angvel_Y]],2) + POWER(Dominus[[#This Row],[angvel_Z]],2))</f>
        <v>2.047300002442241</v>
      </c>
      <c r="U410" s="1">
        <f>DEGREES(ASIN(MAX(-1,MIN(1,2 * (Dominus[[#This Row],[quart_W]]*Dominus[[#This Row],[quart_Y]] - Dominus[[#This Row],[quart_Z]]*Dominus[[#This Row],[quart_X]])))))</f>
        <v>0.96275588263837508</v>
      </c>
      <c r="V41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-11.750062117986168</v>
      </c>
      <c r="W41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89.999332720510878</v>
      </c>
      <c r="X410" s="1">
        <f>IF(Dominus[[#This Row],[Yaw]]&gt;V409,(360-ABS(Dominus[[#This Row],[Yaw]])-ABS(V409)),ABS(Dominus[[#This Row],[Yaw]]-V409))</f>
        <v>0.97720899622230917</v>
      </c>
      <c r="Y410" s="1">
        <f>Dominus[[#This Row],[Degree change]]+Y409</f>
        <v>340.90258453566565</v>
      </c>
    </row>
    <row r="411" spans="1:25">
      <c r="A411">
        <v>410</v>
      </c>
      <c r="B411" s="1">
        <v>367</v>
      </c>
      <c r="C411" s="1">
        <v>1696.549927</v>
      </c>
      <c r="D411" s="1">
        <v>17.049999</v>
      </c>
      <c r="E411" s="1">
        <v>-369.02999899999998</v>
      </c>
      <c r="F411" s="1">
        <v>2270.179932</v>
      </c>
      <c r="G411" s="1">
        <v>8.0399999999999991</v>
      </c>
      <c r="H411" s="1">
        <v>1E-4</v>
      </c>
      <c r="I411" s="1">
        <v>0</v>
      </c>
      <c r="J411" s="1">
        <v>2.0472999999999999</v>
      </c>
      <c r="K411" s="1">
        <v>-6.5570000000000003E-3</v>
      </c>
      <c r="L411" s="1">
        <v>5.2519999999999997E-3</v>
      </c>
      <c r="M411" s="1">
        <v>0.78109899999999999</v>
      </c>
      <c r="N411" s="1">
        <v>0.62434999999999996</v>
      </c>
      <c r="O411">
        <v>1</v>
      </c>
      <c r="P411">
        <v>0</v>
      </c>
      <c r="Q411">
        <v>1</v>
      </c>
      <c r="R411">
        <v>1</v>
      </c>
      <c r="S411">
        <v>1</v>
      </c>
      <c r="T411" s="1">
        <f>SQRT(POWER(Dominus[[#This Row],[angvel_X]],2) + POWER(Dominus[[#This Row],[angvel_Y]],2) + POWER(Dominus[[#This Row],[angvel_Z]],2))</f>
        <v>2.047300002442241</v>
      </c>
      <c r="U411" s="1">
        <f>DEGREES(ASIN(MAX(-1,MIN(1,2 * (Dominus[[#This Row],[quart_W]]*Dominus[[#This Row],[quart_Y]] - Dominus[[#This Row],[quart_Z]]*Dominus[[#This Row],[quart_X]])))))</f>
        <v>0.96270060514906197</v>
      </c>
      <c r="V41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-12.727699050275826</v>
      </c>
      <c r="W41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89.999029387308568</v>
      </c>
      <c r="X411" s="1">
        <f>IF(Dominus[[#This Row],[Yaw]]&gt;V410,(360-ABS(Dominus[[#This Row],[Yaw]])-ABS(V410)),ABS(Dominus[[#This Row],[Yaw]]-V410))</f>
        <v>0.97763693228965742</v>
      </c>
      <c r="Y411" s="1">
        <f>Dominus[[#This Row],[Degree change]]+Y410</f>
        <v>341.88022146795532</v>
      </c>
    </row>
    <row r="412" spans="1:25">
      <c r="A412">
        <v>411</v>
      </c>
      <c r="B412" s="1">
        <v>363.91000400000001</v>
      </c>
      <c r="C412" s="1">
        <v>1715.5399170000001</v>
      </c>
      <c r="D412" s="1">
        <v>17.049999</v>
      </c>
      <c r="E412" s="1">
        <v>-407.69998199999998</v>
      </c>
      <c r="F412" s="1">
        <v>2263.5600589999999</v>
      </c>
      <c r="G412" s="1">
        <v>8.0399999999999991</v>
      </c>
      <c r="H412" s="1">
        <v>1E-4</v>
      </c>
      <c r="I412" s="1">
        <v>0</v>
      </c>
      <c r="J412" s="1">
        <v>2.0472999999999999</v>
      </c>
      <c r="K412" s="1">
        <v>-6.6010000000000001E-3</v>
      </c>
      <c r="L412" s="1">
        <v>5.1980000000000004E-3</v>
      </c>
      <c r="M412" s="1">
        <v>0.78639499999999996</v>
      </c>
      <c r="N412" s="1">
        <v>0.61766600000000005</v>
      </c>
      <c r="O412">
        <v>1</v>
      </c>
      <c r="P412">
        <v>0</v>
      </c>
      <c r="Q412">
        <v>1</v>
      </c>
      <c r="R412">
        <v>1</v>
      </c>
      <c r="S412">
        <v>1</v>
      </c>
      <c r="T412" s="1">
        <f>SQRT(POWER(Dominus[[#This Row],[angvel_X]],2) + POWER(Dominus[[#This Row],[angvel_Y]],2) + POWER(Dominus[[#This Row],[angvel_Z]],2))</f>
        <v>2.047300002442241</v>
      </c>
      <c r="U412" s="1">
        <f>DEGREES(ASIN(MAX(-1,MIN(1,2 * (Dominus[[#This Row],[quart_W]]*Dominus[[#This Row],[quart_Y]] - Dominus[[#This Row],[quart_Z]]*Dominus[[#This Row],[quart_X]])))))</f>
        <v>0.96280019010492357</v>
      </c>
      <c r="V41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-13.704944060187618</v>
      </c>
      <c r="W41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89.998800292596954</v>
      </c>
      <c r="X412" s="1">
        <f>IF(Dominus[[#This Row],[Yaw]]&gt;V411,(360-ABS(Dominus[[#This Row],[Yaw]])-ABS(V411)),ABS(Dominus[[#This Row],[Yaw]]-V411))</f>
        <v>0.9772450099117922</v>
      </c>
      <c r="Y412" s="1">
        <f>Dominus[[#This Row],[Degree change]]+Y411</f>
        <v>342.85746647786709</v>
      </c>
    </row>
    <row r="413" spans="1:25">
      <c r="A413">
        <v>412</v>
      </c>
      <c r="B413" s="1">
        <v>360.5</v>
      </c>
      <c r="C413" s="1">
        <v>1734.469971</v>
      </c>
      <c r="D413" s="1">
        <v>17.049999</v>
      </c>
      <c r="E413" s="1">
        <v>-446.25</v>
      </c>
      <c r="F413" s="1">
        <v>2256.2700199999999</v>
      </c>
      <c r="G413" s="1">
        <v>8.0399999999999991</v>
      </c>
      <c r="H413" s="1">
        <v>1E-4</v>
      </c>
      <c r="I413" s="1">
        <v>0</v>
      </c>
      <c r="J413" s="1">
        <v>2.0472999999999999</v>
      </c>
      <c r="K413" s="1">
        <v>-6.6439999999999997E-3</v>
      </c>
      <c r="L413" s="1">
        <v>5.1390000000000003E-3</v>
      </c>
      <c r="M413" s="1">
        <v>0.79163700000000004</v>
      </c>
      <c r="N413" s="1">
        <v>0.61093299999999995</v>
      </c>
      <c r="O413">
        <v>1</v>
      </c>
      <c r="P413">
        <v>0</v>
      </c>
      <c r="Q413">
        <v>1</v>
      </c>
      <c r="R413">
        <v>1</v>
      </c>
      <c r="S413">
        <v>1</v>
      </c>
      <c r="T413" s="1">
        <f>SQRT(POWER(Dominus[[#This Row],[angvel_X]],2) + POWER(Dominus[[#This Row],[angvel_Y]],2) + POWER(Dominus[[#This Row],[angvel_Z]],2))</f>
        <v>2.047300002442241</v>
      </c>
      <c r="U413" s="1">
        <f>DEGREES(ASIN(MAX(-1,MIN(1,2 * (Dominus[[#This Row],[quart_W]]*Dominus[[#This Row],[quart_Y]] - Dominus[[#This Row],[quart_Z]]*Dominus[[#This Row],[quart_X]])))))</f>
        <v>0.96252509165687239</v>
      </c>
      <c r="V41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-14.682780746636537</v>
      </c>
      <c r="W41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89.998947478015637</v>
      </c>
      <c r="X413" s="1">
        <f>IF(Dominus[[#This Row],[Yaw]]&gt;V412,(360-ABS(Dominus[[#This Row],[Yaw]])-ABS(V412)),ABS(Dominus[[#This Row],[Yaw]]-V412))</f>
        <v>0.97783668644891897</v>
      </c>
      <c r="Y413" s="1">
        <f>Dominus[[#This Row],[Degree change]]+Y412</f>
        <v>343.83530316431603</v>
      </c>
    </row>
    <row r="414" spans="1:25">
      <c r="A414">
        <v>413</v>
      </c>
      <c r="B414" s="1">
        <v>356.75997899999999</v>
      </c>
      <c r="C414" s="1">
        <v>1753.339966</v>
      </c>
      <c r="D414" s="1">
        <v>17.049999</v>
      </c>
      <c r="E414" s="1">
        <v>-484.67999300000002</v>
      </c>
      <c r="F414" s="1">
        <v>2248.3298340000001</v>
      </c>
      <c r="G414" s="1">
        <v>8.0399999999999991</v>
      </c>
      <c r="H414" s="1">
        <v>1E-4</v>
      </c>
      <c r="I414" s="1">
        <v>0</v>
      </c>
      <c r="J414" s="1">
        <v>2.0472999999999999</v>
      </c>
      <c r="K414" s="1">
        <v>-6.6870000000000002E-3</v>
      </c>
      <c r="L414" s="1">
        <v>5.0790000000000002E-3</v>
      </c>
      <c r="M414" s="1">
        <v>0.796821</v>
      </c>
      <c r="N414" s="1">
        <v>0.60415700000000006</v>
      </c>
      <c r="O414">
        <v>1</v>
      </c>
      <c r="P414">
        <v>0</v>
      </c>
      <c r="Q414">
        <v>1</v>
      </c>
      <c r="R414">
        <v>1</v>
      </c>
      <c r="S414">
        <v>1</v>
      </c>
      <c r="T414" s="1">
        <f>SQRT(POWER(Dominus[[#This Row],[angvel_X]],2) + POWER(Dominus[[#This Row],[angvel_Y]],2) + POWER(Dominus[[#This Row],[angvel_Z]],2))</f>
        <v>2.047300002442241</v>
      </c>
      <c r="U414" s="1">
        <f>DEGREES(ASIN(MAX(-1,MIN(1,2 * (Dominus[[#This Row],[quart_W]]*Dominus[[#This Row],[quart_Y]] - Dominus[[#This Row],[quart_Z]]*Dominus[[#This Row],[quart_X]])))))</f>
        <v>0.96225398880000523</v>
      </c>
      <c r="V41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-15.660524382137247</v>
      </c>
      <c r="W41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89.999191327917046</v>
      </c>
      <c r="X414" s="1">
        <f>IF(Dominus[[#This Row],[Yaw]]&gt;V413,(360-ABS(Dominus[[#This Row],[Yaw]])-ABS(V413)),ABS(Dominus[[#This Row],[Yaw]]-V413))</f>
        <v>0.97774363550071008</v>
      </c>
      <c r="Y414" s="1">
        <f>Dominus[[#This Row],[Degree change]]+Y413</f>
        <v>344.81304679981673</v>
      </c>
    </row>
    <row r="415" spans="1:25">
      <c r="A415">
        <v>414</v>
      </c>
      <c r="B415" s="1">
        <v>352.69998199999998</v>
      </c>
      <c r="C415" s="1">
        <v>1772.1400149999999</v>
      </c>
      <c r="D415" s="1">
        <v>17.049999</v>
      </c>
      <c r="E415" s="1">
        <v>-522.96997099999999</v>
      </c>
      <c r="F415" s="1">
        <v>2239.73999</v>
      </c>
      <c r="G415" s="1">
        <v>8.0399999999999991</v>
      </c>
      <c r="H415" s="1">
        <v>1E-4</v>
      </c>
      <c r="I415" s="1">
        <v>0</v>
      </c>
      <c r="J415" s="1">
        <v>2.0472999999999999</v>
      </c>
      <c r="K415" s="1">
        <v>-6.7299999999999999E-3</v>
      </c>
      <c r="L415" s="1">
        <v>5.0200000000000002E-3</v>
      </c>
      <c r="M415" s="1">
        <v>0.80194500000000002</v>
      </c>
      <c r="N415" s="1">
        <v>0.59733800000000004</v>
      </c>
      <c r="O415">
        <v>1</v>
      </c>
      <c r="P415">
        <v>0</v>
      </c>
      <c r="Q415">
        <v>1</v>
      </c>
      <c r="R415">
        <v>1</v>
      </c>
      <c r="S415">
        <v>1</v>
      </c>
      <c r="T415" s="1">
        <f>SQRT(POWER(Dominus[[#This Row],[angvel_X]],2) + POWER(Dominus[[#This Row],[angvel_Y]],2) + POWER(Dominus[[#This Row],[angvel_Z]],2))</f>
        <v>2.047300002442241</v>
      </c>
      <c r="U415" s="1">
        <f>DEGREES(ASIN(MAX(-1,MIN(1,2 * (Dominus[[#This Row],[quart_W]]*Dominus[[#This Row],[quart_Y]] - Dominus[[#This Row],[quart_Z]]*Dominus[[#This Row],[quart_X]])))))</f>
        <v>0.9621246173142739</v>
      </c>
      <c r="V41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-16.63792994268141</v>
      </c>
      <c r="W41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89.999349124436947</v>
      </c>
      <c r="X415" s="1">
        <f>IF(Dominus[[#This Row],[Yaw]]&gt;V414,(360-ABS(Dominus[[#This Row],[Yaw]])-ABS(V414)),ABS(Dominus[[#This Row],[Yaw]]-V414))</f>
        <v>0.97740556054416317</v>
      </c>
      <c r="Y415" s="1">
        <f>Dominus[[#This Row],[Degree change]]+Y414</f>
        <v>345.79045236036092</v>
      </c>
    </row>
    <row r="416" spans="1:25">
      <c r="A416">
        <v>415</v>
      </c>
      <c r="B416" s="1">
        <v>348.32000699999998</v>
      </c>
      <c r="C416" s="1">
        <v>1790.869995</v>
      </c>
      <c r="D416" s="1">
        <v>17.049999</v>
      </c>
      <c r="E416" s="1">
        <v>-561.09997599999997</v>
      </c>
      <c r="F416" s="1">
        <v>2230.48999</v>
      </c>
      <c r="G416" s="1">
        <v>8.0399999999999991</v>
      </c>
      <c r="H416" s="1">
        <v>1E-4</v>
      </c>
      <c r="I416" s="1">
        <v>0</v>
      </c>
      <c r="J416" s="1">
        <v>2.0472999999999999</v>
      </c>
      <c r="K416" s="1">
        <v>-6.7730000000000004E-3</v>
      </c>
      <c r="L416" s="1">
        <v>4.9610000000000001E-3</v>
      </c>
      <c r="M416" s="1">
        <v>0.80701100000000003</v>
      </c>
      <c r="N416" s="1">
        <v>0.590476</v>
      </c>
      <c r="O416">
        <v>1</v>
      </c>
      <c r="P416">
        <v>0</v>
      </c>
      <c r="Q416">
        <v>1</v>
      </c>
      <c r="R416">
        <v>1</v>
      </c>
      <c r="S416">
        <v>1</v>
      </c>
      <c r="T416" s="1">
        <f>SQRT(POWER(Dominus[[#This Row],[angvel_X]],2) + POWER(Dominus[[#This Row],[angvel_Y]],2) + POWER(Dominus[[#This Row],[angvel_Z]],2))</f>
        <v>2.047300002442241</v>
      </c>
      <c r="U416" s="1">
        <f>DEGREES(ASIN(MAX(-1,MIN(1,2 * (Dominus[[#This Row],[quart_W]]*Dominus[[#This Row],[quart_Y]] - Dominus[[#This Row],[quart_Z]]*Dominus[[#This Row],[quart_X]])))))</f>
        <v>0.96206849723926879</v>
      </c>
      <c r="V41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-17.615378967162169</v>
      </c>
      <c r="W41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89.999508605323967</v>
      </c>
      <c r="X416" s="1">
        <f>IF(Dominus[[#This Row],[Yaw]]&gt;V415,(360-ABS(Dominus[[#This Row],[Yaw]])-ABS(V415)),ABS(Dominus[[#This Row],[Yaw]]-V415))</f>
        <v>0.97744902448075877</v>
      </c>
      <c r="Y416" s="1">
        <f>Dominus[[#This Row],[Degree change]]+Y415</f>
        <v>346.76790138484165</v>
      </c>
    </row>
    <row r="417" spans="1:25">
      <c r="A417">
        <v>416</v>
      </c>
      <c r="B417" s="1">
        <v>343.61999500000002</v>
      </c>
      <c r="C417" s="1">
        <v>1809.5200199999999</v>
      </c>
      <c r="D417" s="1">
        <v>17.049999</v>
      </c>
      <c r="E417" s="1">
        <v>-599.07000700000003</v>
      </c>
      <c r="F417" s="1">
        <v>2220.5898440000001</v>
      </c>
      <c r="G417" s="1">
        <v>8.0399999999999991</v>
      </c>
      <c r="H417" s="1">
        <v>1E-4</v>
      </c>
      <c r="I417" s="1">
        <v>0</v>
      </c>
      <c r="J417" s="1">
        <v>2.0472999999999999</v>
      </c>
      <c r="K417" s="1">
        <v>-6.816E-3</v>
      </c>
      <c r="L417" s="1">
        <v>4.901E-3</v>
      </c>
      <c r="M417" s="1">
        <v>0.81201900000000005</v>
      </c>
      <c r="N417" s="1">
        <v>0.58357099999999995</v>
      </c>
      <c r="O417">
        <v>1</v>
      </c>
      <c r="P417">
        <v>0</v>
      </c>
      <c r="Q417">
        <v>1</v>
      </c>
      <c r="R417">
        <v>1</v>
      </c>
      <c r="S417">
        <v>1</v>
      </c>
      <c r="T417" s="1">
        <f>SQRT(POWER(Dominus[[#This Row],[angvel_X]],2) + POWER(Dominus[[#This Row],[angvel_Y]],2) + POWER(Dominus[[#This Row],[angvel_Z]],2))</f>
        <v>2.047300002442241</v>
      </c>
      <c r="U417" s="1">
        <f>DEGREES(ASIN(MAX(-1,MIN(1,2 * (Dominus[[#This Row],[quart_W]]*Dominus[[#This Row],[quart_Y]] - Dominus[[#This Row],[quart_Z]]*Dominus[[#This Row],[quart_X]])))))</f>
        <v>0.962018761617082</v>
      </c>
      <c r="V41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-18.592939073695561</v>
      </c>
      <c r="W41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89.999761021943954</v>
      </c>
      <c r="X417" s="1">
        <f>IF(Dominus[[#This Row],[Yaw]]&gt;V416,(360-ABS(Dominus[[#This Row],[Yaw]])-ABS(V416)),ABS(Dominus[[#This Row],[Yaw]]-V416))</f>
        <v>0.97756010653339231</v>
      </c>
      <c r="Y417" s="1">
        <f>Dominus[[#This Row],[Degree change]]+Y416</f>
        <v>347.74546149137507</v>
      </c>
    </row>
    <row r="418" spans="1:25">
      <c r="A418">
        <v>417</v>
      </c>
      <c r="B418" s="1">
        <v>338.60998499999999</v>
      </c>
      <c r="C418" s="1">
        <v>1828.089966</v>
      </c>
      <c r="D418" s="1">
        <v>17.049999</v>
      </c>
      <c r="E418" s="1">
        <v>-636.85998500000005</v>
      </c>
      <c r="F418" s="1">
        <v>2210.0500489999999</v>
      </c>
      <c r="G418" s="1">
        <v>8.0399999999999991</v>
      </c>
      <c r="H418" s="1">
        <v>1E-4</v>
      </c>
      <c r="I418" s="1">
        <v>0</v>
      </c>
      <c r="J418" s="1">
        <v>2.0472999999999999</v>
      </c>
      <c r="K418" s="1">
        <v>-6.8599999999999998E-3</v>
      </c>
      <c r="L418" s="1">
        <v>4.8419999999999999E-3</v>
      </c>
      <c r="M418" s="1">
        <v>0.81696800000000003</v>
      </c>
      <c r="N418" s="1">
        <v>0.57662199999999997</v>
      </c>
      <c r="O418">
        <v>1</v>
      </c>
      <c r="P418">
        <v>0</v>
      </c>
      <c r="Q418">
        <v>1</v>
      </c>
      <c r="R418">
        <v>1</v>
      </c>
      <c r="S418">
        <v>1</v>
      </c>
      <c r="T418" s="1">
        <f>SQRT(POWER(Dominus[[#This Row],[angvel_X]],2) + POWER(Dominus[[#This Row],[angvel_Y]],2) + POWER(Dominus[[#This Row],[angvel_Z]],2))</f>
        <v>2.047300002442241</v>
      </c>
      <c r="U418" s="1">
        <f>DEGREES(ASIN(MAX(-1,MIN(1,2 * (Dominus[[#This Row],[quart_W]]*Dominus[[#This Row],[quart_Y]] - Dominus[[#This Row],[quart_Z]]*Dominus[[#This Row],[quart_X]])))))</f>
        <v>0.9622022748166551</v>
      </c>
      <c r="V41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-19.570560618638794</v>
      </c>
      <c r="W41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89.999984856194345</v>
      </c>
      <c r="X418" s="1">
        <f>IF(Dominus[[#This Row],[Yaw]]&gt;V417,(360-ABS(Dominus[[#This Row],[Yaw]])-ABS(V417)),ABS(Dominus[[#This Row],[Yaw]]-V417))</f>
        <v>0.97762154494323283</v>
      </c>
      <c r="Y418" s="1">
        <f>Dominus[[#This Row],[Degree change]]+Y417</f>
        <v>348.72308303631831</v>
      </c>
    </row>
    <row r="419" spans="1:25">
      <c r="A419">
        <v>418</v>
      </c>
      <c r="B419" s="1">
        <v>333.27999899999998</v>
      </c>
      <c r="C419" s="1">
        <v>1846.5699460000001</v>
      </c>
      <c r="D419" s="1">
        <v>17.049999</v>
      </c>
      <c r="E419" s="1">
        <v>-674.46997099999999</v>
      </c>
      <c r="F419" s="1">
        <v>2198.8598630000001</v>
      </c>
      <c r="G419" s="1">
        <v>8.0399999999999991</v>
      </c>
      <c r="H419" s="1">
        <v>1E-4</v>
      </c>
      <c r="I419" s="1">
        <v>0</v>
      </c>
      <c r="J419" s="1">
        <v>2.0472999999999999</v>
      </c>
      <c r="K419" s="1">
        <v>-6.9030000000000003E-3</v>
      </c>
      <c r="L419" s="1">
        <v>4.7829999999999999E-3</v>
      </c>
      <c r="M419" s="1">
        <v>0.82185799999999998</v>
      </c>
      <c r="N419" s="1">
        <v>0.569631</v>
      </c>
      <c r="O419">
        <v>1</v>
      </c>
      <c r="P419">
        <v>0</v>
      </c>
      <c r="Q419">
        <v>1</v>
      </c>
      <c r="R419">
        <v>1</v>
      </c>
      <c r="S419">
        <v>1</v>
      </c>
      <c r="T419" s="1">
        <f>SQRT(POWER(Dominus[[#This Row],[angvel_X]],2) + POWER(Dominus[[#This Row],[angvel_Y]],2) + POWER(Dominus[[#This Row],[angvel_Z]],2))</f>
        <v>2.047300002442241</v>
      </c>
      <c r="U419" s="1">
        <f>DEGREES(ASIN(MAX(-1,MIN(1,2 * (Dominus[[#This Row],[quart_W]]*Dominus[[#This Row],[quart_Y]] - Dominus[[#This Row],[quart_Z]]*Dominus[[#This Row],[quart_X]])))))</f>
        <v>0.96236577912171972</v>
      </c>
      <c r="V41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-20.548255310531982</v>
      </c>
      <c r="W41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90.000139360587127</v>
      </c>
      <c r="X419" s="1">
        <f>IF(Dominus[[#This Row],[Yaw]]&gt;V418,(360-ABS(Dominus[[#This Row],[Yaw]])-ABS(V418)),ABS(Dominus[[#This Row],[Yaw]]-V418))</f>
        <v>0.9776946918931877</v>
      </c>
      <c r="Y419" s="1">
        <f>Dominus[[#This Row],[Degree change]]+Y418</f>
        <v>349.70077772821151</v>
      </c>
    </row>
    <row r="420" spans="1:25">
      <c r="A420">
        <v>419</v>
      </c>
      <c r="B420" s="1">
        <v>327.63998400000003</v>
      </c>
      <c r="C420" s="1">
        <v>1864.959961</v>
      </c>
      <c r="D420" s="1">
        <v>17.049999</v>
      </c>
      <c r="E420" s="1">
        <v>-711.88995399999999</v>
      </c>
      <c r="F420" s="1">
        <v>2187.040039</v>
      </c>
      <c r="G420" s="1">
        <v>8.0399999999999991</v>
      </c>
      <c r="H420" s="1">
        <v>1E-4</v>
      </c>
      <c r="I420" s="1">
        <v>0</v>
      </c>
      <c r="J420" s="1">
        <v>2.0472999999999999</v>
      </c>
      <c r="K420" s="1">
        <v>-6.94E-3</v>
      </c>
      <c r="L420" s="1">
        <v>4.7229999999999998E-3</v>
      </c>
      <c r="M420" s="1">
        <v>0.82668600000000003</v>
      </c>
      <c r="N420" s="1">
        <v>0.56260100000000002</v>
      </c>
      <c r="O420">
        <v>1</v>
      </c>
      <c r="P420">
        <v>0</v>
      </c>
      <c r="Q420">
        <v>1</v>
      </c>
      <c r="R420">
        <v>1</v>
      </c>
      <c r="S420">
        <v>1</v>
      </c>
      <c r="T420" s="1">
        <f>SQRT(POWER(Dominus[[#This Row],[angvel_X]],2) + POWER(Dominus[[#This Row],[angvel_Y]],2) + POWER(Dominus[[#This Row],[angvel_Z]],2))</f>
        <v>2.047300002442241</v>
      </c>
      <c r="U420" s="1">
        <f>DEGREES(ASIN(MAX(-1,MIN(1,2 * (Dominus[[#This Row],[quart_W]]*Dominus[[#This Row],[quart_Y]] - Dominus[[#This Row],[quart_Z]]*Dominus[[#This Row],[quart_X]])))))</f>
        <v>0.96196860790668737</v>
      </c>
      <c r="V42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-21.525529668474462</v>
      </c>
      <c r="W42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90.000001485545155</v>
      </c>
      <c r="X420" s="1">
        <f>IF(Dominus[[#This Row],[Yaw]]&gt;V419,(360-ABS(Dominus[[#This Row],[Yaw]])-ABS(V419)),ABS(Dominus[[#This Row],[Yaw]]-V419))</f>
        <v>0.97727435794248052</v>
      </c>
      <c r="Y420" s="1">
        <f>Dominus[[#This Row],[Degree change]]+Y419</f>
        <v>350.67805208615397</v>
      </c>
    </row>
    <row r="421" spans="1:25">
      <c r="A421">
        <v>420</v>
      </c>
      <c r="B421" s="1">
        <v>321.67999300000002</v>
      </c>
      <c r="C421" s="1">
        <v>1883.25</v>
      </c>
      <c r="D421" s="1">
        <v>17.049999</v>
      </c>
      <c r="E421" s="1">
        <v>-749.089966</v>
      </c>
      <c r="F421" s="1">
        <v>2174.570068</v>
      </c>
      <c r="G421" s="1">
        <v>8.0399999999999991</v>
      </c>
      <c r="H421" s="1">
        <v>0</v>
      </c>
      <c r="I421" s="1">
        <v>0</v>
      </c>
      <c r="J421" s="1">
        <v>2.0472999999999999</v>
      </c>
      <c r="K421" s="1">
        <v>-6.9779999999999998E-3</v>
      </c>
      <c r="L421" s="1">
        <v>4.6639999999999997E-3</v>
      </c>
      <c r="M421" s="1">
        <v>0.83145500000000006</v>
      </c>
      <c r="N421" s="1">
        <v>0.55552800000000002</v>
      </c>
      <c r="O421">
        <v>1</v>
      </c>
      <c r="P421">
        <v>0</v>
      </c>
      <c r="Q421">
        <v>1</v>
      </c>
      <c r="R421">
        <v>1</v>
      </c>
      <c r="S421">
        <v>1</v>
      </c>
      <c r="T421" s="1">
        <f>SQRT(POWER(Dominus[[#This Row],[angvel_X]],2) + POWER(Dominus[[#This Row],[angvel_Y]],2) + POWER(Dominus[[#This Row],[angvel_Z]],2))</f>
        <v>2.0472999999999999</v>
      </c>
      <c r="U421" s="1">
        <f>DEGREES(ASIN(MAX(-1,MIN(1,2 * (Dominus[[#This Row],[quart_W]]*Dominus[[#This Row],[quart_Y]] - Dominus[[#This Row],[quart_Z]]*Dominus[[#This Row],[quart_X]])))))</f>
        <v>0.96179786751929564</v>
      </c>
      <c r="V42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-22.503053920708574</v>
      </c>
      <c r="W42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89.999835912021169</v>
      </c>
      <c r="X421" s="1">
        <f>IF(Dominus[[#This Row],[Yaw]]&gt;V420,(360-ABS(Dominus[[#This Row],[Yaw]])-ABS(V420)),ABS(Dominus[[#This Row],[Yaw]]-V420))</f>
        <v>0.97752425223411166</v>
      </c>
      <c r="Y421" s="1">
        <f>Dominus[[#This Row],[Degree change]]+Y420</f>
        <v>351.65557633838807</v>
      </c>
    </row>
    <row r="422" spans="1:25">
      <c r="A422">
        <v>421</v>
      </c>
      <c r="B422" s="1">
        <v>315.41000400000001</v>
      </c>
      <c r="C422" s="1">
        <v>1901.4399410000001</v>
      </c>
      <c r="D422" s="1">
        <v>17.049999</v>
      </c>
      <c r="E422" s="1">
        <v>-786.07995600000004</v>
      </c>
      <c r="F422" s="1">
        <v>2161.4799800000001</v>
      </c>
      <c r="G422" s="1">
        <v>8.0399999999999991</v>
      </c>
      <c r="H422" s="1">
        <v>0</v>
      </c>
      <c r="I422" s="1">
        <v>0</v>
      </c>
      <c r="J422" s="1">
        <v>2.0472999999999999</v>
      </c>
      <c r="K422" s="1">
        <v>-7.0159999999999997E-3</v>
      </c>
      <c r="L422" s="1">
        <v>4.6039999999999996E-3</v>
      </c>
      <c r="M422" s="1">
        <v>0.83616500000000005</v>
      </c>
      <c r="N422" s="1">
        <v>0.54841300000000004</v>
      </c>
      <c r="O422">
        <v>1</v>
      </c>
      <c r="P422">
        <v>0</v>
      </c>
      <c r="Q422">
        <v>1</v>
      </c>
      <c r="R422">
        <v>1</v>
      </c>
      <c r="S422">
        <v>1</v>
      </c>
      <c r="T422" s="1">
        <f>SQRT(POWER(Dominus[[#This Row],[angvel_X]],2) + POWER(Dominus[[#This Row],[angvel_Y]],2) + POWER(Dominus[[#This Row],[angvel_Z]],2))</f>
        <v>2.0472999999999999</v>
      </c>
      <c r="U422" s="1">
        <f>DEGREES(ASIN(MAX(-1,MIN(1,2 * (Dominus[[#This Row],[quart_W]]*Dominus[[#This Row],[quart_Y]] - Dominus[[#This Row],[quart_Z]]*Dominus[[#This Row],[quart_X]])))))</f>
        <v>0.96163185940700824</v>
      </c>
      <c r="V42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-23.480866480392734</v>
      </c>
      <c r="W42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89.999766423546546</v>
      </c>
      <c r="X422" s="1">
        <f>IF(Dominus[[#This Row],[Yaw]]&gt;V421,(360-ABS(Dominus[[#This Row],[Yaw]])-ABS(V421)),ABS(Dominus[[#This Row],[Yaw]]-V421))</f>
        <v>0.97781255968416048</v>
      </c>
      <c r="Y422" s="1">
        <f>Dominus[[#This Row],[Degree change]]+Y421</f>
        <v>352.63338889807221</v>
      </c>
    </row>
    <row r="423" spans="1:25">
      <c r="A423">
        <v>422</v>
      </c>
      <c r="B423" s="1">
        <v>308.82998700000002</v>
      </c>
      <c r="C423" s="1">
        <v>1919.5198969999999</v>
      </c>
      <c r="D423" s="1">
        <v>17.049999</v>
      </c>
      <c r="E423" s="1">
        <v>-822.839966</v>
      </c>
      <c r="F423" s="1">
        <v>2147.75</v>
      </c>
      <c r="G423" s="1">
        <v>8.0399999999999991</v>
      </c>
      <c r="H423" s="1">
        <v>0</v>
      </c>
      <c r="I423" s="1">
        <v>0</v>
      </c>
      <c r="J423" s="1">
        <v>2.0472999999999999</v>
      </c>
      <c r="K423" s="1">
        <v>-7.0540000000000004E-3</v>
      </c>
      <c r="L423" s="1">
        <v>4.5450000000000004E-3</v>
      </c>
      <c r="M423" s="1">
        <v>0.84081399999999995</v>
      </c>
      <c r="N423" s="1">
        <v>0.54125900000000005</v>
      </c>
      <c r="O423">
        <v>1</v>
      </c>
      <c r="P423">
        <v>0</v>
      </c>
      <c r="Q423">
        <v>1</v>
      </c>
      <c r="R423">
        <v>1</v>
      </c>
      <c r="S423">
        <v>1</v>
      </c>
      <c r="T423" s="1">
        <f>SQRT(POWER(Dominus[[#This Row],[angvel_X]],2) + POWER(Dominus[[#This Row],[angvel_Y]],2) + POWER(Dominus[[#This Row],[angvel_Z]],2))</f>
        <v>2.0472999999999999</v>
      </c>
      <c r="U423" s="1">
        <f>DEGREES(ASIN(MAX(-1,MIN(1,2 * (Dominus[[#This Row],[quart_W]]*Dominus[[#This Row],[quart_Y]] - Dominus[[#This Row],[quart_Z]]*Dominus[[#This Row],[quart_X]])))))</f>
        <v>0.96159713545144798</v>
      </c>
      <c r="V42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-24.458626313026436</v>
      </c>
      <c r="W42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89.99960361276797</v>
      </c>
      <c r="X423" s="1">
        <f>IF(Dominus[[#This Row],[Yaw]]&gt;V422,(360-ABS(Dominus[[#This Row],[Yaw]])-ABS(V422)),ABS(Dominus[[#This Row],[Yaw]]-V422))</f>
        <v>0.97775983263370136</v>
      </c>
      <c r="Y423" s="1">
        <f>Dominus[[#This Row],[Degree change]]+Y422</f>
        <v>353.61114873070591</v>
      </c>
    </row>
    <row r="424" spans="1:25">
      <c r="A424">
        <v>423</v>
      </c>
      <c r="B424" s="1">
        <v>301.94000199999999</v>
      </c>
      <c r="C424" s="1">
        <v>1937.4799800000001</v>
      </c>
      <c r="D424" s="1">
        <v>17.049999</v>
      </c>
      <c r="E424" s="1">
        <v>-859.36999500000002</v>
      </c>
      <c r="F424" s="1">
        <v>2133.3999020000001</v>
      </c>
      <c r="G424" s="1">
        <v>8.0399999999999991</v>
      </c>
      <c r="H424" s="1">
        <v>0</v>
      </c>
      <c r="I424" s="1">
        <v>0</v>
      </c>
      <c r="J424" s="1">
        <v>2.0472999999999999</v>
      </c>
      <c r="K424" s="1">
        <v>-7.0910000000000001E-3</v>
      </c>
      <c r="L424" s="1">
        <v>4.4860000000000004E-3</v>
      </c>
      <c r="M424" s="1">
        <v>0.84540000000000004</v>
      </c>
      <c r="N424" s="1">
        <v>0.53406799999999999</v>
      </c>
      <c r="O424">
        <v>1</v>
      </c>
      <c r="P424">
        <v>0</v>
      </c>
      <c r="Q424">
        <v>1</v>
      </c>
      <c r="R424">
        <v>1</v>
      </c>
      <c r="S424">
        <v>1</v>
      </c>
      <c r="T424" s="1">
        <f>SQRT(POWER(Dominus[[#This Row],[angvel_X]],2) + POWER(Dominus[[#This Row],[angvel_Y]],2) + POWER(Dominus[[#This Row],[angvel_Z]],2))</f>
        <v>2.0472999999999999</v>
      </c>
      <c r="U424" s="1">
        <f>DEGREES(ASIN(MAX(-1,MIN(1,2 * (Dominus[[#This Row],[quart_W]]*Dominus[[#This Row],[quart_Y]] - Dominus[[#This Row],[quart_Z]]*Dominus[[#This Row],[quart_X]])))))</f>
        <v>0.9615325353323696</v>
      </c>
      <c r="V42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-25.43601885322596</v>
      </c>
      <c r="W42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89.999382469430273</v>
      </c>
      <c r="X424" s="1">
        <f>IF(Dominus[[#This Row],[Yaw]]&gt;V423,(360-ABS(Dominus[[#This Row],[Yaw]])-ABS(V423)),ABS(Dominus[[#This Row],[Yaw]]-V423))</f>
        <v>0.97739254019952426</v>
      </c>
      <c r="Y424" s="1">
        <f>Dominus[[#This Row],[Degree change]]+Y423</f>
        <v>354.58854127090541</v>
      </c>
    </row>
    <row r="425" spans="1:25">
      <c r="A425">
        <v>424</v>
      </c>
      <c r="B425" s="1">
        <v>294.75</v>
      </c>
      <c r="C425" s="1">
        <v>1955.3199460000001</v>
      </c>
      <c r="D425" s="1">
        <v>17.049999</v>
      </c>
      <c r="E425" s="1">
        <v>-895.63995399999999</v>
      </c>
      <c r="F425" s="1">
        <v>2118.429932</v>
      </c>
      <c r="G425" s="1">
        <v>8.0399999999999991</v>
      </c>
      <c r="H425" s="1">
        <v>0</v>
      </c>
      <c r="I425" s="1">
        <v>0</v>
      </c>
      <c r="J425" s="1">
        <v>2.0472999999999999</v>
      </c>
      <c r="K425" s="1">
        <v>-7.1289999999999999E-3</v>
      </c>
      <c r="L425" s="1">
        <v>4.4260000000000002E-3</v>
      </c>
      <c r="M425" s="1">
        <v>0.84992400000000001</v>
      </c>
      <c r="N425" s="1">
        <v>0.52683899999999995</v>
      </c>
      <c r="O425">
        <v>1</v>
      </c>
      <c r="P425">
        <v>0</v>
      </c>
      <c r="Q425">
        <v>1</v>
      </c>
      <c r="R425">
        <v>1</v>
      </c>
      <c r="S425">
        <v>1</v>
      </c>
      <c r="T425" s="1">
        <f>SQRT(POWER(Dominus[[#This Row],[angvel_X]],2) + POWER(Dominus[[#This Row],[angvel_Y]],2) + POWER(Dominus[[#This Row],[angvel_Z]],2))</f>
        <v>2.0472999999999999</v>
      </c>
      <c r="U425" s="1">
        <f>DEGREES(ASIN(MAX(-1,MIN(1,2 * (Dominus[[#This Row],[quart_W]]*Dominus[[#This Row],[quart_Y]] - Dominus[[#This Row],[quart_Z]]*Dominus[[#This Row],[quart_X]])))))</f>
        <v>0.96157117669301562</v>
      </c>
      <c r="V42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-26.41329962169657</v>
      </c>
      <c r="W42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89.999320560522094</v>
      </c>
      <c r="X425" s="1">
        <f>IF(Dominus[[#This Row],[Yaw]]&gt;V424,(360-ABS(Dominus[[#This Row],[Yaw]])-ABS(V424)),ABS(Dominus[[#This Row],[Yaw]]-V424))</f>
        <v>0.97728076847061018</v>
      </c>
      <c r="Y425" s="1">
        <f>Dominus[[#This Row],[Degree change]]+Y424</f>
        <v>355.56582203937603</v>
      </c>
    </row>
    <row r="426" spans="1:25">
      <c r="A426">
        <v>425</v>
      </c>
      <c r="B426" s="1">
        <v>287.25997899999999</v>
      </c>
      <c r="C426" s="1">
        <v>1973.0399170000001</v>
      </c>
      <c r="D426" s="1">
        <v>17.049999</v>
      </c>
      <c r="E426" s="1">
        <v>-931.64996299999996</v>
      </c>
      <c r="F426" s="1">
        <v>2102.8398440000001</v>
      </c>
      <c r="G426" s="1">
        <v>8.0399999999999991</v>
      </c>
      <c r="H426" s="1">
        <v>0</v>
      </c>
      <c r="I426" s="1">
        <v>0</v>
      </c>
      <c r="J426" s="1">
        <v>2.0472999999999999</v>
      </c>
      <c r="K426" s="1">
        <v>-7.1669999999999998E-3</v>
      </c>
      <c r="L426" s="1">
        <v>4.3670000000000002E-3</v>
      </c>
      <c r="M426" s="1">
        <v>0.85438899999999995</v>
      </c>
      <c r="N426" s="1">
        <v>0.519567</v>
      </c>
      <c r="O426">
        <v>1</v>
      </c>
      <c r="P426">
        <v>0</v>
      </c>
      <c r="Q426">
        <v>1</v>
      </c>
      <c r="R426">
        <v>1</v>
      </c>
      <c r="S426">
        <v>1</v>
      </c>
      <c r="T426" s="1">
        <f>SQRT(POWER(Dominus[[#This Row],[angvel_X]],2) + POWER(Dominus[[#This Row],[angvel_Y]],2) + POWER(Dominus[[#This Row],[angvel_Z]],2))</f>
        <v>2.0472999999999999</v>
      </c>
      <c r="U426" s="1">
        <f>DEGREES(ASIN(MAX(-1,MIN(1,2 * (Dominus[[#This Row],[quart_W]]*Dominus[[#This Row],[quart_Y]] - Dominus[[#This Row],[quart_Z]]*Dominus[[#This Row],[quart_X]])))))</f>
        <v>0.96173821077051913</v>
      </c>
      <c r="V42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-27.391204854049498</v>
      </c>
      <c r="W42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89.999154186662281</v>
      </c>
      <c r="X426" s="1">
        <f>IF(Dominus[[#This Row],[Yaw]]&gt;V425,(360-ABS(Dominus[[#This Row],[Yaw]])-ABS(V425)),ABS(Dominus[[#This Row],[Yaw]]-V425))</f>
        <v>0.97790523235292781</v>
      </c>
      <c r="Y426" s="1">
        <f>Dominus[[#This Row],[Degree change]]+Y425</f>
        <v>356.54372727172898</v>
      </c>
    </row>
    <row r="427" spans="1:25">
      <c r="A427">
        <v>426</v>
      </c>
      <c r="B427" s="1">
        <v>279.459991</v>
      </c>
      <c r="C427" s="1">
        <v>1990.619995</v>
      </c>
      <c r="D427" s="1">
        <v>17.049999</v>
      </c>
      <c r="E427" s="1">
        <v>-967.38995399999999</v>
      </c>
      <c r="F427" s="1">
        <v>2086.639893</v>
      </c>
      <c r="G427" s="1">
        <v>8.0399999999999991</v>
      </c>
      <c r="H427" s="1">
        <v>0</v>
      </c>
      <c r="I427" s="1">
        <v>0</v>
      </c>
      <c r="J427" s="1">
        <v>2.0472999999999999</v>
      </c>
      <c r="K427" s="1">
        <v>-7.2049999999999996E-3</v>
      </c>
      <c r="L427" s="1">
        <v>4.3080000000000002E-3</v>
      </c>
      <c r="M427" s="1">
        <v>0.85879099999999997</v>
      </c>
      <c r="N427" s="1">
        <v>0.51225699999999996</v>
      </c>
      <c r="O427">
        <v>1</v>
      </c>
      <c r="P427">
        <v>0</v>
      </c>
      <c r="Q427">
        <v>1</v>
      </c>
      <c r="R427">
        <v>1</v>
      </c>
      <c r="S427">
        <v>1</v>
      </c>
      <c r="T427" s="1">
        <f>SQRT(POWER(Dominus[[#This Row],[angvel_X]],2) + POWER(Dominus[[#This Row],[angvel_Y]],2) + POWER(Dominus[[#This Row],[angvel_Z]],2))</f>
        <v>2.0472999999999999</v>
      </c>
      <c r="U427" s="1">
        <f>DEGREES(ASIN(MAX(-1,MIN(1,2 * (Dominus[[#This Row],[quart_W]]*Dominus[[#This Row],[quart_Y]] - Dominus[[#This Row],[quart_Z]]*Dominus[[#This Row],[quart_X]])))))</f>
        <v>0.9619716963553091</v>
      </c>
      <c r="V42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-28.369004239884177</v>
      </c>
      <c r="W42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89.998984582204059</v>
      </c>
      <c r="X427" s="1">
        <f>IF(Dominus[[#This Row],[Yaw]]&gt;V426,(360-ABS(Dominus[[#This Row],[Yaw]])-ABS(V426)),ABS(Dominus[[#This Row],[Yaw]]-V426))</f>
        <v>0.97779938583467896</v>
      </c>
      <c r="Y427" s="1">
        <f>Dominus[[#This Row],[Degree change]]+Y426</f>
        <v>357.52152665756364</v>
      </c>
    </row>
    <row r="428" spans="1:25">
      <c r="A428">
        <v>427</v>
      </c>
      <c r="B428" s="1">
        <v>271.36999500000002</v>
      </c>
      <c r="C428" s="1">
        <v>2008.0699460000001</v>
      </c>
      <c r="D428" s="1">
        <v>17.049999</v>
      </c>
      <c r="E428" s="1">
        <v>-1002.849976</v>
      </c>
      <c r="F428" s="1">
        <v>2069.8298340000001</v>
      </c>
      <c r="G428" s="1">
        <v>8.0399999999999991</v>
      </c>
      <c r="H428" s="1">
        <v>0</v>
      </c>
      <c r="I428" s="1">
        <v>0</v>
      </c>
      <c r="J428" s="1">
        <v>2.0472999999999999</v>
      </c>
      <c r="K428" s="1">
        <v>-7.2430000000000003E-3</v>
      </c>
      <c r="L428" s="1">
        <v>4.248E-3</v>
      </c>
      <c r="M428" s="1">
        <v>0.86312900000000004</v>
      </c>
      <c r="N428" s="1">
        <v>0.50491399999999997</v>
      </c>
      <c r="O428">
        <v>1</v>
      </c>
      <c r="P428">
        <v>0</v>
      </c>
      <c r="Q428">
        <v>1</v>
      </c>
      <c r="R428">
        <v>1</v>
      </c>
      <c r="S428">
        <v>1</v>
      </c>
      <c r="T428" s="1">
        <f>SQRT(POWER(Dominus[[#This Row],[angvel_X]],2) + POWER(Dominus[[#This Row],[angvel_Y]],2) + POWER(Dominus[[#This Row],[angvel_Z]],2))</f>
        <v>2.0472999999999999</v>
      </c>
      <c r="U428" s="1">
        <f>DEGREES(ASIN(MAX(-1,MIN(1,2 * (Dominus[[#This Row],[quart_W]]*Dominus[[#This Row],[quart_Y]] - Dominus[[#This Row],[quart_Z]]*Dominus[[#This Row],[quart_X]])))))</f>
        <v>0.96221531889430489</v>
      </c>
      <c r="V42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-29.34638570767493</v>
      </c>
      <c r="W42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89.998913531419333</v>
      </c>
      <c r="X428" s="1">
        <f>IF(Dominus[[#This Row],[Yaw]]&gt;V427,(360-ABS(Dominus[[#This Row],[Yaw]])-ABS(V427)),ABS(Dominus[[#This Row],[Yaw]]-V427))</f>
        <v>0.97738146779075308</v>
      </c>
      <c r="Y428" s="1">
        <f>Dominus[[#This Row],[Degree change]]+Y427</f>
        <v>358.49890812535438</v>
      </c>
    </row>
    <row r="429" spans="1:25">
      <c r="A429">
        <v>428</v>
      </c>
      <c r="B429" s="1">
        <v>262.97998000000001</v>
      </c>
      <c r="C429" s="1">
        <v>2025.380005</v>
      </c>
      <c r="D429" s="1">
        <v>17.049999</v>
      </c>
      <c r="E429" s="1">
        <v>-1038.0200199999999</v>
      </c>
      <c r="F429" s="1">
        <v>2052.419922</v>
      </c>
      <c r="G429" s="1">
        <v>8.0399999999999991</v>
      </c>
      <c r="H429" s="1">
        <v>0</v>
      </c>
      <c r="I429" s="1">
        <v>0</v>
      </c>
      <c r="J429" s="1">
        <v>2.0472999999999999</v>
      </c>
      <c r="K429" s="1">
        <v>-7.28E-3</v>
      </c>
      <c r="L429" s="1">
        <v>4.189E-3</v>
      </c>
      <c r="M429" s="1">
        <v>0.86740399999999995</v>
      </c>
      <c r="N429" s="1">
        <v>0.49753399999999998</v>
      </c>
      <c r="O429">
        <v>1</v>
      </c>
      <c r="P429">
        <v>0</v>
      </c>
      <c r="Q429">
        <v>1</v>
      </c>
      <c r="R429">
        <v>1</v>
      </c>
      <c r="S429">
        <v>1</v>
      </c>
      <c r="T429" s="1">
        <f>SQRT(POWER(Dominus[[#This Row],[angvel_X]],2) + POWER(Dominus[[#This Row],[angvel_Y]],2) + POWER(Dominus[[#This Row],[angvel_Z]],2))</f>
        <v>2.0472999999999999</v>
      </c>
      <c r="U429" s="1">
        <f>DEGREES(ASIN(MAX(-1,MIN(1,2 * (Dominus[[#This Row],[quart_W]]*Dominus[[#This Row],[quart_Y]] - Dominus[[#This Row],[quart_Z]]*Dominus[[#This Row],[quart_X]])))))</f>
        <v>0.96248499396500731</v>
      </c>
      <c r="V42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-30.323750639100844</v>
      </c>
      <c r="W42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89.998681113047255</v>
      </c>
      <c r="X429" s="1">
        <f>IF(Dominus[[#This Row],[Yaw]]&gt;V428,(360-ABS(Dominus[[#This Row],[Yaw]])-ABS(V428)),ABS(Dominus[[#This Row],[Yaw]]-V428))</f>
        <v>0.97736493142591385</v>
      </c>
      <c r="Y429" s="1">
        <f>Dominus[[#This Row],[Degree change]]+Y428</f>
        <v>359.47627305678031</v>
      </c>
    </row>
    <row r="430" spans="1:25">
      <c r="A430">
        <v>429</v>
      </c>
      <c r="B430" s="1">
        <v>254.29998800000001</v>
      </c>
      <c r="C430" s="1">
        <v>2042.5399170000001</v>
      </c>
      <c r="D430" s="1">
        <v>17.049999</v>
      </c>
      <c r="E430" s="1">
        <v>-1072.880005</v>
      </c>
      <c r="F430" s="1">
        <v>2034.4099120000001</v>
      </c>
      <c r="G430" s="1">
        <v>8.0399999999999991</v>
      </c>
      <c r="H430" s="1">
        <v>1E-4</v>
      </c>
      <c r="I430" s="1">
        <v>0</v>
      </c>
      <c r="J430" s="1">
        <v>2.0472999999999999</v>
      </c>
      <c r="K430" s="1">
        <v>-7.3179999999999999E-3</v>
      </c>
      <c r="L430" s="1">
        <v>4.1240000000000001E-3</v>
      </c>
      <c r="M430" s="1">
        <v>0.87161599999999995</v>
      </c>
      <c r="N430" s="1">
        <v>0.490116</v>
      </c>
      <c r="O430">
        <v>1</v>
      </c>
      <c r="P430">
        <v>0</v>
      </c>
      <c r="Q430">
        <v>1</v>
      </c>
      <c r="R430">
        <v>1</v>
      </c>
      <c r="S430">
        <v>1</v>
      </c>
      <c r="T430" s="1">
        <f>SQRT(POWER(Dominus[[#This Row],[angvel_X]],2) + POWER(Dominus[[#This Row],[angvel_Y]],2) + POWER(Dominus[[#This Row],[angvel_Z]],2))</f>
        <v>2.047300002442241</v>
      </c>
      <c r="U430" s="1">
        <f>DEGREES(ASIN(MAX(-1,MIN(1,2 * (Dominus[[#This Row],[quart_W]]*Dominus[[#This Row],[quart_Y]] - Dominus[[#This Row],[quart_Z]]*Dominus[[#This Row],[quart_X]])))))</f>
        <v>0.96258278026081712</v>
      </c>
      <c r="V43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-31.301216745753848</v>
      </c>
      <c r="W43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89.999097407260535</v>
      </c>
      <c r="X430" s="1">
        <f>IF(Dominus[[#This Row],[Yaw]]&gt;V429,(360-ABS(Dominus[[#This Row],[Yaw]])-ABS(V429)),ABS(Dominus[[#This Row],[Yaw]]-V429))</f>
        <v>0.97746610665300437</v>
      </c>
      <c r="Y430" s="1">
        <f>Dominus[[#This Row],[Degree change]]+Y429</f>
        <v>360.45373916343334</v>
      </c>
    </row>
    <row r="431" spans="1:25">
      <c r="A431">
        <v>430</v>
      </c>
      <c r="B431" s="1">
        <v>245.31999200000001</v>
      </c>
      <c r="C431" s="1">
        <v>2059.5500489999999</v>
      </c>
      <c r="D431" s="1">
        <v>17.049999</v>
      </c>
      <c r="E431" s="1">
        <v>-1107.429932</v>
      </c>
      <c r="F431" s="1">
        <v>2015.809937</v>
      </c>
      <c r="G431" s="1">
        <v>8.0399999999999991</v>
      </c>
      <c r="H431" s="1">
        <v>1E-4</v>
      </c>
      <c r="I431" s="1">
        <v>0</v>
      </c>
      <c r="J431" s="1">
        <v>2.0472999999999999</v>
      </c>
      <c r="K431" s="1">
        <v>-7.3499999999999998E-3</v>
      </c>
      <c r="L431" s="1">
        <v>4.0600000000000002E-3</v>
      </c>
      <c r="M431" s="1">
        <v>0.87576699999999996</v>
      </c>
      <c r="N431" s="1">
        <v>0.48266100000000001</v>
      </c>
      <c r="O431">
        <v>1</v>
      </c>
      <c r="P431">
        <v>0</v>
      </c>
      <c r="Q431">
        <v>1</v>
      </c>
      <c r="R431">
        <v>1</v>
      </c>
      <c r="S431">
        <v>1</v>
      </c>
      <c r="T431" s="1">
        <f>SQRT(POWER(Dominus[[#This Row],[angvel_X]],2) + POWER(Dominus[[#This Row],[angvel_Y]],2) + POWER(Dominus[[#This Row],[angvel_Z]],2))</f>
        <v>2.047300002442241</v>
      </c>
      <c r="U431" s="1">
        <f>DEGREES(ASIN(MAX(-1,MIN(1,2 * (Dominus[[#This Row],[quart_W]]*Dominus[[#This Row],[quart_Y]] - Dominus[[#This Row],[quart_Z]]*Dominus[[#This Row],[quart_X]])))))</f>
        <v>0.96221223491516317</v>
      </c>
      <c r="V43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-32.279098508653689</v>
      </c>
      <c r="W43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89.9990767580274</v>
      </c>
      <c r="X431" s="1">
        <f>IF(Dominus[[#This Row],[Yaw]]&gt;V430,(360-ABS(Dominus[[#This Row],[Yaw]])-ABS(V430)),ABS(Dominus[[#This Row],[Yaw]]-V430))</f>
        <v>0.97788176289984108</v>
      </c>
      <c r="Y431" s="1">
        <f>Dominus[[#This Row],[Degree change]]+Y430</f>
        <v>361.43162092633315</v>
      </c>
    </row>
    <row r="432" spans="1:25">
      <c r="A432">
        <v>431</v>
      </c>
      <c r="B432" s="1">
        <v>236.04998800000001</v>
      </c>
      <c r="C432" s="1">
        <v>2076.4099120000001</v>
      </c>
      <c r="D432" s="1">
        <v>17.049999</v>
      </c>
      <c r="E432" s="1">
        <v>-1141.660034</v>
      </c>
      <c r="F432" s="1">
        <v>1996.619995</v>
      </c>
      <c r="G432" s="1">
        <v>8.0399999999999991</v>
      </c>
      <c r="H432" s="1">
        <v>1E-4</v>
      </c>
      <c r="I432" s="1">
        <v>0</v>
      </c>
      <c r="J432" s="1">
        <v>2.0472999999999999</v>
      </c>
      <c r="K432" s="1">
        <v>-7.3829999999999998E-3</v>
      </c>
      <c r="L432" s="1">
        <v>3.9950000000000003E-3</v>
      </c>
      <c r="M432" s="1">
        <v>0.87985199999999997</v>
      </c>
      <c r="N432" s="1">
        <v>0.47517300000000001</v>
      </c>
      <c r="O432">
        <v>1</v>
      </c>
      <c r="P432">
        <v>0</v>
      </c>
      <c r="Q432">
        <v>1</v>
      </c>
      <c r="R432">
        <v>1</v>
      </c>
      <c r="S432">
        <v>1</v>
      </c>
      <c r="T432" s="1">
        <f>SQRT(POWER(Dominus[[#This Row],[angvel_X]],2) + POWER(Dominus[[#This Row],[angvel_Y]],2) + POWER(Dominus[[#This Row],[angvel_Z]],2))</f>
        <v>2.047300002442241</v>
      </c>
      <c r="U432" s="1">
        <f>DEGREES(ASIN(MAX(-1,MIN(1,2 * (Dominus[[#This Row],[quart_W]]*Dominus[[#This Row],[quart_Y]] - Dominus[[#This Row],[quart_Z]]*Dominus[[#This Row],[quart_X]])))))</f>
        <v>0.96195692800557075</v>
      </c>
      <c r="V43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-33.256548658750262</v>
      </c>
      <c r="W43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89.999219924788989</v>
      </c>
      <c r="X432" s="1">
        <f>IF(Dominus[[#This Row],[Yaw]]&gt;V431,(360-ABS(Dominus[[#This Row],[Yaw]])-ABS(V431)),ABS(Dominus[[#This Row],[Yaw]]-V431))</f>
        <v>0.97745015009657266</v>
      </c>
      <c r="Y432" s="1">
        <f>Dominus[[#This Row],[Degree change]]+Y431</f>
        <v>362.40907107642971</v>
      </c>
    </row>
    <row r="433" spans="1:25">
      <c r="A433">
        <v>432</v>
      </c>
      <c r="B433" s="1">
        <v>226.5</v>
      </c>
      <c r="C433" s="1">
        <v>2093.1098630000001</v>
      </c>
      <c r="D433" s="1">
        <v>17.049999</v>
      </c>
      <c r="E433" s="1">
        <v>-1175.559937</v>
      </c>
      <c r="F433" s="1">
        <v>1976.8599850000001</v>
      </c>
      <c r="G433" s="1">
        <v>8.0399999999999991</v>
      </c>
      <c r="H433" s="1">
        <v>1E-4</v>
      </c>
      <c r="I433" s="1">
        <v>0</v>
      </c>
      <c r="J433" s="1">
        <v>2.0472999999999999</v>
      </c>
      <c r="K433" s="1">
        <v>-7.4149999999999997E-3</v>
      </c>
      <c r="L433" s="1">
        <v>3.9300000000000003E-3</v>
      </c>
      <c r="M433" s="1">
        <v>0.88387300000000002</v>
      </c>
      <c r="N433" s="1">
        <v>0.46765200000000001</v>
      </c>
      <c r="O433">
        <v>1</v>
      </c>
      <c r="P433">
        <v>0</v>
      </c>
      <c r="Q433">
        <v>1</v>
      </c>
      <c r="R433">
        <v>1</v>
      </c>
      <c r="S433">
        <v>1</v>
      </c>
      <c r="T433" s="1">
        <f>SQRT(POWER(Dominus[[#This Row],[angvel_X]],2) + POWER(Dominus[[#This Row],[angvel_Y]],2) + POWER(Dominus[[#This Row],[angvel_Z]],2))</f>
        <v>2.047300002442241</v>
      </c>
      <c r="U433" s="1">
        <f>DEGREES(ASIN(MAX(-1,MIN(1,2 * (Dominus[[#This Row],[quart_W]]*Dominus[[#This Row],[quart_Y]] - Dominus[[#This Row],[quart_Z]]*Dominus[[#This Row],[quart_X]])))))</f>
        <v>0.961673526526718</v>
      </c>
      <c r="V43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-34.233913261328055</v>
      </c>
      <c r="W43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89.999314495805947</v>
      </c>
      <c r="X433" s="1">
        <f>IF(Dominus[[#This Row],[Yaw]]&gt;V432,(360-ABS(Dominus[[#This Row],[Yaw]])-ABS(V432)),ABS(Dominus[[#This Row],[Yaw]]-V432))</f>
        <v>0.97736460257779356</v>
      </c>
      <c r="Y433" s="1">
        <f>Dominus[[#This Row],[Degree change]]+Y432</f>
        <v>363.38643567900749</v>
      </c>
    </row>
    <row r="434" spans="1:25">
      <c r="A434">
        <v>433</v>
      </c>
      <c r="B434" s="1">
        <v>216.659988</v>
      </c>
      <c r="C434" s="1">
        <v>2109.639893</v>
      </c>
      <c r="D434" s="1">
        <v>17.049999</v>
      </c>
      <c r="E434" s="1">
        <v>-1209.119995</v>
      </c>
      <c r="F434" s="1">
        <v>1956.51001</v>
      </c>
      <c r="G434" s="1">
        <v>8.0399999999999991</v>
      </c>
      <c r="H434" s="1">
        <v>1E-4</v>
      </c>
      <c r="I434" s="1">
        <v>0</v>
      </c>
      <c r="J434" s="1">
        <v>2.0472999999999999</v>
      </c>
      <c r="K434" s="1">
        <v>-7.4479999999999998E-3</v>
      </c>
      <c r="L434" s="1">
        <v>3.8649999999999999E-3</v>
      </c>
      <c r="M434" s="1">
        <v>0.88783000000000001</v>
      </c>
      <c r="N434" s="1">
        <v>0.460094</v>
      </c>
      <c r="O434">
        <v>1</v>
      </c>
      <c r="P434">
        <v>0</v>
      </c>
      <c r="Q434">
        <v>1</v>
      </c>
      <c r="R434">
        <v>1</v>
      </c>
      <c r="S434">
        <v>1</v>
      </c>
      <c r="T434" s="1">
        <f>SQRT(POWER(Dominus[[#This Row],[angvel_X]],2) + POWER(Dominus[[#This Row],[angvel_Y]],2) + POWER(Dominus[[#This Row],[angvel_Z]],2))</f>
        <v>2.047300002442241</v>
      </c>
      <c r="U434" s="1">
        <f>DEGREES(ASIN(MAX(-1,MIN(1,2 * (Dominus[[#This Row],[quart_W]]*Dominus[[#This Row],[quart_Y]] - Dominus[[#This Row],[quart_Z]]*Dominus[[#This Row],[quart_X]])))))</f>
        <v>0.96156241378839435</v>
      </c>
      <c r="V43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-35.2114913536183</v>
      </c>
      <c r="W43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89.999463310715342</v>
      </c>
      <c r="X434" s="1">
        <f>IF(Dominus[[#This Row],[Yaw]]&gt;V433,(360-ABS(Dominus[[#This Row],[Yaw]])-ABS(V433)),ABS(Dominus[[#This Row],[Yaw]]-V433))</f>
        <v>0.97757809229024417</v>
      </c>
      <c r="Y434" s="1">
        <f>Dominus[[#This Row],[Degree change]]+Y433</f>
        <v>364.36401377129772</v>
      </c>
    </row>
    <row r="435" spans="1:25">
      <c r="A435">
        <v>434</v>
      </c>
      <c r="B435" s="1">
        <v>206.53999300000001</v>
      </c>
      <c r="C435" s="1">
        <v>2126</v>
      </c>
      <c r="D435" s="1">
        <v>17.049999</v>
      </c>
      <c r="E435" s="1">
        <v>-1242.3199460000001</v>
      </c>
      <c r="F435" s="1">
        <v>1935.599976</v>
      </c>
      <c r="G435" s="1">
        <v>8.0399999999999991</v>
      </c>
      <c r="H435" s="1">
        <v>0</v>
      </c>
      <c r="I435" s="1">
        <v>0</v>
      </c>
      <c r="J435" s="1">
        <v>2.0472999999999999</v>
      </c>
      <c r="K435" s="1">
        <v>-7.4799999999999997E-3</v>
      </c>
      <c r="L435" s="1">
        <v>3.8010000000000001E-3</v>
      </c>
      <c r="M435" s="1">
        <v>0.89172300000000004</v>
      </c>
      <c r="N435" s="1">
        <v>0.45250400000000002</v>
      </c>
      <c r="O435">
        <v>1</v>
      </c>
      <c r="P435">
        <v>0</v>
      </c>
      <c r="Q435">
        <v>1</v>
      </c>
      <c r="R435">
        <v>1</v>
      </c>
      <c r="S435">
        <v>1</v>
      </c>
      <c r="T435" s="1">
        <f>SQRT(POWER(Dominus[[#This Row],[angvel_X]],2) + POWER(Dominus[[#This Row],[angvel_Y]],2) + POWER(Dominus[[#This Row],[angvel_Z]],2))</f>
        <v>2.0472999999999999</v>
      </c>
      <c r="U435" s="1">
        <f>DEGREES(ASIN(MAX(-1,MIN(1,2 * (Dominus[[#This Row],[quart_W]]*Dominus[[#This Row],[quart_Y]] - Dominus[[#This Row],[quart_Z]]*Dominus[[#This Row],[quart_X]])))))</f>
        <v>0.96147469236961614</v>
      </c>
      <c r="V43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-36.189067329699206</v>
      </c>
      <c r="W43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89.999460289097343</v>
      </c>
      <c r="X435" s="1">
        <f>IF(Dominus[[#This Row],[Yaw]]&gt;V434,(360-ABS(Dominus[[#This Row],[Yaw]])-ABS(V434)),ABS(Dominus[[#This Row],[Yaw]]-V434))</f>
        <v>0.97757597608090663</v>
      </c>
      <c r="Y435" s="1">
        <f>Dominus[[#This Row],[Degree change]]+Y434</f>
        <v>365.34158974737863</v>
      </c>
    </row>
    <row r="436" spans="1:25">
      <c r="A436">
        <v>435</v>
      </c>
      <c r="B436" s="1">
        <v>196.14999399999999</v>
      </c>
      <c r="C436" s="1">
        <v>2142.1899410000001</v>
      </c>
      <c r="D436" s="1">
        <v>17.049999</v>
      </c>
      <c r="E436" s="1">
        <v>-1275.1599120000001</v>
      </c>
      <c r="F436" s="1">
        <v>1914.119995</v>
      </c>
      <c r="G436" s="1">
        <v>8.0399999999999991</v>
      </c>
      <c r="H436" s="1">
        <v>0</v>
      </c>
      <c r="I436" s="1">
        <v>0</v>
      </c>
      <c r="J436" s="1">
        <v>2.0472999999999999</v>
      </c>
      <c r="K436" s="1">
        <v>-7.5119999999999996E-3</v>
      </c>
      <c r="L436" s="1">
        <v>3.7360000000000002E-3</v>
      </c>
      <c r="M436" s="1">
        <v>0.89554999999999996</v>
      </c>
      <c r="N436" s="1">
        <v>0.44488100000000003</v>
      </c>
      <c r="O436">
        <v>1</v>
      </c>
      <c r="P436">
        <v>0</v>
      </c>
      <c r="Q436">
        <v>1</v>
      </c>
      <c r="R436">
        <v>1</v>
      </c>
      <c r="S436">
        <v>1</v>
      </c>
      <c r="T436" s="1">
        <f>SQRT(POWER(Dominus[[#This Row],[angvel_X]],2) + POWER(Dominus[[#This Row],[angvel_Y]],2) + POWER(Dominus[[#This Row],[angvel_Z]],2))</f>
        <v>2.0472999999999999</v>
      </c>
      <c r="U436" s="1">
        <f>DEGREES(ASIN(MAX(-1,MIN(1,2 * (Dominus[[#This Row],[quart_W]]*Dominus[[#This Row],[quart_Y]] - Dominus[[#This Row],[quart_Z]]*Dominus[[#This Row],[quart_X]])))))</f>
        <v>0.96140492745716666</v>
      </c>
      <c r="V43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-37.166497062017704</v>
      </c>
      <c r="W43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89.999561198316798</v>
      </c>
      <c r="X436" s="1">
        <f>IF(Dominus[[#This Row],[Yaw]]&gt;V435,(360-ABS(Dominus[[#This Row],[Yaw]])-ABS(V435)),ABS(Dominus[[#This Row],[Yaw]]-V435))</f>
        <v>0.97742973231849817</v>
      </c>
      <c r="Y436" s="1">
        <f>Dominus[[#This Row],[Degree change]]+Y435</f>
        <v>366.31901947969715</v>
      </c>
    </row>
    <row r="437" spans="1:25">
      <c r="A437">
        <v>436</v>
      </c>
      <c r="B437" s="1">
        <v>185.479996</v>
      </c>
      <c r="C437" s="1">
        <v>2158.1999510000001</v>
      </c>
      <c r="D437" s="1">
        <v>17.049999</v>
      </c>
      <c r="E437" s="1">
        <v>-1307.630005</v>
      </c>
      <c r="F437" s="1">
        <v>1892.089966</v>
      </c>
      <c r="G437" s="1">
        <v>8.0399999999999991</v>
      </c>
      <c r="H437" s="1">
        <v>0</v>
      </c>
      <c r="I437" s="1">
        <v>0</v>
      </c>
      <c r="J437" s="1">
        <v>2.0472999999999999</v>
      </c>
      <c r="K437" s="1">
        <v>-7.5449999999999996E-3</v>
      </c>
      <c r="L437" s="1">
        <v>3.6709999999999998E-3</v>
      </c>
      <c r="M437" s="1">
        <v>0.89931300000000003</v>
      </c>
      <c r="N437" s="1">
        <v>0.437226</v>
      </c>
      <c r="O437">
        <v>1</v>
      </c>
      <c r="P437">
        <v>0</v>
      </c>
      <c r="Q437">
        <v>1</v>
      </c>
      <c r="R437">
        <v>1</v>
      </c>
      <c r="S437">
        <v>1</v>
      </c>
      <c r="T437" s="1">
        <f>SQRT(POWER(Dominus[[#This Row],[angvel_X]],2) + POWER(Dominus[[#This Row],[angvel_Y]],2) + POWER(Dominus[[#This Row],[angvel_Z]],2))</f>
        <v>2.0472999999999999</v>
      </c>
      <c r="U437" s="1">
        <f>DEGREES(ASIN(MAX(-1,MIN(1,2 * (Dominus[[#This Row],[quart_W]]*Dominus[[#This Row],[quart_Y]] - Dominus[[#This Row],[quart_Z]]*Dominus[[#This Row],[quart_X]])))))</f>
        <v>0.96151107882317688</v>
      </c>
      <c r="V43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-38.144058199100947</v>
      </c>
      <c r="W43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89.999712580744415</v>
      </c>
      <c r="X437" s="1">
        <f>IF(Dominus[[#This Row],[Yaw]]&gt;V436,(360-ABS(Dominus[[#This Row],[Yaw]])-ABS(V436)),ABS(Dominus[[#This Row],[Yaw]]-V436))</f>
        <v>0.97756113708324222</v>
      </c>
      <c r="Y437" s="1">
        <f>Dominus[[#This Row],[Degree change]]+Y436</f>
        <v>367.29658061678037</v>
      </c>
    </row>
    <row r="438" spans="1:25">
      <c r="A438">
        <v>437</v>
      </c>
      <c r="B438" s="1">
        <v>174.53999300000001</v>
      </c>
      <c r="C438" s="1">
        <v>2174.0200199999999</v>
      </c>
      <c r="D438" s="1">
        <v>17.049999</v>
      </c>
      <c r="E438" s="1">
        <v>-1339.719971</v>
      </c>
      <c r="F438" s="1">
        <v>1869.51001</v>
      </c>
      <c r="G438" s="1">
        <v>8.0399999999999991</v>
      </c>
      <c r="H438" s="1">
        <v>0</v>
      </c>
      <c r="I438" s="1">
        <v>0</v>
      </c>
      <c r="J438" s="1">
        <v>2.0472999999999999</v>
      </c>
      <c r="K438" s="1">
        <v>-7.5770000000000004E-3</v>
      </c>
      <c r="L438" s="1">
        <v>3.6059999999999998E-3</v>
      </c>
      <c r="M438" s="1">
        <v>0.90300999999999998</v>
      </c>
      <c r="N438" s="1">
        <v>0.42953799999999998</v>
      </c>
      <c r="O438">
        <v>1</v>
      </c>
      <c r="P438">
        <v>0</v>
      </c>
      <c r="Q438">
        <v>1</v>
      </c>
      <c r="R438">
        <v>1</v>
      </c>
      <c r="S438">
        <v>1</v>
      </c>
      <c r="T438" s="1">
        <f>SQRT(POWER(Dominus[[#This Row],[angvel_X]],2) + POWER(Dominus[[#This Row],[angvel_Y]],2) + POWER(Dominus[[#This Row],[angvel_Z]],2))</f>
        <v>2.0472999999999999</v>
      </c>
      <c r="U438" s="1">
        <f>DEGREES(ASIN(MAX(-1,MIN(1,2 * (Dominus[[#This Row],[quart_W]]*Dominus[[#This Row],[quart_Y]] - Dominus[[#This Row],[quart_Z]]*Dominus[[#This Row],[quart_X]])))))</f>
        <v>0.96158529498621614</v>
      </c>
      <c r="V43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-39.121620775389353</v>
      </c>
      <c r="W43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89.999811512281497</v>
      </c>
      <c r="X438" s="1">
        <f>IF(Dominus[[#This Row],[Yaw]]&gt;V437,(360-ABS(Dominus[[#This Row],[Yaw]])-ABS(V437)),ABS(Dominus[[#This Row],[Yaw]]-V437))</f>
        <v>0.97756257628840615</v>
      </c>
      <c r="Y438" s="1">
        <f>Dominus[[#This Row],[Degree change]]+Y437</f>
        <v>368.27414319306877</v>
      </c>
    </row>
    <row r="439" spans="1:25">
      <c r="A439">
        <v>438</v>
      </c>
      <c r="B439" s="1">
        <v>163.33000200000001</v>
      </c>
      <c r="C439" s="1">
        <v>2189.6499020000001</v>
      </c>
      <c r="D439" s="1">
        <v>17.049999</v>
      </c>
      <c r="E439" s="1">
        <v>-1371.419922</v>
      </c>
      <c r="F439" s="1">
        <v>1846.380005</v>
      </c>
      <c r="G439" s="1">
        <v>8.0399999999999991</v>
      </c>
      <c r="H439" s="1">
        <v>0</v>
      </c>
      <c r="I439" s="1">
        <v>0</v>
      </c>
      <c r="J439" s="1">
        <v>2.0472999999999999</v>
      </c>
      <c r="K439" s="1">
        <v>-7.6090000000000003E-3</v>
      </c>
      <c r="L439" s="1">
        <v>3.542E-3</v>
      </c>
      <c r="M439" s="1">
        <v>0.90664199999999995</v>
      </c>
      <c r="N439" s="1">
        <v>0.42181800000000003</v>
      </c>
      <c r="O439">
        <v>1</v>
      </c>
      <c r="P439">
        <v>0</v>
      </c>
      <c r="Q439">
        <v>1</v>
      </c>
      <c r="R439">
        <v>1</v>
      </c>
      <c r="S439">
        <v>1</v>
      </c>
      <c r="T439" s="1">
        <f>SQRT(POWER(Dominus[[#This Row],[angvel_X]],2) + POWER(Dominus[[#This Row],[angvel_Y]],2) + POWER(Dominus[[#This Row],[angvel_Z]],2))</f>
        <v>2.0472999999999999</v>
      </c>
      <c r="U439" s="1">
        <f>DEGREES(ASIN(MAX(-1,MIN(1,2 * (Dominus[[#This Row],[quart_W]]*Dominus[[#This Row],[quart_Y]] - Dominus[[#This Row],[quart_Z]]*Dominus[[#This Row],[quart_X]])))))</f>
        <v>0.96177984568676189</v>
      </c>
      <c r="V43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-40.099327512932419</v>
      </c>
      <c r="W43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89.999803699692691</v>
      </c>
      <c r="X439" s="1">
        <f>IF(Dominus[[#This Row],[Yaw]]&gt;V438,(360-ABS(Dominus[[#This Row],[Yaw]])-ABS(V438)),ABS(Dominus[[#This Row],[Yaw]]-V438))</f>
        <v>0.97770673754306614</v>
      </c>
      <c r="Y439" s="1">
        <f>Dominus[[#This Row],[Degree change]]+Y438</f>
        <v>369.25184993061185</v>
      </c>
    </row>
    <row r="440" spans="1:25">
      <c r="A440">
        <v>439</v>
      </c>
      <c r="B440" s="1">
        <v>151.86000100000001</v>
      </c>
      <c r="C440" s="1">
        <v>2205.0898440000001</v>
      </c>
      <c r="D440" s="1">
        <v>17.049999</v>
      </c>
      <c r="E440" s="1">
        <v>-1402.719971</v>
      </c>
      <c r="F440" s="1">
        <v>1822.709961</v>
      </c>
      <c r="G440" s="1">
        <v>8.0399999999999991</v>
      </c>
      <c r="H440" s="1">
        <v>0</v>
      </c>
      <c r="I440" s="1">
        <v>0</v>
      </c>
      <c r="J440" s="1">
        <v>2.0472999999999999</v>
      </c>
      <c r="K440" s="1">
        <v>-7.6420000000000004E-3</v>
      </c>
      <c r="L440" s="1">
        <v>3.4770000000000001E-3</v>
      </c>
      <c r="M440" s="1">
        <v>0.91020599999999996</v>
      </c>
      <c r="N440" s="1">
        <v>0.41407100000000002</v>
      </c>
      <c r="O440">
        <v>1</v>
      </c>
      <c r="P440">
        <v>0</v>
      </c>
      <c r="Q440">
        <v>1</v>
      </c>
      <c r="R440">
        <v>1</v>
      </c>
      <c r="S440">
        <v>1</v>
      </c>
      <c r="T440" s="1">
        <f>SQRT(POWER(Dominus[[#This Row],[angvel_X]],2) + POWER(Dominus[[#This Row],[angvel_Y]],2) + POWER(Dominus[[#This Row],[angvel_Z]],2))</f>
        <v>2.0472999999999999</v>
      </c>
      <c r="U440" s="1">
        <f>DEGREES(ASIN(MAX(-1,MIN(1,2 * (Dominus[[#This Row],[quart_W]]*Dominus[[#This Row],[quart_Y]] - Dominus[[#This Row],[quart_Z]]*Dominus[[#This Row],[quart_X]])))))</f>
        <v>0.96210083724451656</v>
      </c>
      <c r="V44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-41.076526991279891</v>
      </c>
      <c r="W44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89.99994777555581</v>
      </c>
      <c r="X440" s="1">
        <f>IF(Dominus[[#This Row],[Yaw]]&gt;V439,(360-ABS(Dominus[[#This Row],[Yaw]])-ABS(V439)),ABS(Dominus[[#This Row],[Yaw]]-V439))</f>
        <v>0.97719947834747245</v>
      </c>
      <c r="Y440" s="1">
        <f>Dominus[[#This Row],[Degree change]]+Y439</f>
        <v>370.22904940895933</v>
      </c>
    </row>
    <row r="441" spans="1:25">
      <c r="A441">
        <v>440</v>
      </c>
      <c r="B441" s="1">
        <v>140.12998999999999</v>
      </c>
      <c r="C441" s="1">
        <v>2220.3298340000001</v>
      </c>
      <c r="D441" s="1">
        <v>17.049999</v>
      </c>
      <c r="E441" s="1">
        <v>-1433.6099850000001</v>
      </c>
      <c r="F441" s="1">
        <v>1798.51001</v>
      </c>
      <c r="G441" s="1">
        <v>8.0399999999999991</v>
      </c>
      <c r="H441" s="1">
        <v>0</v>
      </c>
      <c r="I441" s="1">
        <v>0</v>
      </c>
      <c r="J441" s="1">
        <v>2.0472999999999999</v>
      </c>
      <c r="K441" s="1">
        <v>-7.6689999999999996E-3</v>
      </c>
      <c r="L441" s="1">
        <v>3.4120000000000001E-3</v>
      </c>
      <c r="M441" s="1">
        <v>0.91370499999999999</v>
      </c>
      <c r="N441" s="1">
        <v>0.40629199999999999</v>
      </c>
      <c r="O441">
        <v>1</v>
      </c>
      <c r="P441">
        <v>0</v>
      </c>
      <c r="Q441">
        <v>1</v>
      </c>
      <c r="R441">
        <v>1</v>
      </c>
      <c r="S441">
        <v>1</v>
      </c>
      <c r="T441" s="1">
        <f>SQRT(POWER(Dominus[[#This Row],[angvel_X]],2) + POWER(Dominus[[#This Row],[angvel_Y]],2) + POWER(Dominus[[#This Row],[angvel_Z]],2))</f>
        <v>2.0472999999999999</v>
      </c>
      <c r="U441" s="1">
        <f>DEGREES(ASIN(MAX(-1,MIN(1,2 * (Dominus[[#This Row],[quart_W]]*Dominus[[#This Row],[quart_Y]] - Dominus[[#This Row],[quart_Z]]*Dominus[[#This Row],[quart_X]])))))</f>
        <v>0.96186621577389142</v>
      </c>
      <c r="V44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-42.054006925553011</v>
      </c>
      <c r="W44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89.999804237197878</v>
      </c>
      <c r="X441" s="1">
        <f>IF(Dominus[[#This Row],[Yaw]]&gt;V440,(360-ABS(Dominus[[#This Row],[Yaw]])-ABS(V440)),ABS(Dominus[[#This Row],[Yaw]]-V440))</f>
        <v>0.97747993427311997</v>
      </c>
      <c r="Y441" s="1">
        <f>Dominus[[#This Row],[Degree change]]+Y440</f>
        <v>371.20652934323243</v>
      </c>
    </row>
    <row r="442" spans="1:25">
      <c r="A442">
        <v>441</v>
      </c>
      <c r="B442" s="1">
        <v>128.13999899999999</v>
      </c>
      <c r="C442" s="1">
        <v>2235.3698730000001</v>
      </c>
      <c r="D442" s="1">
        <v>17.049999</v>
      </c>
      <c r="E442" s="1">
        <v>-1464.089966</v>
      </c>
      <c r="F442" s="1">
        <v>1773.7899170000001</v>
      </c>
      <c r="G442" s="1">
        <v>8.0399999999999991</v>
      </c>
      <c r="H442" s="1">
        <v>0</v>
      </c>
      <c r="I442" s="1">
        <v>0</v>
      </c>
      <c r="J442" s="1">
        <v>2.0472999999999999</v>
      </c>
      <c r="K442" s="1">
        <v>-7.6959999999999997E-3</v>
      </c>
      <c r="L442" s="1">
        <v>3.3470000000000001E-3</v>
      </c>
      <c r="M442" s="1">
        <v>0.91713599999999995</v>
      </c>
      <c r="N442" s="1">
        <v>0.39848499999999998</v>
      </c>
      <c r="O442">
        <v>1</v>
      </c>
      <c r="P442">
        <v>0</v>
      </c>
      <c r="Q442">
        <v>1</v>
      </c>
      <c r="R442">
        <v>1</v>
      </c>
      <c r="S442">
        <v>1</v>
      </c>
      <c r="T442" s="1">
        <f>SQRT(POWER(Dominus[[#This Row],[angvel_X]],2) + POWER(Dominus[[#This Row],[angvel_Y]],2) + POWER(Dominus[[#This Row],[angvel_Z]],2))</f>
        <v>2.0472999999999999</v>
      </c>
      <c r="U442" s="1">
        <f>DEGREES(ASIN(MAX(-1,MIN(1,2 * (Dominus[[#This Row],[quart_W]]*Dominus[[#This Row],[quart_Y]] - Dominus[[#This Row],[quart_Z]]*Dominus[[#This Row],[quart_X]])))))</f>
        <v>0.96169843032202362</v>
      </c>
      <c r="V44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-43.031188679355921</v>
      </c>
      <c r="W44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89.999666075329515</v>
      </c>
      <c r="X442" s="1">
        <f>IF(Dominus[[#This Row],[Yaw]]&gt;V441,(360-ABS(Dominus[[#This Row],[Yaw]])-ABS(V441)),ABS(Dominus[[#This Row],[Yaw]]-V441))</f>
        <v>0.97718175380290972</v>
      </c>
      <c r="Y442" s="1">
        <f>Dominus[[#This Row],[Degree change]]+Y441</f>
        <v>372.18371109703537</v>
      </c>
    </row>
    <row r="443" spans="1:25">
      <c r="A443">
        <v>442</v>
      </c>
      <c r="B443" s="1">
        <v>115.889999</v>
      </c>
      <c r="C443" s="1">
        <v>2250.1999510000001</v>
      </c>
      <c r="D443" s="1">
        <v>17.049999</v>
      </c>
      <c r="E443" s="1">
        <v>-1494.1400149999999</v>
      </c>
      <c r="F443" s="1">
        <v>1748.559937</v>
      </c>
      <c r="G443" s="1">
        <v>8.0399999999999991</v>
      </c>
      <c r="H443" s="1">
        <v>0</v>
      </c>
      <c r="I443" s="1">
        <v>0</v>
      </c>
      <c r="J443" s="1">
        <v>2.0472999999999999</v>
      </c>
      <c r="K443" s="1">
        <v>-7.7229999999999998E-3</v>
      </c>
      <c r="L443" s="1">
        <v>3.2829999999999999E-3</v>
      </c>
      <c r="M443" s="1">
        <v>0.92050200000000004</v>
      </c>
      <c r="N443" s="1">
        <v>0.39064700000000002</v>
      </c>
      <c r="O443">
        <v>1</v>
      </c>
      <c r="P443">
        <v>0</v>
      </c>
      <c r="Q443">
        <v>1</v>
      </c>
      <c r="R443">
        <v>1</v>
      </c>
      <c r="S443">
        <v>1</v>
      </c>
      <c r="T443" s="1">
        <f>SQRT(POWER(Dominus[[#This Row],[angvel_X]],2) + POWER(Dominus[[#This Row],[angvel_Y]],2) + POWER(Dominus[[#This Row],[angvel_Z]],2))</f>
        <v>2.0472999999999999</v>
      </c>
      <c r="U443" s="1">
        <f>DEGREES(ASIN(MAX(-1,MIN(1,2 * (Dominus[[#This Row],[quart_W]]*Dominus[[#This Row],[quart_Y]] - Dominus[[#This Row],[quart_Z]]*Dominus[[#This Row],[quart_X]])))))</f>
        <v>0.96164377345054575</v>
      </c>
      <c r="V443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-44.00872809479614</v>
      </c>
      <c r="W443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89.999422229915979</v>
      </c>
      <c r="X443" s="1">
        <f>IF(Dominus[[#This Row],[Yaw]]&gt;V442,(360-ABS(Dominus[[#This Row],[Yaw]])-ABS(V442)),ABS(Dominus[[#This Row],[Yaw]]-V442))</f>
        <v>0.97753941544021927</v>
      </c>
      <c r="Y443" s="1">
        <f>Dominus[[#This Row],[Degree change]]+Y442</f>
        <v>373.16125051247559</v>
      </c>
    </row>
    <row r="444" spans="1:25">
      <c r="A444">
        <v>443</v>
      </c>
      <c r="B444" s="1">
        <v>103.389999</v>
      </c>
      <c r="C444" s="1">
        <v>2264.820068</v>
      </c>
      <c r="D444" s="1">
        <v>17.049999</v>
      </c>
      <c r="E444" s="1">
        <v>-1523.75</v>
      </c>
      <c r="F444" s="1">
        <v>1722.809937</v>
      </c>
      <c r="G444" s="1">
        <v>8.0399999999999991</v>
      </c>
      <c r="H444" s="1">
        <v>0</v>
      </c>
      <c r="I444" s="1">
        <v>0</v>
      </c>
      <c r="J444" s="1">
        <v>2.0472999999999999</v>
      </c>
      <c r="K444" s="1">
        <v>-7.7499999999999999E-3</v>
      </c>
      <c r="L444" s="1">
        <v>3.2179999999999999E-3</v>
      </c>
      <c r="M444" s="1">
        <v>0.92380099999999998</v>
      </c>
      <c r="N444" s="1">
        <v>0.38278099999999998</v>
      </c>
      <c r="O444">
        <v>1</v>
      </c>
      <c r="P444">
        <v>0</v>
      </c>
      <c r="Q444">
        <v>1</v>
      </c>
      <c r="R444">
        <v>1</v>
      </c>
      <c r="S444">
        <v>1</v>
      </c>
      <c r="T444" s="1">
        <f>SQRT(POWER(Dominus[[#This Row],[angvel_X]],2) + POWER(Dominus[[#This Row],[angvel_Y]],2) + POWER(Dominus[[#This Row],[angvel_Z]],2))</f>
        <v>2.0472999999999999</v>
      </c>
      <c r="U444" s="1">
        <f>DEGREES(ASIN(MAX(-1,MIN(1,2 * (Dominus[[#This Row],[quart_W]]*Dominus[[#This Row],[quart_Y]] - Dominus[[#This Row],[quart_Z]]*Dominus[[#This Row],[quart_X]])))))</f>
        <v>0.96161122039391489</v>
      </c>
      <c r="V444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-44.986232299986924</v>
      </c>
      <c r="W444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89.999284977688447</v>
      </c>
      <c r="X444" s="1">
        <f>IF(Dominus[[#This Row],[Yaw]]&gt;V443,(360-ABS(Dominus[[#This Row],[Yaw]])-ABS(V443)),ABS(Dominus[[#This Row],[Yaw]]-V443))</f>
        <v>0.97750420519078318</v>
      </c>
      <c r="Y444" s="1">
        <f>Dominus[[#This Row],[Degree change]]+Y443</f>
        <v>374.13875471766636</v>
      </c>
    </row>
    <row r="445" spans="1:25">
      <c r="A445">
        <v>444</v>
      </c>
      <c r="B445" s="1">
        <v>90.639999000000003</v>
      </c>
      <c r="C445" s="1">
        <v>2279.2299800000001</v>
      </c>
      <c r="D445" s="1">
        <v>17.049999</v>
      </c>
      <c r="E445" s="1">
        <v>-1552.919922</v>
      </c>
      <c r="F445" s="1">
        <v>1696.5699460000001</v>
      </c>
      <c r="G445" s="1">
        <v>8.0399999999999991</v>
      </c>
      <c r="H445" s="1">
        <v>0</v>
      </c>
      <c r="I445" s="1">
        <v>0</v>
      </c>
      <c r="J445" s="1">
        <v>2.0472999999999999</v>
      </c>
      <c r="K445" s="1">
        <v>-7.7770000000000001E-3</v>
      </c>
      <c r="L445" s="1">
        <v>3.153E-3</v>
      </c>
      <c r="M445" s="1">
        <v>0.92703199999999997</v>
      </c>
      <c r="N445" s="1">
        <v>0.37488900000000003</v>
      </c>
      <c r="O445">
        <v>1</v>
      </c>
      <c r="P445">
        <v>0</v>
      </c>
      <c r="Q445">
        <v>1</v>
      </c>
      <c r="R445">
        <v>1</v>
      </c>
      <c r="S445">
        <v>1</v>
      </c>
      <c r="T445" s="1">
        <f>SQRT(POWER(Dominus[[#This Row],[angvel_X]],2) + POWER(Dominus[[#This Row],[angvel_Y]],2) + POWER(Dominus[[#This Row],[angvel_Z]],2))</f>
        <v>2.0472999999999999</v>
      </c>
      <c r="U445" s="1">
        <f>DEGREES(ASIN(MAX(-1,MIN(1,2 * (Dominus[[#This Row],[quart_W]]*Dominus[[#This Row],[quart_Y]] - Dominus[[#This Row],[quart_Z]]*Dominus[[#This Row],[quart_X]])))))</f>
        <v>0.96164627579509021</v>
      </c>
      <c r="V445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-45.963502751564114</v>
      </c>
      <c r="W445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89.999149594469046</v>
      </c>
      <c r="X445" s="1">
        <f>IF(Dominus[[#This Row],[Yaw]]&gt;V444,(360-ABS(Dominus[[#This Row],[Yaw]])-ABS(V444)),ABS(Dominus[[#This Row],[Yaw]]-V444))</f>
        <v>0.97727045157719061</v>
      </c>
      <c r="Y445" s="1">
        <f>Dominus[[#This Row],[Degree change]]+Y444</f>
        <v>375.11602516924353</v>
      </c>
    </row>
    <row r="446" spans="1:25">
      <c r="A446">
        <v>445</v>
      </c>
      <c r="B446" s="1">
        <v>77.650002000000001</v>
      </c>
      <c r="C446" s="1">
        <v>2293.419922</v>
      </c>
      <c r="D446" s="1">
        <v>17.049999</v>
      </c>
      <c r="E446" s="1">
        <v>-1581.6400149999999</v>
      </c>
      <c r="F446" s="1">
        <v>1669.829956</v>
      </c>
      <c r="G446" s="1">
        <v>8.0399999999999991</v>
      </c>
      <c r="H446" s="1">
        <v>0</v>
      </c>
      <c r="I446" s="1">
        <v>0</v>
      </c>
      <c r="J446" s="1">
        <v>2.0472999999999999</v>
      </c>
      <c r="K446" s="1">
        <v>-7.8040000000000002E-3</v>
      </c>
      <c r="L446" s="1">
        <v>3.0890000000000002E-3</v>
      </c>
      <c r="M446" s="1">
        <v>0.93019499999999999</v>
      </c>
      <c r="N446" s="1">
        <v>0.36696899999999999</v>
      </c>
      <c r="O446">
        <v>1</v>
      </c>
      <c r="P446">
        <v>0</v>
      </c>
      <c r="Q446">
        <v>1</v>
      </c>
      <c r="R446">
        <v>1</v>
      </c>
      <c r="S446">
        <v>1</v>
      </c>
      <c r="T446" s="1">
        <f>SQRT(POWER(Dominus[[#This Row],[angvel_X]],2) + POWER(Dominus[[#This Row],[angvel_Y]],2) + POWER(Dominus[[#This Row],[angvel_Z]],2))</f>
        <v>2.0472999999999999</v>
      </c>
      <c r="U446" s="1">
        <f>DEGREES(ASIN(MAX(-1,MIN(1,2 * (Dominus[[#This Row],[quart_W]]*Dominus[[#This Row],[quart_Y]] - Dominus[[#This Row],[quart_Z]]*Dominus[[#This Row],[quart_X]])))))</f>
        <v>0.96179023911577322</v>
      </c>
      <c r="V446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-46.940764300834445</v>
      </c>
      <c r="W446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89.998905922863543</v>
      </c>
      <c r="X446" s="1">
        <f>IF(Dominus[[#This Row],[Yaw]]&gt;V445,(360-ABS(Dominus[[#This Row],[Yaw]])-ABS(V445)),ABS(Dominus[[#This Row],[Yaw]]-V445))</f>
        <v>0.97726154927033093</v>
      </c>
      <c r="Y446" s="1">
        <f>Dominus[[#This Row],[Degree change]]+Y445</f>
        <v>376.09328671851387</v>
      </c>
    </row>
    <row r="447" spans="1:25">
      <c r="A447">
        <v>446</v>
      </c>
      <c r="B447" s="1">
        <v>64.419998000000007</v>
      </c>
      <c r="C447" s="1">
        <v>2307.3798830000001</v>
      </c>
      <c r="D447" s="1">
        <v>17.049999</v>
      </c>
      <c r="E447" s="1">
        <v>-1609.8900149999999</v>
      </c>
      <c r="F447" s="1">
        <v>1642.599976</v>
      </c>
      <c r="G447" s="1">
        <v>8.0399999999999991</v>
      </c>
      <c r="H447" s="1">
        <v>0</v>
      </c>
      <c r="I447" s="1">
        <v>0</v>
      </c>
      <c r="J447" s="1">
        <v>2.0472999999999999</v>
      </c>
      <c r="K447" s="1">
        <v>-7.8309999999999994E-3</v>
      </c>
      <c r="L447" s="1">
        <v>3.0240000000000002E-3</v>
      </c>
      <c r="M447" s="1">
        <v>0.93329099999999998</v>
      </c>
      <c r="N447" s="1">
        <v>0.35902200000000001</v>
      </c>
      <c r="O447">
        <v>1</v>
      </c>
      <c r="P447">
        <v>0</v>
      </c>
      <c r="Q447">
        <v>1</v>
      </c>
      <c r="R447">
        <v>1</v>
      </c>
      <c r="S447">
        <v>1</v>
      </c>
      <c r="T447" s="1">
        <f>SQRT(POWER(Dominus[[#This Row],[angvel_X]],2) + POWER(Dominus[[#This Row],[angvel_Y]],2) + POWER(Dominus[[#This Row],[angvel_Z]],2))</f>
        <v>2.0472999999999999</v>
      </c>
      <c r="U447" s="1">
        <f>DEGREES(ASIN(MAX(-1,MIN(1,2 * (Dominus[[#This Row],[quart_W]]*Dominus[[#This Row],[quart_Y]] - Dominus[[#This Row],[quart_Z]]*Dominus[[#This Row],[quart_X]])))))</f>
        <v>0.96195932307752696</v>
      </c>
      <c r="V447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-47.918126549170843</v>
      </c>
      <c r="W447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89.998765594491232</v>
      </c>
      <c r="X447" s="1">
        <f>IF(Dominus[[#This Row],[Yaw]]&gt;V446,(360-ABS(Dominus[[#This Row],[Yaw]])-ABS(V446)),ABS(Dominus[[#This Row],[Yaw]]-V446))</f>
        <v>0.97736224833639795</v>
      </c>
      <c r="Y447" s="1">
        <f>Dominus[[#This Row],[Degree change]]+Y446</f>
        <v>377.07064896685029</v>
      </c>
    </row>
    <row r="448" spans="1:25">
      <c r="A448">
        <v>447</v>
      </c>
      <c r="B448" s="1">
        <v>50.950001</v>
      </c>
      <c r="C448" s="1">
        <v>2321.1098630000001</v>
      </c>
      <c r="D448" s="1">
        <v>17.049999</v>
      </c>
      <c r="E448" s="1">
        <v>-1637.679932</v>
      </c>
      <c r="F448" s="1">
        <v>1614.900024</v>
      </c>
      <c r="G448" s="1">
        <v>8.0399999999999991</v>
      </c>
      <c r="H448" s="1">
        <v>1E-4</v>
      </c>
      <c r="I448" s="1">
        <v>0</v>
      </c>
      <c r="J448" s="1">
        <v>2.0472999999999999</v>
      </c>
      <c r="K448" s="1">
        <v>-7.8580000000000004E-3</v>
      </c>
      <c r="L448" s="1">
        <v>2.9589999999999998E-3</v>
      </c>
      <c r="M448" s="1">
        <v>0.93631900000000001</v>
      </c>
      <c r="N448" s="1">
        <v>0.351049</v>
      </c>
      <c r="O448">
        <v>1</v>
      </c>
      <c r="P448">
        <v>0</v>
      </c>
      <c r="Q448">
        <v>1</v>
      </c>
      <c r="R448">
        <v>1</v>
      </c>
      <c r="S448">
        <v>1</v>
      </c>
      <c r="T448" s="1">
        <f>SQRT(POWER(Dominus[[#This Row],[angvel_X]],2) + POWER(Dominus[[#This Row],[angvel_Y]],2) + POWER(Dominus[[#This Row],[angvel_Z]],2))</f>
        <v>2.047300002442241</v>
      </c>
      <c r="U448" s="1">
        <f>DEGREES(ASIN(MAX(-1,MIN(1,2 * (Dominus[[#This Row],[quart_W]]*Dominus[[#This Row],[quart_Y]] - Dominus[[#This Row],[quart_Z]]*Dominus[[#This Row],[quart_X]])))))</f>
        <v>0.96219591282752925</v>
      </c>
      <c r="V448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-48.895468024259813</v>
      </c>
      <c r="W448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89.998621856039662</v>
      </c>
      <c r="X448" s="1">
        <f>IF(Dominus[[#This Row],[Yaw]]&gt;V447,(360-ABS(Dominus[[#This Row],[Yaw]])-ABS(V447)),ABS(Dominus[[#This Row],[Yaw]]-V447))</f>
        <v>0.97734147508896996</v>
      </c>
      <c r="Y448" s="1">
        <f>Dominus[[#This Row],[Degree change]]+Y447</f>
        <v>378.04799044193925</v>
      </c>
    </row>
    <row r="449" spans="1:25">
      <c r="A449">
        <v>448</v>
      </c>
      <c r="B449" s="1">
        <v>37.25</v>
      </c>
      <c r="C449" s="1">
        <v>2334.6098630000001</v>
      </c>
      <c r="D449" s="1">
        <v>17.049999</v>
      </c>
      <c r="E449" s="1">
        <v>-1664.98999</v>
      </c>
      <c r="F449" s="1">
        <v>1586.7299800000001</v>
      </c>
      <c r="G449" s="1">
        <v>8.0399999999999991</v>
      </c>
      <c r="H449" s="1">
        <v>2.0000000000000001E-4</v>
      </c>
      <c r="I449" s="1">
        <v>0</v>
      </c>
      <c r="J449" s="1">
        <v>2.0472999999999999</v>
      </c>
      <c r="K449" s="1">
        <v>-7.8849999999999996E-3</v>
      </c>
      <c r="L449" s="1">
        <v>2.8890000000000001E-3</v>
      </c>
      <c r="M449" s="1">
        <v>0.93928</v>
      </c>
      <c r="N449" s="1">
        <v>0.34304800000000002</v>
      </c>
      <c r="O449">
        <v>1</v>
      </c>
      <c r="P449">
        <v>0</v>
      </c>
      <c r="Q449">
        <v>1</v>
      </c>
      <c r="R449">
        <v>1</v>
      </c>
      <c r="S449">
        <v>1</v>
      </c>
      <c r="T449" s="1">
        <f>SQRT(POWER(Dominus[[#This Row],[angvel_X]],2) + POWER(Dominus[[#This Row],[angvel_Y]],2) + POWER(Dominus[[#This Row],[angvel_Z]],2))</f>
        <v>2.0473000097689638</v>
      </c>
      <c r="U449" s="1">
        <f>DEGREES(ASIN(MAX(-1,MIN(1,2 * (Dominus[[#This Row],[quart_W]]*Dominus[[#This Row],[quart_Y]] - Dominus[[#This Row],[quart_Z]]*Dominus[[#This Row],[quart_X]])))))</f>
        <v>0.96230361875730008</v>
      </c>
      <c r="V449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-49.873128288659856</v>
      </c>
      <c r="W449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89.999009051197959</v>
      </c>
      <c r="X449" s="1">
        <f>IF(Dominus[[#This Row],[Yaw]]&gt;V448,(360-ABS(Dominus[[#This Row],[Yaw]])-ABS(V448)),ABS(Dominus[[#This Row],[Yaw]]-V448))</f>
        <v>0.97766026440004339</v>
      </c>
      <c r="Y449" s="1">
        <f>Dominus[[#This Row],[Degree change]]+Y448</f>
        <v>379.02565070633932</v>
      </c>
    </row>
    <row r="450" spans="1:25">
      <c r="A450">
        <v>449</v>
      </c>
      <c r="B450" s="1">
        <v>23.32</v>
      </c>
      <c r="C450" s="1">
        <v>2347.8798830000001</v>
      </c>
      <c r="D450" s="1">
        <v>17.049999</v>
      </c>
      <c r="E450" s="1">
        <v>-1691.8199460000001</v>
      </c>
      <c r="F450" s="1">
        <v>1558.099976</v>
      </c>
      <c r="G450" s="1">
        <v>8.0399999999999991</v>
      </c>
      <c r="H450" s="1">
        <v>2.0000000000000001E-4</v>
      </c>
      <c r="I450" s="1">
        <v>0</v>
      </c>
      <c r="J450" s="1">
        <v>2.0472999999999999</v>
      </c>
      <c r="K450" s="1">
        <v>-7.9059999999999998E-3</v>
      </c>
      <c r="L450" s="1">
        <v>2.8189999999999999E-3</v>
      </c>
      <c r="M450" s="1">
        <v>0.94217300000000004</v>
      </c>
      <c r="N450" s="1">
        <v>0.33502100000000001</v>
      </c>
      <c r="O450">
        <v>1</v>
      </c>
      <c r="P450">
        <v>0</v>
      </c>
      <c r="Q450">
        <v>1</v>
      </c>
      <c r="R450">
        <v>1</v>
      </c>
      <c r="S450">
        <v>1</v>
      </c>
      <c r="T450" s="1">
        <f>SQRT(POWER(Dominus[[#This Row],[angvel_X]],2) + POWER(Dominus[[#This Row],[angvel_Y]],2) + POWER(Dominus[[#This Row],[angvel_Z]],2))</f>
        <v>2.0473000097689638</v>
      </c>
      <c r="U450" s="1">
        <f>DEGREES(ASIN(MAX(-1,MIN(1,2 * (Dominus[[#This Row],[quart_W]]*Dominus[[#This Row],[quart_Y]] - Dominus[[#This Row],[quart_Z]]*Dominus[[#This Row],[quart_X]])))))</f>
        <v>0.9618400838411667</v>
      </c>
      <c r="V450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-50.850912590262084</v>
      </c>
      <c r="W450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89.999162256509393</v>
      </c>
      <c r="X450" s="1">
        <f>IF(Dominus[[#This Row],[Yaw]]&gt;V449,(360-ABS(Dominus[[#This Row],[Yaw]])-ABS(V449)),ABS(Dominus[[#This Row],[Yaw]]-V449))</f>
        <v>0.9777843016022274</v>
      </c>
      <c r="Y450" s="1">
        <f>Dominus[[#This Row],[Degree change]]+Y449</f>
        <v>380.00343500794156</v>
      </c>
    </row>
    <row r="451" spans="1:25">
      <c r="A451">
        <v>450</v>
      </c>
      <c r="B451" s="1">
        <v>9.17</v>
      </c>
      <c r="C451" s="1">
        <v>2360.9099120000001</v>
      </c>
      <c r="D451" s="1">
        <v>17.049999</v>
      </c>
      <c r="E451" s="1">
        <v>-1718.1499020000001</v>
      </c>
      <c r="F451" s="1">
        <v>1529.01001</v>
      </c>
      <c r="G451" s="1">
        <v>8.0399999999999991</v>
      </c>
      <c r="H451" s="1">
        <v>2.0000000000000001E-4</v>
      </c>
      <c r="I451" s="1">
        <v>0</v>
      </c>
      <c r="J451" s="1">
        <v>2.0472999999999999</v>
      </c>
      <c r="K451" s="1">
        <v>-7.9279999999999993E-3</v>
      </c>
      <c r="L451" s="1">
        <v>2.7490000000000001E-3</v>
      </c>
      <c r="M451" s="1">
        <v>0.94499699999999998</v>
      </c>
      <c r="N451" s="1">
        <v>0.32697199999999998</v>
      </c>
      <c r="O451">
        <v>1</v>
      </c>
      <c r="P451">
        <v>0</v>
      </c>
      <c r="Q451">
        <v>1</v>
      </c>
      <c r="R451">
        <v>1</v>
      </c>
      <c r="S451">
        <v>1</v>
      </c>
      <c r="T451" s="1">
        <f>SQRT(POWER(Dominus[[#This Row],[angvel_X]],2) + POWER(Dominus[[#This Row],[angvel_Y]],2) + POWER(Dominus[[#This Row],[angvel_Z]],2))</f>
        <v>2.0473000097689638</v>
      </c>
      <c r="U451" s="1">
        <f>DEGREES(ASIN(MAX(-1,MIN(1,2 * (Dominus[[#This Row],[quart_W]]*Dominus[[#This Row],[quart_Y]] - Dominus[[#This Row],[quart_Z]]*Dominus[[#This Row],[quart_X]])))))</f>
        <v>0.96155795486128837</v>
      </c>
      <c r="V451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-51.828451379199755</v>
      </c>
      <c r="W451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89.999362467517187</v>
      </c>
      <c r="X451" s="1">
        <f>IF(Dominus[[#This Row],[Yaw]]&gt;V450,(360-ABS(Dominus[[#This Row],[Yaw]])-ABS(V450)),ABS(Dominus[[#This Row],[Yaw]]-V450))</f>
        <v>0.97753878893767165</v>
      </c>
      <c r="Y451" s="1">
        <f>Dominus[[#This Row],[Degree change]]+Y450</f>
        <v>380.98097379687925</v>
      </c>
    </row>
    <row r="452" spans="1:25">
      <c r="A452">
        <v>451</v>
      </c>
      <c r="B452" s="1">
        <v>-5.2</v>
      </c>
      <c r="C452" s="1">
        <v>2373.6899410000001</v>
      </c>
      <c r="D452" s="1">
        <v>17.049999</v>
      </c>
      <c r="E452" s="1">
        <v>-1743.9799800000001</v>
      </c>
      <c r="F452" s="1">
        <v>1499.469971</v>
      </c>
      <c r="G452" s="1">
        <v>8.0399999999999991</v>
      </c>
      <c r="H452" s="1">
        <v>1E-4</v>
      </c>
      <c r="I452" s="1">
        <v>0</v>
      </c>
      <c r="J452" s="1">
        <v>2.0472999999999999</v>
      </c>
      <c r="K452" s="1">
        <v>-7.9489999999999995E-3</v>
      </c>
      <c r="L452" s="1">
        <v>2.679E-3</v>
      </c>
      <c r="M452" s="1">
        <v>0.94775100000000001</v>
      </c>
      <c r="N452" s="1">
        <v>0.31890099999999999</v>
      </c>
      <c r="O452">
        <v>1</v>
      </c>
      <c r="P452">
        <v>0</v>
      </c>
      <c r="Q452">
        <v>1</v>
      </c>
      <c r="R452">
        <v>1</v>
      </c>
      <c r="S452">
        <v>1</v>
      </c>
      <c r="T452" s="1">
        <f>SQRT(POWER(Dominus[[#This Row],[angvel_X]],2) + POWER(Dominus[[#This Row],[angvel_Y]],2) + POWER(Dominus[[#This Row],[angvel_Z]],2))</f>
        <v>2.047300002442241</v>
      </c>
      <c r="U452" s="1">
        <f>DEGREES(ASIN(MAX(-1,MIN(1,2 * (Dominus[[#This Row],[quart_W]]*Dominus[[#This Row],[quart_Y]] - Dominus[[#This Row],[quart_Z]]*Dominus[[#This Row],[quart_X]])))))</f>
        <v>0.9612400599396923</v>
      </c>
      <c r="V452" s="1">
        <f>DEGREES(ATAN2(2*(Dominus[[#This Row],[quart_W]]*Dominus[[#This Row],[quart_Z]]+Dominus[[#This Row],[quart_X]]*Dominus[[#This Row],[quart_Y]]),1 - 2*(Dominus[[#This Row],[quart_Y]]*Dominus[[#This Row],[quart_Y]]+Dominus[[#This Row],[quart_Z]]*Dominus[[#This Row],[quart_Z]])))</f>
        <v>-52.805706411193007</v>
      </c>
      <c r="W452" s="1">
        <f>DEGREES(ATAN2(2 *(Dominus[[#This Row],[quart_W]]*Dominus[[#This Row],[quart_X]]+Dominus[[#This Row],[quart_Y]]*Dominus[[#This Row],[quart_Z]]), 1 - 2*(Dominus[[#This Row],[quart_X]]*Dominus[[#This Row],[quart_X]]+Dominus[[#This Row],[quart_Y]]*Dominus[[#This Row],[quart_Y]])))</f>
        <v>89.999532299780427</v>
      </c>
      <c r="X452" s="1">
        <f>IF(Dominus[[#This Row],[Yaw]]&gt;V451,(360-ABS(Dominus[[#This Row],[Yaw]])-ABS(V451)),ABS(Dominus[[#This Row],[Yaw]]-V451))</f>
        <v>0.97725503199325203</v>
      </c>
      <c r="Y452" s="1">
        <f>Dominus[[#This Row],[Degree change]]+Y451</f>
        <v>381.95822882887251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452"/>
  <sheetViews>
    <sheetView workbookViewId="0">
      <selection activeCell="Y3" sqref="Y3"/>
    </sheetView>
  </sheetViews>
  <sheetFormatPr defaultRowHeight="14.5"/>
  <cols>
    <col min="8" max="9" width="11.1796875" customWidth="1"/>
    <col min="10" max="10" width="11" customWidth="1"/>
    <col min="11" max="12" width="10" customWidth="1"/>
    <col min="13" max="13" width="9.81640625" customWidth="1"/>
    <col min="14" max="14" width="10.81640625" customWidth="1"/>
    <col min="16" max="16" width="13.81640625" customWidth="1"/>
    <col min="17" max="17" width="16.54296875" customWidth="1"/>
    <col min="18" max="18" width="16.1796875" customWidth="1"/>
    <col min="19" max="19" width="10.26953125" customWidth="1"/>
    <col min="20" max="20" width="14.26953125" bestFit="1" customWidth="1"/>
    <col min="24" max="24" width="16.54296875" bestFit="1" customWidth="1"/>
    <col min="25" max="25" width="17.1796875" bestFit="1" customWidth="1"/>
  </cols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32</v>
      </c>
      <c r="V1" t="s">
        <v>31</v>
      </c>
      <c r="W1" t="s">
        <v>33</v>
      </c>
      <c r="X1" t="s">
        <v>35</v>
      </c>
      <c r="Y1" s="1" t="s">
        <v>34</v>
      </c>
    </row>
    <row r="2" spans="1:25">
      <c r="A2">
        <v>1</v>
      </c>
      <c r="B2" s="1">
        <v>865.17999299999997</v>
      </c>
      <c r="C2" s="1">
        <v>1074.309937</v>
      </c>
      <c r="D2" s="1">
        <v>18.639999</v>
      </c>
      <c r="E2" s="1">
        <v>-1179.380005</v>
      </c>
      <c r="F2" s="1">
        <v>1974.579956</v>
      </c>
      <c r="G2" s="1">
        <v>8.1300000000000008</v>
      </c>
      <c r="H2" s="1">
        <v>0</v>
      </c>
      <c r="I2" s="1">
        <v>0</v>
      </c>
      <c r="J2" s="1">
        <v>0</v>
      </c>
      <c r="K2" s="1">
        <v>-2.7590000000000002E-3</v>
      </c>
      <c r="L2" s="1">
        <v>1.578E-3</v>
      </c>
      <c r="M2" s="1">
        <v>0.86970400000000003</v>
      </c>
      <c r="N2" s="1">
        <v>0.493564</v>
      </c>
      <c r="O2">
        <v>0</v>
      </c>
      <c r="P2">
        <v>0</v>
      </c>
      <c r="Q2">
        <v>1</v>
      </c>
      <c r="R2">
        <v>1</v>
      </c>
      <c r="S2">
        <v>1</v>
      </c>
      <c r="T2" s="1">
        <f>SQRT(POWER(Plank[[#This Row],[angvel_X]],2) + POWER(Plank[[#This Row],[angvel_Y]],2) + POWER(Plank[[#This Row],[angvel_Z]],2))</f>
        <v>0</v>
      </c>
      <c r="U2" s="1">
        <f>DEGREES(ASIN(MAX(-1,MIN(1,2 * (Plank[[#This Row],[quart_W]]*Plank[[#This Row],[quart_Y]] - Plank[[#This Row],[quart_Z]]*Plank[[#This Row],[quart_X]])))))</f>
        <v>0.36421537424412592</v>
      </c>
      <c r="V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2" s="1" t="e">
        <f>IF(Plank[[#This Row],[Yaw]]&gt;V1,(360-ABS(Plank[[#This Row],[Yaw]])-ABS(V1)),ABS(Plank[[#This Row],[Yaw]]-V1))</f>
        <v>#VALUE!</v>
      </c>
      <c r="Y2" s="1"/>
    </row>
    <row r="3" spans="1:25">
      <c r="A3">
        <v>2</v>
      </c>
      <c r="B3" s="1">
        <v>855.32000700000003</v>
      </c>
      <c r="C3" s="1">
        <v>1090.8199460000001</v>
      </c>
      <c r="D3" s="1">
        <v>18.639999</v>
      </c>
      <c r="E3" s="1">
        <v>-1179.380005</v>
      </c>
      <c r="F3" s="1">
        <v>1974.579956</v>
      </c>
      <c r="G3" s="1">
        <v>8.1300000000000008</v>
      </c>
      <c r="H3" s="1">
        <v>0</v>
      </c>
      <c r="I3" s="1">
        <v>0</v>
      </c>
      <c r="J3" s="1">
        <v>0</v>
      </c>
      <c r="K3" s="1">
        <v>-2.7590000000000002E-3</v>
      </c>
      <c r="L3" s="1">
        <v>1.578E-3</v>
      </c>
      <c r="M3" s="1">
        <v>0.86970400000000003</v>
      </c>
      <c r="N3" s="1">
        <v>0.493564</v>
      </c>
      <c r="O3">
        <v>0</v>
      </c>
      <c r="P3">
        <v>0</v>
      </c>
      <c r="Q3">
        <v>1</v>
      </c>
      <c r="R3">
        <v>1</v>
      </c>
      <c r="S3">
        <v>1</v>
      </c>
      <c r="T3" s="1">
        <f>SQRT(POWER(Plank[[#This Row],[angvel_X]],2) + POWER(Plank[[#This Row],[angvel_Y]],2) + POWER(Plank[[#This Row],[angvel_Z]],2))</f>
        <v>0</v>
      </c>
      <c r="U3" s="1">
        <f>DEGREES(ASIN(MAX(-1,MIN(1,2 * (Plank[[#This Row],[quart_W]]*Plank[[#This Row],[quart_Y]] - Plank[[#This Row],[quart_Z]]*Plank[[#This Row],[quart_X]])))))</f>
        <v>0.36421537424412592</v>
      </c>
      <c r="V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3" s="1">
        <f>IF(Plank[[#This Row],[Yaw]]&gt;V2,(360-ABS(Plank[[#This Row],[Yaw]])-ABS(V2)),ABS(Plank[[#This Row],[Yaw]]-V2))</f>
        <v>0</v>
      </c>
      <c r="Y3" s="1">
        <f>Plank[[#This Row],[Degree change]]+Y2</f>
        <v>0</v>
      </c>
    </row>
    <row r="4" spans="1:25">
      <c r="A4">
        <v>3</v>
      </c>
      <c r="B4" s="1">
        <v>845.45996100000002</v>
      </c>
      <c r="C4" s="1">
        <v>1107.329956</v>
      </c>
      <c r="D4" s="1">
        <v>18.639999</v>
      </c>
      <c r="E4" s="1">
        <v>-1179.380005</v>
      </c>
      <c r="F4" s="1">
        <v>1974.579956</v>
      </c>
      <c r="G4" s="1">
        <v>8.1300000000000008</v>
      </c>
      <c r="H4" s="1">
        <v>0</v>
      </c>
      <c r="I4" s="1">
        <v>0</v>
      </c>
      <c r="J4" s="1">
        <v>0</v>
      </c>
      <c r="K4" s="1">
        <v>-2.7590000000000002E-3</v>
      </c>
      <c r="L4" s="1">
        <v>1.578E-3</v>
      </c>
      <c r="M4" s="1">
        <v>0.86970400000000003</v>
      </c>
      <c r="N4" s="1">
        <v>0.493564</v>
      </c>
      <c r="O4">
        <v>0</v>
      </c>
      <c r="P4">
        <v>0</v>
      </c>
      <c r="Q4">
        <v>1</v>
      </c>
      <c r="R4">
        <v>1</v>
      </c>
      <c r="S4">
        <v>1</v>
      </c>
      <c r="T4" s="1">
        <f>SQRT(POWER(Plank[[#This Row],[angvel_X]],2) + POWER(Plank[[#This Row],[angvel_Y]],2) + POWER(Plank[[#This Row],[angvel_Z]],2))</f>
        <v>0</v>
      </c>
      <c r="U4" s="1">
        <f>DEGREES(ASIN(MAX(-1,MIN(1,2 * (Plank[[#This Row],[quart_W]]*Plank[[#This Row],[quart_Y]] - Plank[[#This Row],[quart_Z]]*Plank[[#This Row],[quart_X]])))))</f>
        <v>0.36421537424412592</v>
      </c>
      <c r="V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4" s="1">
        <f>IF(Plank[[#This Row],[Yaw]]&gt;V3,(360-ABS(Plank[[#This Row],[Yaw]])-ABS(V3)),ABS(Plank[[#This Row],[Yaw]]-V3))</f>
        <v>0</v>
      </c>
      <c r="Y4" s="1">
        <f>Plank[[#This Row],[Degree change]]+Y3</f>
        <v>0</v>
      </c>
    </row>
    <row r="5" spans="1:25">
      <c r="A5">
        <v>4</v>
      </c>
      <c r="B5" s="1">
        <v>835.59997599999997</v>
      </c>
      <c r="C5" s="1">
        <v>1123.839966</v>
      </c>
      <c r="D5" s="1">
        <v>18.639999</v>
      </c>
      <c r="E5" s="1">
        <v>-1179.380005</v>
      </c>
      <c r="F5" s="1">
        <v>1974.579956</v>
      </c>
      <c r="G5" s="1">
        <v>8.1300000000000008</v>
      </c>
      <c r="H5" s="1">
        <v>0</v>
      </c>
      <c r="I5" s="1">
        <v>0</v>
      </c>
      <c r="J5" s="1">
        <v>0</v>
      </c>
      <c r="K5" s="1">
        <v>-2.7590000000000002E-3</v>
      </c>
      <c r="L5" s="1">
        <v>1.578E-3</v>
      </c>
      <c r="M5" s="1">
        <v>0.86970400000000003</v>
      </c>
      <c r="N5" s="1">
        <v>0.493564</v>
      </c>
      <c r="O5">
        <v>0</v>
      </c>
      <c r="P5">
        <v>0</v>
      </c>
      <c r="Q5">
        <v>1</v>
      </c>
      <c r="R5">
        <v>1</v>
      </c>
      <c r="S5">
        <v>1</v>
      </c>
      <c r="T5" s="1">
        <f>SQRT(POWER(Plank[[#This Row],[angvel_X]],2) + POWER(Plank[[#This Row],[angvel_Y]],2) + POWER(Plank[[#This Row],[angvel_Z]],2))</f>
        <v>0</v>
      </c>
      <c r="U5" s="1">
        <f>DEGREES(ASIN(MAX(-1,MIN(1,2 * (Plank[[#This Row],[quart_W]]*Plank[[#This Row],[quart_Y]] - Plank[[#This Row],[quart_Z]]*Plank[[#This Row],[quart_X]])))))</f>
        <v>0.36421537424412592</v>
      </c>
      <c r="V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5" s="1">
        <f>IF(Plank[[#This Row],[Yaw]]&gt;V4,(360-ABS(Plank[[#This Row],[Yaw]])-ABS(V4)),ABS(Plank[[#This Row],[Yaw]]-V4))</f>
        <v>0</v>
      </c>
      <c r="Y5" s="1">
        <f>Plank[[#This Row],[Degree change]]+Y4</f>
        <v>0</v>
      </c>
    </row>
    <row r="6" spans="1:25">
      <c r="A6">
        <v>5</v>
      </c>
      <c r="B6" s="1">
        <v>825.73999000000003</v>
      </c>
      <c r="C6" s="1">
        <v>1140.349976</v>
      </c>
      <c r="D6" s="1">
        <v>18.639999</v>
      </c>
      <c r="E6" s="1">
        <v>-1179.380005</v>
      </c>
      <c r="F6" s="1">
        <v>1974.579956</v>
      </c>
      <c r="G6" s="1">
        <v>8.1300000000000008</v>
      </c>
      <c r="H6" s="1">
        <v>0</v>
      </c>
      <c r="I6" s="1">
        <v>0</v>
      </c>
      <c r="J6" s="1">
        <v>0</v>
      </c>
      <c r="K6" s="1">
        <v>-2.7590000000000002E-3</v>
      </c>
      <c r="L6" s="1">
        <v>1.578E-3</v>
      </c>
      <c r="M6" s="1">
        <v>0.86970400000000003</v>
      </c>
      <c r="N6" s="1">
        <v>0.493564</v>
      </c>
      <c r="O6">
        <v>0</v>
      </c>
      <c r="P6">
        <v>0</v>
      </c>
      <c r="Q6">
        <v>1</v>
      </c>
      <c r="R6">
        <v>1</v>
      </c>
      <c r="S6">
        <v>1</v>
      </c>
      <c r="T6" s="1">
        <f>SQRT(POWER(Plank[[#This Row],[angvel_X]],2) + POWER(Plank[[#This Row],[angvel_Y]],2) + POWER(Plank[[#This Row],[angvel_Z]],2))</f>
        <v>0</v>
      </c>
      <c r="U6" s="1">
        <f>DEGREES(ASIN(MAX(-1,MIN(1,2 * (Plank[[#This Row],[quart_W]]*Plank[[#This Row],[quart_Y]] - Plank[[#This Row],[quart_Z]]*Plank[[#This Row],[quart_X]])))))</f>
        <v>0.36421537424412592</v>
      </c>
      <c r="V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6" s="1">
        <f>IF(Plank[[#This Row],[Yaw]]&gt;V5,(360-ABS(Plank[[#This Row],[Yaw]])-ABS(V5)),ABS(Plank[[#This Row],[Yaw]]-V5))</f>
        <v>0</v>
      </c>
      <c r="Y6" s="1">
        <f>Plank[[#This Row],[Degree change]]+Y5</f>
        <v>0</v>
      </c>
    </row>
    <row r="7" spans="1:25">
      <c r="A7">
        <v>6</v>
      </c>
      <c r="B7" s="1">
        <v>815.88000499999998</v>
      </c>
      <c r="C7" s="1">
        <v>1156.8599850000001</v>
      </c>
      <c r="D7" s="1">
        <v>18.639999</v>
      </c>
      <c r="E7" s="1">
        <v>-1179.380005</v>
      </c>
      <c r="F7" s="1">
        <v>1974.579956</v>
      </c>
      <c r="G7" s="1">
        <v>8.1300000000000008</v>
      </c>
      <c r="H7" s="1">
        <v>0</v>
      </c>
      <c r="I7" s="1">
        <v>0</v>
      </c>
      <c r="J7" s="1">
        <v>0</v>
      </c>
      <c r="K7" s="1">
        <v>-2.7590000000000002E-3</v>
      </c>
      <c r="L7" s="1">
        <v>1.578E-3</v>
      </c>
      <c r="M7" s="1">
        <v>0.86970400000000003</v>
      </c>
      <c r="N7" s="1">
        <v>0.493564</v>
      </c>
      <c r="O7">
        <v>0</v>
      </c>
      <c r="P7">
        <v>0</v>
      </c>
      <c r="Q7">
        <v>1</v>
      </c>
      <c r="R7">
        <v>1</v>
      </c>
      <c r="S7">
        <v>1</v>
      </c>
      <c r="T7" s="1">
        <f>SQRT(POWER(Plank[[#This Row],[angvel_X]],2) + POWER(Plank[[#This Row],[angvel_Y]],2) + POWER(Plank[[#This Row],[angvel_Z]],2))</f>
        <v>0</v>
      </c>
      <c r="U7" s="1">
        <f>DEGREES(ASIN(MAX(-1,MIN(1,2 * (Plank[[#This Row],[quart_W]]*Plank[[#This Row],[quart_Y]] - Plank[[#This Row],[quart_Z]]*Plank[[#This Row],[quart_X]])))))</f>
        <v>0.36421537424412592</v>
      </c>
      <c r="V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7" s="1">
        <f>IF(Plank[[#This Row],[Yaw]]&gt;V6,(360-ABS(Plank[[#This Row],[Yaw]])-ABS(V6)),ABS(Plank[[#This Row],[Yaw]]-V6))</f>
        <v>0</v>
      </c>
      <c r="Y7" s="1">
        <f>Plank[[#This Row],[Degree change]]+Y6</f>
        <v>0</v>
      </c>
    </row>
    <row r="8" spans="1:25">
      <c r="A8">
        <v>7</v>
      </c>
      <c r="B8" s="1">
        <v>806.01995799999997</v>
      </c>
      <c r="C8" s="1">
        <v>1173.369995</v>
      </c>
      <c r="D8" s="1">
        <v>18.639999</v>
      </c>
      <c r="E8" s="1">
        <v>-1179.380005</v>
      </c>
      <c r="F8" s="1">
        <v>1974.579956</v>
      </c>
      <c r="G8" s="1">
        <v>8.1300000000000008</v>
      </c>
      <c r="H8" s="1">
        <v>0</v>
      </c>
      <c r="I8" s="1">
        <v>0</v>
      </c>
      <c r="J8" s="1">
        <v>0</v>
      </c>
      <c r="K8" s="1">
        <v>-2.7590000000000002E-3</v>
      </c>
      <c r="L8" s="1">
        <v>1.578E-3</v>
      </c>
      <c r="M8" s="1">
        <v>0.86970400000000003</v>
      </c>
      <c r="N8" s="1">
        <v>0.493564</v>
      </c>
      <c r="O8">
        <v>0</v>
      </c>
      <c r="P8">
        <v>0</v>
      </c>
      <c r="Q8">
        <v>1</v>
      </c>
      <c r="R8">
        <v>1</v>
      </c>
      <c r="S8">
        <v>1</v>
      </c>
      <c r="T8" s="1">
        <f>SQRT(POWER(Plank[[#This Row],[angvel_X]],2) + POWER(Plank[[#This Row],[angvel_Y]],2) + POWER(Plank[[#This Row],[angvel_Z]],2))</f>
        <v>0</v>
      </c>
      <c r="U8" s="1">
        <f>DEGREES(ASIN(MAX(-1,MIN(1,2 * (Plank[[#This Row],[quart_W]]*Plank[[#This Row],[quart_Y]] - Plank[[#This Row],[quart_Z]]*Plank[[#This Row],[quart_X]])))))</f>
        <v>0.36421537424412592</v>
      </c>
      <c r="V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8" s="1">
        <f>IF(Plank[[#This Row],[Yaw]]&gt;V7,(360-ABS(Plank[[#This Row],[Yaw]])-ABS(V7)),ABS(Plank[[#This Row],[Yaw]]-V7))</f>
        <v>0</v>
      </c>
      <c r="Y8" s="1">
        <f>Plank[[#This Row],[Degree change]]+Y7</f>
        <v>0</v>
      </c>
    </row>
    <row r="9" spans="1:25">
      <c r="A9">
        <v>8</v>
      </c>
      <c r="B9" s="1">
        <v>796.15997300000004</v>
      </c>
      <c r="C9" s="1">
        <v>1189.880005</v>
      </c>
      <c r="D9" s="1">
        <v>18.639999</v>
      </c>
      <c r="E9" s="1">
        <v>-1179.380005</v>
      </c>
      <c r="F9" s="1">
        <v>1974.579956</v>
      </c>
      <c r="G9" s="1">
        <v>8.1300000000000008</v>
      </c>
      <c r="H9" s="1">
        <v>0</v>
      </c>
      <c r="I9" s="1">
        <v>0</v>
      </c>
      <c r="J9" s="1">
        <v>0</v>
      </c>
      <c r="K9" s="1">
        <v>-2.7590000000000002E-3</v>
      </c>
      <c r="L9" s="1">
        <v>1.578E-3</v>
      </c>
      <c r="M9" s="1">
        <v>0.86970400000000003</v>
      </c>
      <c r="N9" s="1">
        <v>0.493564</v>
      </c>
      <c r="O9">
        <v>0</v>
      </c>
      <c r="P9">
        <v>0</v>
      </c>
      <c r="Q9">
        <v>1</v>
      </c>
      <c r="R9">
        <v>1</v>
      </c>
      <c r="S9">
        <v>1</v>
      </c>
      <c r="T9" s="1">
        <f>SQRT(POWER(Plank[[#This Row],[angvel_X]],2) + POWER(Plank[[#This Row],[angvel_Y]],2) + POWER(Plank[[#This Row],[angvel_Z]],2))</f>
        <v>0</v>
      </c>
      <c r="U9" s="1">
        <f>DEGREES(ASIN(MAX(-1,MIN(1,2 * (Plank[[#This Row],[quart_W]]*Plank[[#This Row],[quart_Y]] - Plank[[#This Row],[quart_Z]]*Plank[[#This Row],[quart_X]])))))</f>
        <v>0.36421537424412592</v>
      </c>
      <c r="V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9" s="1">
        <f>IF(Plank[[#This Row],[Yaw]]&gt;V8,(360-ABS(Plank[[#This Row],[Yaw]])-ABS(V8)),ABS(Plank[[#This Row],[Yaw]]-V8))</f>
        <v>0</v>
      </c>
      <c r="Y9" s="1">
        <f>Plank[[#This Row],[Degree change]]+Y8</f>
        <v>0</v>
      </c>
    </row>
    <row r="10" spans="1:25">
      <c r="A10">
        <v>9</v>
      </c>
      <c r="B10" s="1">
        <v>786.29998799999998</v>
      </c>
      <c r="C10" s="1">
        <v>1206.3900149999999</v>
      </c>
      <c r="D10" s="1">
        <v>18.639999</v>
      </c>
      <c r="E10" s="1">
        <v>-1179.380005</v>
      </c>
      <c r="F10" s="1">
        <v>1974.579956</v>
      </c>
      <c r="G10" s="1">
        <v>8.1300000000000008</v>
      </c>
      <c r="H10" s="1">
        <v>0</v>
      </c>
      <c r="I10" s="1">
        <v>0</v>
      </c>
      <c r="J10" s="1">
        <v>0</v>
      </c>
      <c r="K10" s="1">
        <v>-2.7590000000000002E-3</v>
      </c>
      <c r="L10" s="1">
        <v>1.578E-3</v>
      </c>
      <c r="M10" s="1">
        <v>0.86970400000000003</v>
      </c>
      <c r="N10" s="1">
        <v>0.493564</v>
      </c>
      <c r="O10">
        <v>0</v>
      </c>
      <c r="P10">
        <v>0</v>
      </c>
      <c r="Q10">
        <v>1</v>
      </c>
      <c r="R10">
        <v>1</v>
      </c>
      <c r="S10">
        <v>1</v>
      </c>
      <c r="T10" s="1">
        <f>SQRT(POWER(Plank[[#This Row],[angvel_X]],2) + POWER(Plank[[#This Row],[angvel_Y]],2) + POWER(Plank[[#This Row],[angvel_Z]],2))</f>
        <v>0</v>
      </c>
      <c r="U10" s="1">
        <f>DEGREES(ASIN(MAX(-1,MIN(1,2 * (Plank[[#This Row],[quart_W]]*Plank[[#This Row],[quart_Y]] - Plank[[#This Row],[quart_Z]]*Plank[[#This Row],[quart_X]])))))</f>
        <v>0.36421537424412592</v>
      </c>
      <c r="V1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1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10" s="1">
        <f>IF(Plank[[#This Row],[Yaw]]&gt;V9,(360-ABS(Plank[[#This Row],[Yaw]])-ABS(V9)),ABS(Plank[[#This Row],[Yaw]]-V9))</f>
        <v>0</v>
      </c>
      <c r="Y10" s="1">
        <f>Plank[[#This Row],[Degree change]]+Y9</f>
        <v>0</v>
      </c>
    </row>
    <row r="11" spans="1:25">
      <c r="A11">
        <v>10</v>
      </c>
      <c r="B11" s="1">
        <v>776.44000200000005</v>
      </c>
      <c r="C11" s="1">
        <v>1222.900024</v>
      </c>
      <c r="D11" s="1">
        <v>18.639999</v>
      </c>
      <c r="E11" s="1">
        <v>-1179.380005</v>
      </c>
      <c r="F11" s="1">
        <v>1974.579956</v>
      </c>
      <c r="G11" s="1">
        <v>8.1300000000000008</v>
      </c>
      <c r="H11" s="1">
        <v>0</v>
      </c>
      <c r="I11" s="1">
        <v>0</v>
      </c>
      <c r="J11" s="1">
        <v>0</v>
      </c>
      <c r="K11" s="1">
        <v>-2.7590000000000002E-3</v>
      </c>
      <c r="L11" s="1">
        <v>1.578E-3</v>
      </c>
      <c r="M11" s="1">
        <v>0.86970400000000003</v>
      </c>
      <c r="N11" s="1">
        <v>0.493564</v>
      </c>
      <c r="O11">
        <v>0</v>
      </c>
      <c r="P11">
        <v>0</v>
      </c>
      <c r="Q11">
        <v>1</v>
      </c>
      <c r="R11">
        <v>1</v>
      </c>
      <c r="S11">
        <v>1</v>
      </c>
      <c r="T11" s="1">
        <f>SQRT(POWER(Plank[[#This Row],[angvel_X]],2) + POWER(Plank[[#This Row],[angvel_Y]],2) + POWER(Plank[[#This Row],[angvel_Z]],2))</f>
        <v>0</v>
      </c>
      <c r="U11" s="1">
        <f>DEGREES(ASIN(MAX(-1,MIN(1,2 * (Plank[[#This Row],[quart_W]]*Plank[[#This Row],[quart_Y]] - Plank[[#This Row],[quart_Z]]*Plank[[#This Row],[quart_X]])))))</f>
        <v>0.36421537424412592</v>
      </c>
      <c r="V1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1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11" s="1">
        <f>IF(Plank[[#This Row],[Yaw]]&gt;V10,(360-ABS(Plank[[#This Row],[Yaw]])-ABS(V10)),ABS(Plank[[#This Row],[Yaw]]-V10))</f>
        <v>0</v>
      </c>
      <c r="Y11" s="1">
        <f>Plank[[#This Row],[Degree change]]+Y10</f>
        <v>0</v>
      </c>
    </row>
    <row r="12" spans="1:25">
      <c r="A12">
        <v>11</v>
      </c>
      <c r="B12" s="1">
        <v>766.57995600000004</v>
      </c>
      <c r="C12" s="1">
        <v>1239.4099120000001</v>
      </c>
      <c r="D12" s="1">
        <v>18.639999</v>
      </c>
      <c r="E12" s="1">
        <v>-1179.380005</v>
      </c>
      <c r="F12" s="1">
        <v>1974.579956</v>
      </c>
      <c r="G12" s="1">
        <v>8.1300000000000008</v>
      </c>
      <c r="H12" s="1">
        <v>0</v>
      </c>
      <c r="I12" s="1">
        <v>0</v>
      </c>
      <c r="J12" s="1">
        <v>0</v>
      </c>
      <c r="K12" s="1">
        <v>-2.7590000000000002E-3</v>
      </c>
      <c r="L12" s="1">
        <v>1.578E-3</v>
      </c>
      <c r="M12" s="1">
        <v>0.86970400000000003</v>
      </c>
      <c r="N12" s="1">
        <v>0.493564</v>
      </c>
      <c r="O12">
        <v>0</v>
      </c>
      <c r="P12">
        <v>0</v>
      </c>
      <c r="Q12">
        <v>1</v>
      </c>
      <c r="R12">
        <v>1</v>
      </c>
      <c r="S12">
        <v>1</v>
      </c>
      <c r="T12" s="1">
        <f>SQRT(POWER(Plank[[#This Row],[angvel_X]],2) + POWER(Plank[[#This Row],[angvel_Y]],2) + POWER(Plank[[#This Row],[angvel_Z]],2))</f>
        <v>0</v>
      </c>
      <c r="U12" s="1">
        <f>DEGREES(ASIN(MAX(-1,MIN(1,2 * (Plank[[#This Row],[quart_W]]*Plank[[#This Row],[quart_Y]] - Plank[[#This Row],[quart_Z]]*Plank[[#This Row],[quart_X]])))))</f>
        <v>0.36421537424412592</v>
      </c>
      <c r="V1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1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12" s="1">
        <f>IF(Plank[[#This Row],[Yaw]]&gt;V11,(360-ABS(Plank[[#This Row],[Yaw]])-ABS(V11)),ABS(Plank[[#This Row],[Yaw]]-V11))</f>
        <v>0</v>
      </c>
      <c r="Y12" s="1">
        <f>Plank[[#This Row],[Degree change]]+Y11</f>
        <v>0</v>
      </c>
    </row>
    <row r="13" spans="1:25">
      <c r="A13">
        <v>12</v>
      </c>
      <c r="B13" s="1">
        <v>756.71997099999999</v>
      </c>
      <c r="C13" s="1">
        <v>1255.919922</v>
      </c>
      <c r="D13" s="1">
        <v>18.639999</v>
      </c>
      <c r="E13" s="1">
        <v>-1179.380005</v>
      </c>
      <c r="F13" s="1">
        <v>1974.579956</v>
      </c>
      <c r="G13" s="1">
        <v>8.1300000000000008</v>
      </c>
      <c r="H13" s="1">
        <v>0</v>
      </c>
      <c r="I13" s="1">
        <v>0</v>
      </c>
      <c r="J13" s="1">
        <v>0</v>
      </c>
      <c r="K13" s="1">
        <v>-2.7590000000000002E-3</v>
      </c>
      <c r="L13" s="1">
        <v>1.578E-3</v>
      </c>
      <c r="M13" s="1">
        <v>0.86970400000000003</v>
      </c>
      <c r="N13" s="1">
        <v>0.493564</v>
      </c>
      <c r="O13">
        <v>0</v>
      </c>
      <c r="P13">
        <v>0</v>
      </c>
      <c r="Q13">
        <v>1</v>
      </c>
      <c r="R13">
        <v>1</v>
      </c>
      <c r="S13">
        <v>1</v>
      </c>
      <c r="T13" s="1">
        <f>SQRT(POWER(Plank[[#This Row],[angvel_X]],2) + POWER(Plank[[#This Row],[angvel_Y]],2) + POWER(Plank[[#This Row],[angvel_Z]],2))</f>
        <v>0</v>
      </c>
      <c r="U13" s="1">
        <f>DEGREES(ASIN(MAX(-1,MIN(1,2 * (Plank[[#This Row],[quart_W]]*Plank[[#This Row],[quart_Y]] - Plank[[#This Row],[quart_Z]]*Plank[[#This Row],[quart_X]])))))</f>
        <v>0.36421537424412592</v>
      </c>
      <c r="V1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1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13" s="1">
        <f>IF(Plank[[#This Row],[Yaw]]&gt;V12,(360-ABS(Plank[[#This Row],[Yaw]])-ABS(V12)),ABS(Plank[[#This Row],[Yaw]]-V12))</f>
        <v>0</v>
      </c>
      <c r="Y13" s="1">
        <f>Plank[[#This Row],[Degree change]]+Y12</f>
        <v>0</v>
      </c>
    </row>
    <row r="14" spans="1:25">
      <c r="A14">
        <v>13</v>
      </c>
      <c r="B14" s="1">
        <v>746.85998500000005</v>
      </c>
      <c r="C14" s="1">
        <v>1272.429932</v>
      </c>
      <c r="D14" s="1">
        <v>18.639999</v>
      </c>
      <c r="E14" s="1">
        <v>-1179.380005</v>
      </c>
      <c r="F14" s="1">
        <v>1974.579956</v>
      </c>
      <c r="G14" s="1">
        <v>8.1300000000000008</v>
      </c>
      <c r="H14" s="1">
        <v>0</v>
      </c>
      <c r="I14" s="1">
        <v>0</v>
      </c>
      <c r="J14" s="1">
        <v>0</v>
      </c>
      <c r="K14" s="1">
        <v>-2.7590000000000002E-3</v>
      </c>
      <c r="L14" s="1">
        <v>1.578E-3</v>
      </c>
      <c r="M14" s="1">
        <v>0.86970400000000003</v>
      </c>
      <c r="N14" s="1">
        <v>0.493564</v>
      </c>
      <c r="O14">
        <v>0</v>
      </c>
      <c r="P14">
        <v>0</v>
      </c>
      <c r="Q14">
        <v>1</v>
      </c>
      <c r="R14">
        <v>1</v>
      </c>
      <c r="S14">
        <v>1</v>
      </c>
      <c r="T14" s="1">
        <f>SQRT(POWER(Plank[[#This Row],[angvel_X]],2) + POWER(Plank[[#This Row],[angvel_Y]],2) + POWER(Plank[[#This Row],[angvel_Z]],2))</f>
        <v>0</v>
      </c>
      <c r="U14" s="1">
        <f>DEGREES(ASIN(MAX(-1,MIN(1,2 * (Plank[[#This Row],[quart_W]]*Plank[[#This Row],[quart_Y]] - Plank[[#This Row],[quart_Z]]*Plank[[#This Row],[quart_X]])))))</f>
        <v>0.36421537424412592</v>
      </c>
      <c r="V1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1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14" s="1">
        <f>IF(Plank[[#This Row],[Yaw]]&gt;V13,(360-ABS(Plank[[#This Row],[Yaw]])-ABS(V13)),ABS(Plank[[#This Row],[Yaw]]-V13))</f>
        <v>0</v>
      </c>
      <c r="Y14" s="1">
        <f>Plank[[#This Row],[Degree change]]+Y13</f>
        <v>0</v>
      </c>
    </row>
    <row r="15" spans="1:25">
      <c r="A15">
        <v>14</v>
      </c>
      <c r="B15" s="1">
        <v>737</v>
      </c>
      <c r="C15" s="1">
        <v>1288.9399410000001</v>
      </c>
      <c r="D15" s="1">
        <v>18.639999</v>
      </c>
      <c r="E15" s="1">
        <v>-1179.380005</v>
      </c>
      <c r="F15" s="1">
        <v>1974.579956</v>
      </c>
      <c r="G15" s="1">
        <v>8.1300000000000008</v>
      </c>
      <c r="H15" s="1">
        <v>0</v>
      </c>
      <c r="I15" s="1">
        <v>0</v>
      </c>
      <c r="J15" s="1">
        <v>0</v>
      </c>
      <c r="K15" s="1">
        <v>-2.7590000000000002E-3</v>
      </c>
      <c r="L15" s="1">
        <v>1.578E-3</v>
      </c>
      <c r="M15" s="1">
        <v>0.86970400000000003</v>
      </c>
      <c r="N15" s="1">
        <v>0.493564</v>
      </c>
      <c r="O15">
        <v>0</v>
      </c>
      <c r="P15">
        <v>0</v>
      </c>
      <c r="Q15">
        <v>1</v>
      </c>
      <c r="R15">
        <v>1</v>
      </c>
      <c r="S15">
        <v>1</v>
      </c>
      <c r="T15" s="1">
        <f>SQRT(POWER(Plank[[#This Row],[angvel_X]],2) + POWER(Plank[[#This Row],[angvel_Y]],2) + POWER(Plank[[#This Row],[angvel_Z]],2))</f>
        <v>0</v>
      </c>
      <c r="U15" s="1">
        <f>DEGREES(ASIN(MAX(-1,MIN(1,2 * (Plank[[#This Row],[quart_W]]*Plank[[#This Row],[quart_Y]] - Plank[[#This Row],[quart_Z]]*Plank[[#This Row],[quart_X]])))))</f>
        <v>0.36421537424412592</v>
      </c>
      <c r="V1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1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15" s="1">
        <f>IF(Plank[[#This Row],[Yaw]]&gt;V14,(360-ABS(Plank[[#This Row],[Yaw]])-ABS(V14)),ABS(Plank[[#This Row],[Yaw]]-V14))</f>
        <v>0</v>
      </c>
      <c r="Y15" s="1">
        <f>Plank[[#This Row],[Degree change]]+Y14</f>
        <v>0</v>
      </c>
    </row>
    <row r="16" spans="1:25">
      <c r="A16">
        <v>15</v>
      </c>
      <c r="B16" s="1">
        <v>727.13995399999999</v>
      </c>
      <c r="C16" s="1">
        <v>1305.4499510000001</v>
      </c>
      <c r="D16" s="1">
        <v>18.639999</v>
      </c>
      <c r="E16" s="1">
        <v>-1179.380005</v>
      </c>
      <c r="F16" s="1">
        <v>1974.579956</v>
      </c>
      <c r="G16" s="1">
        <v>8.1300000000000008</v>
      </c>
      <c r="H16" s="1">
        <v>0</v>
      </c>
      <c r="I16" s="1">
        <v>0</v>
      </c>
      <c r="J16" s="1">
        <v>0</v>
      </c>
      <c r="K16" s="1">
        <v>-2.7590000000000002E-3</v>
      </c>
      <c r="L16" s="1">
        <v>1.578E-3</v>
      </c>
      <c r="M16" s="1">
        <v>0.86970400000000003</v>
      </c>
      <c r="N16" s="1">
        <v>0.493564</v>
      </c>
      <c r="O16">
        <v>0</v>
      </c>
      <c r="P16">
        <v>0</v>
      </c>
      <c r="Q16">
        <v>1</v>
      </c>
      <c r="R16">
        <v>1</v>
      </c>
      <c r="S16">
        <v>1</v>
      </c>
      <c r="T16" s="1">
        <f>SQRT(POWER(Plank[[#This Row],[angvel_X]],2) + POWER(Plank[[#This Row],[angvel_Y]],2) + POWER(Plank[[#This Row],[angvel_Z]],2))</f>
        <v>0</v>
      </c>
      <c r="U16" s="1">
        <f>DEGREES(ASIN(MAX(-1,MIN(1,2 * (Plank[[#This Row],[quart_W]]*Plank[[#This Row],[quart_Y]] - Plank[[#This Row],[quart_Z]]*Plank[[#This Row],[quart_X]])))))</f>
        <v>0.36421537424412592</v>
      </c>
      <c r="V1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1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16" s="1">
        <f>IF(Plank[[#This Row],[Yaw]]&gt;V15,(360-ABS(Plank[[#This Row],[Yaw]])-ABS(V15)),ABS(Plank[[#This Row],[Yaw]]-V15))</f>
        <v>0</v>
      </c>
      <c r="Y16" s="1">
        <f>Plank[[#This Row],[Degree change]]+Y15</f>
        <v>0</v>
      </c>
    </row>
    <row r="17" spans="1:25">
      <c r="A17">
        <v>16</v>
      </c>
      <c r="B17" s="1">
        <v>717.27996800000005</v>
      </c>
      <c r="C17" s="1">
        <v>1321.959961</v>
      </c>
      <c r="D17" s="1">
        <v>18.639999</v>
      </c>
      <c r="E17" s="1">
        <v>-1179.380005</v>
      </c>
      <c r="F17" s="1">
        <v>1974.579956</v>
      </c>
      <c r="G17" s="1">
        <v>8.1300000000000008</v>
      </c>
      <c r="H17" s="1">
        <v>0</v>
      </c>
      <c r="I17" s="1">
        <v>0</v>
      </c>
      <c r="J17" s="1">
        <v>0</v>
      </c>
      <c r="K17" s="1">
        <v>-2.7590000000000002E-3</v>
      </c>
      <c r="L17" s="1">
        <v>1.578E-3</v>
      </c>
      <c r="M17" s="1">
        <v>0.86970400000000003</v>
      </c>
      <c r="N17" s="1">
        <v>0.493564</v>
      </c>
      <c r="O17">
        <v>0</v>
      </c>
      <c r="P17">
        <v>0</v>
      </c>
      <c r="Q17">
        <v>1</v>
      </c>
      <c r="R17">
        <v>1</v>
      </c>
      <c r="S17">
        <v>1</v>
      </c>
      <c r="T17" s="1">
        <f>SQRT(POWER(Plank[[#This Row],[angvel_X]],2) + POWER(Plank[[#This Row],[angvel_Y]],2) + POWER(Plank[[#This Row],[angvel_Z]],2))</f>
        <v>0</v>
      </c>
      <c r="U17" s="1">
        <f>DEGREES(ASIN(MAX(-1,MIN(1,2 * (Plank[[#This Row],[quart_W]]*Plank[[#This Row],[quart_Y]] - Plank[[#This Row],[quart_Z]]*Plank[[#This Row],[quart_X]])))))</f>
        <v>0.36421537424412592</v>
      </c>
      <c r="V1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1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17" s="1">
        <f>IF(Plank[[#This Row],[Yaw]]&gt;V16,(360-ABS(Plank[[#This Row],[Yaw]])-ABS(V16)),ABS(Plank[[#This Row],[Yaw]]-V16))</f>
        <v>0</v>
      </c>
      <c r="Y17" s="1">
        <f>Plank[[#This Row],[Degree change]]+Y16</f>
        <v>0</v>
      </c>
    </row>
    <row r="18" spans="1:25">
      <c r="A18">
        <v>17</v>
      </c>
      <c r="B18" s="1">
        <v>707.419983</v>
      </c>
      <c r="C18" s="1">
        <v>1338.469971</v>
      </c>
      <c r="D18" s="1">
        <v>18.639999</v>
      </c>
      <c r="E18" s="1">
        <v>-1179.380005</v>
      </c>
      <c r="F18" s="1">
        <v>1974.579956</v>
      </c>
      <c r="G18" s="1">
        <v>8.1300000000000008</v>
      </c>
      <c r="H18" s="1">
        <v>0</v>
      </c>
      <c r="I18" s="1">
        <v>0</v>
      </c>
      <c r="J18" s="1">
        <v>0</v>
      </c>
      <c r="K18" s="1">
        <v>-2.7590000000000002E-3</v>
      </c>
      <c r="L18" s="1">
        <v>1.578E-3</v>
      </c>
      <c r="M18" s="1">
        <v>0.86970400000000003</v>
      </c>
      <c r="N18" s="1">
        <v>0.493564</v>
      </c>
      <c r="O18">
        <v>0</v>
      </c>
      <c r="P18">
        <v>0</v>
      </c>
      <c r="Q18">
        <v>1</v>
      </c>
      <c r="R18">
        <v>1</v>
      </c>
      <c r="S18">
        <v>1</v>
      </c>
      <c r="T18" s="1">
        <f>SQRT(POWER(Plank[[#This Row],[angvel_X]],2) + POWER(Plank[[#This Row],[angvel_Y]],2) + POWER(Plank[[#This Row],[angvel_Z]],2))</f>
        <v>0</v>
      </c>
      <c r="U18" s="1">
        <f>DEGREES(ASIN(MAX(-1,MIN(1,2 * (Plank[[#This Row],[quart_W]]*Plank[[#This Row],[quart_Y]] - Plank[[#This Row],[quart_Z]]*Plank[[#This Row],[quart_X]])))))</f>
        <v>0.36421537424412592</v>
      </c>
      <c r="V1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1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18" s="1">
        <f>IF(Plank[[#This Row],[Yaw]]&gt;V17,(360-ABS(Plank[[#This Row],[Yaw]])-ABS(V17)),ABS(Plank[[#This Row],[Yaw]]-V17))</f>
        <v>0</v>
      </c>
      <c r="Y18" s="1">
        <f>Plank[[#This Row],[Degree change]]+Y17</f>
        <v>0</v>
      </c>
    </row>
    <row r="19" spans="1:25">
      <c r="A19">
        <v>18</v>
      </c>
      <c r="B19" s="1">
        <v>697.55999799999995</v>
      </c>
      <c r="C19" s="1">
        <v>1354.9799800000001</v>
      </c>
      <c r="D19" s="1">
        <v>18.639999</v>
      </c>
      <c r="E19" s="1">
        <v>-1179.380005</v>
      </c>
      <c r="F19" s="1">
        <v>1974.579956</v>
      </c>
      <c r="G19" s="1">
        <v>8.1300000000000008</v>
      </c>
      <c r="H19" s="1">
        <v>0</v>
      </c>
      <c r="I19" s="1">
        <v>0</v>
      </c>
      <c r="J19" s="1">
        <v>0</v>
      </c>
      <c r="K19" s="1">
        <v>-2.7590000000000002E-3</v>
      </c>
      <c r="L19" s="1">
        <v>1.578E-3</v>
      </c>
      <c r="M19" s="1">
        <v>0.86970400000000003</v>
      </c>
      <c r="N19" s="1">
        <v>0.493564</v>
      </c>
      <c r="O19">
        <v>0</v>
      </c>
      <c r="P19">
        <v>0</v>
      </c>
      <c r="Q19">
        <v>1</v>
      </c>
      <c r="R19">
        <v>1</v>
      </c>
      <c r="S19">
        <v>1</v>
      </c>
      <c r="T19" s="1">
        <f>SQRT(POWER(Plank[[#This Row],[angvel_X]],2) + POWER(Plank[[#This Row],[angvel_Y]],2) + POWER(Plank[[#This Row],[angvel_Z]],2))</f>
        <v>0</v>
      </c>
      <c r="U19" s="1">
        <f>DEGREES(ASIN(MAX(-1,MIN(1,2 * (Plank[[#This Row],[quart_W]]*Plank[[#This Row],[quart_Y]] - Plank[[#This Row],[quart_Z]]*Plank[[#This Row],[quart_X]])))))</f>
        <v>0.36421537424412592</v>
      </c>
      <c r="V1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1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19" s="1">
        <f>IF(Plank[[#This Row],[Yaw]]&gt;V18,(360-ABS(Plank[[#This Row],[Yaw]])-ABS(V18)),ABS(Plank[[#This Row],[Yaw]]-V18))</f>
        <v>0</v>
      </c>
      <c r="Y19" s="1">
        <f>Plank[[#This Row],[Degree change]]+Y18</f>
        <v>0</v>
      </c>
    </row>
    <row r="20" spans="1:25">
      <c r="A20">
        <v>19</v>
      </c>
      <c r="B20" s="1">
        <v>687.70001200000002</v>
      </c>
      <c r="C20" s="1">
        <v>1371.48999</v>
      </c>
      <c r="D20" s="1">
        <v>18.639999</v>
      </c>
      <c r="E20" s="1">
        <v>-1179.380005</v>
      </c>
      <c r="F20" s="1">
        <v>1974.579956</v>
      </c>
      <c r="G20" s="1">
        <v>8.1300000000000008</v>
      </c>
      <c r="H20" s="1">
        <v>0</v>
      </c>
      <c r="I20" s="1">
        <v>0</v>
      </c>
      <c r="J20" s="1">
        <v>0</v>
      </c>
      <c r="K20" s="1">
        <v>-2.7590000000000002E-3</v>
      </c>
      <c r="L20" s="1">
        <v>1.578E-3</v>
      </c>
      <c r="M20" s="1">
        <v>0.86970400000000003</v>
      </c>
      <c r="N20" s="1">
        <v>0.493564</v>
      </c>
      <c r="O20">
        <v>0</v>
      </c>
      <c r="P20">
        <v>0</v>
      </c>
      <c r="Q20">
        <v>1</v>
      </c>
      <c r="R20">
        <v>1</v>
      </c>
      <c r="S20">
        <v>1</v>
      </c>
      <c r="T20" s="1">
        <f>SQRT(POWER(Plank[[#This Row],[angvel_X]],2) + POWER(Plank[[#This Row],[angvel_Y]],2) + POWER(Plank[[#This Row],[angvel_Z]],2))</f>
        <v>0</v>
      </c>
      <c r="U20" s="1">
        <f>DEGREES(ASIN(MAX(-1,MIN(1,2 * (Plank[[#This Row],[quart_W]]*Plank[[#This Row],[quart_Y]] - Plank[[#This Row],[quart_Z]]*Plank[[#This Row],[quart_X]])))))</f>
        <v>0.36421537424412592</v>
      </c>
      <c r="V2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2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20" s="1">
        <f>IF(Plank[[#This Row],[Yaw]]&gt;V19,(360-ABS(Plank[[#This Row],[Yaw]])-ABS(V19)),ABS(Plank[[#This Row],[Yaw]]-V19))</f>
        <v>0</v>
      </c>
      <c r="Y20" s="1">
        <f>Plank[[#This Row],[Degree change]]+Y19</f>
        <v>0</v>
      </c>
    </row>
    <row r="21" spans="1:25">
      <c r="A21">
        <v>20</v>
      </c>
      <c r="B21" s="1">
        <v>677.839966</v>
      </c>
      <c r="C21" s="1">
        <v>1388</v>
      </c>
      <c r="D21" s="1">
        <v>18.639999</v>
      </c>
      <c r="E21" s="1">
        <v>-1179.380005</v>
      </c>
      <c r="F21" s="1">
        <v>1974.579956</v>
      </c>
      <c r="G21" s="1">
        <v>8.1300000000000008</v>
      </c>
      <c r="H21" s="1">
        <v>0</v>
      </c>
      <c r="I21" s="1">
        <v>0</v>
      </c>
      <c r="J21" s="1">
        <v>0</v>
      </c>
      <c r="K21" s="1">
        <v>-2.7590000000000002E-3</v>
      </c>
      <c r="L21" s="1">
        <v>1.578E-3</v>
      </c>
      <c r="M21" s="1">
        <v>0.86970400000000003</v>
      </c>
      <c r="N21" s="1">
        <v>0.493564</v>
      </c>
      <c r="O21">
        <v>0</v>
      </c>
      <c r="P21">
        <v>0</v>
      </c>
      <c r="Q21">
        <v>1</v>
      </c>
      <c r="R21">
        <v>1</v>
      </c>
      <c r="S21">
        <v>1</v>
      </c>
      <c r="T21" s="1">
        <f>SQRT(POWER(Plank[[#This Row],[angvel_X]],2) + POWER(Plank[[#This Row],[angvel_Y]],2) + POWER(Plank[[#This Row],[angvel_Z]],2))</f>
        <v>0</v>
      </c>
      <c r="U21" s="1">
        <f>DEGREES(ASIN(MAX(-1,MIN(1,2 * (Plank[[#This Row],[quart_W]]*Plank[[#This Row],[quart_Y]] - Plank[[#This Row],[quart_Z]]*Plank[[#This Row],[quart_X]])))))</f>
        <v>0.36421537424412592</v>
      </c>
      <c r="V2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2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21" s="1">
        <f>IF(Plank[[#This Row],[Yaw]]&gt;V20,(360-ABS(Plank[[#This Row],[Yaw]])-ABS(V20)),ABS(Plank[[#This Row],[Yaw]]-V20))</f>
        <v>0</v>
      </c>
      <c r="Y21" s="1">
        <f>Plank[[#This Row],[Degree change]]+Y20</f>
        <v>0</v>
      </c>
    </row>
    <row r="22" spans="1:25">
      <c r="A22">
        <v>21</v>
      </c>
      <c r="B22" s="1">
        <v>667.97997999999995</v>
      </c>
      <c r="C22" s="1">
        <v>1404.51001</v>
      </c>
      <c r="D22" s="1">
        <v>18.639999</v>
      </c>
      <c r="E22" s="1">
        <v>-1179.380005</v>
      </c>
      <c r="F22" s="1">
        <v>1974.579956</v>
      </c>
      <c r="G22" s="1">
        <v>8.1300000000000008</v>
      </c>
      <c r="H22" s="1">
        <v>0</v>
      </c>
      <c r="I22" s="1">
        <v>0</v>
      </c>
      <c r="J22" s="1">
        <v>0</v>
      </c>
      <c r="K22" s="1">
        <v>-2.7590000000000002E-3</v>
      </c>
      <c r="L22" s="1">
        <v>1.578E-3</v>
      </c>
      <c r="M22" s="1">
        <v>0.86970400000000003</v>
      </c>
      <c r="N22" s="1">
        <v>0.493564</v>
      </c>
      <c r="O22">
        <v>0</v>
      </c>
      <c r="P22">
        <v>0</v>
      </c>
      <c r="Q22">
        <v>1</v>
      </c>
      <c r="R22">
        <v>1</v>
      </c>
      <c r="S22">
        <v>1</v>
      </c>
      <c r="T22" s="1">
        <f>SQRT(POWER(Plank[[#This Row],[angvel_X]],2) + POWER(Plank[[#This Row],[angvel_Y]],2) + POWER(Plank[[#This Row],[angvel_Z]],2))</f>
        <v>0</v>
      </c>
      <c r="U22" s="1">
        <f>DEGREES(ASIN(MAX(-1,MIN(1,2 * (Plank[[#This Row],[quart_W]]*Plank[[#This Row],[quart_Y]] - Plank[[#This Row],[quart_Z]]*Plank[[#This Row],[quart_X]])))))</f>
        <v>0.36421537424412592</v>
      </c>
      <c r="V2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2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22" s="1">
        <f>IF(Plank[[#This Row],[Yaw]]&gt;V21,(360-ABS(Plank[[#This Row],[Yaw]])-ABS(V21)),ABS(Plank[[#This Row],[Yaw]]-V21))</f>
        <v>0</v>
      </c>
      <c r="Y22" s="1">
        <f>Plank[[#This Row],[Degree change]]+Y21</f>
        <v>0</v>
      </c>
    </row>
    <row r="23" spans="1:25">
      <c r="A23">
        <v>22</v>
      </c>
      <c r="B23" s="1">
        <v>658.11999500000002</v>
      </c>
      <c r="C23" s="1">
        <v>1421.0200199999999</v>
      </c>
      <c r="D23" s="1">
        <v>18.639999</v>
      </c>
      <c r="E23" s="1">
        <v>-1179.380005</v>
      </c>
      <c r="F23" s="1">
        <v>1974.579956</v>
      </c>
      <c r="G23" s="1">
        <v>8.1300000000000008</v>
      </c>
      <c r="H23" s="1">
        <v>0</v>
      </c>
      <c r="I23" s="1">
        <v>0</v>
      </c>
      <c r="J23" s="1">
        <v>0</v>
      </c>
      <c r="K23" s="1">
        <v>-2.7590000000000002E-3</v>
      </c>
      <c r="L23" s="1">
        <v>1.578E-3</v>
      </c>
      <c r="M23" s="1">
        <v>0.86970400000000003</v>
      </c>
      <c r="N23" s="1">
        <v>0.493564</v>
      </c>
      <c r="O23">
        <v>0</v>
      </c>
      <c r="P23">
        <v>0</v>
      </c>
      <c r="Q23">
        <v>1</v>
      </c>
      <c r="R23">
        <v>1</v>
      </c>
      <c r="S23">
        <v>1</v>
      </c>
      <c r="T23" s="1">
        <f>SQRT(POWER(Plank[[#This Row],[angvel_X]],2) + POWER(Plank[[#This Row],[angvel_Y]],2) + POWER(Plank[[#This Row],[angvel_Z]],2))</f>
        <v>0</v>
      </c>
      <c r="U23" s="1">
        <f>DEGREES(ASIN(MAX(-1,MIN(1,2 * (Plank[[#This Row],[quart_W]]*Plank[[#This Row],[quart_Y]] - Plank[[#This Row],[quart_Z]]*Plank[[#This Row],[quart_X]])))))</f>
        <v>0.36421537424412592</v>
      </c>
      <c r="V2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2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23" s="1">
        <f>IF(Plank[[#This Row],[Yaw]]&gt;V22,(360-ABS(Plank[[#This Row],[Yaw]])-ABS(V22)),ABS(Plank[[#This Row],[Yaw]]-V22))</f>
        <v>0</v>
      </c>
      <c r="Y23" s="1">
        <f>Plank[[#This Row],[Degree change]]+Y22</f>
        <v>0</v>
      </c>
    </row>
    <row r="24" spans="1:25">
      <c r="A24">
        <v>23</v>
      </c>
      <c r="B24" s="1">
        <v>648.26000999999997</v>
      </c>
      <c r="C24" s="1">
        <v>1437.5299070000001</v>
      </c>
      <c r="D24" s="1">
        <v>18.639999</v>
      </c>
      <c r="E24" s="1">
        <v>-1179.380005</v>
      </c>
      <c r="F24" s="1">
        <v>1974.579956</v>
      </c>
      <c r="G24" s="1">
        <v>8.1300000000000008</v>
      </c>
      <c r="H24" s="1">
        <v>0</v>
      </c>
      <c r="I24" s="1">
        <v>0</v>
      </c>
      <c r="J24" s="1">
        <v>0</v>
      </c>
      <c r="K24" s="1">
        <v>-2.7590000000000002E-3</v>
      </c>
      <c r="L24" s="1">
        <v>1.578E-3</v>
      </c>
      <c r="M24" s="1">
        <v>0.86970400000000003</v>
      </c>
      <c r="N24" s="1">
        <v>0.493564</v>
      </c>
      <c r="O24">
        <v>0</v>
      </c>
      <c r="P24">
        <v>0</v>
      </c>
      <c r="Q24">
        <v>1</v>
      </c>
      <c r="R24">
        <v>1</v>
      </c>
      <c r="S24">
        <v>1</v>
      </c>
      <c r="T24" s="1">
        <f>SQRT(POWER(Plank[[#This Row],[angvel_X]],2) + POWER(Plank[[#This Row],[angvel_Y]],2) + POWER(Plank[[#This Row],[angvel_Z]],2))</f>
        <v>0</v>
      </c>
      <c r="U24" s="1">
        <f>DEGREES(ASIN(MAX(-1,MIN(1,2 * (Plank[[#This Row],[quart_W]]*Plank[[#This Row],[quart_Y]] - Plank[[#This Row],[quart_Z]]*Plank[[#This Row],[quart_X]])))))</f>
        <v>0.36421537424412592</v>
      </c>
      <c r="V2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2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24" s="1">
        <f>IF(Plank[[#This Row],[Yaw]]&gt;V23,(360-ABS(Plank[[#This Row],[Yaw]])-ABS(V23)),ABS(Plank[[#This Row],[Yaw]]-V23))</f>
        <v>0</v>
      </c>
      <c r="Y24" s="1">
        <f>Plank[[#This Row],[Degree change]]+Y23</f>
        <v>0</v>
      </c>
    </row>
    <row r="25" spans="1:25">
      <c r="A25">
        <v>24</v>
      </c>
      <c r="B25" s="1">
        <v>638.39996299999996</v>
      </c>
      <c r="C25" s="1">
        <v>1454.0399170000001</v>
      </c>
      <c r="D25" s="1">
        <v>18.639999</v>
      </c>
      <c r="E25" s="1">
        <v>-1179.380005</v>
      </c>
      <c r="F25" s="1">
        <v>1974.579956</v>
      </c>
      <c r="G25" s="1">
        <v>8.1300000000000008</v>
      </c>
      <c r="H25" s="1">
        <v>0</v>
      </c>
      <c r="I25" s="1">
        <v>0</v>
      </c>
      <c r="J25" s="1">
        <v>0</v>
      </c>
      <c r="K25" s="1">
        <v>-2.7590000000000002E-3</v>
      </c>
      <c r="L25" s="1">
        <v>1.578E-3</v>
      </c>
      <c r="M25" s="1">
        <v>0.86970400000000003</v>
      </c>
      <c r="N25" s="1">
        <v>0.493564</v>
      </c>
      <c r="O25">
        <v>0</v>
      </c>
      <c r="P25">
        <v>0</v>
      </c>
      <c r="Q25">
        <v>1</v>
      </c>
      <c r="R25">
        <v>1</v>
      </c>
      <c r="S25">
        <v>1</v>
      </c>
      <c r="T25" s="1">
        <f>SQRT(POWER(Plank[[#This Row],[angvel_X]],2) + POWER(Plank[[#This Row],[angvel_Y]],2) + POWER(Plank[[#This Row],[angvel_Z]],2))</f>
        <v>0</v>
      </c>
      <c r="U25" s="1">
        <f>DEGREES(ASIN(MAX(-1,MIN(1,2 * (Plank[[#This Row],[quart_W]]*Plank[[#This Row],[quart_Y]] - Plank[[#This Row],[quart_Z]]*Plank[[#This Row],[quart_X]])))))</f>
        <v>0.36421537424412592</v>
      </c>
      <c r="V2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2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25" s="1">
        <f>IF(Plank[[#This Row],[Yaw]]&gt;V24,(360-ABS(Plank[[#This Row],[Yaw]])-ABS(V24)),ABS(Plank[[#This Row],[Yaw]]-V24))</f>
        <v>0</v>
      </c>
      <c r="Y25" s="1">
        <f>Plank[[#This Row],[Degree change]]+Y24</f>
        <v>0</v>
      </c>
    </row>
    <row r="26" spans="1:25">
      <c r="A26">
        <v>25</v>
      </c>
      <c r="B26" s="1">
        <v>628.53997800000002</v>
      </c>
      <c r="C26" s="1">
        <v>1470.549927</v>
      </c>
      <c r="D26" s="1">
        <v>18.639999</v>
      </c>
      <c r="E26" s="1">
        <v>-1179.380005</v>
      </c>
      <c r="F26" s="1">
        <v>1974.579956</v>
      </c>
      <c r="G26" s="1">
        <v>8.1300000000000008</v>
      </c>
      <c r="H26" s="1">
        <v>0</v>
      </c>
      <c r="I26" s="1">
        <v>0</v>
      </c>
      <c r="J26" s="1">
        <v>0</v>
      </c>
      <c r="K26" s="1">
        <v>-2.7590000000000002E-3</v>
      </c>
      <c r="L26" s="1">
        <v>1.578E-3</v>
      </c>
      <c r="M26" s="1">
        <v>0.86970400000000003</v>
      </c>
      <c r="N26" s="1">
        <v>0.493564</v>
      </c>
      <c r="O26">
        <v>0</v>
      </c>
      <c r="P26">
        <v>0</v>
      </c>
      <c r="Q26">
        <v>1</v>
      </c>
      <c r="R26">
        <v>1</v>
      </c>
      <c r="S26">
        <v>1</v>
      </c>
      <c r="T26" s="1">
        <f>SQRT(POWER(Plank[[#This Row],[angvel_X]],2) + POWER(Plank[[#This Row],[angvel_Y]],2) + POWER(Plank[[#This Row],[angvel_Z]],2))</f>
        <v>0</v>
      </c>
      <c r="U26" s="1">
        <f>DEGREES(ASIN(MAX(-1,MIN(1,2 * (Plank[[#This Row],[quart_W]]*Plank[[#This Row],[quart_Y]] - Plank[[#This Row],[quart_Z]]*Plank[[#This Row],[quart_X]])))))</f>
        <v>0.36421537424412592</v>
      </c>
      <c r="V2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2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26" s="1">
        <f>IF(Plank[[#This Row],[Yaw]]&gt;V25,(360-ABS(Plank[[#This Row],[Yaw]])-ABS(V25)),ABS(Plank[[#This Row],[Yaw]]-V25))</f>
        <v>0</v>
      </c>
      <c r="Y26" s="1">
        <f>Plank[[#This Row],[Degree change]]+Y25</f>
        <v>0</v>
      </c>
    </row>
    <row r="27" spans="1:25">
      <c r="A27">
        <v>26</v>
      </c>
      <c r="B27" s="1">
        <v>618.67999299999997</v>
      </c>
      <c r="C27" s="1">
        <v>1487.059937</v>
      </c>
      <c r="D27" s="1">
        <v>18.639999</v>
      </c>
      <c r="E27" s="1">
        <v>-1179.380005</v>
      </c>
      <c r="F27" s="1">
        <v>1974.579956</v>
      </c>
      <c r="G27" s="1">
        <v>8.1300000000000008</v>
      </c>
      <c r="H27" s="1">
        <v>0</v>
      </c>
      <c r="I27" s="1">
        <v>0</v>
      </c>
      <c r="J27" s="1">
        <v>0</v>
      </c>
      <c r="K27" s="1">
        <v>-2.7590000000000002E-3</v>
      </c>
      <c r="L27" s="1">
        <v>1.578E-3</v>
      </c>
      <c r="M27" s="1">
        <v>0.86970400000000003</v>
      </c>
      <c r="N27" s="1">
        <v>0.493564</v>
      </c>
      <c r="O27">
        <v>0</v>
      </c>
      <c r="P27">
        <v>0</v>
      </c>
      <c r="Q27">
        <v>1</v>
      </c>
      <c r="R27">
        <v>1</v>
      </c>
      <c r="S27">
        <v>1</v>
      </c>
      <c r="T27" s="1">
        <f>SQRT(POWER(Plank[[#This Row],[angvel_X]],2) + POWER(Plank[[#This Row],[angvel_Y]],2) + POWER(Plank[[#This Row],[angvel_Z]],2))</f>
        <v>0</v>
      </c>
      <c r="U27" s="1">
        <f>DEGREES(ASIN(MAX(-1,MIN(1,2 * (Plank[[#This Row],[quart_W]]*Plank[[#This Row],[quart_Y]] - Plank[[#This Row],[quart_Z]]*Plank[[#This Row],[quart_X]])))))</f>
        <v>0.36421537424412592</v>
      </c>
      <c r="V2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2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27" s="1">
        <f>IF(Plank[[#This Row],[Yaw]]&gt;V26,(360-ABS(Plank[[#This Row],[Yaw]])-ABS(V26)),ABS(Plank[[#This Row],[Yaw]]-V26))</f>
        <v>0</v>
      </c>
      <c r="Y27" s="1">
        <f>Plank[[#This Row],[Degree change]]+Y26</f>
        <v>0</v>
      </c>
    </row>
    <row r="28" spans="1:25">
      <c r="A28">
        <v>27</v>
      </c>
      <c r="B28" s="1">
        <v>608.82000700000003</v>
      </c>
      <c r="C28" s="1">
        <v>1503.5699460000001</v>
      </c>
      <c r="D28" s="1">
        <v>18.639999</v>
      </c>
      <c r="E28" s="1">
        <v>-1179.380005</v>
      </c>
      <c r="F28" s="1">
        <v>1974.579956</v>
      </c>
      <c r="G28" s="1">
        <v>8.1300000000000008</v>
      </c>
      <c r="H28" s="1">
        <v>0</v>
      </c>
      <c r="I28" s="1">
        <v>0</v>
      </c>
      <c r="J28" s="1">
        <v>0</v>
      </c>
      <c r="K28" s="1">
        <v>-2.7590000000000002E-3</v>
      </c>
      <c r="L28" s="1">
        <v>1.578E-3</v>
      </c>
      <c r="M28" s="1">
        <v>0.86970400000000003</v>
      </c>
      <c r="N28" s="1">
        <v>0.493564</v>
      </c>
      <c r="O28">
        <v>0</v>
      </c>
      <c r="P28">
        <v>0</v>
      </c>
      <c r="Q28">
        <v>1</v>
      </c>
      <c r="R28">
        <v>1</v>
      </c>
      <c r="S28">
        <v>1</v>
      </c>
      <c r="T28" s="1">
        <f>SQRT(POWER(Plank[[#This Row],[angvel_X]],2) + POWER(Plank[[#This Row],[angvel_Y]],2) + POWER(Plank[[#This Row],[angvel_Z]],2))</f>
        <v>0</v>
      </c>
      <c r="U28" s="1">
        <f>DEGREES(ASIN(MAX(-1,MIN(1,2 * (Plank[[#This Row],[quart_W]]*Plank[[#This Row],[quart_Y]] - Plank[[#This Row],[quart_Z]]*Plank[[#This Row],[quart_X]])))))</f>
        <v>0.36421537424412592</v>
      </c>
      <c r="V2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2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28" s="1">
        <f>IF(Plank[[#This Row],[Yaw]]&gt;V27,(360-ABS(Plank[[#This Row],[Yaw]])-ABS(V27)),ABS(Plank[[#This Row],[Yaw]]-V27))</f>
        <v>0</v>
      </c>
      <c r="Y28" s="1">
        <f>Plank[[#This Row],[Degree change]]+Y27</f>
        <v>0</v>
      </c>
    </row>
    <row r="29" spans="1:25">
      <c r="A29">
        <v>28</v>
      </c>
      <c r="B29" s="1">
        <v>598.95996100000002</v>
      </c>
      <c r="C29" s="1">
        <v>1520.079956</v>
      </c>
      <c r="D29" s="1">
        <v>18.639999</v>
      </c>
      <c r="E29" s="1">
        <v>-1179.380005</v>
      </c>
      <c r="F29" s="1">
        <v>1974.579956</v>
      </c>
      <c r="G29" s="1">
        <v>8.1300000000000008</v>
      </c>
      <c r="H29" s="1">
        <v>0</v>
      </c>
      <c r="I29" s="1">
        <v>0</v>
      </c>
      <c r="J29" s="1">
        <v>0</v>
      </c>
      <c r="K29" s="1">
        <v>-2.7590000000000002E-3</v>
      </c>
      <c r="L29" s="1">
        <v>1.578E-3</v>
      </c>
      <c r="M29" s="1">
        <v>0.86970400000000003</v>
      </c>
      <c r="N29" s="1">
        <v>0.493564</v>
      </c>
      <c r="O29">
        <v>0</v>
      </c>
      <c r="P29">
        <v>0</v>
      </c>
      <c r="Q29">
        <v>1</v>
      </c>
      <c r="R29">
        <v>1</v>
      </c>
      <c r="S29">
        <v>1</v>
      </c>
      <c r="T29" s="1">
        <f>SQRT(POWER(Plank[[#This Row],[angvel_X]],2) + POWER(Plank[[#This Row],[angvel_Y]],2) + POWER(Plank[[#This Row],[angvel_Z]],2))</f>
        <v>0</v>
      </c>
      <c r="U29" s="1">
        <f>DEGREES(ASIN(MAX(-1,MIN(1,2 * (Plank[[#This Row],[quart_W]]*Plank[[#This Row],[quart_Y]] - Plank[[#This Row],[quart_Z]]*Plank[[#This Row],[quart_X]])))))</f>
        <v>0.36421537424412592</v>
      </c>
      <c r="V2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2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29" s="1">
        <f>IF(Plank[[#This Row],[Yaw]]&gt;V28,(360-ABS(Plank[[#This Row],[Yaw]])-ABS(V28)),ABS(Plank[[#This Row],[Yaw]]-V28))</f>
        <v>0</v>
      </c>
      <c r="Y29" s="1">
        <f>Plank[[#This Row],[Degree change]]+Y28</f>
        <v>0</v>
      </c>
    </row>
    <row r="30" spans="1:25">
      <c r="A30">
        <v>29</v>
      </c>
      <c r="B30" s="1">
        <v>589.09997599999997</v>
      </c>
      <c r="C30" s="1">
        <v>1536.589966</v>
      </c>
      <c r="D30" s="1">
        <v>18.639999</v>
      </c>
      <c r="E30" s="1">
        <v>-1179.380005</v>
      </c>
      <c r="F30" s="1">
        <v>1974.579956</v>
      </c>
      <c r="G30" s="1">
        <v>8.1300000000000008</v>
      </c>
      <c r="H30" s="1">
        <v>0</v>
      </c>
      <c r="I30" s="1">
        <v>0</v>
      </c>
      <c r="J30" s="1">
        <v>0</v>
      </c>
      <c r="K30" s="1">
        <v>-2.7590000000000002E-3</v>
      </c>
      <c r="L30" s="1">
        <v>1.578E-3</v>
      </c>
      <c r="M30" s="1">
        <v>0.86970400000000003</v>
      </c>
      <c r="N30" s="1">
        <v>0.493564</v>
      </c>
      <c r="O30">
        <v>0</v>
      </c>
      <c r="P30">
        <v>0</v>
      </c>
      <c r="Q30">
        <v>1</v>
      </c>
      <c r="R30">
        <v>1</v>
      </c>
      <c r="S30">
        <v>1</v>
      </c>
      <c r="T30" s="1">
        <f>SQRT(POWER(Plank[[#This Row],[angvel_X]],2) + POWER(Plank[[#This Row],[angvel_Y]],2) + POWER(Plank[[#This Row],[angvel_Z]],2))</f>
        <v>0</v>
      </c>
      <c r="U30" s="1">
        <f>DEGREES(ASIN(MAX(-1,MIN(1,2 * (Plank[[#This Row],[quart_W]]*Plank[[#This Row],[quart_Y]] - Plank[[#This Row],[quart_Z]]*Plank[[#This Row],[quart_X]])))))</f>
        <v>0.36421537424412592</v>
      </c>
      <c r="V3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3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30" s="1">
        <f>IF(Plank[[#This Row],[Yaw]]&gt;V29,(360-ABS(Plank[[#This Row],[Yaw]])-ABS(V29)),ABS(Plank[[#This Row],[Yaw]]-V29))</f>
        <v>0</v>
      </c>
      <c r="Y30" s="1">
        <f>Plank[[#This Row],[Degree change]]+Y29</f>
        <v>0</v>
      </c>
    </row>
    <row r="31" spans="1:25">
      <c r="A31">
        <v>30</v>
      </c>
      <c r="B31" s="1">
        <v>579.23999000000003</v>
      </c>
      <c r="C31" s="1">
        <v>1553.099976</v>
      </c>
      <c r="D31" s="1">
        <v>18.639999</v>
      </c>
      <c r="E31" s="1">
        <v>-1179.380005</v>
      </c>
      <c r="F31" s="1">
        <v>1974.579956</v>
      </c>
      <c r="G31" s="1">
        <v>8.1300000000000008</v>
      </c>
      <c r="H31" s="1">
        <v>0</v>
      </c>
      <c r="I31" s="1">
        <v>0</v>
      </c>
      <c r="J31" s="1">
        <v>0</v>
      </c>
      <c r="K31" s="1">
        <v>-2.7590000000000002E-3</v>
      </c>
      <c r="L31" s="1">
        <v>1.578E-3</v>
      </c>
      <c r="M31" s="1">
        <v>0.86970400000000003</v>
      </c>
      <c r="N31" s="1">
        <v>0.493564</v>
      </c>
      <c r="O31">
        <v>0</v>
      </c>
      <c r="P31">
        <v>0</v>
      </c>
      <c r="Q31">
        <v>1</v>
      </c>
      <c r="R31">
        <v>1</v>
      </c>
      <c r="S31">
        <v>1</v>
      </c>
      <c r="T31" s="1">
        <f>SQRT(POWER(Plank[[#This Row],[angvel_X]],2) + POWER(Plank[[#This Row],[angvel_Y]],2) + POWER(Plank[[#This Row],[angvel_Z]],2))</f>
        <v>0</v>
      </c>
      <c r="U31" s="1">
        <f>DEGREES(ASIN(MAX(-1,MIN(1,2 * (Plank[[#This Row],[quart_W]]*Plank[[#This Row],[quart_Y]] - Plank[[#This Row],[quart_Z]]*Plank[[#This Row],[quart_X]])))))</f>
        <v>0.36421537424412592</v>
      </c>
      <c r="V3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3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31" s="1">
        <f>IF(Plank[[#This Row],[Yaw]]&gt;V30,(360-ABS(Plank[[#This Row],[Yaw]])-ABS(V30)),ABS(Plank[[#This Row],[Yaw]]-V30))</f>
        <v>0</v>
      </c>
      <c r="Y31" s="1">
        <f>Plank[[#This Row],[Degree change]]+Y30</f>
        <v>0</v>
      </c>
    </row>
    <row r="32" spans="1:25">
      <c r="A32">
        <v>31</v>
      </c>
      <c r="B32" s="1">
        <v>569.38000499999998</v>
      </c>
      <c r="C32" s="1">
        <v>1569.6099850000001</v>
      </c>
      <c r="D32" s="1">
        <v>18.639999</v>
      </c>
      <c r="E32" s="1">
        <v>-1179.380005</v>
      </c>
      <c r="F32" s="1">
        <v>1974.579956</v>
      </c>
      <c r="G32" s="1">
        <v>8.1300000000000008</v>
      </c>
      <c r="H32" s="1">
        <v>0</v>
      </c>
      <c r="I32" s="1">
        <v>0</v>
      </c>
      <c r="J32" s="1">
        <v>0</v>
      </c>
      <c r="K32" s="1">
        <v>-2.7590000000000002E-3</v>
      </c>
      <c r="L32" s="1">
        <v>1.578E-3</v>
      </c>
      <c r="M32" s="1">
        <v>0.86970400000000003</v>
      </c>
      <c r="N32" s="1">
        <v>0.493564</v>
      </c>
      <c r="O32">
        <v>0</v>
      </c>
      <c r="P32">
        <v>0</v>
      </c>
      <c r="Q32">
        <v>1</v>
      </c>
      <c r="R32">
        <v>1</v>
      </c>
      <c r="S32">
        <v>1</v>
      </c>
      <c r="T32" s="1">
        <f>SQRT(POWER(Plank[[#This Row],[angvel_X]],2) + POWER(Plank[[#This Row],[angvel_Y]],2) + POWER(Plank[[#This Row],[angvel_Z]],2))</f>
        <v>0</v>
      </c>
      <c r="U32" s="1">
        <f>DEGREES(ASIN(MAX(-1,MIN(1,2 * (Plank[[#This Row],[quart_W]]*Plank[[#This Row],[quart_Y]] - Plank[[#This Row],[quart_Z]]*Plank[[#This Row],[quart_X]])))))</f>
        <v>0.36421537424412592</v>
      </c>
      <c r="V3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3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32" s="1">
        <f>IF(Plank[[#This Row],[Yaw]]&gt;V31,(360-ABS(Plank[[#This Row],[Yaw]])-ABS(V31)),ABS(Plank[[#This Row],[Yaw]]-V31))</f>
        <v>0</v>
      </c>
      <c r="Y32" s="1">
        <f>Plank[[#This Row],[Degree change]]+Y31</f>
        <v>0</v>
      </c>
    </row>
    <row r="33" spans="1:25">
      <c r="A33">
        <v>32</v>
      </c>
      <c r="B33" s="1">
        <v>559.51995799999997</v>
      </c>
      <c r="C33" s="1">
        <v>1586.119995</v>
      </c>
      <c r="D33" s="1">
        <v>18.639999</v>
      </c>
      <c r="E33" s="1">
        <v>-1179.380005</v>
      </c>
      <c r="F33" s="1">
        <v>1974.579956</v>
      </c>
      <c r="G33" s="1">
        <v>8.1300000000000008</v>
      </c>
      <c r="H33" s="1">
        <v>0</v>
      </c>
      <c r="I33" s="1">
        <v>0</v>
      </c>
      <c r="J33" s="1">
        <v>0</v>
      </c>
      <c r="K33" s="1">
        <v>-2.7590000000000002E-3</v>
      </c>
      <c r="L33" s="1">
        <v>1.578E-3</v>
      </c>
      <c r="M33" s="1">
        <v>0.86970400000000003</v>
      </c>
      <c r="N33" s="1">
        <v>0.493564</v>
      </c>
      <c r="O33">
        <v>0</v>
      </c>
      <c r="P33">
        <v>0</v>
      </c>
      <c r="Q33">
        <v>1</v>
      </c>
      <c r="R33">
        <v>1</v>
      </c>
      <c r="S33">
        <v>1</v>
      </c>
      <c r="T33" s="1">
        <f>SQRT(POWER(Plank[[#This Row],[angvel_X]],2) + POWER(Plank[[#This Row],[angvel_Y]],2) + POWER(Plank[[#This Row],[angvel_Z]],2))</f>
        <v>0</v>
      </c>
      <c r="U33" s="1">
        <f>DEGREES(ASIN(MAX(-1,MIN(1,2 * (Plank[[#This Row],[quart_W]]*Plank[[#This Row],[quart_Y]] - Plank[[#This Row],[quart_Z]]*Plank[[#This Row],[quart_X]])))))</f>
        <v>0.36421537424412592</v>
      </c>
      <c r="V3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3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33" s="1">
        <f>IF(Plank[[#This Row],[Yaw]]&gt;V32,(360-ABS(Plank[[#This Row],[Yaw]])-ABS(V32)),ABS(Plank[[#This Row],[Yaw]]-V32))</f>
        <v>0</v>
      </c>
      <c r="Y33" s="1">
        <f>Plank[[#This Row],[Degree change]]+Y32</f>
        <v>0</v>
      </c>
    </row>
    <row r="34" spans="1:25">
      <c r="A34">
        <v>33</v>
      </c>
      <c r="B34" s="1">
        <v>549.65997300000004</v>
      </c>
      <c r="C34" s="1">
        <v>1602.630005</v>
      </c>
      <c r="D34" s="1">
        <v>18.639999</v>
      </c>
      <c r="E34" s="1">
        <v>-1179.380005</v>
      </c>
      <c r="F34" s="1">
        <v>1974.579956</v>
      </c>
      <c r="G34" s="1">
        <v>8.1300000000000008</v>
      </c>
      <c r="H34" s="1">
        <v>0</v>
      </c>
      <c r="I34" s="1">
        <v>0</v>
      </c>
      <c r="J34" s="1">
        <v>0</v>
      </c>
      <c r="K34" s="1">
        <v>-2.7590000000000002E-3</v>
      </c>
      <c r="L34" s="1">
        <v>1.578E-3</v>
      </c>
      <c r="M34" s="1">
        <v>0.86970400000000003</v>
      </c>
      <c r="N34" s="1">
        <v>0.493564</v>
      </c>
      <c r="O34">
        <v>0</v>
      </c>
      <c r="P34">
        <v>0</v>
      </c>
      <c r="Q34">
        <v>1</v>
      </c>
      <c r="R34">
        <v>1</v>
      </c>
      <c r="S34">
        <v>1</v>
      </c>
      <c r="T34" s="1">
        <f>SQRT(POWER(Plank[[#This Row],[angvel_X]],2) + POWER(Plank[[#This Row],[angvel_Y]],2) + POWER(Plank[[#This Row],[angvel_Z]],2))</f>
        <v>0</v>
      </c>
      <c r="U34" s="1">
        <f>DEGREES(ASIN(MAX(-1,MIN(1,2 * (Plank[[#This Row],[quart_W]]*Plank[[#This Row],[quart_Y]] - Plank[[#This Row],[quart_Z]]*Plank[[#This Row],[quart_X]])))))</f>
        <v>0.36421537424412592</v>
      </c>
      <c r="V3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3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34" s="1">
        <f>IF(Plank[[#This Row],[Yaw]]&gt;V33,(360-ABS(Plank[[#This Row],[Yaw]])-ABS(V33)),ABS(Plank[[#This Row],[Yaw]]-V33))</f>
        <v>0</v>
      </c>
      <c r="Y34" s="1">
        <f>Plank[[#This Row],[Degree change]]+Y33</f>
        <v>0</v>
      </c>
    </row>
    <row r="35" spans="1:25">
      <c r="A35">
        <v>34</v>
      </c>
      <c r="B35" s="1">
        <v>539.79998799999998</v>
      </c>
      <c r="C35" s="1">
        <v>1619.1400149999999</v>
      </c>
      <c r="D35" s="1">
        <v>18.639999</v>
      </c>
      <c r="E35" s="1">
        <v>-1179.380005</v>
      </c>
      <c r="F35" s="1">
        <v>1974.579956</v>
      </c>
      <c r="G35" s="1">
        <v>8.1300000000000008</v>
      </c>
      <c r="H35" s="1">
        <v>0</v>
      </c>
      <c r="I35" s="1">
        <v>0</v>
      </c>
      <c r="J35" s="1">
        <v>0</v>
      </c>
      <c r="K35" s="1">
        <v>-2.7590000000000002E-3</v>
      </c>
      <c r="L35" s="1">
        <v>1.578E-3</v>
      </c>
      <c r="M35" s="1">
        <v>0.86970400000000003</v>
      </c>
      <c r="N35" s="1">
        <v>0.493564</v>
      </c>
      <c r="O35">
        <v>0</v>
      </c>
      <c r="P35">
        <v>0</v>
      </c>
      <c r="Q35">
        <v>1</v>
      </c>
      <c r="R35">
        <v>1</v>
      </c>
      <c r="S35">
        <v>1</v>
      </c>
      <c r="T35" s="1">
        <f>SQRT(POWER(Plank[[#This Row],[angvel_X]],2) + POWER(Plank[[#This Row],[angvel_Y]],2) + POWER(Plank[[#This Row],[angvel_Z]],2))</f>
        <v>0</v>
      </c>
      <c r="U35" s="1">
        <f>DEGREES(ASIN(MAX(-1,MIN(1,2 * (Plank[[#This Row],[quart_W]]*Plank[[#This Row],[quart_Y]] - Plank[[#This Row],[quart_Z]]*Plank[[#This Row],[quart_X]])))))</f>
        <v>0.36421537424412592</v>
      </c>
      <c r="V3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3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35" s="1">
        <f>IF(Plank[[#This Row],[Yaw]]&gt;V34,(360-ABS(Plank[[#This Row],[Yaw]])-ABS(V34)),ABS(Plank[[#This Row],[Yaw]]-V34))</f>
        <v>0</v>
      </c>
      <c r="Y35" s="1">
        <f>Plank[[#This Row],[Degree change]]+Y34</f>
        <v>0</v>
      </c>
    </row>
    <row r="36" spans="1:25">
      <c r="A36">
        <v>35</v>
      </c>
      <c r="B36" s="1">
        <v>529.94000200000005</v>
      </c>
      <c r="C36" s="1">
        <v>1635.650024</v>
      </c>
      <c r="D36" s="1">
        <v>18.639999</v>
      </c>
      <c r="E36" s="1">
        <v>-1179.380005</v>
      </c>
      <c r="F36" s="1">
        <v>1974.579956</v>
      </c>
      <c r="G36" s="1">
        <v>8.1300000000000008</v>
      </c>
      <c r="H36" s="1">
        <v>0</v>
      </c>
      <c r="I36" s="1">
        <v>0</v>
      </c>
      <c r="J36" s="1">
        <v>0</v>
      </c>
      <c r="K36" s="1">
        <v>-2.7590000000000002E-3</v>
      </c>
      <c r="L36" s="1">
        <v>1.578E-3</v>
      </c>
      <c r="M36" s="1">
        <v>0.86970400000000003</v>
      </c>
      <c r="N36" s="1">
        <v>0.493564</v>
      </c>
      <c r="O36">
        <v>0</v>
      </c>
      <c r="P36">
        <v>0</v>
      </c>
      <c r="Q36">
        <v>1</v>
      </c>
      <c r="R36">
        <v>1</v>
      </c>
      <c r="S36">
        <v>1</v>
      </c>
      <c r="T36" s="1">
        <f>SQRT(POWER(Plank[[#This Row],[angvel_X]],2) + POWER(Plank[[#This Row],[angvel_Y]],2) + POWER(Plank[[#This Row],[angvel_Z]],2))</f>
        <v>0</v>
      </c>
      <c r="U36" s="1">
        <f>DEGREES(ASIN(MAX(-1,MIN(1,2 * (Plank[[#This Row],[quart_W]]*Plank[[#This Row],[quart_Y]] - Plank[[#This Row],[quart_Z]]*Plank[[#This Row],[quart_X]])))))</f>
        <v>0.36421537424412592</v>
      </c>
      <c r="V3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3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36" s="1">
        <f>IF(Plank[[#This Row],[Yaw]]&gt;V35,(360-ABS(Plank[[#This Row],[Yaw]])-ABS(V35)),ABS(Plank[[#This Row],[Yaw]]-V35))</f>
        <v>0</v>
      </c>
      <c r="Y36" s="1">
        <f>Plank[[#This Row],[Degree change]]+Y35</f>
        <v>0</v>
      </c>
    </row>
    <row r="37" spans="1:25">
      <c r="A37">
        <v>36</v>
      </c>
      <c r="B37" s="1">
        <v>520.080017</v>
      </c>
      <c r="C37" s="1">
        <v>1652.1599120000001</v>
      </c>
      <c r="D37" s="1">
        <v>18.639999</v>
      </c>
      <c r="E37" s="1">
        <v>-1179.380005</v>
      </c>
      <c r="F37" s="1">
        <v>1974.579956</v>
      </c>
      <c r="G37" s="1">
        <v>8.1300000000000008</v>
      </c>
      <c r="H37" s="1">
        <v>0</v>
      </c>
      <c r="I37" s="1">
        <v>0</v>
      </c>
      <c r="J37" s="1">
        <v>0</v>
      </c>
      <c r="K37" s="1">
        <v>-2.7590000000000002E-3</v>
      </c>
      <c r="L37" s="1">
        <v>1.578E-3</v>
      </c>
      <c r="M37" s="1">
        <v>0.86970400000000003</v>
      </c>
      <c r="N37" s="1">
        <v>0.493564</v>
      </c>
      <c r="O37">
        <v>0</v>
      </c>
      <c r="P37">
        <v>0</v>
      </c>
      <c r="Q37">
        <v>1</v>
      </c>
      <c r="R37">
        <v>1</v>
      </c>
      <c r="S37">
        <v>1</v>
      </c>
      <c r="T37" s="1">
        <f>SQRT(POWER(Plank[[#This Row],[angvel_X]],2) + POWER(Plank[[#This Row],[angvel_Y]],2) + POWER(Plank[[#This Row],[angvel_Z]],2))</f>
        <v>0</v>
      </c>
      <c r="U37" s="1">
        <f>DEGREES(ASIN(MAX(-1,MIN(1,2 * (Plank[[#This Row],[quart_W]]*Plank[[#This Row],[quart_Y]] - Plank[[#This Row],[quart_Z]]*Plank[[#This Row],[quart_X]])))))</f>
        <v>0.36421537424412592</v>
      </c>
      <c r="V3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3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37" s="1">
        <f>IF(Plank[[#This Row],[Yaw]]&gt;V36,(360-ABS(Plank[[#This Row],[Yaw]])-ABS(V36)),ABS(Plank[[#This Row],[Yaw]]-V36))</f>
        <v>0</v>
      </c>
      <c r="Y37" s="1">
        <f>Plank[[#This Row],[Degree change]]+Y36</f>
        <v>0</v>
      </c>
    </row>
    <row r="38" spans="1:25">
      <c r="A38">
        <v>37</v>
      </c>
      <c r="B38" s="1">
        <v>510.22000100000002</v>
      </c>
      <c r="C38" s="1">
        <v>1668.669922</v>
      </c>
      <c r="D38" s="1">
        <v>18.639999</v>
      </c>
      <c r="E38" s="1">
        <v>-1179.380005</v>
      </c>
      <c r="F38" s="1">
        <v>1974.579956</v>
      </c>
      <c r="G38" s="1">
        <v>8.1300000000000008</v>
      </c>
      <c r="H38" s="1">
        <v>0</v>
      </c>
      <c r="I38" s="1">
        <v>0</v>
      </c>
      <c r="J38" s="1">
        <v>0</v>
      </c>
      <c r="K38" s="1">
        <v>-2.7590000000000002E-3</v>
      </c>
      <c r="L38" s="1">
        <v>1.578E-3</v>
      </c>
      <c r="M38" s="1">
        <v>0.86970400000000003</v>
      </c>
      <c r="N38" s="1">
        <v>0.493564</v>
      </c>
      <c r="O38">
        <v>0</v>
      </c>
      <c r="P38">
        <v>0</v>
      </c>
      <c r="Q38">
        <v>1</v>
      </c>
      <c r="R38">
        <v>1</v>
      </c>
      <c r="S38">
        <v>1</v>
      </c>
      <c r="T38" s="1">
        <f>SQRT(POWER(Plank[[#This Row],[angvel_X]],2) + POWER(Plank[[#This Row],[angvel_Y]],2) + POWER(Plank[[#This Row],[angvel_Z]],2))</f>
        <v>0</v>
      </c>
      <c r="U38" s="1">
        <f>DEGREES(ASIN(MAX(-1,MIN(1,2 * (Plank[[#This Row],[quart_W]]*Plank[[#This Row],[quart_Y]] - Plank[[#This Row],[quart_Z]]*Plank[[#This Row],[quart_X]])))))</f>
        <v>0.36421537424412592</v>
      </c>
      <c r="V3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3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38" s="1">
        <f>IF(Plank[[#This Row],[Yaw]]&gt;V37,(360-ABS(Plank[[#This Row],[Yaw]])-ABS(V37)),ABS(Plank[[#This Row],[Yaw]]-V37))</f>
        <v>0</v>
      </c>
      <c r="Y38" s="1">
        <f>Plank[[#This Row],[Degree change]]+Y37</f>
        <v>0</v>
      </c>
    </row>
    <row r="39" spans="1:25">
      <c r="A39">
        <v>38</v>
      </c>
      <c r="B39" s="1">
        <v>500.35998499999999</v>
      </c>
      <c r="C39" s="1">
        <v>1685.179932</v>
      </c>
      <c r="D39" s="1">
        <v>18.639999</v>
      </c>
      <c r="E39" s="1">
        <v>-1179.380005</v>
      </c>
      <c r="F39" s="1">
        <v>1974.579956</v>
      </c>
      <c r="G39" s="1">
        <v>8.1300000000000008</v>
      </c>
      <c r="H39" s="1">
        <v>0</v>
      </c>
      <c r="I39" s="1">
        <v>0</v>
      </c>
      <c r="J39" s="1">
        <v>0</v>
      </c>
      <c r="K39" s="1">
        <v>-2.7590000000000002E-3</v>
      </c>
      <c r="L39" s="1">
        <v>1.578E-3</v>
      </c>
      <c r="M39" s="1">
        <v>0.86970400000000003</v>
      </c>
      <c r="N39" s="1">
        <v>0.493564</v>
      </c>
      <c r="O39">
        <v>0</v>
      </c>
      <c r="P39">
        <v>0</v>
      </c>
      <c r="Q39">
        <v>1</v>
      </c>
      <c r="R39">
        <v>1</v>
      </c>
      <c r="S39">
        <v>1</v>
      </c>
      <c r="T39" s="1">
        <f>SQRT(POWER(Plank[[#This Row],[angvel_X]],2) + POWER(Plank[[#This Row],[angvel_Y]],2) + POWER(Plank[[#This Row],[angvel_Z]],2))</f>
        <v>0</v>
      </c>
      <c r="U39" s="1">
        <f>DEGREES(ASIN(MAX(-1,MIN(1,2 * (Plank[[#This Row],[quart_W]]*Plank[[#This Row],[quart_Y]] - Plank[[#This Row],[quart_Z]]*Plank[[#This Row],[quart_X]])))))</f>
        <v>0.36421537424412592</v>
      </c>
      <c r="V3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3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39" s="1">
        <f>IF(Plank[[#This Row],[Yaw]]&gt;V38,(360-ABS(Plank[[#This Row],[Yaw]])-ABS(V38)),ABS(Plank[[#This Row],[Yaw]]-V38))</f>
        <v>0</v>
      </c>
      <c r="Y39" s="1">
        <f>Plank[[#This Row],[Degree change]]+Y38</f>
        <v>0</v>
      </c>
    </row>
    <row r="40" spans="1:25">
      <c r="A40">
        <v>39</v>
      </c>
      <c r="B40" s="1">
        <v>490.5</v>
      </c>
      <c r="C40" s="1">
        <v>1701.6899410000001</v>
      </c>
      <c r="D40" s="1">
        <v>18.639999</v>
      </c>
      <c r="E40" s="1">
        <v>-1179.380005</v>
      </c>
      <c r="F40" s="1">
        <v>1974.579956</v>
      </c>
      <c r="G40" s="1">
        <v>8.1300000000000008</v>
      </c>
      <c r="H40" s="1">
        <v>0</v>
      </c>
      <c r="I40" s="1">
        <v>0</v>
      </c>
      <c r="J40" s="1">
        <v>0</v>
      </c>
      <c r="K40" s="1">
        <v>-2.7590000000000002E-3</v>
      </c>
      <c r="L40" s="1">
        <v>1.578E-3</v>
      </c>
      <c r="M40" s="1">
        <v>0.86970400000000003</v>
      </c>
      <c r="N40" s="1">
        <v>0.493564</v>
      </c>
      <c r="O40">
        <v>0</v>
      </c>
      <c r="P40">
        <v>0</v>
      </c>
      <c r="Q40">
        <v>1</v>
      </c>
      <c r="R40">
        <v>1</v>
      </c>
      <c r="S40">
        <v>1</v>
      </c>
      <c r="T40" s="1">
        <f>SQRT(POWER(Plank[[#This Row],[angvel_X]],2) + POWER(Plank[[#This Row],[angvel_Y]],2) + POWER(Plank[[#This Row],[angvel_Z]],2))</f>
        <v>0</v>
      </c>
      <c r="U40" s="1">
        <f>DEGREES(ASIN(MAX(-1,MIN(1,2 * (Plank[[#This Row],[quart_W]]*Plank[[#This Row],[quart_Y]] - Plank[[#This Row],[quart_Z]]*Plank[[#This Row],[quart_X]])))))</f>
        <v>0.36421537424412592</v>
      </c>
      <c r="V4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4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40" s="1">
        <f>IF(Plank[[#This Row],[Yaw]]&gt;V39,(360-ABS(Plank[[#This Row],[Yaw]])-ABS(V39)),ABS(Plank[[#This Row],[Yaw]]-V39))</f>
        <v>0</v>
      </c>
      <c r="Y40" s="1">
        <f>Plank[[#This Row],[Degree change]]+Y39</f>
        <v>0</v>
      </c>
    </row>
    <row r="41" spans="1:25">
      <c r="A41">
        <v>40</v>
      </c>
      <c r="B41" s="1">
        <v>480.63998400000003</v>
      </c>
      <c r="C41" s="1">
        <v>1718.1999510000001</v>
      </c>
      <c r="D41" s="1">
        <v>18.639999</v>
      </c>
      <c r="E41" s="1">
        <v>-1179.380005</v>
      </c>
      <c r="F41" s="1">
        <v>1974.579956</v>
      </c>
      <c r="G41" s="1">
        <v>8.1300000000000008</v>
      </c>
      <c r="H41" s="1">
        <v>0</v>
      </c>
      <c r="I41" s="1">
        <v>0</v>
      </c>
      <c r="J41" s="1">
        <v>0</v>
      </c>
      <c r="K41" s="1">
        <v>-2.7590000000000002E-3</v>
      </c>
      <c r="L41" s="1">
        <v>1.578E-3</v>
      </c>
      <c r="M41" s="1">
        <v>0.86970400000000003</v>
      </c>
      <c r="N41" s="1">
        <v>0.493564</v>
      </c>
      <c r="O41">
        <v>0</v>
      </c>
      <c r="P41">
        <v>0</v>
      </c>
      <c r="Q41">
        <v>1</v>
      </c>
      <c r="R41">
        <v>1</v>
      </c>
      <c r="S41">
        <v>1</v>
      </c>
      <c r="T41" s="1">
        <f>SQRT(POWER(Plank[[#This Row],[angvel_X]],2) + POWER(Plank[[#This Row],[angvel_Y]],2) + POWER(Plank[[#This Row],[angvel_Z]],2))</f>
        <v>0</v>
      </c>
      <c r="U41" s="1">
        <f>DEGREES(ASIN(MAX(-1,MIN(1,2 * (Plank[[#This Row],[quart_W]]*Plank[[#This Row],[quart_Y]] - Plank[[#This Row],[quart_Z]]*Plank[[#This Row],[quart_X]])))))</f>
        <v>0.36421537424412592</v>
      </c>
      <c r="V4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4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41" s="1">
        <f>IF(Plank[[#This Row],[Yaw]]&gt;V40,(360-ABS(Plank[[#This Row],[Yaw]])-ABS(V40)),ABS(Plank[[#This Row],[Yaw]]-V40))</f>
        <v>0</v>
      </c>
      <c r="Y41" s="1">
        <f>Plank[[#This Row],[Degree change]]+Y40</f>
        <v>0</v>
      </c>
    </row>
    <row r="42" spans="1:25">
      <c r="A42">
        <v>41</v>
      </c>
      <c r="B42" s="1">
        <v>470.77999899999998</v>
      </c>
      <c r="C42" s="1">
        <v>1734.709961</v>
      </c>
      <c r="D42" s="1">
        <v>18.639999</v>
      </c>
      <c r="E42" s="1">
        <v>-1179.380005</v>
      </c>
      <c r="F42" s="1">
        <v>1974.579956</v>
      </c>
      <c r="G42" s="1">
        <v>8.1300000000000008</v>
      </c>
      <c r="H42" s="1">
        <v>0</v>
      </c>
      <c r="I42" s="1">
        <v>0</v>
      </c>
      <c r="J42" s="1">
        <v>0</v>
      </c>
      <c r="K42" s="1">
        <v>-2.7590000000000002E-3</v>
      </c>
      <c r="L42" s="1">
        <v>1.578E-3</v>
      </c>
      <c r="M42" s="1">
        <v>0.86970400000000003</v>
      </c>
      <c r="N42" s="1">
        <v>0.493564</v>
      </c>
      <c r="O42">
        <v>0</v>
      </c>
      <c r="P42">
        <v>0</v>
      </c>
      <c r="Q42">
        <v>1</v>
      </c>
      <c r="R42">
        <v>1</v>
      </c>
      <c r="S42">
        <v>1</v>
      </c>
      <c r="T42" s="1">
        <f>SQRT(POWER(Plank[[#This Row],[angvel_X]],2) + POWER(Plank[[#This Row],[angvel_Y]],2) + POWER(Plank[[#This Row],[angvel_Z]],2))</f>
        <v>0</v>
      </c>
      <c r="U42" s="1">
        <f>DEGREES(ASIN(MAX(-1,MIN(1,2 * (Plank[[#This Row],[quart_W]]*Plank[[#This Row],[quart_Y]] - Plank[[#This Row],[quart_Z]]*Plank[[#This Row],[quart_X]])))))</f>
        <v>0.36421537424412592</v>
      </c>
      <c r="V4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4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42" s="1">
        <f>IF(Plank[[#This Row],[Yaw]]&gt;V41,(360-ABS(Plank[[#This Row],[Yaw]])-ABS(V41)),ABS(Plank[[#This Row],[Yaw]]-V41))</f>
        <v>0</v>
      </c>
      <c r="Y42" s="1">
        <f>Plank[[#This Row],[Degree change]]+Y41</f>
        <v>0</v>
      </c>
    </row>
    <row r="43" spans="1:25">
      <c r="A43">
        <v>42</v>
      </c>
      <c r="B43" s="1">
        <v>460.919983</v>
      </c>
      <c r="C43" s="1">
        <v>1751.219971</v>
      </c>
      <c r="D43" s="1">
        <v>18.639999</v>
      </c>
      <c r="E43" s="1">
        <v>-1179.380005</v>
      </c>
      <c r="F43" s="1">
        <v>1974.579956</v>
      </c>
      <c r="G43" s="1">
        <v>8.1300000000000008</v>
      </c>
      <c r="H43" s="1">
        <v>0</v>
      </c>
      <c r="I43" s="1">
        <v>0</v>
      </c>
      <c r="J43" s="1">
        <v>0</v>
      </c>
      <c r="K43" s="1">
        <v>-2.7590000000000002E-3</v>
      </c>
      <c r="L43" s="1">
        <v>1.578E-3</v>
      </c>
      <c r="M43" s="1">
        <v>0.86970400000000003</v>
      </c>
      <c r="N43" s="1">
        <v>0.493564</v>
      </c>
      <c r="O43">
        <v>0</v>
      </c>
      <c r="P43">
        <v>0</v>
      </c>
      <c r="Q43">
        <v>1</v>
      </c>
      <c r="R43">
        <v>1</v>
      </c>
      <c r="S43">
        <v>1</v>
      </c>
      <c r="T43" s="1">
        <f>SQRT(POWER(Plank[[#This Row],[angvel_X]],2) + POWER(Plank[[#This Row],[angvel_Y]],2) + POWER(Plank[[#This Row],[angvel_Z]],2))</f>
        <v>0</v>
      </c>
      <c r="U43" s="1">
        <f>DEGREES(ASIN(MAX(-1,MIN(1,2 * (Plank[[#This Row],[quart_W]]*Plank[[#This Row],[quart_Y]] - Plank[[#This Row],[quart_Z]]*Plank[[#This Row],[quart_X]])))))</f>
        <v>0.36421537424412592</v>
      </c>
      <c r="V4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4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43" s="1">
        <f>IF(Plank[[#This Row],[Yaw]]&gt;V42,(360-ABS(Plank[[#This Row],[Yaw]])-ABS(V42)),ABS(Plank[[#This Row],[Yaw]]-V42))</f>
        <v>0</v>
      </c>
      <c r="Y43" s="1">
        <f>Plank[[#This Row],[Degree change]]+Y42</f>
        <v>0</v>
      </c>
    </row>
    <row r="44" spans="1:25">
      <c r="A44">
        <v>43</v>
      </c>
      <c r="B44" s="1">
        <v>451.05999800000001</v>
      </c>
      <c r="C44" s="1">
        <v>1767.7299800000001</v>
      </c>
      <c r="D44" s="1">
        <v>18.639999</v>
      </c>
      <c r="E44" s="1">
        <v>-1179.380005</v>
      </c>
      <c r="F44" s="1">
        <v>1974.579956</v>
      </c>
      <c r="G44" s="1">
        <v>8.1300000000000008</v>
      </c>
      <c r="H44" s="1">
        <v>0</v>
      </c>
      <c r="I44" s="1">
        <v>0</v>
      </c>
      <c r="J44" s="1">
        <v>0</v>
      </c>
      <c r="K44" s="1">
        <v>-2.7590000000000002E-3</v>
      </c>
      <c r="L44" s="1">
        <v>1.578E-3</v>
      </c>
      <c r="M44" s="1">
        <v>0.86970400000000003</v>
      </c>
      <c r="N44" s="1">
        <v>0.493564</v>
      </c>
      <c r="O44">
        <v>0</v>
      </c>
      <c r="P44">
        <v>0</v>
      </c>
      <c r="Q44">
        <v>1</v>
      </c>
      <c r="R44">
        <v>1</v>
      </c>
      <c r="S44">
        <v>1</v>
      </c>
      <c r="T44" s="1">
        <f>SQRT(POWER(Plank[[#This Row],[angvel_X]],2) + POWER(Plank[[#This Row],[angvel_Y]],2) + POWER(Plank[[#This Row],[angvel_Z]],2))</f>
        <v>0</v>
      </c>
      <c r="U44" s="1">
        <f>DEGREES(ASIN(MAX(-1,MIN(1,2 * (Plank[[#This Row],[quart_W]]*Plank[[#This Row],[quart_Y]] - Plank[[#This Row],[quart_Z]]*Plank[[#This Row],[quart_X]])))))</f>
        <v>0.36421537424412592</v>
      </c>
      <c r="V4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4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44" s="1">
        <f>IF(Plank[[#This Row],[Yaw]]&gt;V43,(360-ABS(Plank[[#This Row],[Yaw]])-ABS(V43)),ABS(Plank[[#This Row],[Yaw]]-V43))</f>
        <v>0</v>
      </c>
      <c r="Y44" s="1">
        <f>Plank[[#This Row],[Degree change]]+Y43</f>
        <v>0</v>
      </c>
    </row>
    <row r="45" spans="1:25">
      <c r="A45">
        <v>44</v>
      </c>
      <c r="B45" s="1">
        <v>441.19998199999998</v>
      </c>
      <c r="C45" s="1">
        <v>1784.23999</v>
      </c>
      <c r="D45" s="1">
        <v>18.639999</v>
      </c>
      <c r="E45" s="1">
        <v>-1179.380005</v>
      </c>
      <c r="F45" s="1">
        <v>1974.579956</v>
      </c>
      <c r="G45" s="1">
        <v>8.1300000000000008</v>
      </c>
      <c r="H45" s="1">
        <v>0</v>
      </c>
      <c r="I45" s="1">
        <v>0</v>
      </c>
      <c r="J45" s="1">
        <v>0</v>
      </c>
      <c r="K45" s="1">
        <v>-2.7590000000000002E-3</v>
      </c>
      <c r="L45" s="1">
        <v>1.578E-3</v>
      </c>
      <c r="M45" s="1">
        <v>0.86970400000000003</v>
      </c>
      <c r="N45" s="1">
        <v>0.493564</v>
      </c>
      <c r="O45">
        <v>0</v>
      </c>
      <c r="P45">
        <v>0</v>
      </c>
      <c r="Q45">
        <v>1</v>
      </c>
      <c r="R45">
        <v>1</v>
      </c>
      <c r="S45">
        <v>1</v>
      </c>
      <c r="T45" s="1">
        <f>SQRT(POWER(Plank[[#This Row],[angvel_X]],2) + POWER(Plank[[#This Row],[angvel_Y]],2) + POWER(Plank[[#This Row],[angvel_Z]],2))</f>
        <v>0</v>
      </c>
      <c r="U45" s="1">
        <f>DEGREES(ASIN(MAX(-1,MIN(1,2 * (Plank[[#This Row],[quart_W]]*Plank[[#This Row],[quart_Y]] - Plank[[#This Row],[quart_Z]]*Plank[[#This Row],[quart_X]])))))</f>
        <v>0.36421537424412592</v>
      </c>
      <c r="V4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4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45" s="1">
        <f>IF(Plank[[#This Row],[Yaw]]&gt;V44,(360-ABS(Plank[[#This Row],[Yaw]])-ABS(V44)),ABS(Plank[[#This Row],[Yaw]]-V44))</f>
        <v>0</v>
      </c>
      <c r="Y45" s="1">
        <f>Plank[[#This Row],[Degree change]]+Y44</f>
        <v>0</v>
      </c>
    </row>
    <row r="46" spans="1:25">
      <c r="A46">
        <v>45</v>
      </c>
      <c r="B46" s="1">
        <v>431.33999599999999</v>
      </c>
      <c r="C46" s="1">
        <v>1800.75</v>
      </c>
      <c r="D46" s="1">
        <v>18.639999</v>
      </c>
      <c r="E46" s="1">
        <v>-1179.380005</v>
      </c>
      <c r="F46" s="1">
        <v>1974.579956</v>
      </c>
      <c r="G46" s="1">
        <v>8.1300000000000008</v>
      </c>
      <c r="H46" s="1">
        <v>0</v>
      </c>
      <c r="I46" s="1">
        <v>0</v>
      </c>
      <c r="J46" s="1">
        <v>0</v>
      </c>
      <c r="K46" s="1">
        <v>-2.7590000000000002E-3</v>
      </c>
      <c r="L46" s="1">
        <v>1.578E-3</v>
      </c>
      <c r="M46" s="1">
        <v>0.86970400000000003</v>
      </c>
      <c r="N46" s="1">
        <v>0.493564</v>
      </c>
      <c r="O46">
        <v>0</v>
      </c>
      <c r="P46">
        <v>0</v>
      </c>
      <c r="Q46">
        <v>1</v>
      </c>
      <c r="R46">
        <v>1</v>
      </c>
      <c r="S46">
        <v>1</v>
      </c>
      <c r="T46" s="1">
        <f>SQRT(POWER(Plank[[#This Row],[angvel_X]],2) + POWER(Plank[[#This Row],[angvel_Y]],2) + POWER(Plank[[#This Row],[angvel_Z]],2))</f>
        <v>0</v>
      </c>
      <c r="U46" s="1">
        <f>DEGREES(ASIN(MAX(-1,MIN(1,2 * (Plank[[#This Row],[quart_W]]*Plank[[#This Row],[quart_Y]] - Plank[[#This Row],[quart_Z]]*Plank[[#This Row],[quart_X]])))))</f>
        <v>0.36421537424412592</v>
      </c>
      <c r="V4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4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46" s="1">
        <f>IF(Plank[[#This Row],[Yaw]]&gt;V45,(360-ABS(Plank[[#This Row],[Yaw]])-ABS(V45)),ABS(Plank[[#This Row],[Yaw]]-V45))</f>
        <v>0</v>
      </c>
      <c r="Y46" s="1">
        <f>Plank[[#This Row],[Degree change]]+Y45</f>
        <v>0</v>
      </c>
    </row>
    <row r="47" spans="1:25">
      <c r="A47">
        <v>46</v>
      </c>
      <c r="B47" s="1">
        <v>421.47998000000001</v>
      </c>
      <c r="C47" s="1">
        <v>1817.26001</v>
      </c>
      <c r="D47" s="1">
        <v>18.639999</v>
      </c>
      <c r="E47" s="1">
        <v>-1179.380005</v>
      </c>
      <c r="F47" s="1">
        <v>1974.579956</v>
      </c>
      <c r="G47" s="1">
        <v>8.1300000000000008</v>
      </c>
      <c r="H47" s="1">
        <v>0</v>
      </c>
      <c r="I47" s="1">
        <v>0</v>
      </c>
      <c r="J47" s="1">
        <v>0</v>
      </c>
      <c r="K47" s="1">
        <v>-2.7590000000000002E-3</v>
      </c>
      <c r="L47" s="1">
        <v>1.578E-3</v>
      </c>
      <c r="M47" s="1">
        <v>0.86970400000000003</v>
      </c>
      <c r="N47" s="1">
        <v>0.493564</v>
      </c>
      <c r="O47">
        <v>0</v>
      </c>
      <c r="P47">
        <v>0</v>
      </c>
      <c r="Q47">
        <v>1</v>
      </c>
      <c r="R47">
        <v>1</v>
      </c>
      <c r="S47">
        <v>1</v>
      </c>
      <c r="T47" s="1">
        <f>SQRT(POWER(Plank[[#This Row],[angvel_X]],2) + POWER(Plank[[#This Row],[angvel_Y]],2) + POWER(Plank[[#This Row],[angvel_Z]],2))</f>
        <v>0</v>
      </c>
      <c r="U47" s="1">
        <f>DEGREES(ASIN(MAX(-1,MIN(1,2 * (Plank[[#This Row],[quart_W]]*Plank[[#This Row],[quart_Y]] - Plank[[#This Row],[quart_Z]]*Plank[[#This Row],[quart_X]])))))</f>
        <v>0.36421537424412592</v>
      </c>
      <c r="V4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4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47" s="1">
        <f>IF(Plank[[#This Row],[Yaw]]&gt;V46,(360-ABS(Plank[[#This Row],[Yaw]])-ABS(V46)),ABS(Plank[[#This Row],[Yaw]]-V46))</f>
        <v>0</v>
      </c>
      <c r="Y47" s="1">
        <f>Plank[[#This Row],[Degree change]]+Y46</f>
        <v>0</v>
      </c>
    </row>
    <row r="48" spans="1:25">
      <c r="A48">
        <v>47</v>
      </c>
      <c r="B48" s="1">
        <v>411.61999500000002</v>
      </c>
      <c r="C48" s="1">
        <v>1833.7700199999999</v>
      </c>
      <c r="D48" s="1">
        <v>18.639999</v>
      </c>
      <c r="E48" s="1">
        <v>-1179.380005</v>
      </c>
      <c r="F48" s="1">
        <v>1974.579956</v>
      </c>
      <c r="G48" s="1">
        <v>8.1300000000000008</v>
      </c>
      <c r="H48" s="1">
        <v>0</v>
      </c>
      <c r="I48" s="1">
        <v>0</v>
      </c>
      <c r="J48" s="1">
        <v>0</v>
      </c>
      <c r="K48" s="1">
        <v>-2.7590000000000002E-3</v>
      </c>
      <c r="L48" s="1">
        <v>1.578E-3</v>
      </c>
      <c r="M48" s="1">
        <v>0.86970400000000003</v>
      </c>
      <c r="N48" s="1">
        <v>0.493564</v>
      </c>
      <c r="O48">
        <v>0</v>
      </c>
      <c r="P48">
        <v>0</v>
      </c>
      <c r="Q48">
        <v>1</v>
      </c>
      <c r="R48">
        <v>1</v>
      </c>
      <c r="S48">
        <v>1</v>
      </c>
      <c r="T48" s="1">
        <f>SQRT(POWER(Plank[[#This Row],[angvel_X]],2) + POWER(Plank[[#This Row],[angvel_Y]],2) + POWER(Plank[[#This Row],[angvel_Z]],2))</f>
        <v>0</v>
      </c>
      <c r="U48" s="1">
        <f>DEGREES(ASIN(MAX(-1,MIN(1,2 * (Plank[[#This Row],[quart_W]]*Plank[[#This Row],[quart_Y]] - Plank[[#This Row],[quart_Z]]*Plank[[#This Row],[quart_X]])))))</f>
        <v>0.36421537424412592</v>
      </c>
      <c r="V4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4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48" s="1">
        <f>IF(Plank[[#This Row],[Yaw]]&gt;V47,(360-ABS(Plank[[#This Row],[Yaw]])-ABS(V47)),ABS(Plank[[#This Row],[Yaw]]-V47))</f>
        <v>0</v>
      </c>
      <c r="Y48" s="1">
        <f>Plank[[#This Row],[Degree change]]+Y47</f>
        <v>0</v>
      </c>
    </row>
    <row r="49" spans="1:25">
      <c r="A49">
        <v>48</v>
      </c>
      <c r="B49" s="1">
        <v>401.75997899999999</v>
      </c>
      <c r="C49" s="1">
        <v>1850.2799070000001</v>
      </c>
      <c r="D49" s="1">
        <v>18.639999</v>
      </c>
      <c r="E49" s="1">
        <v>-1179.380005</v>
      </c>
      <c r="F49" s="1">
        <v>1974.579956</v>
      </c>
      <c r="G49" s="1">
        <v>8.1300000000000008</v>
      </c>
      <c r="H49" s="1">
        <v>0</v>
      </c>
      <c r="I49" s="1">
        <v>0</v>
      </c>
      <c r="J49" s="1">
        <v>0</v>
      </c>
      <c r="K49" s="1">
        <v>-2.7590000000000002E-3</v>
      </c>
      <c r="L49" s="1">
        <v>1.578E-3</v>
      </c>
      <c r="M49" s="1">
        <v>0.86970400000000003</v>
      </c>
      <c r="N49" s="1">
        <v>0.493564</v>
      </c>
      <c r="O49">
        <v>0</v>
      </c>
      <c r="P49">
        <v>0</v>
      </c>
      <c r="Q49">
        <v>1</v>
      </c>
      <c r="R49">
        <v>1</v>
      </c>
      <c r="S49">
        <v>1</v>
      </c>
      <c r="T49" s="1">
        <f>SQRT(POWER(Plank[[#This Row],[angvel_X]],2) + POWER(Plank[[#This Row],[angvel_Y]],2) + POWER(Plank[[#This Row],[angvel_Z]],2))</f>
        <v>0</v>
      </c>
      <c r="U49" s="1">
        <f>DEGREES(ASIN(MAX(-1,MIN(1,2 * (Plank[[#This Row],[quart_W]]*Plank[[#This Row],[quart_Y]] - Plank[[#This Row],[quart_Z]]*Plank[[#This Row],[quart_X]])))))</f>
        <v>0.36421537424412592</v>
      </c>
      <c r="V4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4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49" s="1">
        <f>IF(Plank[[#This Row],[Yaw]]&gt;V48,(360-ABS(Plank[[#This Row],[Yaw]])-ABS(V48)),ABS(Plank[[#This Row],[Yaw]]-V48))</f>
        <v>0</v>
      </c>
      <c r="Y49" s="1">
        <f>Plank[[#This Row],[Degree change]]+Y48</f>
        <v>0</v>
      </c>
    </row>
    <row r="50" spans="1:25">
      <c r="A50">
        <v>49</v>
      </c>
      <c r="B50" s="1">
        <v>391.89999399999999</v>
      </c>
      <c r="C50" s="1">
        <v>1866.7899170000001</v>
      </c>
      <c r="D50" s="1">
        <v>18.639999</v>
      </c>
      <c r="E50" s="1">
        <v>-1179.380005</v>
      </c>
      <c r="F50" s="1">
        <v>1974.579956</v>
      </c>
      <c r="G50" s="1">
        <v>8.1300000000000008</v>
      </c>
      <c r="H50" s="1">
        <v>0</v>
      </c>
      <c r="I50" s="1">
        <v>0</v>
      </c>
      <c r="J50" s="1">
        <v>0</v>
      </c>
      <c r="K50" s="1">
        <v>-2.7590000000000002E-3</v>
      </c>
      <c r="L50" s="1">
        <v>1.578E-3</v>
      </c>
      <c r="M50" s="1">
        <v>0.86970400000000003</v>
      </c>
      <c r="N50" s="1">
        <v>0.493564</v>
      </c>
      <c r="O50">
        <v>0</v>
      </c>
      <c r="P50">
        <v>0</v>
      </c>
      <c r="Q50">
        <v>1</v>
      </c>
      <c r="R50">
        <v>1</v>
      </c>
      <c r="S50">
        <v>1</v>
      </c>
      <c r="T50" s="1">
        <f>SQRT(POWER(Plank[[#This Row],[angvel_X]],2) + POWER(Plank[[#This Row],[angvel_Y]],2) + POWER(Plank[[#This Row],[angvel_Z]],2))</f>
        <v>0</v>
      </c>
      <c r="U50" s="1">
        <f>DEGREES(ASIN(MAX(-1,MIN(1,2 * (Plank[[#This Row],[quart_W]]*Plank[[#This Row],[quart_Y]] - Plank[[#This Row],[quart_Z]]*Plank[[#This Row],[quart_X]])))))</f>
        <v>0.36421537424412592</v>
      </c>
      <c r="V5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5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50" s="1">
        <f>IF(Plank[[#This Row],[Yaw]]&gt;V49,(360-ABS(Plank[[#This Row],[Yaw]])-ABS(V49)),ABS(Plank[[#This Row],[Yaw]]-V49))</f>
        <v>0</v>
      </c>
      <c r="Y50" s="1">
        <f>Plank[[#This Row],[Degree change]]+Y49</f>
        <v>0</v>
      </c>
    </row>
    <row r="51" spans="1:25">
      <c r="A51">
        <v>50</v>
      </c>
      <c r="B51" s="1">
        <v>382.03997800000002</v>
      </c>
      <c r="C51" s="1">
        <v>1883.299927</v>
      </c>
      <c r="D51" s="1">
        <v>18.639999</v>
      </c>
      <c r="E51" s="1">
        <v>-1179.380005</v>
      </c>
      <c r="F51" s="1">
        <v>1974.579956</v>
      </c>
      <c r="G51" s="1">
        <v>8.1300000000000008</v>
      </c>
      <c r="H51" s="1">
        <v>0</v>
      </c>
      <c r="I51" s="1">
        <v>0</v>
      </c>
      <c r="J51" s="1">
        <v>0</v>
      </c>
      <c r="K51" s="1">
        <v>-2.7590000000000002E-3</v>
      </c>
      <c r="L51" s="1">
        <v>1.578E-3</v>
      </c>
      <c r="M51" s="1">
        <v>0.86970400000000003</v>
      </c>
      <c r="N51" s="1">
        <v>0.493564</v>
      </c>
      <c r="O51">
        <v>0</v>
      </c>
      <c r="P51">
        <v>0</v>
      </c>
      <c r="Q51">
        <v>1</v>
      </c>
      <c r="R51">
        <v>1</v>
      </c>
      <c r="S51">
        <v>1</v>
      </c>
      <c r="T51" s="1">
        <f>SQRT(POWER(Plank[[#This Row],[angvel_X]],2) + POWER(Plank[[#This Row],[angvel_Y]],2) + POWER(Plank[[#This Row],[angvel_Z]],2))</f>
        <v>0</v>
      </c>
      <c r="U51" s="1">
        <f>DEGREES(ASIN(MAX(-1,MIN(1,2 * (Plank[[#This Row],[quart_W]]*Plank[[#This Row],[quart_Y]] - Plank[[#This Row],[quart_Z]]*Plank[[#This Row],[quart_X]])))))</f>
        <v>0.36421537424412592</v>
      </c>
      <c r="V5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5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51" s="1">
        <f>IF(Plank[[#This Row],[Yaw]]&gt;V50,(360-ABS(Plank[[#This Row],[Yaw]])-ABS(V50)),ABS(Plank[[#This Row],[Yaw]]-V50))</f>
        <v>0</v>
      </c>
      <c r="Y51" s="1">
        <f>Plank[[#This Row],[Degree change]]+Y50</f>
        <v>0</v>
      </c>
    </row>
    <row r="52" spans="1:25">
      <c r="A52">
        <v>51</v>
      </c>
      <c r="B52" s="1">
        <v>372.17999300000002</v>
      </c>
      <c r="C52" s="1">
        <v>1899.809937</v>
      </c>
      <c r="D52" s="1">
        <v>18.639999</v>
      </c>
      <c r="E52" s="1">
        <v>-1179.380005</v>
      </c>
      <c r="F52" s="1">
        <v>1974.579956</v>
      </c>
      <c r="G52" s="1">
        <v>8.1300000000000008</v>
      </c>
      <c r="H52" s="1">
        <v>0</v>
      </c>
      <c r="I52" s="1">
        <v>0</v>
      </c>
      <c r="J52" s="1">
        <v>0</v>
      </c>
      <c r="K52" s="1">
        <v>-2.7590000000000002E-3</v>
      </c>
      <c r="L52" s="1">
        <v>1.578E-3</v>
      </c>
      <c r="M52" s="1">
        <v>0.86970400000000003</v>
      </c>
      <c r="N52" s="1">
        <v>0.493564</v>
      </c>
      <c r="O52">
        <v>1</v>
      </c>
      <c r="P52">
        <v>0</v>
      </c>
      <c r="Q52">
        <v>1</v>
      </c>
      <c r="R52">
        <v>1</v>
      </c>
      <c r="S52">
        <v>1</v>
      </c>
      <c r="T52" s="1">
        <f>SQRT(POWER(Plank[[#This Row],[angvel_X]],2) + POWER(Plank[[#This Row],[angvel_Y]],2) + POWER(Plank[[#This Row],[angvel_Z]],2))</f>
        <v>0</v>
      </c>
      <c r="U52" s="1">
        <f>DEGREES(ASIN(MAX(-1,MIN(1,2 * (Plank[[#This Row],[quart_W]]*Plank[[#This Row],[quart_Y]] - Plank[[#This Row],[quart_Z]]*Plank[[#This Row],[quart_X]])))))</f>
        <v>0.36421537424412592</v>
      </c>
      <c r="V5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5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52" s="1">
        <f>IF(Plank[[#This Row],[Yaw]]&gt;V51,(360-ABS(Plank[[#This Row],[Yaw]])-ABS(V51)),ABS(Plank[[#This Row],[Yaw]]-V51))</f>
        <v>0</v>
      </c>
      <c r="Y52" s="1">
        <f>Plank[[#This Row],[Degree change]]+Y51</f>
        <v>0</v>
      </c>
    </row>
    <row r="53" spans="1:25">
      <c r="A53">
        <v>52</v>
      </c>
      <c r="B53" s="1">
        <v>362.31997699999999</v>
      </c>
      <c r="C53" s="1">
        <v>1916.3199460000001</v>
      </c>
      <c r="D53" s="1">
        <v>18.639999</v>
      </c>
      <c r="E53" s="1">
        <v>-1188.6400149999999</v>
      </c>
      <c r="F53" s="1">
        <v>1969.0198969999999</v>
      </c>
      <c r="G53" s="1">
        <v>8.1300000000000008</v>
      </c>
      <c r="H53" s="1">
        <v>-8.0000000000000004E-4</v>
      </c>
      <c r="I53" s="1">
        <v>1.2999999999999999E-3</v>
      </c>
      <c r="J53" s="1">
        <v>0.2611</v>
      </c>
      <c r="K53" s="1">
        <v>-2.7590000000000002E-3</v>
      </c>
      <c r="L53" s="1">
        <v>1.578E-3</v>
      </c>
      <c r="M53" s="1">
        <v>0.86970400000000003</v>
      </c>
      <c r="N53" s="1">
        <v>0.493564</v>
      </c>
      <c r="O53">
        <v>1</v>
      </c>
      <c r="P53">
        <v>0</v>
      </c>
      <c r="Q53">
        <v>1</v>
      </c>
      <c r="R53">
        <v>1</v>
      </c>
      <c r="S53">
        <v>1</v>
      </c>
      <c r="T53" s="1">
        <f>SQRT(POWER(Plank[[#This Row],[angvel_X]],2) + POWER(Plank[[#This Row],[angvel_Y]],2) + POWER(Plank[[#This Row],[angvel_Z]],2))</f>
        <v>0.26110446185387182</v>
      </c>
      <c r="U53" s="1">
        <f>DEGREES(ASIN(MAX(-1,MIN(1,2 * (Plank[[#This Row],[quart_W]]*Plank[[#This Row],[quart_Y]] - Plank[[#This Row],[quart_Z]]*Plank[[#This Row],[quart_X]])))))</f>
        <v>0.36421537424412592</v>
      </c>
      <c r="V5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-30.849515374587948</v>
      </c>
      <c r="W5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89.998779594032086</v>
      </c>
      <c r="X53" s="1">
        <f>IF(Plank[[#This Row],[Yaw]]&gt;V52,(360-ABS(Plank[[#This Row],[Yaw]])-ABS(V52)),ABS(Plank[[#This Row],[Yaw]]-V52))</f>
        <v>0</v>
      </c>
      <c r="Y53" s="1">
        <f>Plank[[#This Row],[Degree change]]+Y52</f>
        <v>0</v>
      </c>
    </row>
    <row r="54" spans="1:25">
      <c r="A54">
        <v>53</v>
      </c>
      <c r="B54" s="1">
        <v>352.38000499999998</v>
      </c>
      <c r="C54" s="1">
        <v>1932.7899170000001</v>
      </c>
      <c r="D54" s="1">
        <v>18.639999</v>
      </c>
      <c r="E54" s="1">
        <v>-1196.599976</v>
      </c>
      <c r="F54" s="1">
        <v>1964.1899410000001</v>
      </c>
      <c r="G54" s="1">
        <v>8.1300000000000008</v>
      </c>
      <c r="H54" s="1">
        <v>-1.2999999999999999E-3</v>
      </c>
      <c r="I54" s="1">
        <v>2.0999999999999999E-3</v>
      </c>
      <c r="J54" s="1">
        <v>0.4738</v>
      </c>
      <c r="K54" s="1">
        <v>-2.7590000000000002E-3</v>
      </c>
      <c r="L54" s="1">
        <v>1.578E-3</v>
      </c>
      <c r="M54" s="1">
        <v>0.87023899999999998</v>
      </c>
      <c r="N54" s="1">
        <v>0.49262</v>
      </c>
      <c r="O54">
        <v>1</v>
      </c>
      <c r="P54">
        <v>0</v>
      </c>
      <c r="Q54">
        <v>1</v>
      </c>
      <c r="R54">
        <v>1</v>
      </c>
      <c r="S54">
        <v>1</v>
      </c>
      <c r="T54" s="1">
        <f>SQRT(POWER(Plank[[#This Row],[angvel_X]],2) + POWER(Plank[[#This Row],[angvel_Y]],2) + POWER(Plank[[#This Row],[angvel_Z]],2))</f>
        <v>0.47380643727159305</v>
      </c>
      <c r="U54" s="1">
        <f>DEGREES(ASIN(MAX(-1,MIN(1,2 * (Plank[[#This Row],[quart_W]]*Plank[[#This Row],[quart_Y]] - Plank[[#This Row],[quart_Z]]*Plank[[#This Row],[quart_X]])))))</f>
        <v>0.36421381954903348</v>
      </c>
      <c r="V5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-30.973851885980082</v>
      </c>
      <c r="W5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89.998384391158524</v>
      </c>
      <c r="X54" s="1">
        <f>IF(Plank[[#This Row],[Yaw]]&gt;V53,(360-ABS(Plank[[#This Row],[Yaw]])-ABS(V53)),ABS(Plank[[#This Row],[Yaw]]-V53))</f>
        <v>0.12433651139213353</v>
      </c>
      <c r="Y54" s="1">
        <f>Plank[[#This Row],[Degree change]]+Y53</f>
        <v>0.12433651139213353</v>
      </c>
    </row>
    <row r="55" spans="1:25">
      <c r="A55">
        <v>54</v>
      </c>
      <c r="B55" s="1">
        <v>342.36999500000002</v>
      </c>
      <c r="C55" s="1">
        <v>1949.219971</v>
      </c>
      <c r="D55" s="1">
        <v>18.639999</v>
      </c>
      <c r="E55" s="1">
        <v>-1204.48999</v>
      </c>
      <c r="F55" s="1">
        <v>1959.3599850000001</v>
      </c>
      <c r="G55" s="1">
        <v>8.1300000000000008</v>
      </c>
      <c r="H55" s="1">
        <v>-1.6000000000000001E-3</v>
      </c>
      <c r="I55" s="1">
        <v>2.5000000000000001E-3</v>
      </c>
      <c r="J55" s="1">
        <v>0.65700000000000003</v>
      </c>
      <c r="K55" s="1">
        <v>-2.7590000000000002E-3</v>
      </c>
      <c r="L55" s="1">
        <v>1.583E-3</v>
      </c>
      <c r="M55" s="1">
        <v>0.87121099999999996</v>
      </c>
      <c r="N55" s="1">
        <v>0.49089899999999997</v>
      </c>
      <c r="O55">
        <v>1</v>
      </c>
      <c r="P55">
        <v>0</v>
      </c>
      <c r="Q55">
        <v>1</v>
      </c>
      <c r="R55">
        <v>1</v>
      </c>
      <c r="S55">
        <v>1</v>
      </c>
      <c r="T55" s="1">
        <f>SQRT(POWER(Plank[[#This Row],[angvel_X]],2) + POWER(Plank[[#This Row],[angvel_Y]],2) + POWER(Plank[[#This Row],[angvel_Z]],2))</f>
        <v>0.65700670468420641</v>
      </c>
      <c r="U55" s="1">
        <f>DEGREES(ASIN(MAX(-1,MIN(1,2 * (Plank[[#This Row],[quart_W]]*Plank[[#This Row],[quart_Y]] - Plank[[#This Row],[quart_Z]]*Plank[[#This Row],[quart_X]])))))</f>
        <v>0.36449119459895246</v>
      </c>
      <c r="V5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-31.200352541275642</v>
      </c>
      <c r="W5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89.997165328830491</v>
      </c>
      <c r="X55" s="1">
        <f>IF(Plank[[#This Row],[Yaw]]&gt;V54,(360-ABS(Plank[[#This Row],[Yaw]])-ABS(V54)),ABS(Plank[[#This Row],[Yaw]]-V54))</f>
        <v>0.22650065529555974</v>
      </c>
      <c r="Y55" s="1">
        <f>Plank[[#This Row],[Degree change]]+Y54</f>
        <v>0.35083716668769327</v>
      </c>
    </row>
    <row r="56" spans="1:25">
      <c r="A56">
        <v>55</v>
      </c>
      <c r="B56" s="1">
        <v>332.29998799999998</v>
      </c>
      <c r="C56" s="1">
        <v>1965.6099850000001</v>
      </c>
      <c r="D56" s="1">
        <v>18.639999</v>
      </c>
      <c r="E56" s="1">
        <v>-1212.8199460000001</v>
      </c>
      <c r="F56" s="1">
        <v>1954.219971</v>
      </c>
      <c r="G56" s="1">
        <v>8.1300000000000008</v>
      </c>
      <c r="H56" s="1">
        <v>-1.6999999999999999E-3</v>
      </c>
      <c r="I56" s="1">
        <v>2.7000000000000001E-3</v>
      </c>
      <c r="J56" s="1">
        <v>0.81499999999999995</v>
      </c>
      <c r="K56" s="1">
        <v>-2.7590000000000002E-3</v>
      </c>
      <c r="L56" s="1">
        <v>1.5889999999999999E-3</v>
      </c>
      <c r="M56" s="1">
        <v>0.87255000000000005</v>
      </c>
      <c r="N56" s="1">
        <v>0.488514</v>
      </c>
      <c r="O56">
        <v>1</v>
      </c>
      <c r="P56">
        <v>0</v>
      </c>
      <c r="Q56">
        <v>1</v>
      </c>
      <c r="R56">
        <v>1</v>
      </c>
      <c r="S56">
        <v>1</v>
      </c>
      <c r="T56" s="1">
        <f>SQRT(POWER(Plank[[#This Row],[angvel_X]],2) + POWER(Plank[[#This Row],[angvel_Y]],2) + POWER(Plank[[#This Row],[angvel_Z]],2))</f>
        <v>0.81500624537484367</v>
      </c>
      <c r="U56" s="1">
        <f>DEGREES(ASIN(MAX(-1,MIN(1,2 * (Plank[[#This Row],[quart_W]]*Plank[[#This Row],[quart_Y]] - Plank[[#This Row],[quart_Z]]*Plank[[#This Row],[quart_X]])))))</f>
        <v>0.36481777913503982</v>
      </c>
      <c r="V5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-31.513738307235847</v>
      </c>
      <c r="W5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89.995568445560949</v>
      </c>
      <c r="X56" s="1">
        <f>IF(Plank[[#This Row],[Yaw]]&gt;V55,(360-ABS(Plank[[#This Row],[Yaw]])-ABS(V55)),ABS(Plank[[#This Row],[Yaw]]-V55))</f>
        <v>0.31338576596020573</v>
      </c>
      <c r="Y56" s="1">
        <f>Plank[[#This Row],[Degree change]]+Y55</f>
        <v>0.664222932647899</v>
      </c>
    </row>
    <row r="57" spans="1:25">
      <c r="A57">
        <v>56</v>
      </c>
      <c r="B57" s="1">
        <v>322.16000400000001</v>
      </c>
      <c r="C57" s="1">
        <v>1981.9499510000001</v>
      </c>
      <c r="D57" s="1">
        <v>18.639999</v>
      </c>
      <c r="E57" s="1">
        <v>-1221.929932</v>
      </c>
      <c r="F57" s="1">
        <v>1948.5399170000001</v>
      </c>
      <c r="G57" s="1">
        <v>8.1300000000000008</v>
      </c>
      <c r="H57" s="1">
        <v>-1.6999999999999999E-3</v>
      </c>
      <c r="I57" s="1">
        <v>2.5999999999999999E-3</v>
      </c>
      <c r="J57" s="1">
        <v>0.95150000000000001</v>
      </c>
      <c r="K57" s="1">
        <v>-2.7590000000000002E-3</v>
      </c>
      <c r="L57" s="1">
        <v>1.5889999999999999E-3</v>
      </c>
      <c r="M57" s="1">
        <v>0.87420500000000001</v>
      </c>
      <c r="N57" s="1">
        <v>0.48554700000000001</v>
      </c>
      <c r="O57">
        <v>1</v>
      </c>
      <c r="P57">
        <v>0</v>
      </c>
      <c r="Q57">
        <v>1</v>
      </c>
      <c r="R57">
        <v>1</v>
      </c>
      <c r="S57">
        <v>1</v>
      </c>
      <c r="T57" s="1">
        <f>SQRT(POWER(Plank[[#This Row],[angvel_X]],2) + POWER(Plank[[#This Row],[angvel_Y]],2) + POWER(Plank[[#This Row],[angvel_Z]],2))</f>
        <v>0.95150507092710757</v>
      </c>
      <c r="U57" s="1">
        <f>DEGREES(ASIN(MAX(-1,MIN(1,2 * (Plank[[#This Row],[quart_W]]*Plank[[#This Row],[quart_Y]] - Plank[[#This Row],[quart_Z]]*Plank[[#This Row],[quart_X]])))))</f>
        <v>0.36480077134028338</v>
      </c>
      <c r="V5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-31.903095160361129</v>
      </c>
      <c r="W5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89.994329027017287</v>
      </c>
      <c r="X57" s="1">
        <f>IF(Plank[[#This Row],[Yaw]]&gt;V56,(360-ABS(Plank[[#This Row],[Yaw]])-ABS(V56)),ABS(Plank[[#This Row],[Yaw]]-V56))</f>
        <v>0.38935685312528179</v>
      </c>
      <c r="Y57" s="1">
        <f>Plank[[#This Row],[Degree change]]+Y56</f>
        <v>1.0535797857731808</v>
      </c>
    </row>
    <row r="58" spans="1:25">
      <c r="A58">
        <v>57</v>
      </c>
      <c r="B58" s="1">
        <v>311.94000199999999</v>
      </c>
      <c r="C58" s="1">
        <v>1998.25</v>
      </c>
      <c r="D58" s="1">
        <v>18.639999</v>
      </c>
      <c r="E58" s="1">
        <v>-1232.049927</v>
      </c>
      <c r="F58" s="1">
        <v>1942.1499020000001</v>
      </c>
      <c r="G58" s="1">
        <v>8.1300000000000008</v>
      </c>
      <c r="H58" s="1">
        <v>-1.6000000000000001E-3</v>
      </c>
      <c r="I58" s="1">
        <v>2.3999999999999998E-3</v>
      </c>
      <c r="J58" s="1">
        <v>1.0698000000000001</v>
      </c>
      <c r="K58" s="1">
        <v>-2.7590000000000002E-3</v>
      </c>
      <c r="L58" s="1">
        <v>1.5889999999999999E-3</v>
      </c>
      <c r="M58" s="1">
        <v>0.87612199999999996</v>
      </c>
      <c r="N58" s="1">
        <v>0.48207800000000001</v>
      </c>
      <c r="O58">
        <v>1</v>
      </c>
      <c r="P58">
        <v>0</v>
      </c>
      <c r="Q58">
        <v>1</v>
      </c>
      <c r="R58">
        <v>1</v>
      </c>
      <c r="S58">
        <v>1</v>
      </c>
      <c r="T58" s="1">
        <f>SQRT(POWER(Plank[[#This Row],[angvel_X]],2) + POWER(Plank[[#This Row],[angvel_Y]],2) + POWER(Plank[[#This Row],[angvel_Z]],2))</f>
        <v>1.069803888570237</v>
      </c>
      <c r="U58" s="1">
        <f>DEGREES(ASIN(MAX(-1,MIN(1,2 * (Plank[[#This Row],[quart_W]]*Plank[[#This Row],[quart_Y]] - Plank[[#This Row],[quart_Z]]*Plank[[#This Row],[quart_X]])))))</f>
        <v>0.36477518963134725</v>
      </c>
      <c r="V5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-32.357215374516969</v>
      </c>
      <c r="W5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89.992883186396469</v>
      </c>
      <c r="X58" s="1">
        <f>IF(Plank[[#This Row],[Yaw]]&gt;V57,(360-ABS(Plank[[#This Row],[Yaw]])-ABS(V57)),ABS(Plank[[#This Row],[Yaw]]-V57))</f>
        <v>0.45412021415583936</v>
      </c>
      <c r="Y58" s="1">
        <f>Plank[[#This Row],[Degree change]]+Y57</f>
        <v>1.5076999999290202</v>
      </c>
    </row>
    <row r="59" spans="1:25">
      <c r="A59">
        <v>58</v>
      </c>
      <c r="B59" s="1">
        <v>301.63998400000003</v>
      </c>
      <c r="C59" s="1">
        <v>2014.48999</v>
      </c>
      <c r="D59" s="1">
        <v>18.639999</v>
      </c>
      <c r="E59" s="1">
        <v>-1243.309937</v>
      </c>
      <c r="F59" s="1">
        <v>1934.959961</v>
      </c>
      <c r="G59" s="1">
        <v>8.1300000000000008</v>
      </c>
      <c r="H59" s="1">
        <v>-1.4E-3</v>
      </c>
      <c r="I59" s="1">
        <v>2.0999999999999999E-3</v>
      </c>
      <c r="J59" s="1">
        <v>1.1726000000000001</v>
      </c>
      <c r="K59" s="1">
        <v>-2.7590000000000002E-3</v>
      </c>
      <c r="L59" s="1">
        <v>1.5889999999999999E-3</v>
      </c>
      <c r="M59" s="1">
        <v>0.87826300000000002</v>
      </c>
      <c r="N59" s="1">
        <v>0.47816700000000001</v>
      </c>
      <c r="O59">
        <v>1</v>
      </c>
      <c r="P59">
        <v>0</v>
      </c>
      <c r="Q59">
        <v>1</v>
      </c>
      <c r="R59">
        <v>1</v>
      </c>
      <c r="S59">
        <v>1</v>
      </c>
      <c r="T59" s="1">
        <f>SQRT(POWER(Plank[[#This Row],[angvel_X]],2) + POWER(Plank[[#This Row],[angvel_Y]],2) + POWER(Plank[[#This Row],[angvel_Z]],2))</f>
        <v>1.172602716183107</v>
      </c>
      <c r="U59" s="1">
        <f>DEGREES(ASIN(MAX(-1,MIN(1,2 * (Plank[[#This Row],[quart_W]]*Plank[[#This Row],[quart_Y]] - Plank[[#This Row],[quart_Z]]*Plank[[#This Row],[quart_X]])))))</f>
        <v>0.36473994513724772</v>
      </c>
      <c r="V5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-32.86818057096405</v>
      </c>
      <c r="W5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89.991256812982343</v>
      </c>
      <c r="X59" s="1">
        <f>IF(Plank[[#This Row],[Yaw]]&gt;V58,(360-ABS(Plank[[#This Row],[Yaw]])-ABS(V58)),ABS(Plank[[#This Row],[Yaw]]-V58))</f>
        <v>0.51096519644708138</v>
      </c>
      <c r="Y59" s="1">
        <f>Plank[[#This Row],[Degree change]]+Y58</f>
        <v>2.0186651963761015</v>
      </c>
    </row>
    <row r="60" spans="1:25">
      <c r="A60">
        <v>59</v>
      </c>
      <c r="B60" s="1">
        <v>291.23998999999998</v>
      </c>
      <c r="C60" s="1">
        <v>2030.669922</v>
      </c>
      <c r="D60" s="1">
        <v>18.639999</v>
      </c>
      <c r="E60" s="1">
        <v>-1255.7700199999999</v>
      </c>
      <c r="F60" s="1">
        <v>1926.8999020000001</v>
      </c>
      <c r="G60" s="1">
        <v>8.1300000000000008</v>
      </c>
      <c r="H60" s="1">
        <v>-1.1999999999999999E-3</v>
      </c>
      <c r="I60" s="1">
        <v>1.6999999999999999E-3</v>
      </c>
      <c r="J60" s="1">
        <v>1.2623</v>
      </c>
      <c r="K60" s="1">
        <v>-2.7650000000000001E-3</v>
      </c>
      <c r="L60" s="1">
        <v>1.583E-3</v>
      </c>
      <c r="M60" s="1">
        <v>0.88058800000000004</v>
      </c>
      <c r="N60" s="1">
        <v>0.47387299999999999</v>
      </c>
      <c r="O60">
        <v>1</v>
      </c>
      <c r="P60">
        <v>0</v>
      </c>
      <c r="Q60">
        <v>1</v>
      </c>
      <c r="R60">
        <v>1</v>
      </c>
      <c r="S60">
        <v>1</v>
      </c>
      <c r="T60" s="1">
        <f>SQRT(POWER(Plank[[#This Row],[angvel_X]],2) + POWER(Plank[[#This Row],[angvel_Y]],2) + POWER(Plank[[#This Row],[angvel_Z]],2))</f>
        <v>1.2623017151220226</v>
      </c>
      <c r="U60" s="1">
        <f>DEGREES(ASIN(MAX(-1,MIN(1,2 * (Plank[[#This Row],[quart_W]]*Plank[[#This Row],[quart_Y]] - Plank[[#This Row],[quart_Z]]*Plank[[#This Row],[quart_X]])))))</f>
        <v>0.36497277687301705</v>
      </c>
      <c r="V6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-33.427802968048326</v>
      </c>
      <c r="W6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89.990407121441876</v>
      </c>
      <c r="X60" s="1">
        <f>IF(Plank[[#This Row],[Yaw]]&gt;V59,(360-ABS(Plank[[#This Row],[Yaw]])-ABS(V59)),ABS(Plank[[#This Row],[Yaw]]-V59))</f>
        <v>0.55962239708427575</v>
      </c>
      <c r="Y60" s="1">
        <f>Plank[[#This Row],[Degree change]]+Y59</f>
        <v>2.5782875934603773</v>
      </c>
    </row>
    <row r="61" spans="1:25">
      <c r="A61">
        <v>60</v>
      </c>
      <c r="B61" s="1">
        <v>280.73998999999998</v>
      </c>
      <c r="C61" s="1">
        <v>2046.7799070000001</v>
      </c>
      <c r="D61" s="1">
        <v>18.639999</v>
      </c>
      <c r="E61" s="1">
        <v>-1269.4399410000001</v>
      </c>
      <c r="F61" s="1">
        <v>1917.919922</v>
      </c>
      <c r="G61" s="1">
        <v>8.1300000000000008</v>
      </c>
      <c r="H61" s="1">
        <v>-8.9999999999999998E-4</v>
      </c>
      <c r="I61" s="1">
        <v>1.2999999999999999E-3</v>
      </c>
      <c r="J61" s="1">
        <v>1.3409</v>
      </c>
      <c r="K61" s="1">
        <v>-2.7699999999999999E-3</v>
      </c>
      <c r="L61" s="1">
        <v>1.578E-3</v>
      </c>
      <c r="M61" s="1">
        <v>0.88306899999999999</v>
      </c>
      <c r="N61" s="1">
        <v>0.46923300000000001</v>
      </c>
      <c r="O61">
        <v>1</v>
      </c>
      <c r="P61">
        <v>0</v>
      </c>
      <c r="Q61">
        <v>1</v>
      </c>
      <c r="R61">
        <v>1</v>
      </c>
      <c r="S61">
        <v>1</v>
      </c>
      <c r="T61" s="1">
        <f>SQRT(POWER(Plank[[#This Row],[angvel_X]],2) + POWER(Plank[[#This Row],[angvel_Y]],2) + POWER(Plank[[#This Row],[angvel_Z]],2))</f>
        <v>1.3409009322093859</v>
      </c>
      <c r="U61" s="1">
        <f>DEGREES(ASIN(MAX(-1,MIN(1,2 * (Plank[[#This Row],[quart_W]]*Plank[[#This Row],[quart_Y]] - Plank[[#This Row],[quart_Z]]*Plank[[#This Row],[quart_X]])))))</f>
        <v>0.36515429645184683</v>
      </c>
      <c r="V6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-34.03073306658451</v>
      </c>
      <c r="W6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89.989261696550443</v>
      </c>
      <c r="X61" s="1">
        <f>IF(Plank[[#This Row],[Yaw]]&gt;V60,(360-ABS(Plank[[#This Row],[Yaw]])-ABS(V60)),ABS(Plank[[#This Row],[Yaw]]-V60))</f>
        <v>0.60293009853618429</v>
      </c>
      <c r="Y61" s="1">
        <f>Plank[[#This Row],[Degree change]]+Y60</f>
        <v>3.1812176919965616</v>
      </c>
    </row>
    <row r="62" spans="1:25">
      <c r="A62">
        <v>61</v>
      </c>
      <c r="B62" s="1">
        <v>270.11999500000002</v>
      </c>
      <c r="C62" s="1">
        <v>2062.820068</v>
      </c>
      <c r="D62" s="1">
        <v>18.639999</v>
      </c>
      <c r="E62" s="1">
        <v>-1284.299927</v>
      </c>
      <c r="F62" s="1">
        <v>1908</v>
      </c>
      <c r="G62" s="1">
        <v>8.1399989999999995</v>
      </c>
      <c r="H62" s="1">
        <v>-5.9999999999999995E-4</v>
      </c>
      <c r="I62" s="1">
        <v>8.9999999999999998E-4</v>
      </c>
      <c r="J62" s="1">
        <v>1.41</v>
      </c>
      <c r="K62" s="1">
        <v>-2.7759999999999998E-3</v>
      </c>
      <c r="L62" s="1">
        <v>1.567E-3</v>
      </c>
      <c r="M62" s="1">
        <v>0.88567700000000005</v>
      </c>
      <c r="N62" s="1">
        <v>0.46429100000000001</v>
      </c>
      <c r="O62">
        <v>1</v>
      </c>
      <c r="P62">
        <v>0</v>
      </c>
      <c r="Q62">
        <v>1</v>
      </c>
      <c r="R62">
        <v>1</v>
      </c>
      <c r="S62">
        <v>1</v>
      </c>
      <c r="T62" s="1">
        <f>SQRT(POWER(Plank[[#This Row],[angvel_X]],2) + POWER(Plank[[#This Row],[angvel_Y]],2) + POWER(Plank[[#This Row],[angvel_Z]],2))</f>
        <v>1.4100004148935559</v>
      </c>
      <c r="U62" s="1">
        <f>DEGREES(ASIN(MAX(-1,MIN(1,2 * (Plank[[#This Row],[quart_W]]*Plank[[#This Row],[quart_Y]] - Plank[[#This Row],[quart_Z]]*Plank[[#This Row],[quart_X]])))))</f>
        <v>0.36511218835547454</v>
      </c>
      <c r="V6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-34.671041352214068</v>
      </c>
      <c r="W6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89.988657033815258</v>
      </c>
      <c r="X62" s="1">
        <f>IF(Plank[[#This Row],[Yaw]]&gt;V61,(360-ABS(Plank[[#This Row],[Yaw]])-ABS(V61)),ABS(Plank[[#This Row],[Yaw]]-V61))</f>
        <v>0.64030828562955833</v>
      </c>
      <c r="Y62" s="1">
        <f>Plank[[#This Row],[Degree change]]+Y61</f>
        <v>3.8215259776261199</v>
      </c>
    </row>
    <row r="63" spans="1:25">
      <c r="A63">
        <v>62</v>
      </c>
      <c r="B63" s="1">
        <v>259.38000499999998</v>
      </c>
      <c r="C63" s="1">
        <v>2078.780029</v>
      </c>
      <c r="D63" s="1">
        <v>18.639999</v>
      </c>
      <c r="E63" s="1">
        <v>-1300.299927</v>
      </c>
      <c r="F63" s="1">
        <v>1897.130005</v>
      </c>
      <c r="G63" s="1">
        <v>8.1399989999999995</v>
      </c>
      <c r="H63" s="1">
        <v>-2.9999999999999997E-4</v>
      </c>
      <c r="I63" s="1">
        <v>5.0000000000000001E-4</v>
      </c>
      <c r="J63" s="1">
        <v>1.4709000000000001</v>
      </c>
      <c r="K63" s="1">
        <v>-2.7810000000000001E-3</v>
      </c>
      <c r="L63" s="1">
        <v>1.5560000000000001E-3</v>
      </c>
      <c r="M63" s="1">
        <v>0.88838899999999998</v>
      </c>
      <c r="N63" s="1">
        <v>0.45907999999999999</v>
      </c>
      <c r="O63">
        <v>1</v>
      </c>
      <c r="P63">
        <v>0</v>
      </c>
      <c r="Q63">
        <v>1</v>
      </c>
      <c r="R63">
        <v>1</v>
      </c>
      <c r="S63">
        <v>1</v>
      </c>
      <c r="T63" s="1">
        <f>SQRT(POWER(Plank[[#This Row],[angvel_X]],2) + POWER(Plank[[#This Row],[angvel_Y]],2) + POWER(Plank[[#This Row],[angvel_Z]],2))</f>
        <v>1.4709001155754935</v>
      </c>
      <c r="U63" s="1">
        <f>DEGREES(ASIN(MAX(-1,MIN(1,2 * (Plank[[#This Row],[quart_W]]*Plank[[#This Row],[quart_Y]] - Plank[[#This Row],[quart_Z]]*Plank[[#This Row],[quart_X]])))))</f>
        <v>0.36496951209326434</v>
      </c>
      <c r="V6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-35.344193620160517</v>
      </c>
      <c r="W6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89.987895241226994</v>
      </c>
      <c r="X63" s="1">
        <f>IF(Plank[[#This Row],[Yaw]]&gt;V62,(360-ABS(Plank[[#This Row],[Yaw]])-ABS(V62)),ABS(Plank[[#This Row],[Yaw]]-V62))</f>
        <v>0.673152267946449</v>
      </c>
      <c r="Y63" s="1">
        <f>Plank[[#This Row],[Degree change]]+Y62</f>
        <v>4.4946782455725689</v>
      </c>
    </row>
    <row r="64" spans="1:25">
      <c r="A64">
        <v>63</v>
      </c>
      <c r="B64" s="1">
        <v>248.5</v>
      </c>
      <c r="C64" s="1">
        <v>2094.6499020000001</v>
      </c>
      <c r="D64" s="1">
        <v>18.639999</v>
      </c>
      <c r="E64" s="1">
        <v>-1317.369995</v>
      </c>
      <c r="F64" s="1">
        <v>1885.3199460000001</v>
      </c>
      <c r="G64" s="1">
        <v>8.15</v>
      </c>
      <c r="H64" s="1">
        <v>0</v>
      </c>
      <c r="I64" s="1">
        <v>1E-4</v>
      </c>
      <c r="J64" s="1">
        <v>1.5248999999999999</v>
      </c>
      <c r="K64" s="1">
        <v>-2.7920000000000002E-3</v>
      </c>
      <c r="L64" s="1">
        <v>1.5399999999999999E-3</v>
      </c>
      <c r="M64" s="1">
        <v>0.89118600000000003</v>
      </c>
      <c r="N64" s="1">
        <v>0.45362599999999997</v>
      </c>
      <c r="O64">
        <v>1</v>
      </c>
      <c r="P64">
        <v>0</v>
      </c>
      <c r="Q64">
        <v>1</v>
      </c>
      <c r="R64">
        <v>1</v>
      </c>
      <c r="S64">
        <v>1</v>
      </c>
      <c r="T64" s="1">
        <f>SQRT(POWER(Plank[[#This Row],[angvel_X]],2) + POWER(Plank[[#This Row],[angvel_Y]],2) + POWER(Plank[[#This Row],[angvel_Z]],2))</f>
        <v>1.5249000032789033</v>
      </c>
      <c r="U64" s="1">
        <f>DEGREES(ASIN(MAX(-1,MIN(1,2 * (Plank[[#This Row],[quart_W]]*Plank[[#This Row],[quart_Y]] - Plank[[#This Row],[quart_Z]]*Plank[[#This Row],[quart_X]])))))</f>
        <v>0.36518002827985252</v>
      </c>
      <c r="V6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-36.046554976826037</v>
      </c>
      <c r="W6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89.987864203876185</v>
      </c>
      <c r="X64" s="1">
        <f>IF(Plank[[#This Row],[Yaw]]&gt;V63,(360-ABS(Plank[[#This Row],[Yaw]])-ABS(V63)),ABS(Plank[[#This Row],[Yaw]]-V63))</f>
        <v>0.70236135666552002</v>
      </c>
      <c r="Y64" s="1">
        <f>Plank[[#This Row],[Degree change]]+Y63</f>
        <v>5.1970396022380889</v>
      </c>
    </row>
    <row r="65" spans="1:25">
      <c r="A65">
        <v>64</v>
      </c>
      <c r="B65" s="1">
        <v>237.479996</v>
      </c>
      <c r="C65" s="1">
        <v>2110.419922</v>
      </c>
      <c r="D65" s="1">
        <v>18.639999</v>
      </c>
      <c r="E65" s="1">
        <v>-1335.429932</v>
      </c>
      <c r="F65" s="1">
        <v>1872.5699460000001</v>
      </c>
      <c r="G65" s="1">
        <v>8.15</v>
      </c>
      <c r="H65" s="1">
        <v>2.0000000000000001E-4</v>
      </c>
      <c r="I65" s="1">
        <v>-1E-4</v>
      </c>
      <c r="J65" s="1">
        <v>1.5728</v>
      </c>
      <c r="K65" s="1">
        <v>-2.8029999999999999E-3</v>
      </c>
      <c r="L65" s="1">
        <v>1.524E-3</v>
      </c>
      <c r="M65" s="1">
        <v>0.89405000000000001</v>
      </c>
      <c r="N65" s="1">
        <v>0.44795600000000002</v>
      </c>
      <c r="O65">
        <v>1</v>
      </c>
      <c r="P65">
        <v>0</v>
      </c>
      <c r="Q65">
        <v>1</v>
      </c>
      <c r="R65">
        <v>1</v>
      </c>
      <c r="S65">
        <v>1</v>
      </c>
      <c r="T65" s="1">
        <f>SQRT(POWER(Plank[[#This Row],[angvel_X]],2) + POWER(Plank[[#This Row],[angvel_Y]],2) + POWER(Plank[[#This Row],[angvel_Z]],2))</f>
        <v>1.5728000158952187</v>
      </c>
      <c r="U65" s="1">
        <f>DEGREES(ASIN(MAX(-1,MIN(1,2 * (Plank[[#This Row],[quart_W]]*Plank[[#This Row],[quart_Y]] - Plank[[#This Row],[quart_Z]]*Plank[[#This Row],[quart_X]])))))</f>
        <v>0.36540139410621836</v>
      </c>
      <c r="V6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-36.774521824626142</v>
      </c>
      <c r="W6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89.987748591633363</v>
      </c>
      <c r="X65" s="1">
        <f>IF(Plank[[#This Row],[Yaw]]&gt;V64,(360-ABS(Plank[[#This Row],[Yaw]])-ABS(V64)),ABS(Plank[[#This Row],[Yaw]]-V64))</f>
        <v>0.72796684780010423</v>
      </c>
      <c r="Y65" s="1">
        <f>Plank[[#This Row],[Degree change]]+Y64</f>
        <v>5.9250064500381932</v>
      </c>
    </row>
    <row r="66" spans="1:25">
      <c r="A66">
        <v>65</v>
      </c>
      <c r="B66" s="1">
        <v>226.30999800000001</v>
      </c>
      <c r="C66" s="1">
        <v>2126.0798340000001</v>
      </c>
      <c r="D66" s="1">
        <v>18.639999</v>
      </c>
      <c r="E66" s="1">
        <v>-1354.3900149999999</v>
      </c>
      <c r="F66" s="1">
        <v>1858.8999020000001</v>
      </c>
      <c r="G66" s="1">
        <v>8.15</v>
      </c>
      <c r="H66" s="1">
        <v>4.0000000000000002E-4</v>
      </c>
      <c r="I66" s="1">
        <v>-2.9999999999999997E-4</v>
      </c>
      <c r="J66" s="1">
        <v>1.6154999999999999</v>
      </c>
      <c r="K66" s="1">
        <v>-2.813E-3</v>
      </c>
      <c r="L66" s="1">
        <v>1.5020000000000001E-3</v>
      </c>
      <c r="M66" s="1">
        <v>0.89696699999999996</v>
      </c>
      <c r="N66" s="1">
        <v>0.44208599999999998</v>
      </c>
      <c r="O66">
        <v>1</v>
      </c>
      <c r="P66">
        <v>0</v>
      </c>
      <c r="Q66">
        <v>1</v>
      </c>
      <c r="R66">
        <v>1</v>
      </c>
      <c r="S66">
        <v>1</v>
      </c>
      <c r="T66" s="1">
        <f>SQRT(POWER(Plank[[#This Row],[angvel_X]],2) + POWER(Plank[[#This Row],[angvel_Y]],2) + POWER(Plank[[#This Row],[angvel_Z]],2))</f>
        <v>1.6155000773754236</v>
      </c>
      <c r="U66" s="1">
        <f>DEGREES(ASIN(MAX(-1,MIN(1,2 * (Plank[[#This Row],[quart_W]]*Plank[[#This Row],[quart_Y]] - Plank[[#This Row],[quart_Z]]*Plank[[#This Row],[quart_X]])))))</f>
        <v>0.36522655236657731</v>
      </c>
      <c r="V6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-37.525646518173225</v>
      </c>
      <c r="W6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89.9881215968162</v>
      </c>
      <c r="X66" s="1">
        <f>IF(Plank[[#This Row],[Yaw]]&gt;V65,(360-ABS(Plank[[#This Row],[Yaw]])-ABS(V65)),ABS(Plank[[#This Row],[Yaw]]-V65))</f>
        <v>0.75112469354708367</v>
      </c>
      <c r="Y66" s="1">
        <f>Plank[[#This Row],[Degree change]]+Y65</f>
        <v>6.6761311435852768</v>
      </c>
    </row>
    <row r="67" spans="1:25">
      <c r="A67">
        <v>66</v>
      </c>
      <c r="B67" s="1">
        <v>214.979996</v>
      </c>
      <c r="C67" s="1">
        <v>2141.6298830000001</v>
      </c>
      <c r="D67" s="1">
        <v>18.639999</v>
      </c>
      <c r="E67" s="1">
        <v>-1374.179932</v>
      </c>
      <c r="F67" s="1">
        <v>1844.329956</v>
      </c>
      <c r="G67" s="1">
        <v>8.16</v>
      </c>
      <c r="H67" s="1">
        <v>5.0000000000000001E-4</v>
      </c>
      <c r="I67" s="1">
        <v>-5.0000000000000001E-4</v>
      </c>
      <c r="J67" s="1">
        <v>1.6536999999999999</v>
      </c>
      <c r="K67" s="1">
        <v>-2.8240000000000001E-3</v>
      </c>
      <c r="L67" s="1">
        <v>1.4809999999999999E-3</v>
      </c>
      <c r="M67" s="1">
        <v>0.899922</v>
      </c>
      <c r="N67" s="1">
        <v>0.43603900000000001</v>
      </c>
      <c r="O67">
        <v>1</v>
      </c>
      <c r="P67">
        <v>0</v>
      </c>
      <c r="Q67">
        <v>1</v>
      </c>
      <c r="R67">
        <v>1</v>
      </c>
      <c r="S67">
        <v>1</v>
      </c>
      <c r="T67" s="1">
        <f>SQRT(POWER(Plank[[#This Row],[angvel_X]],2) + POWER(Plank[[#This Row],[angvel_Y]],2) + POWER(Plank[[#This Row],[angvel_Z]],2))</f>
        <v>1.6537001511761436</v>
      </c>
      <c r="U67" s="1">
        <f>DEGREES(ASIN(MAX(-1,MIN(1,2 * (Plank[[#This Row],[quart_W]]*Plank[[#This Row],[quart_Y]] - Plank[[#This Row],[quart_Z]]*Plank[[#This Row],[quart_X]])))))</f>
        <v>0.36522336023925689</v>
      </c>
      <c r="V6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-38.296888027110285</v>
      </c>
      <c r="W6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89.988378994177225</v>
      </c>
      <c r="X67" s="1">
        <f>IF(Plank[[#This Row],[Yaw]]&gt;V66,(360-ABS(Plank[[#This Row],[Yaw]])-ABS(V66)),ABS(Plank[[#This Row],[Yaw]]-V66))</f>
        <v>0.77124150893705945</v>
      </c>
      <c r="Y67" s="1">
        <f>Plank[[#This Row],[Degree change]]+Y66</f>
        <v>7.4473726525223363</v>
      </c>
    </row>
    <row r="68" spans="1:25">
      <c r="A68">
        <v>67</v>
      </c>
      <c r="B68" s="1">
        <v>203.48999000000001</v>
      </c>
      <c r="C68" s="1">
        <v>2157.0500489999999</v>
      </c>
      <c r="D68" s="1">
        <v>18.639999</v>
      </c>
      <c r="E68" s="1">
        <v>-1394.6899410000001</v>
      </c>
      <c r="F68" s="1">
        <v>1828.8599850000001</v>
      </c>
      <c r="G68" s="1">
        <v>8.16</v>
      </c>
      <c r="H68" s="1">
        <v>5.9999999999999995E-4</v>
      </c>
      <c r="I68" s="1">
        <v>-6.9999999999999999E-4</v>
      </c>
      <c r="J68" s="1">
        <v>1.6879999999999999</v>
      </c>
      <c r="K68" s="1">
        <v>-2.8349999999999998E-3</v>
      </c>
      <c r="L68" s="1">
        <v>1.459E-3</v>
      </c>
      <c r="M68" s="1">
        <v>0.90290400000000004</v>
      </c>
      <c r="N68" s="1">
        <v>0.42982900000000002</v>
      </c>
      <c r="O68">
        <v>1</v>
      </c>
      <c r="P68">
        <v>0</v>
      </c>
      <c r="Q68">
        <v>1</v>
      </c>
      <c r="R68">
        <v>1</v>
      </c>
      <c r="S68">
        <v>1</v>
      </c>
      <c r="T68" s="1">
        <f>SQRT(POWER(Plank[[#This Row],[angvel_X]],2) + POWER(Plank[[#This Row],[angvel_Y]],2) + POWER(Plank[[#This Row],[angvel_Z]],2))</f>
        <v>1.6880002517772323</v>
      </c>
      <c r="U68" s="1">
        <f>DEGREES(ASIN(MAX(-1,MIN(1,2 * (Plank[[#This Row],[quart_W]]*Plank[[#This Row],[quart_Y]] - Plank[[#This Row],[quart_Z]]*Plank[[#This Row],[quart_X]])))))</f>
        <v>0.36518896648841592</v>
      </c>
      <c r="V6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-39.086253330209288</v>
      </c>
      <c r="W6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89.988681364521781</v>
      </c>
      <c r="X68" s="1">
        <f>IF(Plank[[#This Row],[Yaw]]&gt;V67,(360-ABS(Plank[[#This Row],[Yaw]])-ABS(V67)),ABS(Plank[[#This Row],[Yaw]]-V67))</f>
        <v>0.78936530309900377</v>
      </c>
      <c r="Y68" s="1">
        <f>Plank[[#This Row],[Degree change]]+Y67</f>
        <v>8.23673795562134</v>
      </c>
    </row>
    <row r="69" spans="1:25">
      <c r="A69">
        <v>68</v>
      </c>
      <c r="B69" s="1">
        <v>191.81999200000001</v>
      </c>
      <c r="C69" s="1">
        <v>2172.3398440000001</v>
      </c>
      <c r="D69" s="1">
        <v>18.639999</v>
      </c>
      <c r="E69" s="1">
        <v>-1415.849976</v>
      </c>
      <c r="F69" s="1">
        <v>1812.5299070000001</v>
      </c>
      <c r="G69" s="1">
        <v>8.16</v>
      </c>
      <c r="H69" s="1">
        <v>6.9999999999999999E-4</v>
      </c>
      <c r="I69" s="1">
        <v>-8.0000000000000004E-4</v>
      </c>
      <c r="J69" s="1">
        <v>1.7188000000000001</v>
      </c>
      <c r="K69" s="1">
        <v>-2.846E-3</v>
      </c>
      <c r="L69" s="1">
        <v>1.438E-3</v>
      </c>
      <c r="M69" s="1">
        <v>0.90590499999999996</v>
      </c>
      <c r="N69" s="1">
        <v>0.42346899999999998</v>
      </c>
      <c r="O69">
        <v>1</v>
      </c>
      <c r="P69">
        <v>0</v>
      </c>
      <c r="Q69">
        <v>1</v>
      </c>
      <c r="R69">
        <v>1</v>
      </c>
      <c r="S69">
        <v>1</v>
      </c>
      <c r="T69" s="1">
        <f>SQRT(POWER(Plank[[#This Row],[angvel_X]],2) + POWER(Plank[[#This Row],[angvel_Y]],2) + POWER(Plank[[#This Row],[angvel_Z]],2))</f>
        <v>1.7188003287176787</v>
      </c>
      <c r="U69" s="1">
        <f>DEGREES(ASIN(MAX(-1,MIN(1,2 * (Plank[[#This Row],[quart_W]]*Plank[[#This Row],[quart_Y]] - Plank[[#This Row],[quart_Z]]*Plank[[#This Row],[quart_X]])))))</f>
        <v>0.36522342498480309</v>
      </c>
      <c r="V6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-39.892176412665435</v>
      </c>
      <c r="W6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89.988827254532168</v>
      </c>
      <c r="X69" s="1">
        <f>IF(Plank[[#This Row],[Yaw]]&gt;V68,(360-ABS(Plank[[#This Row],[Yaw]])-ABS(V68)),ABS(Plank[[#This Row],[Yaw]]-V68))</f>
        <v>0.80592308245614674</v>
      </c>
      <c r="Y69" s="1">
        <f>Plank[[#This Row],[Degree change]]+Y68</f>
        <v>9.0426610380774868</v>
      </c>
    </row>
    <row r="70" spans="1:25">
      <c r="A70">
        <v>69</v>
      </c>
      <c r="B70" s="1">
        <v>179.979996</v>
      </c>
      <c r="C70" s="1">
        <v>2187.5</v>
      </c>
      <c r="D70" s="1">
        <v>18.639999</v>
      </c>
      <c r="E70" s="1">
        <v>-1437.5699460000001</v>
      </c>
      <c r="F70" s="1">
        <v>1795.349976</v>
      </c>
      <c r="G70" s="1">
        <v>8.16</v>
      </c>
      <c r="H70" s="1">
        <v>8.0000000000000004E-4</v>
      </c>
      <c r="I70" s="1">
        <v>-8.9999999999999998E-4</v>
      </c>
      <c r="J70" s="1">
        <v>1.7464999999999999</v>
      </c>
      <c r="K70" s="1">
        <v>-2.8570000000000002E-3</v>
      </c>
      <c r="L70" s="1">
        <v>1.4109999999999999E-3</v>
      </c>
      <c r="M70" s="1">
        <v>0.90891599999999995</v>
      </c>
      <c r="N70" s="1">
        <v>0.41696800000000001</v>
      </c>
      <c r="O70">
        <v>1</v>
      </c>
      <c r="P70">
        <v>0</v>
      </c>
      <c r="Q70">
        <v>1</v>
      </c>
      <c r="R70">
        <v>1</v>
      </c>
      <c r="S70">
        <v>1</v>
      </c>
      <c r="T70" s="1">
        <f>SQRT(POWER(Plank[[#This Row],[angvel_X]],2) + POWER(Plank[[#This Row],[angvel_Y]],2) + POWER(Plank[[#This Row],[angvel_Z]],2))</f>
        <v>1.7465004151158967</v>
      </c>
      <c r="U70" s="1">
        <f>DEGREES(ASIN(MAX(-1,MIN(1,2 * (Plank[[#This Row],[quart_W]]*Plank[[#This Row],[quart_Y]] - Plank[[#This Row],[quart_Z]]*Plank[[#This Row],[quart_X]])))))</f>
        <v>0.36498974604995987</v>
      </c>
      <c r="V7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-40.713195303241079</v>
      </c>
      <c r="W7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89.989548705385488</v>
      </c>
      <c r="X70" s="1">
        <f>IF(Plank[[#This Row],[Yaw]]&gt;V69,(360-ABS(Plank[[#This Row],[Yaw]])-ABS(V69)),ABS(Plank[[#This Row],[Yaw]]-V69))</f>
        <v>0.82101889057564392</v>
      </c>
      <c r="Y70" s="1">
        <f>Plank[[#This Row],[Degree change]]+Y69</f>
        <v>9.8636799286531307</v>
      </c>
    </row>
    <row r="71" spans="1:25">
      <c r="A71">
        <v>70</v>
      </c>
      <c r="B71" s="1">
        <v>167.959991</v>
      </c>
      <c r="C71" s="1">
        <v>2202.51001</v>
      </c>
      <c r="D71" s="1">
        <v>18.639999</v>
      </c>
      <c r="E71" s="1">
        <v>-1459.7799070000001</v>
      </c>
      <c r="F71" s="1">
        <v>1777.339966</v>
      </c>
      <c r="G71" s="1">
        <v>8.16</v>
      </c>
      <c r="H71" s="1">
        <v>8.0000000000000004E-4</v>
      </c>
      <c r="I71" s="1">
        <v>-1E-3</v>
      </c>
      <c r="J71" s="1">
        <v>1.7715000000000001</v>
      </c>
      <c r="K71" s="1">
        <v>-2.8670000000000002E-3</v>
      </c>
      <c r="L71" s="1">
        <v>1.384E-3</v>
      </c>
      <c r="M71" s="1">
        <v>0.91192499999999999</v>
      </c>
      <c r="N71" s="1">
        <v>0.41034300000000001</v>
      </c>
      <c r="O71">
        <v>1</v>
      </c>
      <c r="P71">
        <v>0</v>
      </c>
      <c r="Q71">
        <v>1</v>
      </c>
      <c r="R71">
        <v>1</v>
      </c>
      <c r="S71">
        <v>1</v>
      </c>
      <c r="T71" s="1">
        <f>SQRT(POWER(Plank[[#This Row],[angvel_X]],2) + POWER(Plank[[#This Row],[angvel_Y]],2) + POWER(Plank[[#This Row],[angvel_Z]],2))</f>
        <v>1.7715004628845008</v>
      </c>
      <c r="U71" s="1">
        <f>DEGREES(ASIN(MAX(-1,MIN(1,2 * (Plank[[#This Row],[quart_W]]*Plank[[#This Row],[quart_Y]] - Plank[[#This Row],[quart_Z]]*Plank[[#This Row],[quart_X]])))))</f>
        <v>0.36467906221065244</v>
      </c>
      <c r="V7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-41.546915247596282</v>
      </c>
      <c r="W7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89.990184940260832</v>
      </c>
      <c r="X71" s="1">
        <f>IF(Plank[[#This Row],[Yaw]]&gt;V70,(360-ABS(Plank[[#This Row],[Yaw]])-ABS(V70)),ABS(Plank[[#This Row],[Yaw]]-V70))</f>
        <v>0.83371994435520236</v>
      </c>
      <c r="Y71" s="1">
        <f>Plank[[#This Row],[Degree change]]+Y70</f>
        <v>10.697399873008333</v>
      </c>
    </row>
    <row r="72" spans="1:25">
      <c r="A72">
        <v>71</v>
      </c>
      <c r="B72" s="1">
        <v>155.75</v>
      </c>
      <c r="C72" s="1">
        <v>2217.3698730000001</v>
      </c>
      <c r="D72" s="1">
        <v>18.639999</v>
      </c>
      <c r="E72" s="1">
        <v>-1482.3900149999999</v>
      </c>
      <c r="F72" s="1">
        <v>1758.5299070000001</v>
      </c>
      <c r="G72" s="1">
        <v>8.16</v>
      </c>
      <c r="H72" s="1">
        <v>8.0000000000000004E-4</v>
      </c>
      <c r="I72" s="1">
        <v>-1E-3</v>
      </c>
      <c r="J72" s="1">
        <v>1.7941</v>
      </c>
      <c r="K72" s="1">
        <v>-2.8779999999999999E-3</v>
      </c>
      <c r="L72" s="1">
        <v>1.3569999999999999E-3</v>
      </c>
      <c r="M72" s="1">
        <v>0.91493000000000002</v>
      </c>
      <c r="N72" s="1">
        <v>0.40360000000000001</v>
      </c>
      <c r="O72">
        <v>1</v>
      </c>
      <c r="P72">
        <v>0</v>
      </c>
      <c r="Q72">
        <v>1</v>
      </c>
      <c r="R72">
        <v>1</v>
      </c>
      <c r="S72">
        <v>1</v>
      </c>
      <c r="T72" s="1">
        <f>SQRT(POWER(Plank[[#This Row],[angvel_X]],2) + POWER(Plank[[#This Row],[angvel_Y]],2) + POWER(Plank[[#This Row],[angvel_Z]],2))</f>
        <v>1.7941004570536176</v>
      </c>
      <c r="U72" s="1">
        <f>DEGREES(ASIN(MAX(-1,MIN(1,2 * (Plank[[#This Row],[quart_W]]*Plank[[#This Row],[quart_Y]] - Plank[[#This Row],[quart_Z]]*Plank[[#This Row],[quart_X]])))))</f>
        <v>0.36450144777158089</v>
      </c>
      <c r="V7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-42.392921247465047</v>
      </c>
      <c r="W7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89.990832580255457</v>
      </c>
      <c r="X72" s="1">
        <f>IF(Plank[[#This Row],[Yaw]]&gt;V71,(360-ABS(Plank[[#This Row],[Yaw]])-ABS(V71)),ABS(Plank[[#This Row],[Yaw]]-V71))</f>
        <v>0.84600599986876546</v>
      </c>
      <c r="Y72" s="1">
        <f>Plank[[#This Row],[Degree change]]+Y71</f>
        <v>11.543405872877099</v>
      </c>
    </row>
    <row r="73" spans="1:25">
      <c r="A73">
        <v>72</v>
      </c>
      <c r="B73" s="1">
        <v>143.34999099999999</v>
      </c>
      <c r="C73" s="1">
        <v>2232.0798340000001</v>
      </c>
      <c r="D73" s="1">
        <v>18.639999</v>
      </c>
      <c r="E73" s="1">
        <v>-1505.339966</v>
      </c>
      <c r="F73" s="1">
        <v>1738.919922</v>
      </c>
      <c r="G73" s="1">
        <v>8.16</v>
      </c>
      <c r="H73" s="1">
        <v>8.0000000000000004E-4</v>
      </c>
      <c r="I73" s="1">
        <v>-1E-3</v>
      </c>
      <c r="J73" s="1">
        <v>1.8146</v>
      </c>
      <c r="K73" s="1">
        <v>-2.8890000000000001E-3</v>
      </c>
      <c r="L73" s="1">
        <v>1.33E-3</v>
      </c>
      <c r="M73" s="1">
        <v>0.91792200000000002</v>
      </c>
      <c r="N73" s="1">
        <v>0.39674799999999999</v>
      </c>
      <c r="O73">
        <v>1</v>
      </c>
      <c r="P73">
        <v>0</v>
      </c>
      <c r="Q73">
        <v>1</v>
      </c>
      <c r="R73">
        <v>1</v>
      </c>
      <c r="S73">
        <v>1</v>
      </c>
      <c r="T73" s="1">
        <f>SQRT(POWER(Plank[[#This Row],[angvel_X]],2) + POWER(Plank[[#This Row],[angvel_Y]],2) + POWER(Plank[[#This Row],[angvel_Z]],2))</f>
        <v>1.8146004518901673</v>
      </c>
      <c r="U73" s="1">
        <f>DEGREES(ASIN(MAX(-1,MIN(1,2 * (Plank[[#This Row],[quart_W]]*Plank[[#This Row],[quart_Y]] - Plank[[#This Row],[quart_Z]]*Plank[[#This Row],[quart_X]])))))</f>
        <v>0.36435221881203045</v>
      </c>
      <c r="V7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-43.249695250569957</v>
      </c>
      <c r="W7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89.991447711402898</v>
      </c>
      <c r="X73" s="1">
        <f>IF(Plank[[#This Row],[Yaw]]&gt;V72,(360-ABS(Plank[[#This Row],[Yaw]])-ABS(V72)),ABS(Plank[[#This Row],[Yaw]]-V72))</f>
        <v>0.85677400310490981</v>
      </c>
      <c r="Y73" s="1">
        <f>Plank[[#This Row],[Degree change]]+Y72</f>
        <v>12.400179875982008</v>
      </c>
    </row>
    <row r="74" spans="1:25">
      <c r="A74">
        <v>73</v>
      </c>
      <c r="B74" s="1">
        <v>130.759995</v>
      </c>
      <c r="C74" s="1">
        <v>2246.6198730000001</v>
      </c>
      <c r="D74" s="1">
        <v>18.639999</v>
      </c>
      <c r="E74" s="1">
        <v>-1528.559937</v>
      </c>
      <c r="F74" s="1">
        <v>1718.549927</v>
      </c>
      <c r="G74" s="1">
        <v>8.17</v>
      </c>
      <c r="H74" s="1">
        <v>8.0000000000000004E-4</v>
      </c>
      <c r="I74" s="1">
        <v>-1E-3</v>
      </c>
      <c r="J74" s="1">
        <v>1.8331999999999999</v>
      </c>
      <c r="K74" s="1">
        <v>-2.8999999999999998E-3</v>
      </c>
      <c r="L74" s="1">
        <v>1.3029999999999999E-3</v>
      </c>
      <c r="M74" s="1">
        <v>0.92089600000000005</v>
      </c>
      <c r="N74" s="1">
        <v>0.38979399999999997</v>
      </c>
      <c r="O74">
        <v>1</v>
      </c>
      <c r="P74">
        <v>0</v>
      </c>
      <c r="Q74">
        <v>1</v>
      </c>
      <c r="R74">
        <v>1</v>
      </c>
      <c r="S74">
        <v>1</v>
      </c>
      <c r="T74" s="1">
        <f>SQRT(POWER(Plank[[#This Row],[angvel_X]],2) + POWER(Plank[[#This Row],[angvel_Y]],2) + POWER(Plank[[#This Row],[angvel_Z]],2))</f>
        <v>1.8332004473052039</v>
      </c>
      <c r="U74" s="1">
        <f>DEGREES(ASIN(MAX(-1,MIN(1,2 * (Plank[[#This Row],[quart_W]]*Plank[[#This Row],[quart_Y]] - Plank[[#This Row],[quart_Z]]*Plank[[#This Row],[quart_X]])))))</f>
        <v>0.36423172151868427</v>
      </c>
      <c r="V7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-44.116344938796701</v>
      </c>
      <c r="W7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89.992032873683925</v>
      </c>
      <c r="X74" s="1">
        <f>IF(Plank[[#This Row],[Yaw]]&gt;V73,(360-ABS(Plank[[#This Row],[Yaw]])-ABS(V73)),ABS(Plank[[#This Row],[Yaw]]-V73))</f>
        <v>0.86664968822674382</v>
      </c>
      <c r="Y74" s="1">
        <f>Plank[[#This Row],[Degree change]]+Y73</f>
        <v>13.266829564208752</v>
      </c>
    </row>
    <row r="75" spans="1:25">
      <c r="A75">
        <v>74</v>
      </c>
      <c r="B75" s="1">
        <v>117.969994</v>
      </c>
      <c r="C75" s="1">
        <v>2260.98999</v>
      </c>
      <c r="D75" s="1">
        <v>18.639999</v>
      </c>
      <c r="E75" s="1">
        <v>-1551.9799800000001</v>
      </c>
      <c r="F75" s="1">
        <v>1697.429932</v>
      </c>
      <c r="G75" s="1">
        <v>8.17</v>
      </c>
      <c r="H75" s="1">
        <v>8.0000000000000004E-4</v>
      </c>
      <c r="I75" s="1">
        <v>-1E-3</v>
      </c>
      <c r="J75" s="1">
        <v>1.8501000000000001</v>
      </c>
      <c r="K75" s="1">
        <v>-2.911E-3</v>
      </c>
      <c r="L75" s="1">
        <v>1.276E-3</v>
      </c>
      <c r="M75" s="1">
        <v>0.92384699999999997</v>
      </c>
      <c r="N75" s="1">
        <v>0.38274900000000001</v>
      </c>
      <c r="O75">
        <v>1</v>
      </c>
      <c r="P75">
        <v>0</v>
      </c>
      <c r="Q75">
        <v>1</v>
      </c>
      <c r="R75">
        <v>1</v>
      </c>
      <c r="S75">
        <v>1</v>
      </c>
      <c r="T75" s="1">
        <f>SQRT(POWER(Plank[[#This Row],[angvel_X]],2) + POWER(Plank[[#This Row],[angvel_Y]],2) + POWER(Plank[[#This Row],[angvel_Z]],2))</f>
        <v>1.8501004432192325</v>
      </c>
      <c r="U75" s="1">
        <f>DEGREES(ASIN(MAX(-1,MIN(1,2 * (Plank[[#This Row],[quart_W]]*Plank[[#This Row],[quart_Y]] - Plank[[#This Row],[quart_Z]]*Plank[[#This Row],[quart_X]])))))</f>
        <v>0.36414077512198956</v>
      </c>
      <c r="V7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-44.991662540971632</v>
      </c>
      <c r="W7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89.992591914823933</v>
      </c>
      <c r="X75" s="1">
        <f>IF(Plank[[#This Row],[Yaw]]&gt;V74,(360-ABS(Plank[[#This Row],[Yaw]])-ABS(V74)),ABS(Plank[[#This Row],[Yaw]]-V74))</f>
        <v>0.87531760217493115</v>
      </c>
      <c r="Y75" s="1">
        <f>Plank[[#This Row],[Degree change]]+Y74</f>
        <v>14.142147166383683</v>
      </c>
    </row>
    <row r="76" spans="1:25">
      <c r="A76">
        <v>75</v>
      </c>
      <c r="B76" s="1">
        <v>104.989998</v>
      </c>
      <c r="C76" s="1">
        <v>2275.179932</v>
      </c>
      <c r="D76" s="1">
        <v>18.639999</v>
      </c>
      <c r="E76" s="1">
        <v>-1575.5399170000001</v>
      </c>
      <c r="F76" s="1">
        <v>1675.579956</v>
      </c>
      <c r="G76" s="1">
        <v>8.17</v>
      </c>
      <c r="H76" s="1">
        <v>6.9999999999999999E-4</v>
      </c>
      <c r="I76" s="1">
        <v>-1E-3</v>
      </c>
      <c r="J76" s="1">
        <v>1.8654999999999999</v>
      </c>
      <c r="K76" s="1">
        <v>-2.921E-3</v>
      </c>
      <c r="L76" s="1">
        <v>1.2489999999999999E-3</v>
      </c>
      <c r="M76" s="1">
        <v>0.92676999999999998</v>
      </c>
      <c r="N76" s="1">
        <v>0.37561699999999998</v>
      </c>
      <c r="O76">
        <v>1</v>
      </c>
      <c r="P76">
        <v>0</v>
      </c>
      <c r="Q76">
        <v>1</v>
      </c>
      <c r="R76">
        <v>1</v>
      </c>
      <c r="S76">
        <v>1</v>
      </c>
      <c r="T76" s="1">
        <f>SQRT(POWER(Plank[[#This Row],[angvel_X]],2) + POWER(Plank[[#This Row],[angvel_Y]],2) + POWER(Plank[[#This Row],[angvel_Z]],2))</f>
        <v>1.8655003993566981</v>
      </c>
      <c r="U76" s="1">
        <f>DEGREES(ASIN(MAX(-1,MIN(1,2 * (Plank[[#This Row],[quart_W]]*Plank[[#This Row],[quart_Y]] - Plank[[#This Row],[quart_Z]]*Plank[[#This Row],[quart_X]])))))</f>
        <v>0.3639728334475984</v>
      </c>
      <c r="V7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-45.874936957779887</v>
      </c>
      <c r="W7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89.993083288901843</v>
      </c>
      <c r="X76" s="1">
        <f>IF(Plank[[#This Row],[Yaw]]&gt;V75,(360-ABS(Plank[[#This Row],[Yaw]])-ABS(V75)),ABS(Plank[[#This Row],[Yaw]]-V75))</f>
        <v>0.88327441680825558</v>
      </c>
      <c r="Y76" s="1">
        <f>Plank[[#This Row],[Degree change]]+Y75</f>
        <v>15.025421583191939</v>
      </c>
    </row>
    <row r="77" spans="1:25">
      <c r="A77">
        <v>76</v>
      </c>
      <c r="B77" s="1">
        <v>91.809997999999993</v>
      </c>
      <c r="C77" s="1">
        <v>2289.1899410000001</v>
      </c>
      <c r="D77" s="1">
        <v>18.639999</v>
      </c>
      <c r="E77" s="1">
        <v>-1599.1899410000001</v>
      </c>
      <c r="F77" s="1">
        <v>1653.0200199999999</v>
      </c>
      <c r="G77" s="1">
        <v>8.17</v>
      </c>
      <c r="H77" s="1">
        <v>6.9999999999999999E-4</v>
      </c>
      <c r="I77" s="1">
        <v>-1E-3</v>
      </c>
      <c r="J77" s="1">
        <v>1.8794999999999999</v>
      </c>
      <c r="K77" s="1">
        <v>-2.9320000000000001E-3</v>
      </c>
      <c r="L77" s="1">
        <v>1.222E-3</v>
      </c>
      <c r="M77" s="1">
        <v>0.92966000000000004</v>
      </c>
      <c r="N77" s="1">
        <v>0.36840400000000001</v>
      </c>
      <c r="O77">
        <v>1</v>
      </c>
      <c r="P77">
        <v>0</v>
      </c>
      <c r="Q77">
        <v>1</v>
      </c>
      <c r="R77">
        <v>1</v>
      </c>
      <c r="S77">
        <v>1</v>
      </c>
      <c r="T77" s="1">
        <f>SQRT(POWER(Plank[[#This Row],[angvel_X]],2) + POWER(Plank[[#This Row],[angvel_Y]],2) + POWER(Plank[[#This Row],[angvel_Z]],2))</f>
        <v>1.8795003963819745</v>
      </c>
      <c r="U77" s="1">
        <f>DEGREES(ASIN(MAX(-1,MIN(1,2 * (Plank[[#This Row],[quart_W]]*Plank[[#This Row],[quart_Y]] - Plank[[#This Row],[quart_Z]]*Plank[[#This Row],[quart_X]])))))</f>
        <v>0.36393983098571947</v>
      </c>
      <c r="V7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-46.765305755782698</v>
      </c>
      <c r="W7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89.993596037027984</v>
      </c>
      <c r="X77" s="1">
        <f>IF(Plank[[#This Row],[Yaw]]&gt;V76,(360-ABS(Plank[[#This Row],[Yaw]])-ABS(V76)),ABS(Plank[[#This Row],[Yaw]]-V76))</f>
        <v>0.89036879800281099</v>
      </c>
      <c r="Y77" s="1">
        <f>Plank[[#This Row],[Degree change]]+Y76</f>
        <v>15.91579038119475</v>
      </c>
    </row>
    <row r="78" spans="1:25">
      <c r="A78">
        <v>77</v>
      </c>
      <c r="B78" s="1">
        <v>78.430000000000007</v>
      </c>
      <c r="C78" s="1">
        <v>2303.01001</v>
      </c>
      <c r="D78" s="1">
        <v>18.639999</v>
      </c>
      <c r="E78" s="1">
        <v>-1622.880005</v>
      </c>
      <c r="F78" s="1">
        <v>1629.7700199999999</v>
      </c>
      <c r="G78" s="1">
        <v>8.17</v>
      </c>
      <c r="H78" s="1">
        <v>5.9999999999999995E-4</v>
      </c>
      <c r="I78" s="1">
        <v>-8.9999999999999998E-4</v>
      </c>
      <c r="J78" s="1">
        <v>1.8923000000000001</v>
      </c>
      <c r="K78" s="1">
        <v>-2.9429999999999999E-3</v>
      </c>
      <c r="L78" s="1">
        <v>1.1950000000000001E-3</v>
      </c>
      <c r="M78" s="1">
        <v>0.93251799999999996</v>
      </c>
      <c r="N78" s="1">
        <v>0.36110999999999999</v>
      </c>
      <c r="O78">
        <v>1</v>
      </c>
      <c r="P78">
        <v>0</v>
      </c>
      <c r="Q78">
        <v>1</v>
      </c>
      <c r="R78">
        <v>1</v>
      </c>
      <c r="S78">
        <v>1</v>
      </c>
      <c r="T78" s="1">
        <f>SQRT(POWER(Plank[[#This Row],[angvel_X]],2) + POWER(Plank[[#This Row],[angvel_Y]],2) + POWER(Plank[[#This Row],[angvel_Z]],2))</f>
        <v>1.892300309147573</v>
      </c>
      <c r="U78" s="1">
        <f>DEGREES(ASIN(MAX(-1,MIN(1,2 * (Plank[[#This Row],[quart_W]]*Plank[[#This Row],[quart_Y]] - Plank[[#This Row],[quart_Z]]*Plank[[#This Row],[quart_X]])))))</f>
        <v>0.36393686483796822</v>
      </c>
      <c r="V7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-47.663054542102138</v>
      </c>
      <c r="W7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89.994085549045877</v>
      </c>
      <c r="X78" s="1">
        <f>IF(Plank[[#This Row],[Yaw]]&gt;V77,(360-ABS(Plank[[#This Row],[Yaw]])-ABS(V77)),ABS(Plank[[#This Row],[Yaw]]-V77))</f>
        <v>0.89774878631943977</v>
      </c>
      <c r="Y78" s="1">
        <f>Plank[[#This Row],[Degree change]]+Y77</f>
        <v>16.81353916751419</v>
      </c>
    </row>
    <row r="79" spans="1:25">
      <c r="A79">
        <v>78</v>
      </c>
      <c r="B79" s="1">
        <v>64.860000999999997</v>
      </c>
      <c r="C79" s="1">
        <v>2316.639893</v>
      </c>
      <c r="D79" s="1">
        <v>18.639999</v>
      </c>
      <c r="E79" s="1">
        <v>-1646.559937</v>
      </c>
      <c r="F79" s="1">
        <v>1605.849976</v>
      </c>
      <c r="G79" s="1">
        <v>8.17</v>
      </c>
      <c r="H79" s="1">
        <v>5.9999999999999995E-4</v>
      </c>
      <c r="I79" s="1">
        <v>-8.9999999999999998E-4</v>
      </c>
      <c r="J79" s="1">
        <v>1.9039999999999999</v>
      </c>
      <c r="K79" s="1">
        <v>-2.954E-3</v>
      </c>
      <c r="L79" s="1">
        <v>1.168E-3</v>
      </c>
      <c r="M79" s="1">
        <v>0.93533599999999995</v>
      </c>
      <c r="N79" s="1">
        <v>0.353746</v>
      </c>
      <c r="O79">
        <v>1</v>
      </c>
      <c r="P79">
        <v>0</v>
      </c>
      <c r="Q79">
        <v>1</v>
      </c>
      <c r="R79">
        <v>1</v>
      </c>
      <c r="S79">
        <v>1</v>
      </c>
      <c r="T79" s="1">
        <f>SQRT(POWER(Plank[[#This Row],[angvel_X]],2) + POWER(Plank[[#This Row],[angvel_Y]],2) + POWER(Plank[[#This Row],[angvel_Z]],2))</f>
        <v>1.9040003072478742</v>
      </c>
      <c r="U79" s="1">
        <f>DEGREES(ASIN(MAX(-1,MIN(1,2 * (Plank[[#This Row],[quart_W]]*Plank[[#This Row],[quart_Y]] - Plank[[#This Row],[quart_Z]]*Plank[[#This Row],[quart_X]])))))</f>
        <v>0.36396333006326997</v>
      </c>
      <c r="V7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-48.566565725730143</v>
      </c>
      <c r="W7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89.994556016002036</v>
      </c>
      <c r="X79" s="1">
        <f>IF(Plank[[#This Row],[Yaw]]&gt;V78,(360-ABS(Plank[[#This Row],[Yaw]])-ABS(V78)),ABS(Plank[[#This Row],[Yaw]]-V78))</f>
        <v>0.9035111836280052</v>
      </c>
      <c r="Y79" s="1">
        <f>Plank[[#This Row],[Degree change]]+Y78</f>
        <v>17.717050351142195</v>
      </c>
    </row>
    <row r="80" spans="1:25">
      <c r="A80">
        <v>79</v>
      </c>
      <c r="B80" s="1">
        <v>51.09</v>
      </c>
      <c r="C80" s="1">
        <v>2330.070068</v>
      </c>
      <c r="D80" s="1">
        <v>18.639999</v>
      </c>
      <c r="E80" s="1">
        <v>-1670.169922</v>
      </c>
      <c r="F80" s="1">
        <v>1581.2700199999999</v>
      </c>
      <c r="G80" s="1">
        <v>8.17</v>
      </c>
      <c r="H80" s="1">
        <v>5.0000000000000001E-4</v>
      </c>
      <c r="I80" s="1">
        <v>-8.0000000000000004E-4</v>
      </c>
      <c r="J80" s="1">
        <v>1.9147000000000001</v>
      </c>
      <c r="K80" s="1">
        <v>-2.9640000000000001E-3</v>
      </c>
      <c r="L80" s="1">
        <v>1.1410000000000001E-3</v>
      </c>
      <c r="M80" s="1">
        <v>0.938114</v>
      </c>
      <c r="N80" s="1">
        <v>0.34631200000000001</v>
      </c>
      <c r="O80">
        <v>1</v>
      </c>
      <c r="P80">
        <v>0</v>
      </c>
      <c r="Q80">
        <v>1</v>
      </c>
      <c r="R80">
        <v>1</v>
      </c>
      <c r="S80">
        <v>1</v>
      </c>
      <c r="T80" s="1">
        <f>SQRT(POWER(Plank[[#This Row],[angvel_X]],2) + POWER(Plank[[#This Row],[angvel_Y]],2) + POWER(Plank[[#This Row],[angvel_Z]],2))</f>
        <v>1.9147002324123743</v>
      </c>
      <c r="U80" s="1">
        <f>DEGREES(ASIN(MAX(-1,MIN(1,2 * (Plank[[#This Row],[quart_W]]*Plank[[#This Row],[quart_Y]] - Plank[[#This Row],[quart_Z]]*Plank[[#This Row],[quart_X]])))))</f>
        <v>0.36391222303041038</v>
      </c>
      <c r="V8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-49.47598919183396</v>
      </c>
      <c r="W8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89.994967116731885</v>
      </c>
      <c r="X80" s="1">
        <f>IF(Plank[[#This Row],[Yaw]]&gt;V79,(360-ABS(Plank[[#This Row],[Yaw]])-ABS(V79)),ABS(Plank[[#This Row],[Yaw]]-V79))</f>
        <v>0.90942346610381719</v>
      </c>
      <c r="Y80" s="1">
        <f>Plank[[#This Row],[Degree change]]+Y79</f>
        <v>18.626473817246012</v>
      </c>
    </row>
    <row r="81" spans="1:25">
      <c r="A81">
        <v>80</v>
      </c>
      <c r="B81" s="1">
        <v>37.119999</v>
      </c>
      <c r="C81" s="1">
        <v>2343.290039</v>
      </c>
      <c r="D81" s="1">
        <v>18.639999</v>
      </c>
      <c r="E81" s="1">
        <v>-1693.6899410000001</v>
      </c>
      <c r="F81" s="1">
        <v>1556.059937</v>
      </c>
      <c r="G81" s="1">
        <v>8.17</v>
      </c>
      <c r="H81" s="1">
        <v>5.0000000000000001E-4</v>
      </c>
      <c r="I81" s="1">
        <v>-6.9999999999999999E-4</v>
      </c>
      <c r="J81" s="1">
        <v>1.9244000000000001</v>
      </c>
      <c r="K81" s="1">
        <v>-2.9750000000000002E-3</v>
      </c>
      <c r="L81" s="1">
        <v>1.114E-3</v>
      </c>
      <c r="M81" s="1">
        <v>0.94084599999999996</v>
      </c>
      <c r="N81" s="1">
        <v>0.33881899999999998</v>
      </c>
      <c r="O81">
        <v>1</v>
      </c>
      <c r="P81">
        <v>0</v>
      </c>
      <c r="Q81">
        <v>1</v>
      </c>
      <c r="R81">
        <v>1</v>
      </c>
      <c r="S81">
        <v>1</v>
      </c>
      <c r="T81" s="1">
        <f>SQRT(POWER(Plank[[#This Row],[angvel_X]],2) + POWER(Plank[[#This Row],[angvel_Y]],2) + POWER(Plank[[#This Row],[angvel_Z]],2))</f>
        <v>1.9244001922677103</v>
      </c>
      <c r="U81" s="1">
        <f>DEGREES(ASIN(MAX(-1,MIN(1,2 * (Plank[[#This Row],[quart_W]]*Plank[[#This Row],[quart_Y]] - Plank[[#This Row],[quart_Z]]*Plank[[#This Row],[quart_X]])))))</f>
        <v>0.36399809142656919</v>
      </c>
      <c r="V8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-50.389908629306525</v>
      </c>
      <c r="W8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89.99540296152675</v>
      </c>
      <c r="X81" s="1">
        <f>IF(Plank[[#This Row],[Yaw]]&gt;V80,(360-ABS(Plank[[#This Row],[Yaw]])-ABS(V80)),ABS(Plank[[#This Row],[Yaw]]-V80))</f>
        <v>0.91391943747256477</v>
      </c>
      <c r="Y81" s="1">
        <f>Plank[[#This Row],[Degree change]]+Y80</f>
        <v>19.540393254718577</v>
      </c>
    </row>
    <row r="82" spans="1:25">
      <c r="A82">
        <v>81</v>
      </c>
      <c r="B82" s="1">
        <v>22.949998999999998</v>
      </c>
      <c r="C82" s="1">
        <v>2356.3000489999999</v>
      </c>
      <c r="D82" s="1">
        <v>18.639999</v>
      </c>
      <c r="E82" s="1">
        <v>-1717.0699460000001</v>
      </c>
      <c r="F82" s="1">
        <v>1530.219971</v>
      </c>
      <c r="G82" s="1">
        <v>8.17</v>
      </c>
      <c r="H82" s="1">
        <v>5.0000000000000001E-4</v>
      </c>
      <c r="I82" s="1">
        <v>-6.9999999999999999E-4</v>
      </c>
      <c r="J82" s="1">
        <v>1.9333</v>
      </c>
      <c r="K82" s="1">
        <v>-2.9859999999999999E-3</v>
      </c>
      <c r="L82" s="1">
        <v>1.0870000000000001E-3</v>
      </c>
      <c r="M82" s="1">
        <v>0.94353200000000004</v>
      </c>
      <c r="N82" s="1">
        <v>0.331266</v>
      </c>
      <c r="O82">
        <v>1</v>
      </c>
      <c r="P82">
        <v>0</v>
      </c>
      <c r="Q82">
        <v>1</v>
      </c>
      <c r="R82">
        <v>1</v>
      </c>
      <c r="S82">
        <v>1</v>
      </c>
      <c r="T82" s="1">
        <f>SQRT(POWER(Plank[[#This Row],[angvel_X]],2) + POWER(Plank[[#This Row],[angvel_Y]],2) + POWER(Plank[[#This Row],[angvel_Z]],2))</f>
        <v>1.9333001913826005</v>
      </c>
      <c r="U82" s="1">
        <f>DEGREES(ASIN(MAX(-1,MIN(1,2 * (Plank[[#This Row],[quart_W]]*Plank[[#This Row],[quart_Y]] - Plank[[#This Row],[quart_Z]]*Plank[[#This Row],[quart_X]])))))</f>
        <v>0.36411400060730387</v>
      </c>
      <c r="V8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-51.308535195178422</v>
      </c>
      <c r="W8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89.995822021063631</v>
      </c>
      <c r="X82" s="1">
        <f>IF(Plank[[#This Row],[Yaw]]&gt;V81,(360-ABS(Plank[[#This Row],[Yaw]])-ABS(V81)),ABS(Plank[[#This Row],[Yaw]]-V81))</f>
        <v>0.91862656587189662</v>
      </c>
      <c r="Y82" s="1">
        <f>Plank[[#This Row],[Degree change]]+Y81</f>
        <v>20.459019820590473</v>
      </c>
    </row>
    <row r="83" spans="1:25">
      <c r="A83">
        <v>82</v>
      </c>
      <c r="B83" s="1">
        <v>8.59</v>
      </c>
      <c r="C83" s="1">
        <v>2369.0898440000001</v>
      </c>
      <c r="D83" s="1">
        <v>18.639999</v>
      </c>
      <c r="E83" s="1">
        <v>-1740.2700199999999</v>
      </c>
      <c r="F83" s="1">
        <v>1503.7799070000001</v>
      </c>
      <c r="G83" s="1">
        <v>8.17</v>
      </c>
      <c r="H83" s="1">
        <v>4.0000000000000002E-4</v>
      </c>
      <c r="I83" s="1">
        <v>-5.9999999999999995E-4</v>
      </c>
      <c r="J83" s="1">
        <v>1.9415</v>
      </c>
      <c r="K83" s="1">
        <v>-2.9970000000000001E-3</v>
      </c>
      <c r="L83" s="1">
        <v>1.06E-3</v>
      </c>
      <c r="M83" s="1">
        <v>0.94616999999999996</v>
      </c>
      <c r="N83" s="1">
        <v>0.323654</v>
      </c>
      <c r="O83">
        <v>1</v>
      </c>
      <c r="P83">
        <v>0</v>
      </c>
      <c r="Q83">
        <v>1</v>
      </c>
      <c r="R83">
        <v>1</v>
      </c>
      <c r="S83">
        <v>1</v>
      </c>
      <c r="T83" s="1">
        <f>SQRT(POWER(Plank[[#This Row],[angvel_X]],2) + POWER(Plank[[#This Row],[angvel_Y]],2) + POWER(Plank[[#This Row],[angvel_Z]],2))</f>
        <v>1.9415001339170697</v>
      </c>
      <c r="U83" s="1">
        <f>DEGREES(ASIN(MAX(-1,MIN(1,2 * (Plank[[#This Row],[quart_W]]*Plank[[#This Row],[quart_Y]] - Plank[[#This Row],[quart_Z]]*Plank[[#This Row],[quart_X]])))))</f>
        <v>0.36425976814032451</v>
      </c>
      <c r="V8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-52.231700946323983</v>
      </c>
      <c r="W8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89.99622422785032</v>
      </c>
      <c r="X83" s="1">
        <f>IF(Plank[[#This Row],[Yaw]]&gt;V82,(360-ABS(Plank[[#This Row],[Yaw]])-ABS(V82)),ABS(Plank[[#This Row],[Yaw]]-V82))</f>
        <v>0.92316575114556088</v>
      </c>
      <c r="Y83" s="1">
        <f>Plank[[#This Row],[Degree change]]+Y82</f>
        <v>21.382185571736034</v>
      </c>
    </row>
    <row r="84" spans="1:25">
      <c r="A84">
        <v>83</v>
      </c>
      <c r="B84" s="1">
        <v>-5.97</v>
      </c>
      <c r="C84" s="1">
        <v>2381.6599120000001</v>
      </c>
      <c r="D84" s="1">
        <v>18.639999</v>
      </c>
      <c r="E84" s="1">
        <v>-1763.26001</v>
      </c>
      <c r="F84" s="1">
        <v>1476.76001</v>
      </c>
      <c r="G84" s="1">
        <v>8.17</v>
      </c>
      <c r="H84" s="1">
        <v>4.0000000000000002E-4</v>
      </c>
      <c r="I84" s="1">
        <v>-5.0000000000000001E-4</v>
      </c>
      <c r="J84" s="1">
        <v>1.9490000000000001</v>
      </c>
      <c r="K84" s="1">
        <v>-3.0079999999999998E-3</v>
      </c>
      <c r="L84" s="1">
        <v>1.0330000000000001E-3</v>
      </c>
      <c r="M84" s="1">
        <v>0.94875799999999999</v>
      </c>
      <c r="N84" s="1">
        <v>0.31598799999999999</v>
      </c>
      <c r="O84">
        <v>1</v>
      </c>
      <c r="P84">
        <v>0</v>
      </c>
      <c r="Q84">
        <v>1</v>
      </c>
      <c r="R84">
        <v>1</v>
      </c>
      <c r="S84">
        <v>1</v>
      </c>
      <c r="T84" s="1">
        <f>SQRT(POWER(Plank[[#This Row],[angvel_X]],2) + POWER(Plank[[#This Row],[angvel_Y]],2) + POWER(Plank[[#This Row],[angvel_Z]],2))</f>
        <v>1.949000105182142</v>
      </c>
      <c r="U84" s="1">
        <f>DEGREES(ASIN(MAX(-1,MIN(1,2 * (Plank[[#This Row],[quart_W]]*Plank[[#This Row],[quart_Y]] - Plank[[#This Row],[quart_Z]]*Plank[[#This Row],[quart_X]])))))</f>
        <v>0.36443566263512861</v>
      </c>
      <c r="V8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-53.15889488701248</v>
      </c>
      <c r="W8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89.996610873477621</v>
      </c>
      <c r="X84" s="1">
        <f>IF(Plank[[#This Row],[Yaw]]&gt;V83,(360-ABS(Plank[[#This Row],[Yaw]])-ABS(V83)),ABS(Plank[[#This Row],[Yaw]]-V83))</f>
        <v>0.92719394068849681</v>
      </c>
      <c r="Y84" s="1">
        <f>Plank[[#This Row],[Degree change]]+Y83</f>
        <v>22.309379512424531</v>
      </c>
    </row>
    <row r="85" spans="1:25">
      <c r="A85">
        <v>84</v>
      </c>
      <c r="B85" s="1">
        <v>-20.719999000000001</v>
      </c>
      <c r="C85" s="1">
        <v>2394.01001</v>
      </c>
      <c r="D85" s="1">
        <v>18.639999</v>
      </c>
      <c r="E85" s="1">
        <v>-1786.01001</v>
      </c>
      <c r="F85" s="1">
        <v>1449.169922</v>
      </c>
      <c r="G85" s="1">
        <v>8.17</v>
      </c>
      <c r="H85" s="1">
        <v>4.0000000000000002E-4</v>
      </c>
      <c r="I85" s="1">
        <v>-5.0000000000000001E-4</v>
      </c>
      <c r="J85" s="1">
        <v>1.9558</v>
      </c>
      <c r="K85" s="1">
        <v>-3.0179999999999998E-3</v>
      </c>
      <c r="L85" s="1">
        <v>1.0059999999999999E-3</v>
      </c>
      <c r="M85" s="1">
        <v>0.95129200000000003</v>
      </c>
      <c r="N85" s="1">
        <v>0.30827300000000002</v>
      </c>
      <c r="O85">
        <v>1</v>
      </c>
      <c r="P85">
        <v>0</v>
      </c>
      <c r="Q85">
        <v>1</v>
      </c>
      <c r="R85">
        <v>1</v>
      </c>
      <c r="S85">
        <v>1</v>
      </c>
      <c r="T85" s="1">
        <f>SQRT(POWER(Plank[[#This Row],[angvel_X]],2) + POWER(Plank[[#This Row],[angvel_Y]],2) + POWER(Plank[[#This Row],[angvel_Z]],2))</f>
        <v>1.9558001048164406</v>
      </c>
      <c r="U85" s="1">
        <f>DEGREES(ASIN(MAX(-1,MIN(1,2 * (Plank[[#This Row],[quart_W]]*Plank[[#This Row],[quart_Y]] - Plank[[#This Row],[quart_Z]]*Plank[[#This Row],[quart_X]])))))</f>
        <v>0.36453217657837633</v>
      </c>
      <c r="V8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-54.089392402973985</v>
      </c>
      <c r="W8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89.996948154395184</v>
      </c>
      <c r="X85" s="1">
        <f>IF(Plank[[#This Row],[Yaw]]&gt;V84,(360-ABS(Plank[[#This Row],[Yaw]])-ABS(V84)),ABS(Plank[[#This Row],[Yaw]]-V84))</f>
        <v>0.93049751596150543</v>
      </c>
      <c r="Y85" s="1">
        <f>Plank[[#This Row],[Degree change]]+Y84</f>
        <v>23.239877028386037</v>
      </c>
    </row>
    <row r="86" spans="1:25">
      <c r="A86">
        <v>85</v>
      </c>
      <c r="B86" s="1">
        <v>-35.659999999999997</v>
      </c>
      <c r="C86" s="1">
        <v>2406.1298830000001</v>
      </c>
      <c r="D86" s="1">
        <v>18.639999</v>
      </c>
      <c r="E86" s="1">
        <v>-1808.4799800000001</v>
      </c>
      <c r="F86" s="1">
        <v>1421.0200199999999</v>
      </c>
      <c r="G86" s="1">
        <v>8.17</v>
      </c>
      <c r="H86" s="1">
        <v>4.0000000000000002E-4</v>
      </c>
      <c r="I86" s="1">
        <v>-4.0000000000000002E-4</v>
      </c>
      <c r="J86" s="1">
        <v>1.9621</v>
      </c>
      <c r="K86" s="1">
        <v>-3.029E-3</v>
      </c>
      <c r="L86" s="1">
        <v>9.7900000000000005E-4</v>
      </c>
      <c r="M86" s="1">
        <v>0.95377299999999998</v>
      </c>
      <c r="N86" s="1">
        <v>0.30051</v>
      </c>
      <c r="O86">
        <v>1</v>
      </c>
      <c r="P86">
        <v>0</v>
      </c>
      <c r="Q86">
        <v>1</v>
      </c>
      <c r="R86">
        <v>1</v>
      </c>
      <c r="S86">
        <v>1</v>
      </c>
      <c r="T86" s="1">
        <f>SQRT(POWER(Plank[[#This Row],[angvel_X]],2) + POWER(Plank[[#This Row],[angvel_Y]],2) + POWER(Plank[[#This Row],[angvel_Z]],2))</f>
        <v>1.9621000815452814</v>
      </c>
      <c r="U86" s="1">
        <f>DEGREES(ASIN(MAX(-1,MIN(1,2 * (Plank[[#This Row],[quart_W]]*Plank[[#This Row],[quart_Y]] - Plank[[#This Row],[quart_Z]]*Plank[[#This Row],[quart_X]])))))</f>
        <v>0.36476776016623647</v>
      </c>
      <c r="V8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-55.023316539670837</v>
      </c>
      <c r="W8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89.997307161017432</v>
      </c>
      <c r="X86" s="1">
        <f>IF(Plank[[#This Row],[Yaw]]&gt;V85,(360-ABS(Plank[[#This Row],[Yaw]])-ABS(V85)),ABS(Plank[[#This Row],[Yaw]]-V85))</f>
        <v>0.93392413669685226</v>
      </c>
      <c r="Y86" s="1">
        <f>Plank[[#This Row],[Degree change]]+Y85</f>
        <v>24.173801165082889</v>
      </c>
    </row>
    <row r="87" spans="1:25">
      <c r="A87">
        <v>86</v>
      </c>
      <c r="B87" s="1">
        <v>-50.789997</v>
      </c>
      <c r="C87" s="1">
        <v>2418.01001</v>
      </c>
      <c r="D87" s="1">
        <v>18.639999</v>
      </c>
      <c r="E87" s="1">
        <v>-1830.6499020000001</v>
      </c>
      <c r="F87" s="1">
        <v>1392.339966</v>
      </c>
      <c r="G87" s="1">
        <v>8.17</v>
      </c>
      <c r="H87" s="1">
        <v>4.0000000000000002E-4</v>
      </c>
      <c r="I87" s="1">
        <v>-2.9999999999999997E-4</v>
      </c>
      <c r="J87" s="1">
        <v>1.9679</v>
      </c>
      <c r="K87" s="1">
        <v>-3.0400000000000002E-3</v>
      </c>
      <c r="L87" s="1">
        <v>9.5200000000000005E-4</v>
      </c>
      <c r="M87" s="1">
        <v>0.95619799999999999</v>
      </c>
      <c r="N87" s="1">
        <v>0.29270400000000002</v>
      </c>
      <c r="O87">
        <v>1</v>
      </c>
      <c r="P87">
        <v>0</v>
      </c>
      <c r="Q87">
        <v>1</v>
      </c>
      <c r="R87">
        <v>1</v>
      </c>
      <c r="S87">
        <v>1</v>
      </c>
      <c r="T87" s="1">
        <f>SQRT(POWER(Plank[[#This Row],[angvel_X]],2) + POWER(Plank[[#This Row],[angvel_Y]],2) + POWER(Plank[[#This Row],[angvel_Z]],2))</f>
        <v>1.9679000635194865</v>
      </c>
      <c r="U87" s="1">
        <f>DEGREES(ASIN(MAX(-1,MIN(1,2 * (Plank[[#This Row],[quart_W]]*Plank[[#This Row],[quart_Y]] - Plank[[#This Row],[quart_Z]]*Plank[[#This Row],[quart_X]])))))</f>
        <v>0.36503343703108798</v>
      </c>
      <c r="V8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-55.960028864033674</v>
      </c>
      <c r="W8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89.997653078737031</v>
      </c>
      <c r="X87" s="1">
        <f>IF(Plank[[#This Row],[Yaw]]&gt;V86,(360-ABS(Plank[[#This Row],[Yaw]])-ABS(V86)),ABS(Plank[[#This Row],[Yaw]]-V86))</f>
        <v>0.93671232436283702</v>
      </c>
      <c r="Y87" s="1">
        <f>Plank[[#This Row],[Degree change]]+Y86</f>
        <v>25.110513489445726</v>
      </c>
    </row>
    <row r="88" spans="1:25">
      <c r="A88">
        <v>87</v>
      </c>
      <c r="B88" s="1">
        <v>-66.099997999999999</v>
      </c>
      <c r="C88" s="1">
        <v>2429.6499020000001</v>
      </c>
      <c r="D88" s="1">
        <v>18.639999</v>
      </c>
      <c r="E88" s="1">
        <v>-1852.5</v>
      </c>
      <c r="F88" s="1">
        <v>1363.1400149999999</v>
      </c>
      <c r="G88" s="1">
        <v>8.17</v>
      </c>
      <c r="H88" s="1">
        <v>2.9999999999999997E-4</v>
      </c>
      <c r="I88" s="1">
        <v>-2.0000000000000001E-4</v>
      </c>
      <c r="J88" s="1">
        <v>1.9732000000000001</v>
      </c>
      <c r="K88" s="1">
        <v>-3.0509999999999999E-3</v>
      </c>
      <c r="L88" s="1">
        <v>9.2500000000000004E-4</v>
      </c>
      <c r="M88" s="1">
        <v>0.958565</v>
      </c>
      <c r="N88" s="1">
        <v>0.284854</v>
      </c>
      <c r="O88">
        <v>1</v>
      </c>
      <c r="P88">
        <v>0</v>
      </c>
      <c r="Q88">
        <v>1</v>
      </c>
      <c r="R88">
        <v>1</v>
      </c>
      <c r="S88">
        <v>1</v>
      </c>
      <c r="T88" s="1">
        <f>SQRT(POWER(Plank[[#This Row],[angvel_X]],2) + POWER(Plank[[#This Row],[angvel_Y]],2) + POWER(Plank[[#This Row],[angvel_Z]],2))</f>
        <v>1.9732000329414148</v>
      </c>
      <c r="U88" s="1">
        <f>DEGREES(ASIN(MAX(-1,MIN(1,2 * (Plank[[#This Row],[quart_W]]*Plank[[#This Row],[quart_Y]] - Plank[[#This Row],[quart_Z]]*Plank[[#This Row],[quart_X]])))))</f>
        <v>0.36532858928535633</v>
      </c>
      <c r="V8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-56.8995332494286</v>
      </c>
      <c r="W8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89.997985087522423</v>
      </c>
      <c r="X88" s="1">
        <f>IF(Plank[[#This Row],[Yaw]]&gt;V87,(360-ABS(Plank[[#This Row],[Yaw]])-ABS(V87)),ABS(Plank[[#This Row],[Yaw]]-V87))</f>
        <v>0.93950438539492609</v>
      </c>
      <c r="Y88" s="1">
        <f>Plank[[#This Row],[Degree change]]+Y87</f>
        <v>26.050017874840652</v>
      </c>
    </row>
    <row r="89" spans="1:25">
      <c r="A89">
        <v>88</v>
      </c>
      <c r="B89" s="1">
        <v>-81.599997999999999</v>
      </c>
      <c r="C89" s="1">
        <v>2441.0500489999999</v>
      </c>
      <c r="D89" s="1">
        <v>18.639999</v>
      </c>
      <c r="E89" s="1">
        <v>-1874</v>
      </c>
      <c r="F89" s="1">
        <v>1333.429932</v>
      </c>
      <c r="G89" s="1">
        <v>8.17</v>
      </c>
      <c r="H89" s="1">
        <v>2.9999999999999997E-4</v>
      </c>
      <c r="I89" s="1">
        <v>-1E-4</v>
      </c>
      <c r="J89" s="1">
        <v>1.9781</v>
      </c>
      <c r="K89" s="1">
        <v>-3.0560000000000001E-3</v>
      </c>
      <c r="L89" s="1">
        <v>8.9800000000000004E-4</v>
      </c>
      <c r="M89" s="1">
        <v>0.96087599999999995</v>
      </c>
      <c r="N89" s="1">
        <v>0.27696199999999999</v>
      </c>
      <c r="O89">
        <v>1</v>
      </c>
      <c r="P89">
        <v>0</v>
      </c>
      <c r="Q89">
        <v>1</v>
      </c>
      <c r="R89">
        <v>1</v>
      </c>
      <c r="S89">
        <v>1</v>
      </c>
      <c r="T89" s="1">
        <f>SQRT(POWER(Plank[[#This Row],[angvel_X]],2) + POWER(Plank[[#This Row],[angvel_Y]],2) + POWER(Plank[[#This Row],[angvel_Z]],2))</f>
        <v>1.9781000252767806</v>
      </c>
      <c r="U89" s="1">
        <f>DEGREES(ASIN(MAX(-1,MIN(1,2 * (Plank[[#This Row],[quart_W]]*Plank[[#This Row],[quart_Y]] - Plank[[#This Row],[quart_Z]]*Plank[[#This Row],[quart_X]])))))</f>
        <v>0.36499365049278132</v>
      </c>
      <c r="V8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-57.841933762143213</v>
      </c>
      <c r="W8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89.998112549802073</v>
      </c>
      <c r="X89" s="1">
        <f>IF(Plank[[#This Row],[Yaw]]&gt;V88,(360-ABS(Plank[[#This Row],[Yaw]])-ABS(V88)),ABS(Plank[[#This Row],[Yaw]]-V88))</f>
        <v>0.94240051271461311</v>
      </c>
      <c r="Y89" s="1">
        <f>Plank[[#This Row],[Degree change]]+Y88</f>
        <v>26.992418387555265</v>
      </c>
    </row>
    <row r="90" spans="1:25">
      <c r="A90">
        <v>89</v>
      </c>
      <c r="B90" s="1">
        <v>-97.269997000000004</v>
      </c>
      <c r="C90" s="1">
        <v>2452.1999510000001</v>
      </c>
      <c r="D90" s="1">
        <v>18.639999</v>
      </c>
      <c r="E90" s="1">
        <v>-1895.130005</v>
      </c>
      <c r="F90" s="1">
        <v>1303.2299800000001</v>
      </c>
      <c r="G90" s="1">
        <v>8.17</v>
      </c>
      <c r="H90" s="1">
        <v>2.0000000000000001E-4</v>
      </c>
      <c r="I90" s="1">
        <v>-1E-4</v>
      </c>
      <c r="J90" s="1">
        <v>1.9824999999999999</v>
      </c>
      <c r="K90" s="1">
        <v>-3.0620000000000001E-3</v>
      </c>
      <c r="L90" s="1">
        <v>8.7100000000000003E-4</v>
      </c>
      <c r="M90" s="1">
        <v>0.96312600000000004</v>
      </c>
      <c r="N90" s="1">
        <v>0.26903100000000002</v>
      </c>
      <c r="O90">
        <v>1</v>
      </c>
      <c r="P90">
        <v>0</v>
      </c>
      <c r="Q90">
        <v>1</v>
      </c>
      <c r="R90">
        <v>1</v>
      </c>
      <c r="S90">
        <v>1</v>
      </c>
      <c r="T90" s="1">
        <f>SQRT(POWER(Plank[[#This Row],[angvel_X]],2) + POWER(Plank[[#This Row],[angvel_Y]],2) + POWER(Plank[[#This Row],[angvel_Z]],2))</f>
        <v>1.9825000126103405</v>
      </c>
      <c r="U90" s="1">
        <f>DEGREES(ASIN(MAX(-1,MIN(1,2 * (Plank[[#This Row],[quart_W]]*Plank[[#This Row],[quart_Y]] - Plank[[#This Row],[quart_Z]]*Plank[[#This Row],[quart_X]])))))</f>
        <v>0.36479527484474722</v>
      </c>
      <c r="V9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-58.786593010138382</v>
      </c>
      <c r="W9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89.998268506616171</v>
      </c>
      <c r="X90" s="1">
        <f>IF(Plank[[#This Row],[Yaw]]&gt;V89,(360-ABS(Plank[[#This Row],[Yaw]])-ABS(V89)),ABS(Plank[[#This Row],[Yaw]]-V89))</f>
        <v>0.94465924799516898</v>
      </c>
      <c r="Y90" s="1">
        <f>Plank[[#This Row],[Degree change]]+Y89</f>
        <v>27.937077635550434</v>
      </c>
    </row>
    <row r="91" spans="1:25">
      <c r="A91">
        <v>90</v>
      </c>
      <c r="B91" s="1">
        <v>-113.119995</v>
      </c>
      <c r="C91" s="1">
        <v>2463.0998540000001</v>
      </c>
      <c r="D91" s="1">
        <v>18.639999</v>
      </c>
      <c r="E91" s="1">
        <v>-1915.8599850000001</v>
      </c>
      <c r="F91" s="1">
        <v>1272.549927</v>
      </c>
      <c r="G91" s="1">
        <v>8.17</v>
      </c>
      <c r="H91" s="1">
        <v>2.0000000000000001E-4</v>
      </c>
      <c r="I91" s="1">
        <v>-1E-4</v>
      </c>
      <c r="J91" s="1">
        <v>1.9865999999999999</v>
      </c>
      <c r="K91" s="1">
        <v>-3.0669999999999998E-3</v>
      </c>
      <c r="L91" s="1">
        <v>8.4400000000000002E-4</v>
      </c>
      <c r="M91" s="1">
        <v>0.96531500000000003</v>
      </c>
      <c r="N91" s="1">
        <v>0.261069</v>
      </c>
      <c r="O91">
        <v>1</v>
      </c>
      <c r="P91">
        <v>0</v>
      </c>
      <c r="Q91">
        <v>1</v>
      </c>
      <c r="R91">
        <v>1</v>
      </c>
      <c r="S91">
        <v>1</v>
      </c>
      <c r="T91" s="1">
        <f>SQRT(POWER(Plank[[#This Row],[angvel_X]],2) + POWER(Plank[[#This Row],[angvel_Y]],2) + POWER(Plank[[#This Row],[angvel_Z]],2))</f>
        <v>1.9866000125843148</v>
      </c>
      <c r="U91" s="1">
        <f>DEGREES(ASIN(MAX(-1,MIN(1,2 * (Plank[[#This Row],[quart_W]]*Plank[[#This Row],[quart_Y]] - Plank[[#This Row],[quart_Z]]*Plank[[#This Row],[quart_X]])))))</f>
        <v>0.36451400737520484</v>
      </c>
      <c r="V9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-59.732852240588876</v>
      </c>
      <c r="W9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89.998392564513054</v>
      </c>
      <c r="X91" s="1">
        <f>IF(Plank[[#This Row],[Yaw]]&gt;V90,(360-ABS(Plank[[#This Row],[Yaw]])-ABS(V90)),ABS(Plank[[#This Row],[Yaw]]-V90))</f>
        <v>0.94625923045049376</v>
      </c>
      <c r="Y91" s="1">
        <f>Plank[[#This Row],[Degree change]]+Y90</f>
        <v>28.883336866000928</v>
      </c>
    </row>
    <row r="92" spans="1:25">
      <c r="A92">
        <v>91</v>
      </c>
      <c r="B92" s="1">
        <v>-129.13999899999999</v>
      </c>
      <c r="C92" s="1">
        <v>2473.73999</v>
      </c>
      <c r="D92" s="1">
        <v>18.639999</v>
      </c>
      <c r="E92" s="1">
        <v>-1936.179932</v>
      </c>
      <c r="F92" s="1">
        <v>1241.4099120000001</v>
      </c>
      <c r="G92" s="1">
        <v>8.17</v>
      </c>
      <c r="H92" s="1">
        <v>1E-4</v>
      </c>
      <c r="I92" s="1">
        <v>-1E-4</v>
      </c>
      <c r="J92" s="1">
        <v>1.9903</v>
      </c>
      <c r="K92" s="1">
        <v>-3.0720000000000001E-3</v>
      </c>
      <c r="L92" s="1">
        <v>8.1700000000000002E-4</v>
      </c>
      <c r="M92" s="1">
        <v>0.96744300000000005</v>
      </c>
      <c r="N92" s="1">
        <v>0.25306800000000002</v>
      </c>
      <c r="O92">
        <v>1</v>
      </c>
      <c r="P92">
        <v>0</v>
      </c>
      <c r="Q92">
        <v>1</v>
      </c>
      <c r="R92">
        <v>1</v>
      </c>
      <c r="S92">
        <v>1</v>
      </c>
      <c r="T92" s="1">
        <f>SQRT(POWER(Plank[[#This Row],[angvel_X]],2) + POWER(Plank[[#This Row],[angvel_Y]],2) + POWER(Plank[[#This Row],[angvel_Z]],2))</f>
        <v>1.9903000050243682</v>
      </c>
      <c r="U92" s="1">
        <f>DEGREES(ASIN(MAX(-1,MIN(1,2 * (Plank[[#This Row],[quart_W]]*Plank[[#This Row],[quart_Y]] - Plank[[#This Row],[quart_Z]]*Plank[[#This Row],[quart_X]])))))</f>
        <v>0.36425939250160272</v>
      </c>
      <c r="V9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-60.681560337006701</v>
      </c>
      <c r="W9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89.998513025868931</v>
      </c>
      <c r="X92" s="1">
        <f>IF(Plank[[#This Row],[Yaw]]&gt;V91,(360-ABS(Plank[[#This Row],[Yaw]])-ABS(V91)),ABS(Plank[[#This Row],[Yaw]]-V91))</f>
        <v>0.94870809641782472</v>
      </c>
      <c r="Y92" s="1">
        <f>Plank[[#This Row],[Degree change]]+Y91</f>
        <v>29.832044962418752</v>
      </c>
    </row>
    <row r="93" spans="1:25">
      <c r="A93">
        <v>92</v>
      </c>
      <c r="B93" s="1">
        <v>-145.33000200000001</v>
      </c>
      <c r="C93" s="1">
        <v>2484.1198730000001</v>
      </c>
      <c r="D93" s="1">
        <v>18.639999</v>
      </c>
      <c r="E93" s="1">
        <v>-1956.0699460000001</v>
      </c>
      <c r="F93" s="1">
        <v>1209.8199460000001</v>
      </c>
      <c r="G93" s="1">
        <v>8.17</v>
      </c>
      <c r="H93" s="1">
        <v>1E-4</v>
      </c>
      <c r="I93" s="1">
        <v>-1E-4</v>
      </c>
      <c r="J93" s="1">
        <v>1.9938</v>
      </c>
      <c r="K93" s="1">
        <v>-3.078E-3</v>
      </c>
      <c r="L93" s="1">
        <v>7.9000000000000001E-4</v>
      </c>
      <c r="M93" s="1">
        <v>0.96950899999999995</v>
      </c>
      <c r="N93" s="1">
        <v>0.245035</v>
      </c>
      <c r="O93">
        <v>1</v>
      </c>
      <c r="P93">
        <v>0</v>
      </c>
      <c r="Q93">
        <v>1</v>
      </c>
      <c r="R93">
        <v>1</v>
      </c>
      <c r="S93">
        <v>1</v>
      </c>
      <c r="T93" s="1">
        <f>SQRT(POWER(Plank[[#This Row],[angvel_X]],2) + POWER(Plank[[#This Row],[angvel_Y]],2) + POWER(Plank[[#This Row],[angvel_Z]],2))</f>
        <v>1.9938000050155482</v>
      </c>
      <c r="U93" s="1">
        <f>DEGREES(ASIN(MAX(-1,MIN(1,2 * (Plank[[#This Row],[quart_W]]*Plank[[#This Row],[quart_Y]] - Plank[[#This Row],[quart_Z]]*Plank[[#This Row],[quart_X]])))))</f>
        <v>0.36414306825998943</v>
      </c>
      <c r="V9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-61.632051704551387</v>
      </c>
      <c r="W9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89.998659895698964</v>
      </c>
      <c r="X93" s="1">
        <f>IF(Plank[[#This Row],[Yaw]]&gt;V92,(360-ABS(Plank[[#This Row],[Yaw]])-ABS(V92)),ABS(Plank[[#This Row],[Yaw]]-V92))</f>
        <v>0.95049136754468577</v>
      </c>
      <c r="Y93" s="1">
        <f>Plank[[#This Row],[Degree change]]+Y92</f>
        <v>30.782536329963438</v>
      </c>
    </row>
    <row r="94" spans="1:25">
      <c r="A94">
        <v>93</v>
      </c>
      <c r="B94" s="1">
        <v>-161.69000199999999</v>
      </c>
      <c r="C94" s="1">
        <v>2494.2299800000001</v>
      </c>
      <c r="D94" s="1">
        <v>18.639999</v>
      </c>
      <c r="E94" s="1">
        <v>-1975.5198969999999</v>
      </c>
      <c r="F94" s="1">
        <v>1177.799927</v>
      </c>
      <c r="G94" s="1">
        <v>8.1799990000000005</v>
      </c>
      <c r="H94" s="1">
        <v>0</v>
      </c>
      <c r="I94" s="1">
        <v>-1E-4</v>
      </c>
      <c r="J94" s="1">
        <v>1.9970000000000001</v>
      </c>
      <c r="K94" s="1">
        <v>-3.0829999999999998E-3</v>
      </c>
      <c r="L94" s="1">
        <v>7.6300000000000001E-4</v>
      </c>
      <c r="M94" s="1">
        <v>0.97151200000000004</v>
      </c>
      <c r="N94" s="1">
        <v>0.23696999999999999</v>
      </c>
      <c r="O94">
        <v>1</v>
      </c>
      <c r="P94">
        <v>0</v>
      </c>
      <c r="Q94">
        <v>1</v>
      </c>
      <c r="R94">
        <v>1</v>
      </c>
      <c r="S94">
        <v>1</v>
      </c>
      <c r="T94" s="1">
        <f>SQRT(POWER(Plank[[#This Row],[angvel_X]],2) + POWER(Plank[[#This Row],[angvel_Y]],2) + POWER(Plank[[#This Row],[angvel_Z]],2))</f>
        <v>1.9970000025037558</v>
      </c>
      <c r="U94" s="1">
        <f>DEGREES(ASIN(MAX(-1,MIN(1,2 * (Plank[[#This Row],[quart_W]]*Plank[[#This Row],[quart_Y]] - Plank[[#This Row],[quart_Z]]*Plank[[#This Row],[quart_X]])))))</f>
        <v>0.36394290187226935</v>
      </c>
      <c r="V9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-62.584328368068206</v>
      </c>
      <c r="W9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89.998775547759379</v>
      </c>
      <c r="X94" s="1">
        <f>IF(Plank[[#This Row],[Yaw]]&gt;V93,(360-ABS(Plank[[#This Row],[Yaw]])-ABS(V93)),ABS(Plank[[#This Row],[Yaw]]-V93))</f>
        <v>0.95227666351681961</v>
      </c>
      <c r="Y94" s="1">
        <f>Plank[[#This Row],[Degree change]]+Y93</f>
        <v>31.734812993480258</v>
      </c>
    </row>
    <row r="95" spans="1:25">
      <c r="A95">
        <v>94</v>
      </c>
      <c r="B95" s="1">
        <v>-178.209991</v>
      </c>
      <c r="C95" s="1">
        <v>2504.0798340000001</v>
      </c>
      <c r="D95" s="1">
        <v>18.639999</v>
      </c>
      <c r="E95" s="1">
        <v>-1994.5</v>
      </c>
      <c r="F95" s="1">
        <v>1145.3599850000001</v>
      </c>
      <c r="G95" s="1">
        <v>8.1799990000000005</v>
      </c>
      <c r="H95" s="1">
        <v>0</v>
      </c>
      <c r="I95" s="1">
        <v>-1E-4</v>
      </c>
      <c r="J95" s="1">
        <v>1.9999</v>
      </c>
      <c r="K95" s="1">
        <v>-3.0890000000000002E-3</v>
      </c>
      <c r="L95" s="1">
        <v>7.36E-4</v>
      </c>
      <c r="M95" s="1">
        <v>0.97345000000000004</v>
      </c>
      <c r="N95" s="1">
        <v>0.228878</v>
      </c>
      <c r="O95">
        <v>1</v>
      </c>
      <c r="P95">
        <v>0</v>
      </c>
      <c r="Q95">
        <v>1</v>
      </c>
      <c r="R95">
        <v>1</v>
      </c>
      <c r="S95">
        <v>1</v>
      </c>
      <c r="T95" s="1">
        <f>SQRT(POWER(Plank[[#This Row],[angvel_X]],2) + POWER(Plank[[#This Row],[angvel_Y]],2) + POWER(Plank[[#This Row],[angvel_Z]],2))</f>
        <v>1.999900002500125</v>
      </c>
      <c r="U95" s="1">
        <f>DEGREES(ASIN(MAX(-1,MIN(1,2 * (Plank[[#This Row],[quart_W]]*Plank[[#This Row],[quart_Y]] - Plank[[#This Row],[quart_Z]]*Plank[[#This Row],[quart_X]])))))</f>
        <v>0.36388121049130612</v>
      </c>
      <c r="V9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-63.537824628277882</v>
      </c>
      <c r="W9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89.998916508312206</v>
      </c>
      <c r="X95" s="1">
        <f>IF(Plank[[#This Row],[Yaw]]&gt;V94,(360-ABS(Plank[[#This Row],[Yaw]])-ABS(V94)),ABS(Plank[[#This Row],[Yaw]]-V94))</f>
        <v>0.95349626020967548</v>
      </c>
      <c r="Y95" s="1">
        <f>Plank[[#This Row],[Degree change]]+Y94</f>
        <v>32.688309253689937</v>
      </c>
    </row>
    <row r="96" spans="1:25">
      <c r="A96">
        <v>95</v>
      </c>
      <c r="B96" s="1">
        <v>-194.88999899999999</v>
      </c>
      <c r="C96" s="1">
        <v>2513.6599120000001</v>
      </c>
      <c r="D96" s="1">
        <v>18.639999</v>
      </c>
      <c r="E96" s="1">
        <v>-2013.01001</v>
      </c>
      <c r="F96" s="1">
        <v>1112.5200199999999</v>
      </c>
      <c r="G96" s="1">
        <v>8.1799990000000005</v>
      </c>
      <c r="H96" s="1">
        <v>0</v>
      </c>
      <c r="I96" s="1">
        <v>-1E-4</v>
      </c>
      <c r="J96" s="1">
        <v>2.0026000000000002</v>
      </c>
      <c r="K96" s="1">
        <v>-3.094E-3</v>
      </c>
      <c r="L96" s="1">
        <v>7.0899999999999999E-4</v>
      </c>
      <c r="M96" s="1">
        <v>0.97532300000000005</v>
      </c>
      <c r="N96" s="1">
        <v>0.22075900000000001</v>
      </c>
      <c r="O96">
        <v>1</v>
      </c>
      <c r="P96">
        <v>0</v>
      </c>
      <c r="Q96">
        <v>1</v>
      </c>
      <c r="R96">
        <v>1</v>
      </c>
      <c r="S96">
        <v>1</v>
      </c>
      <c r="T96" s="1">
        <f>SQRT(POWER(Plank[[#This Row],[angvel_X]],2) + POWER(Plank[[#This Row],[angvel_Y]],2) + POWER(Plank[[#This Row],[angvel_Z]],2))</f>
        <v>2.0026000024967545</v>
      </c>
      <c r="U96" s="1">
        <f>DEGREES(ASIN(MAX(-1,MIN(1,2 * (Plank[[#This Row],[quart_W]]*Plank[[#This Row],[quart_Y]] - Plank[[#This Row],[quart_Z]]*Plank[[#This Row],[quart_X]])))))</f>
        <v>0.36373524483160602</v>
      </c>
      <c r="V9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-64.492622845994191</v>
      </c>
      <c r="W9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89.999028741220457</v>
      </c>
      <c r="X96" s="1">
        <f>IF(Plank[[#This Row],[Yaw]]&gt;V95,(360-ABS(Plank[[#This Row],[Yaw]])-ABS(V95)),ABS(Plank[[#This Row],[Yaw]]-V95))</f>
        <v>0.95479821771630924</v>
      </c>
      <c r="Y96" s="1">
        <f>Plank[[#This Row],[Degree change]]+Y95</f>
        <v>33.643107471406246</v>
      </c>
    </row>
    <row r="97" spans="1:25">
      <c r="A97">
        <v>96</v>
      </c>
      <c r="B97" s="1">
        <v>-211.729996</v>
      </c>
      <c r="C97" s="1">
        <v>2522.959961</v>
      </c>
      <c r="D97" s="1">
        <v>18.639999</v>
      </c>
      <c r="E97" s="1">
        <v>-2031.0198969999999</v>
      </c>
      <c r="F97" s="1">
        <v>1079.2899170000001</v>
      </c>
      <c r="G97" s="1">
        <v>8.1799990000000005</v>
      </c>
      <c r="H97" s="1">
        <v>0</v>
      </c>
      <c r="I97" s="1">
        <v>-1E-4</v>
      </c>
      <c r="J97" s="1">
        <v>2.0049999999999999</v>
      </c>
      <c r="K97" s="1">
        <v>-3.0990000000000002E-3</v>
      </c>
      <c r="L97" s="1">
        <v>6.8199999999999999E-4</v>
      </c>
      <c r="M97" s="1">
        <v>0.97713099999999997</v>
      </c>
      <c r="N97" s="1">
        <v>0.212612</v>
      </c>
      <c r="O97">
        <v>1</v>
      </c>
      <c r="P97">
        <v>0</v>
      </c>
      <c r="Q97">
        <v>1</v>
      </c>
      <c r="R97">
        <v>1</v>
      </c>
      <c r="S97">
        <v>1</v>
      </c>
      <c r="T97" s="1">
        <f>SQRT(POWER(Plank[[#This Row],[angvel_X]],2) + POWER(Plank[[#This Row],[angvel_Y]],2) + POWER(Plank[[#This Row],[angvel_Z]],2))</f>
        <v>2.0050000024937655</v>
      </c>
      <c r="U97" s="1">
        <f>DEGREES(ASIN(MAX(-1,MIN(1,2 * (Plank[[#This Row],[quart_W]]*Plank[[#This Row],[quart_Y]] - Plank[[#This Row],[quart_Z]]*Plank[[#This Row],[quart_X]])))))</f>
        <v>0.36361639494793008</v>
      </c>
      <c r="V9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-65.44890574308539</v>
      </c>
      <c r="W9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89.999138396906446</v>
      </c>
      <c r="X97" s="1">
        <f>IF(Plank[[#This Row],[Yaw]]&gt;V96,(360-ABS(Plank[[#This Row],[Yaw]])-ABS(V96)),ABS(Plank[[#This Row],[Yaw]]-V96))</f>
        <v>0.9562828970911994</v>
      </c>
      <c r="Y97" s="1">
        <f>Plank[[#This Row],[Degree change]]+Y96</f>
        <v>34.599390368497446</v>
      </c>
    </row>
    <row r="98" spans="1:25">
      <c r="A98">
        <v>97</v>
      </c>
      <c r="B98" s="1">
        <v>-228.720001</v>
      </c>
      <c r="C98" s="1">
        <v>2531.9799800000001</v>
      </c>
      <c r="D98" s="1">
        <v>18.639999</v>
      </c>
      <c r="E98" s="1">
        <v>-2048.5200199999999</v>
      </c>
      <c r="F98" s="1">
        <v>1045.6899410000001</v>
      </c>
      <c r="G98" s="1">
        <v>8.1799990000000005</v>
      </c>
      <c r="H98" s="1">
        <v>0</v>
      </c>
      <c r="I98" s="1">
        <v>-1E-4</v>
      </c>
      <c r="J98" s="1">
        <v>2.0072999999999999</v>
      </c>
      <c r="K98" s="1">
        <v>-3.1050000000000001E-3</v>
      </c>
      <c r="L98" s="1">
        <v>6.5499999999999998E-4</v>
      </c>
      <c r="M98" s="1">
        <v>0.97887299999999999</v>
      </c>
      <c r="N98" s="1">
        <v>0.20444499999999999</v>
      </c>
      <c r="O98">
        <v>1</v>
      </c>
      <c r="P98">
        <v>0</v>
      </c>
      <c r="Q98">
        <v>1</v>
      </c>
      <c r="R98">
        <v>1</v>
      </c>
      <c r="S98">
        <v>1</v>
      </c>
      <c r="T98" s="1">
        <f>SQRT(POWER(Plank[[#This Row],[angvel_X]],2) + POWER(Plank[[#This Row],[angvel_Y]],2) + POWER(Plank[[#This Row],[angvel_Z]],2))</f>
        <v>2.0073000024909082</v>
      </c>
      <c r="U98" s="1">
        <f>DEGREES(ASIN(MAX(-1,MIN(1,2 * (Plank[[#This Row],[quart_W]]*Plank[[#This Row],[quart_Y]] - Plank[[#This Row],[quart_Z]]*Plank[[#This Row],[quart_X]])))))</f>
        <v>0.36363722662319714</v>
      </c>
      <c r="V9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-66.405864401729033</v>
      </c>
      <c r="W9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89.999271172692744</v>
      </c>
      <c r="X98" s="1">
        <f>IF(Plank[[#This Row],[Yaw]]&gt;V97,(360-ABS(Plank[[#This Row],[Yaw]])-ABS(V97)),ABS(Plank[[#This Row],[Yaw]]-V97))</f>
        <v>0.95695865864364293</v>
      </c>
      <c r="Y98" s="1">
        <f>Plank[[#This Row],[Degree change]]+Y97</f>
        <v>35.556349027141088</v>
      </c>
    </row>
    <row r="99" spans="1:25">
      <c r="A99">
        <v>98</v>
      </c>
      <c r="B99" s="1">
        <v>-245.84999099999999</v>
      </c>
      <c r="C99" s="1">
        <v>2540.719971</v>
      </c>
      <c r="D99" s="1">
        <v>18.639999</v>
      </c>
      <c r="E99" s="1">
        <v>-2065.51001</v>
      </c>
      <c r="F99" s="1">
        <v>1011.72998</v>
      </c>
      <c r="G99" s="1">
        <v>8.1799990000000005</v>
      </c>
      <c r="H99" s="1">
        <v>0</v>
      </c>
      <c r="I99" s="1">
        <v>-1E-4</v>
      </c>
      <c r="J99" s="1">
        <v>2.0093999999999999</v>
      </c>
      <c r="K99" s="1">
        <v>-3.1099999999999999E-3</v>
      </c>
      <c r="L99" s="1">
        <v>6.2799999999999998E-4</v>
      </c>
      <c r="M99" s="1">
        <v>0.980549</v>
      </c>
      <c r="N99" s="1">
        <v>0.19625000000000001</v>
      </c>
      <c r="O99">
        <v>1</v>
      </c>
      <c r="P99">
        <v>0</v>
      </c>
      <c r="Q99">
        <v>1</v>
      </c>
      <c r="R99">
        <v>1</v>
      </c>
      <c r="S99">
        <v>1</v>
      </c>
      <c r="T99" s="1">
        <f>SQRT(POWER(Plank[[#This Row],[angvel_X]],2) + POWER(Plank[[#This Row],[angvel_Y]],2) + POWER(Plank[[#This Row],[angvel_Z]],2))</f>
        <v>2.009400002488305</v>
      </c>
      <c r="U99" s="1">
        <f>DEGREES(ASIN(MAX(-1,MIN(1,2 * (Plank[[#This Row],[quart_W]]*Plank[[#This Row],[quart_Y]] - Plank[[#This Row],[quart_Z]]*Plank[[#This Row],[quart_X]])))))</f>
        <v>0.36357308270640021</v>
      </c>
      <c r="V9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-67.364393578858326</v>
      </c>
      <c r="W9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89.999375776041617</v>
      </c>
      <c r="X99" s="1">
        <f>IF(Plank[[#This Row],[Yaw]]&gt;V98,(360-ABS(Plank[[#This Row],[Yaw]])-ABS(V98)),ABS(Plank[[#This Row],[Yaw]]-V98))</f>
        <v>0.95852917712929298</v>
      </c>
      <c r="Y99" s="1">
        <f>Plank[[#This Row],[Degree change]]+Y98</f>
        <v>36.514878204270381</v>
      </c>
    </row>
    <row r="100" spans="1:25">
      <c r="A100">
        <v>99</v>
      </c>
      <c r="B100" s="1">
        <v>-263.13000499999998</v>
      </c>
      <c r="C100" s="1">
        <v>2549.179932</v>
      </c>
      <c r="D100" s="1">
        <v>18.639999</v>
      </c>
      <c r="E100" s="1">
        <v>-2081.959961</v>
      </c>
      <c r="F100" s="1">
        <v>977.40997300000004</v>
      </c>
      <c r="G100" s="1">
        <v>8.1799990000000005</v>
      </c>
      <c r="H100" s="1">
        <v>0</v>
      </c>
      <c r="I100" s="1">
        <v>-1E-4</v>
      </c>
      <c r="J100" s="1">
        <v>2.0112999999999999</v>
      </c>
      <c r="K100" s="1">
        <v>-3.1159999999999998E-3</v>
      </c>
      <c r="L100" s="1">
        <v>6.02E-4</v>
      </c>
      <c r="M100" s="1">
        <v>0.98215699999999995</v>
      </c>
      <c r="N100" s="1">
        <v>0.18803400000000001</v>
      </c>
      <c r="O100">
        <v>1</v>
      </c>
      <c r="P100">
        <v>0</v>
      </c>
      <c r="Q100">
        <v>1</v>
      </c>
      <c r="R100">
        <v>1</v>
      </c>
      <c r="S100">
        <v>1</v>
      </c>
      <c r="T100" s="1">
        <f>SQRT(POWER(Plank[[#This Row],[angvel_X]],2) + POWER(Plank[[#This Row],[angvel_Y]],2) + POWER(Plank[[#This Row],[angvel_Z]],2))</f>
        <v>2.0113000024859544</v>
      </c>
      <c r="U100" s="1">
        <f>DEGREES(ASIN(MAX(-1,MIN(1,2 * (Plank[[#This Row],[quart_W]]*Plank[[#This Row],[quart_Y]] - Plank[[#This Row],[quart_Z]]*Plank[[#This Row],[quart_X]])))))</f>
        <v>0.36366994775602512</v>
      </c>
      <c r="V10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-68.323720973857775</v>
      </c>
      <c r="W10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89.999387545054276</v>
      </c>
      <c r="X100" s="1">
        <f>IF(Plank[[#This Row],[Yaw]]&gt;V99,(360-ABS(Plank[[#This Row],[Yaw]])-ABS(V99)),ABS(Plank[[#This Row],[Yaw]]-V99))</f>
        <v>0.9593273949994483</v>
      </c>
      <c r="Y100" s="1">
        <f>Plank[[#This Row],[Degree change]]+Y99</f>
        <v>37.47420559926983</v>
      </c>
    </row>
    <row r="101" spans="1:25">
      <c r="A101">
        <v>100</v>
      </c>
      <c r="B101" s="1">
        <v>-280.540009</v>
      </c>
      <c r="C101" s="1">
        <v>2557.3498540000001</v>
      </c>
      <c r="D101" s="1">
        <v>18.639999</v>
      </c>
      <c r="E101" s="1">
        <v>-2097.8798830000001</v>
      </c>
      <c r="F101" s="1">
        <v>942.75994900000001</v>
      </c>
      <c r="G101" s="1">
        <v>8.1799990000000005</v>
      </c>
      <c r="H101" s="1">
        <v>0</v>
      </c>
      <c r="I101" s="1">
        <v>-1E-4</v>
      </c>
      <c r="J101" s="1">
        <v>2.0129999999999999</v>
      </c>
      <c r="K101" s="1">
        <v>-3.1210000000000001E-3</v>
      </c>
      <c r="L101" s="1">
        <v>5.7499999999999999E-4</v>
      </c>
      <c r="M101" s="1">
        <v>0.98369899999999999</v>
      </c>
      <c r="N101" s="1">
        <v>0.17979600000000001</v>
      </c>
      <c r="O101">
        <v>1</v>
      </c>
      <c r="P101">
        <v>0</v>
      </c>
      <c r="Q101">
        <v>1</v>
      </c>
      <c r="R101">
        <v>1</v>
      </c>
      <c r="S101">
        <v>1</v>
      </c>
      <c r="T101" s="1">
        <f>SQRT(POWER(Plank[[#This Row],[angvel_X]],2) + POWER(Plank[[#This Row],[angvel_Y]],2) + POWER(Plank[[#This Row],[angvel_Z]],2))</f>
        <v>2.0130000024838548</v>
      </c>
      <c r="U101" s="1">
        <f>DEGREES(ASIN(MAX(-1,MIN(1,2 * (Plank[[#This Row],[quart_W]]*Plank[[#This Row],[quart_Y]] - Plank[[#This Row],[quart_Z]]*Plank[[#This Row],[quart_X]])))))</f>
        <v>0.36365958835582751</v>
      </c>
      <c r="V10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-69.284153095286499</v>
      </c>
      <c r="W10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89.999486205905527</v>
      </c>
      <c r="X101" s="1">
        <f>IF(Plank[[#This Row],[Yaw]]&gt;V100,(360-ABS(Plank[[#This Row],[Yaw]])-ABS(V100)),ABS(Plank[[#This Row],[Yaw]]-V100))</f>
        <v>0.96043212142872392</v>
      </c>
      <c r="Y101" s="1">
        <f>Plank[[#This Row],[Degree change]]+Y100</f>
        <v>38.434637720698554</v>
      </c>
    </row>
    <row r="102" spans="1:25">
      <c r="A102">
        <v>101</v>
      </c>
      <c r="B102" s="1">
        <v>-298.08999599999999</v>
      </c>
      <c r="C102" s="1">
        <v>2565.2299800000001</v>
      </c>
      <c r="D102" s="1">
        <v>18.639999</v>
      </c>
      <c r="E102" s="1">
        <v>-2113.25</v>
      </c>
      <c r="F102" s="1">
        <v>907.78997800000002</v>
      </c>
      <c r="G102" s="1">
        <v>8.1799990000000005</v>
      </c>
      <c r="H102" s="1">
        <v>0</v>
      </c>
      <c r="I102" s="1">
        <v>-1E-4</v>
      </c>
      <c r="J102" s="1">
        <v>2.0146000000000002</v>
      </c>
      <c r="K102" s="1">
        <v>-3.1259999999999999E-3</v>
      </c>
      <c r="L102" s="1">
        <v>5.4799999999999998E-4</v>
      </c>
      <c r="M102" s="1">
        <v>0.98517299999999997</v>
      </c>
      <c r="N102" s="1">
        <v>0.17153599999999999</v>
      </c>
      <c r="O102">
        <v>1</v>
      </c>
      <c r="P102">
        <v>0</v>
      </c>
      <c r="Q102">
        <v>1</v>
      </c>
      <c r="R102">
        <v>1</v>
      </c>
      <c r="S102">
        <v>1</v>
      </c>
      <c r="T102" s="1">
        <f>SQRT(POWER(Plank[[#This Row],[angvel_X]],2) + POWER(Plank[[#This Row],[angvel_Y]],2) + POWER(Plank[[#This Row],[angvel_Z]],2))</f>
        <v>2.0146000024818824</v>
      </c>
      <c r="U102" s="1">
        <f>DEGREES(ASIN(MAX(-1,MIN(1,2 * (Plank[[#This Row],[quart_W]]*Plank[[#This Row],[quart_Y]] - Plank[[#This Row],[quart_Z]]*Plank[[#This Row],[quart_X]])))))</f>
        <v>0.36367623277127675</v>
      </c>
      <c r="V10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-70.245641138780186</v>
      </c>
      <c r="W10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89.999581357891074</v>
      </c>
      <c r="X102" s="1">
        <f>IF(Plank[[#This Row],[Yaw]]&gt;V101,(360-ABS(Plank[[#This Row],[Yaw]])-ABS(V101)),ABS(Plank[[#This Row],[Yaw]]-V101))</f>
        <v>0.96148804349368788</v>
      </c>
      <c r="Y102" s="1">
        <f>Plank[[#This Row],[Degree change]]+Y101</f>
        <v>39.396125764192242</v>
      </c>
    </row>
    <row r="103" spans="1:25">
      <c r="A103">
        <v>102</v>
      </c>
      <c r="B103" s="1">
        <v>-315.76998900000001</v>
      </c>
      <c r="C103" s="1">
        <v>2572.8198240000002</v>
      </c>
      <c r="D103" s="1">
        <v>18.639999</v>
      </c>
      <c r="E103" s="1">
        <v>-2128.0600589999999</v>
      </c>
      <c r="F103" s="1">
        <v>872.51000999999997</v>
      </c>
      <c r="G103" s="1">
        <v>8.1799990000000005</v>
      </c>
      <c r="H103" s="1">
        <v>0</v>
      </c>
      <c r="I103" s="1">
        <v>-1E-4</v>
      </c>
      <c r="J103" s="1">
        <v>2.0160999999999998</v>
      </c>
      <c r="K103" s="1">
        <v>-3.1319999999999998E-3</v>
      </c>
      <c r="L103" s="1">
        <v>5.2099999999999998E-4</v>
      </c>
      <c r="M103" s="1">
        <v>0.98657799999999995</v>
      </c>
      <c r="N103" s="1">
        <v>0.16326099999999999</v>
      </c>
      <c r="O103">
        <v>1</v>
      </c>
      <c r="P103">
        <v>0</v>
      </c>
      <c r="Q103">
        <v>1</v>
      </c>
      <c r="R103">
        <v>1</v>
      </c>
      <c r="S103">
        <v>1</v>
      </c>
      <c r="T103" s="1">
        <f>SQRT(POWER(Plank[[#This Row],[angvel_X]],2) + POWER(Plank[[#This Row],[angvel_Y]],2) + POWER(Plank[[#This Row],[angvel_Z]],2))</f>
        <v>2.0161000024800355</v>
      </c>
      <c r="U103" s="1">
        <f>DEGREES(ASIN(MAX(-1,MIN(1,2 * (Plank[[#This Row],[quart_W]]*Plank[[#This Row],[quart_Y]] - Plank[[#This Row],[quart_Z]]*Plank[[#This Row],[quart_X]])))))</f>
        <v>0.36383308324329816</v>
      </c>
      <c r="V10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-71.207461552572241</v>
      </c>
      <c r="W10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89.999693611975616</v>
      </c>
      <c r="X103" s="1">
        <f>IF(Plank[[#This Row],[Yaw]]&gt;V102,(360-ABS(Plank[[#This Row],[Yaw]])-ABS(V102)),ABS(Plank[[#This Row],[Yaw]]-V102))</f>
        <v>0.9618204137920543</v>
      </c>
      <c r="Y103" s="1">
        <f>Plank[[#This Row],[Degree change]]+Y102</f>
        <v>40.357946177984296</v>
      </c>
    </row>
    <row r="104" spans="1:25">
      <c r="A104">
        <v>103</v>
      </c>
      <c r="B104" s="1">
        <v>-333.57000699999998</v>
      </c>
      <c r="C104" s="1">
        <v>2580.1098630000001</v>
      </c>
      <c r="D104" s="1">
        <v>18.639999</v>
      </c>
      <c r="E104" s="1">
        <v>-2142.3000489999999</v>
      </c>
      <c r="F104" s="1">
        <v>836.94000200000005</v>
      </c>
      <c r="G104" s="1">
        <v>8.1799990000000005</v>
      </c>
      <c r="H104" s="1">
        <v>0</v>
      </c>
      <c r="I104" s="1">
        <v>-1E-4</v>
      </c>
      <c r="J104" s="1">
        <v>2.0175000000000001</v>
      </c>
      <c r="K104" s="1">
        <v>-3.137E-3</v>
      </c>
      <c r="L104" s="1">
        <v>4.9399999999999997E-4</v>
      </c>
      <c r="M104" s="1">
        <v>0.98791399999999996</v>
      </c>
      <c r="N104" s="1">
        <v>0.154969</v>
      </c>
      <c r="O104">
        <v>1</v>
      </c>
      <c r="P104">
        <v>0</v>
      </c>
      <c r="Q104">
        <v>1</v>
      </c>
      <c r="R104">
        <v>1</v>
      </c>
      <c r="S104">
        <v>1</v>
      </c>
      <c r="T104" s="1">
        <f>SQRT(POWER(Plank[[#This Row],[angvel_X]],2) + POWER(Plank[[#This Row],[angvel_Y]],2) + POWER(Plank[[#This Row],[angvel_Z]],2))</f>
        <v>2.017500002478315</v>
      </c>
      <c r="U104" s="1">
        <f>DEGREES(ASIN(MAX(-1,MIN(1,2 * (Plank[[#This Row],[quart_W]]*Plank[[#This Row],[quart_Y]] - Plank[[#This Row],[quart_Z]]*Plank[[#This Row],[quart_X]])))))</f>
        <v>0.36390408869911461</v>
      </c>
      <c r="V10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-72.169901315042935</v>
      </c>
      <c r="W10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89.999783215556064</v>
      </c>
      <c r="X104" s="1">
        <f>IF(Plank[[#This Row],[Yaw]]&gt;V103,(360-ABS(Plank[[#This Row],[Yaw]])-ABS(V103)),ABS(Plank[[#This Row],[Yaw]]-V103))</f>
        <v>0.9624397624706944</v>
      </c>
      <c r="Y104" s="1">
        <f>Plank[[#This Row],[Degree change]]+Y103</f>
        <v>41.32038594045499</v>
      </c>
    </row>
    <row r="105" spans="1:25">
      <c r="A105">
        <v>104</v>
      </c>
      <c r="B105" s="1">
        <v>-351.48998999999998</v>
      </c>
      <c r="C105" s="1">
        <v>2587.1098630000001</v>
      </c>
      <c r="D105" s="1">
        <v>18.639999</v>
      </c>
      <c r="E105" s="1">
        <v>-2155.959961</v>
      </c>
      <c r="F105" s="1">
        <v>801.089966</v>
      </c>
      <c r="G105" s="1">
        <v>8.1799990000000005</v>
      </c>
      <c r="H105" s="1">
        <v>0</v>
      </c>
      <c r="I105" s="1">
        <v>-1E-4</v>
      </c>
      <c r="J105" s="1">
        <v>2.0186999999999999</v>
      </c>
      <c r="K105" s="1">
        <v>-3.1419999999999998E-3</v>
      </c>
      <c r="L105" s="1">
        <v>4.6700000000000002E-4</v>
      </c>
      <c r="M105" s="1">
        <v>0.98918200000000001</v>
      </c>
      <c r="N105" s="1">
        <v>0.14666100000000001</v>
      </c>
      <c r="O105">
        <v>1</v>
      </c>
      <c r="P105">
        <v>0</v>
      </c>
      <c r="Q105">
        <v>1</v>
      </c>
      <c r="R105">
        <v>1</v>
      </c>
      <c r="S105">
        <v>1</v>
      </c>
      <c r="T105" s="1">
        <f>SQRT(POWER(Plank[[#This Row],[angvel_X]],2) + POWER(Plank[[#This Row],[angvel_Y]],2) + POWER(Plank[[#This Row],[angvel_Z]],2))</f>
        <v>2.0187000024768413</v>
      </c>
      <c r="U105" s="1">
        <f>DEGREES(ASIN(MAX(-1,MIN(1,2 * (Plank[[#This Row],[quart_W]]*Plank[[#This Row],[quart_Y]] - Plank[[#This Row],[quart_Z]]*Plank[[#This Row],[quart_X]])))))</f>
        <v>0.36400259668462948</v>
      </c>
      <c r="V10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-73.132977228614806</v>
      </c>
      <c r="W10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89.999869462453873</v>
      </c>
      <c r="X105" s="1">
        <f>IF(Plank[[#This Row],[Yaw]]&gt;V104,(360-ABS(Plank[[#This Row],[Yaw]])-ABS(V104)),ABS(Plank[[#This Row],[Yaw]]-V104))</f>
        <v>0.9630759135718705</v>
      </c>
      <c r="Y105" s="1">
        <f>Plank[[#This Row],[Degree change]]+Y104</f>
        <v>42.283461854026861</v>
      </c>
    </row>
    <row r="106" spans="1:25">
      <c r="A106">
        <v>105</v>
      </c>
      <c r="B106" s="1">
        <v>-369.51998900000001</v>
      </c>
      <c r="C106" s="1">
        <v>2593.8100589999999</v>
      </c>
      <c r="D106" s="1">
        <v>18.639999</v>
      </c>
      <c r="E106" s="1">
        <v>-2169.040039</v>
      </c>
      <c r="F106" s="1">
        <v>764.96997099999999</v>
      </c>
      <c r="G106" s="1">
        <v>8.1799990000000005</v>
      </c>
      <c r="H106" s="1">
        <v>0</v>
      </c>
      <c r="I106" s="1">
        <v>-1E-4</v>
      </c>
      <c r="J106" s="1">
        <v>2.0198999999999998</v>
      </c>
      <c r="K106" s="1">
        <v>-3.1480000000000002E-3</v>
      </c>
      <c r="L106" s="1">
        <v>4.4000000000000002E-4</v>
      </c>
      <c r="M106" s="1">
        <v>0.99038000000000004</v>
      </c>
      <c r="N106" s="1">
        <v>0.13833699999999999</v>
      </c>
      <c r="O106">
        <v>1</v>
      </c>
      <c r="P106">
        <v>0</v>
      </c>
      <c r="Q106">
        <v>1</v>
      </c>
      <c r="R106">
        <v>1</v>
      </c>
      <c r="S106">
        <v>1</v>
      </c>
      <c r="T106" s="1">
        <f>SQRT(POWER(Plank[[#This Row],[angvel_X]],2) + POWER(Plank[[#This Row],[angvel_Y]],2) + POWER(Plank[[#This Row],[angvel_Z]],2))</f>
        <v>2.0199000024753699</v>
      </c>
      <c r="U106" s="1">
        <f>DEGREES(ASIN(MAX(-1,MIN(1,2 * (Plank[[#This Row],[quart_W]]*Plank[[#This Row],[quart_Y]] - Plank[[#This Row],[quart_Z]]*Plank[[#This Row],[quart_X]])))))</f>
        <v>0.36424140905565211</v>
      </c>
      <c r="V10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-74.096659838846833</v>
      </c>
      <c r="W10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89.999967647398933</v>
      </c>
      <c r="X106" s="1">
        <f>IF(Plank[[#This Row],[Yaw]]&gt;V105,(360-ABS(Plank[[#This Row],[Yaw]])-ABS(V105)),ABS(Plank[[#This Row],[Yaw]]-V105))</f>
        <v>0.96368261023202706</v>
      </c>
      <c r="Y106" s="1">
        <f>Plank[[#This Row],[Degree change]]+Y105</f>
        <v>43.247144464258888</v>
      </c>
    </row>
    <row r="107" spans="1:25">
      <c r="A107">
        <v>106</v>
      </c>
      <c r="B107" s="1">
        <v>-387.66000400000001</v>
      </c>
      <c r="C107" s="1">
        <v>2600.1999510000001</v>
      </c>
      <c r="D107" s="1">
        <v>18.639999</v>
      </c>
      <c r="E107" s="1">
        <v>-2181.5200199999999</v>
      </c>
      <c r="F107" s="1">
        <v>728.59997599999997</v>
      </c>
      <c r="G107" s="1">
        <v>8.1799990000000005</v>
      </c>
      <c r="H107" s="1">
        <v>0</v>
      </c>
      <c r="I107" s="1">
        <v>-1E-4</v>
      </c>
      <c r="J107" s="1">
        <v>2.0209999999999999</v>
      </c>
      <c r="K107" s="1">
        <v>-3.153E-3</v>
      </c>
      <c r="L107" s="1">
        <v>4.1300000000000001E-4</v>
      </c>
      <c r="M107" s="1">
        <v>0.99150899999999997</v>
      </c>
      <c r="N107" s="1">
        <v>0.129996</v>
      </c>
      <c r="O107">
        <v>1</v>
      </c>
      <c r="P107">
        <v>0</v>
      </c>
      <c r="Q107">
        <v>1</v>
      </c>
      <c r="R107">
        <v>1</v>
      </c>
      <c r="S107">
        <v>1</v>
      </c>
      <c r="T107" s="1">
        <f>SQRT(POWER(Plank[[#This Row],[angvel_X]],2) + POWER(Plank[[#This Row],[angvel_Y]],2) + POWER(Plank[[#This Row],[angvel_Z]],2))</f>
        <v>2.0210000024740227</v>
      </c>
      <c r="U107" s="1">
        <f>DEGREES(ASIN(MAX(-1,MIN(1,2 * (Plank[[#This Row],[quart_W]]*Plank[[#This Row],[quart_Y]] - Plank[[#This Row],[quart_Z]]*Plank[[#This Row],[quart_X]])))))</f>
        <v>0.3643940142927517</v>
      </c>
      <c r="V10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-75.061183039764913</v>
      </c>
      <c r="W10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90.000044023644151</v>
      </c>
      <c r="X107" s="1">
        <f>IF(Plank[[#This Row],[Yaw]]&gt;V106,(360-ABS(Plank[[#This Row],[Yaw]])-ABS(V106)),ABS(Plank[[#This Row],[Yaw]]-V106))</f>
        <v>0.96452320091808019</v>
      </c>
      <c r="Y107" s="1">
        <f>Plank[[#This Row],[Degree change]]+Y106</f>
        <v>44.211667665176968</v>
      </c>
    </row>
    <row r="108" spans="1:25">
      <c r="A108">
        <v>107</v>
      </c>
      <c r="B108" s="1">
        <v>-405.91000400000001</v>
      </c>
      <c r="C108" s="1">
        <v>2606.290039</v>
      </c>
      <c r="D108" s="1">
        <v>18.639999</v>
      </c>
      <c r="E108" s="1">
        <v>-2193.4099120000001</v>
      </c>
      <c r="F108" s="1">
        <v>691.97997999999995</v>
      </c>
      <c r="G108" s="1">
        <v>8.1799990000000005</v>
      </c>
      <c r="H108" s="1">
        <v>0</v>
      </c>
      <c r="I108" s="1">
        <v>-1E-4</v>
      </c>
      <c r="J108" s="1">
        <v>2.0219999999999998</v>
      </c>
      <c r="K108" s="1">
        <v>-3.1589999999999999E-3</v>
      </c>
      <c r="L108" s="1">
        <v>3.86E-4</v>
      </c>
      <c r="M108" s="1">
        <v>0.99256800000000001</v>
      </c>
      <c r="N108" s="1">
        <v>0.121645</v>
      </c>
      <c r="O108">
        <v>1</v>
      </c>
      <c r="P108">
        <v>0</v>
      </c>
      <c r="Q108">
        <v>1</v>
      </c>
      <c r="R108">
        <v>1</v>
      </c>
      <c r="S108">
        <v>1</v>
      </c>
      <c r="T108" s="1">
        <f>SQRT(POWER(Plank[[#This Row],[angvel_X]],2) + POWER(Plank[[#This Row],[angvel_Y]],2) + POWER(Plank[[#This Row],[angvel_Z]],2))</f>
        <v>2.0220000024727991</v>
      </c>
      <c r="U108" s="1">
        <f>DEGREES(ASIN(MAX(-1,MIN(1,2 * (Plank[[#This Row],[quart_W]]*Plank[[#This Row],[quart_Y]] - Plank[[#This Row],[quart_Z]]*Plank[[#This Row],[quart_X]])))))</f>
        <v>0.36468749574726916</v>
      </c>
      <c r="V10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-76.025805432664555</v>
      </c>
      <c r="W10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90.000131245173264</v>
      </c>
      <c r="X108" s="1">
        <f>IF(Plank[[#This Row],[Yaw]]&gt;V107,(360-ABS(Plank[[#This Row],[Yaw]])-ABS(V107)),ABS(Plank[[#This Row],[Yaw]]-V107))</f>
        <v>0.96462239289964202</v>
      </c>
      <c r="Y108" s="1">
        <f>Plank[[#This Row],[Degree change]]+Y107</f>
        <v>45.17629005807661</v>
      </c>
    </row>
    <row r="109" spans="1:25">
      <c r="A109">
        <v>108</v>
      </c>
      <c r="B109" s="1">
        <v>-424.25997899999999</v>
      </c>
      <c r="C109" s="1">
        <v>2612.0698240000002</v>
      </c>
      <c r="D109" s="1">
        <v>18.639999</v>
      </c>
      <c r="E109" s="1">
        <v>-2204.6999510000001</v>
      </c>
      <c r="F109" s="1">
        <v>655.14001499999995</v>
      </c>
      <c r="G109" s="1">
        <v>8.1799990000000005</v>
      </c>
      <c r="H109" s="1">
        <v>0</v>
      </c>
      <c r="I109" s="1">
        <v>0</v>
      </c>
      <c r="J109" s="1">
        <v>2.0228999999999999</v>
      </c>
      <c r="K109" s="1">
        <v>-3.1640000000000001E-3</v>
      </c>
      <c r="L109" s="1">
        <v>3.59E-4</v>
      </c>
      <c r="M109" s="1">
        <v>0.99355800000000005</v>
      </c>
      <c r="N109" s="1">
        <v>0.113278</v>
      </c>
      <c r="O109">
        <v>1</v>
      </c>
      <c r="P109">
        <v>0</v>
      </c>
      <c r="Q109">
        <v>1</v>
      </c>
      <c r="R109">
        <v>1</v>
      </c>
      <c r="S109">
        <v>1</v>
      </c>
      <c r="T109" s="1">
        <f>SQRT(POWER(Plank[[#This Row],[angvel_X]],2) + POWER(Plank[[#This Row],[angvel_Y]],2) + POWER(Plank[[#This Row],[angvel_Z]],2))</f>
        <v>2.0228999999999999</v>
      </c>
      <c r="U109" s="1">
        <f>DEGREES(ASIN(MAX(-1,MIN(1,2 * (Plank[[#This Row],[quart_W]]*Plank[[#This Row],[quart_Y]] - Plank[[#This Row],[quart_Z]]*Plank[[#This Row],[quart_X]])))))</f>
        <v>0.36489457055835833</v>
      </c>
      <c r="V10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-76.991298928725527</v>
      </c>
      <c r="W10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90.000197590794542</v>
      </c>
      <c r="X109" s="1">
        <f>IF(Plank[[#This Row],[Yaw]]&gt;V108,(360-ABS(Plank[[#This Row],[Yaw]])-ABS(V108)),ABS(Plank[[#This Row],[Yaw]]-V108))</f>
        <v>0.96549349606097223</v>
      </c>
      <c r="Y109" s="1">
        <f>Plank[[#This Row],[Degree change]]+Y108</f>
        <v>46.141783554137582</v>
      </c>
    </row>
    <row r="110" spans="1:25">
      <c r="A110">
        <v>109</v>
      </c>
      <c r="B110" s="1">
        <v>-442.69998199999998</v>
      </c>
      <c r="C110" s="1">
        <v>2617.540039</v>
      </c>
      <c r="D110" s="1">
        <v>18.639999</v>
      </c>
      <c r="E110" s="1">
        <v>-2215.3698730000001</v>
      </c>
      <c r="F110" s="1">
        <v>618.07995600000004</v>
      </c>
      <c r="G110" s="1">
        <v>8.1799990000000005</v>
      </c>
      <c r="H110" s="1">
        <v>0</v>
      </c>
      <c r="I110" s="1">
        <v>0</v>
      </c>
      <c r="J110" s="1">
        <v>2.0236999999999998</v>
      </c>
      <c r="K110" s="1">
        <v>-3.1689999999999999E-3</v>
      </c>
      <c r="L110" s="1">
        <v>3.3199999999999999E-4</v>
      </c>
      <c r="M110" s="1">
        <v>0.99447799999999997</v>
      </c>
      <c r="N110" s="1">
        <v>0.10489999999999999</v>
      </c>
      <c r="O110">
        <v>1</v>
      </c>
      <c r="P110">
        <v>0</v>
      </c>
      <c r="Q110">
        <v>1</v>
      </c>
      <c r="R110">
        <v>1</v>
      </c>
      <c r="S110">
        <v>1</v>
      </c>
      <c r="T110" s="1">
        <f>SQRT(POWER(Plank[[#This Row],[angvel_X]],2) + POWER(Plank[[#This Row],[angvel_Y]],2) + POWER(Plank[[#This Row],[angvel_Z]],2))</f>
        <v>2.0236999999999998</v>
      </c>
      <c r="U110" s="1">
        <f>DEGREES(ASIN(MAX(-1,MIN(1,2 * (Plank[[#This Row],[quart_W]]*Plank[[#This Row],[quart_Y]] - Plank[[#This Row],[quart_Z]]*Plank[[#This Row],[quart_X]])))))</f>
        <v>0.36512871657540735</v>
      </c>
      <c r="V11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-77.957139277749818</v>
      </c>
      <c r="W11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90.000259143071986</v>
      </c>
      <c r="X110" s="1">
        <f>IF(Plank[[#This Row],[Yaw]]&gt;V109,(360-ABS(Plank[[#This Row],[Yaw]])-ABS(V109)),ABS(Plank[[#This Row],[Yaw]]-V109))</f>
        <v>0.96584034902429039</v>
      </c>
      <c r="Y110" s="1">
        <f>Plank[[#This Row],[Degree change]]+Y109</f>
        <v>47.107623903161873</v>
      </c>
    </row>
    <row r="111" spans="1:25">
      <c r="A111">
        <v>110</v>
      </c>
      <c r="B111" s="1">
        <v>-461.22998000000001</v>
      </c>
      <c r="C111" s="1">
        <v>2622.709961</v>
      </c>
      <c r="D111" s="1">
        <v>18.639999</v>
      </c>
      <c r="E111" s="1">
        <v>-2225.4399410000001</v>
      </c>
      <c r="F111" s="1">
        <v>580.80999799999995</v>
      </c>
      <c r="G111" s="1">
        <v>8.1799990000000005</v>
      </c>
      <c r="H111" s="1">
        <v>0</v>
      </c>
      <c r="I111" s="1">
        <v>0</v>
      </c>
      <c r="J111" s="1">
        <v>2.0245000000000002</v>
      </c>
      <c r="K111" s="1">
        <v>-3.1689999999999999E-3</v>
      </c>
      <c r="L111" s="1">
        <v>3.0499999999999999E-4</v>
      </c>
      <c r="M111" s="1">
        <v>0.99532699999999996</v>
      </c>
      <c r="N111" s="1">
        <v>9.6511E-2</v>
      </c>
      <c r="O111">
        <v>1</v>
      </c>
      <c r="P111">
        <v>0</v>
      </c>
      <c r="Q111">
        <v>1</v>
      </c>
      <c r="R111">
        <v>1</v>
      </c>
      <c r="S111">
        <v>1</v>
      </c>
      <c r="T111" s="1">
        <f>SQRT(POWER(Plank[[#This Row],[angvel_X]],2) + POWER(Plank[[#This Row],[angvel_Y]],2) + POWER(Plank[[#This Row],[angvel_Z]],2))</f>
        <v>2.0245000000000002</v>
      </c>
      <c r="U111" s="1">
        <f>DEGREES(ASIN(MAX(-1,MIN(1,2 * (Plank[[#This Row],[quart_W]]*Plank[[#This Row],[quart_Y]] - Plank[[#This Row],[quart_Z]]*Plank[[#This Row],[quart_X]])))))</f>
        <v>0.36481925991718267</v>
      </c>
      <c r="V11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-78.923361792649956</v>
      </c>
      <c r="W11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90.000259970430903</v>
      </c>
      <c r="X111" s="1">
        <f>IF(Plank[[#This Row],[Yaw]]&gt;V110,(360-ABS(Plank[[#This Row],[Yaw]])-ABS(V110)),ABS(Plank[[#This Row],[Yaw]]-V110))</f>
        <v>0.96622251490013866</v>
      </c>
      <c r="Y111" s="1">
        <f>Plank[[#This Row],[Degree change]]+Y110</f>
        <v>48.073846418062011</v>
      </c>
    </row>
    <row r="112" spans="1:25">
      <c r="A112">
        <v>111</v>
      </c>
      <c r="B112" s="1">
        <v>-479.83999599999999</v>
      </c>
      <c r="C112" s="1">
        <v>2627.5600589999999</v>
      </c>
      <c r="D112" s="1">
        <v>18.639999</v>
      </c>
      <c r="E112" s="1">
        <v>-2234.8798830000001</v>
      </c>
      <c r="F112" s="1">
        <v>543.34997599999997</v>
      </c>
      <c r="G112" s="1">
        <v>8.1799990000000005</v>
      </c>
      <c r="H112" s="1">
        <v>0</v>
      </c>
      <c r="I112" s="1">
        <v>0</v>
      </c>
      <c r="J112" s="1">
        <v>2.0251999999999999</v>
      </c>
      <c r="K112" s="1">
        <v>-3.1689999999999999E-3</v>
      </c>
      <c r="L112" s="1">
        <v>2.7799999999999998E-4</v>
      </c>
      <c r="M112" s="1">
        <v>0.99610600000000005</v>
      </c>
      <c r="N112" s="1">
        <v>8.8110999999999995E-2</v>
      </c>
      <c r="O112">
        <v>1</v>
      </c>
      <c r="P112">
        <v>0</v>
      </c>
      <c r="Q112">
        <v>1</v>
      </c>
      <c r="R112">
        <v>1</v>
      </c>
      <c r="S112">
        <v>1</v>
      </c>
      <c r="T112" s="1">
        <f>SQRT(POWER(Plank[[#This Row],[angvel_X]],2) + POWER(Plank[[#This Row],[angvel_Y]],2) + POWER(Plank[[#This Row],[angvel_Z]],2))</f>
        <v>2.0251999999999999</v>
      </c>
      <c r="U112" s="1">
        <f>DEGREES(ASIN(MAX(-1,MIN(1,2 * (Plank[[#This Row],[quart_W]]*Plank[[#This Row],[quart_Y]] - Plank[[#This Row],[quart_Z]]*Plank[[#This Row],[quart_X]])))))</f>
        <v>0.36453594419590873</v>
      </c>
      <c r="V11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-79.890073265644375</v>
      </c>
      <c r="W11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90.00026428683033</v>
      </c>
      <c r="X112" s="1">
        <f>IF(Plank[[#This Row],[Yaw]]&gt;V111,(360-ABS(Plank[[#This Row],[Yaw]])-ABS(V111)),ABS(Plank[[#This Row],[Yaw]]-V111))</f>
        <v>0.96671147299441884</v>
      </c>
      <c r="Y112" s="1">
        <f>Plank[[#This Row],[Degree change]]+Y111</f>
        <v>49.04055789105643</v>
      </c>
    </row>
    <row r="113" spans="1:25">
      <c r="A113">
        <v>112</v>
      </c>
      <c r="B113" s="1">
        <v>-498.52999899999998</v>
      </c>
      <c r="C113" s="1">
        <v>2632.0998540000001</v>
      </c>
      <c r="D113" s="1">
        <v>18.639999</v>
      </c>
      <c r="E113" s="1">
        <v>-2243.6899410000001</v>
      </c>
      <c r="F113" s="1">
        <v>505.709991</v>
      </c>
      <c r="G113" s="1">
        <v>8.1799990000000005</v>
      </c>
      <c r="H113" s="1">
        <v>0</v>
      </c>
      <c r="I113" s="1">
        <v>0</v>
      </c>
      <c r="J113" s="1">
        <v>2.0257999999999998</v>
      </c>
      <c r="K113" s="1">
        <v>-3.1689999999999999E-3</v>
      </c>
      <c r="L113" s="1">
        <v>2.5099999999999998E-4</v>
      </c>
      <c r="M113" s="1">
        <v>0.99681399999999998</v>
      </c>
      <c r="N113" s="1">
        <v>7.9699999999999993E-2</v>
      </c>
      <c r="O113">
        <v>1</v>
      </c>
      <c r="P113">
        <v>0</v>
      </c>
      <c r="Q113">
        <v>1</v>
      </c>
      <c r="R113">
        <v>1</v>
      </c>
      <c r="S113">
        <v>1</v>
      </c>
      <c r="T113" s="1">
        <f>SQRT(POWER(Plank[[#This Row],[angvel_X]],2) + POWER(Plank[[#This Row],[angvel_Y]],2) + POWER(Plank[[#This Row],[angvel_Z]],2))</f>
        <v>2.0257999999999998</v>
      </c>
      <c r="U113" s="1">
        <f>DEGREES(ASIN(MAX(-1,MIN(1,2 * (Plank[[#This Row],[quart_W]]*Plank[[#This Row],[quart_Y]] - Plank[[#This Row],[quart_Z]]*Plank[[#This Row],[quart_X]])))))</f>
        <v>0.36427850836426273</v>
      </c>
      <c r="V11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-80.857313698773567</v>
      </c>
      <c r="W11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90.000271471285785</v>
      </c>
      <c r="X113" s="1">
        <f>IF(Plank[[#This Row],[Yaw]]&gt;V112,(360-ABS(Plank[[#This Row],[Yaw]])-ABS(V112)),ABS(Plank[[#This Row],[Yaw]]-V112))</f>
        <v>0.9672404331291915</v>
      </c>
      <c r="Y113" s="1">
        <f>Plank[[#This Row],[Degree change]]+Y112</f>
        <v>50.007798324185622</v>
      </c>
    </row>
    <row r="114" spans="1:25">
      <c r="A114">
        <v>113</v>
      </c>
      <c r="B114" s="1">
        <v>-517.29998799999998</v>
      </c>
      <c r="C114" s="1">
        <v>2636.3298340000001</v>
      </c>
      <c r="D114" s="1">
        <v>18.639999</v>
      </c>
      <c r="E114" s="1">
        <v>-2251.8798830000001</v>
      </c>
      <c r="F114" s="1">
        <v>467.89999399999999</v>
      </c>
      <c r="G114" s="1">
        <v>8.1799990000000005</v>
      </c>
      <c r="H114" s="1">
        <v>0</v>
      </c>
      <c r="I114" s="1">
        <v>0</v>
      </c>
      <c r="J114" s="1">
        <v>2.0264000000000002</v>
      </c>
      <c r="K114" s="1">
        <v>-3.1689999999999999E-3</v>
      </c>
      <c r="L114" s="1">
        <v>2.24E-4</v>
      </c>
      <c r="M114" s="1">
        <v>0.99745099999999998</v>
      </c>
      <c r="N114" s="1">
        <v>7.1284E-2</v>
      </c>
      <c r="O114">
        <v>1</v>
      </c>
      <c r="P114">
        <v>0</v>
      </c>
      <c r="Q114">
        <v>1</v>
      </c>
      <c r="R114">
        <v>1</v>
      </c>
      <c r="S114">
        <v>1</v>
      </c>
      <c r="T114" s="1">
        <f>SQRT(POWER(Plank[[#This Row],[angvel_X]],2) + POWER(Plank[[#This Row],[angvel_Y]],2) + POWER(Plank[[#This Row],[angvel_Z]],2))</f>
        <v>2.0264000000000002</v>
      </c>
      <c r="U114" s="1">
        <f>DEGREES(ASIN(MAX(-1,MIN(1,2 * (Plank[[#This Row],[quart_W]]*Plank[[#This Row],[quart_Y]] - Plank[[#This Row],[quart_Z]]*Plank[[#This Row],[quart_X]])))))</f>
        <v>0.3640472085373252</v>
      </c>
      <c r="V11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-81.82447924635197</v>
      </c>
      <c r="W11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90.0002830436556</v>
      </c>
      <c r="X114" s="1">
        <f>IF(Plank[[#This Row],[Yaw]]&gt;V113,(360-ABS(Plank[[#This Row],[Yaw]])-ABS(V113)),ABS(Plank[[#This Row],[Yaw]]-V113))</f>
        <v>0.96716554757840356</v>
      </c>
      <c r="Y114" s="1">
        <f>Plank[[#This Row],[Degree change]]+Y113</f>
        <v>50.974963871764025</v>
      </c>
    </row>
    <row r="115" spans="1:25">
      <c r="A115">
        <v>114</v>
      </c>
      <c r="B115" s="1">
        <v>-536.13000499999998</v>
      </c>
      <c r="C115" s="1">
        <v>2640.23999</v>
      </c>
      <c r="D115" s="1">
        <v>18.639999</v>
      </c>
      <c r="E115" s="1">
        <v>-2259.4399410000001</v>
      </c>
      <c r="F115" s="1">
        <v>429.94000199999999</v>
      </c>
      <c r="G115" s="1">
        <v>8.1799990000000005</v>
      </c>
      <c r="H115" s="1">
        <v>0</v>
      </c>
      <c r="I115" s="1">
        <v>0</v>
      </c>
      <c r="J115" s="1">
        <v>2.0268999999999999</v>
      </c>
      <c r="K115" s="1">
        <v>-3.1689999999999999E-3</v>
      </c>
      <c r="L115" s="1">
        <v>1.9699999999999999E-4</v>
      </c>
      <c r="M115" s="1">
        <v>0.99801700000000004</v>
      </c>
      <c r="N115" s="1">
        <v>6.2857999999999997E-2</v>
      </c>
      <c r="O115">
        <v>1</v>
      </c>
      <c r="P115">
        <v>0</v>
      </c>
      <c r="Q115">
        <v>1</v>
      </c>
      <c r="R115">
        <v>1</v>
      </c>
      <c r="S115">
        <v>1</v>
      </c>
      <c r="T115" s="1">
        <f>SQRT(POWER(Plank[[#This Row],[angvel_X]],2) + POWER(Plank[[#This Row],[angvel_Y]],2) + POWER(Plank[[#This Row],[angvel_Z]],2))</f>
        <v>2.0268999999999999</v>
      </c>
      <c r="U115" s="1">
        <f>DEGREES(ASIN(MAX(-1,MIN(1,2 * (Plank[[#This Row],[quart_W]]*Plank[[#This Row],[quart_Y]] - Plank[[#This Row],[quart_Z]]*Plank[[#This Row],[quart_X]])))))</f>
        <v>0.3638419782486359</v>
      </c>
      <c r="V11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-82.792205414243583</v>
      </c>
      <c r="W11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90.000296529170313</v>
      </c>
      <c r="X115" s="1">
        <f>IF(Plank[[#This Row],[Yaw]]&gt;V114,(360-ABS(Plank[[#This Row],[Yaw]])-ABS(V114)),ABS(Plank[[#This Row],[Yaw]]-V114))</f>
        <v>0.96772616789161248</v>
      </c>
      <c r="Y115" s="1">
        <f>Plank[[#This Row],[Degree change]]+Y114</f>
        <v>51.942690039655638</v>
      </c>
    </row>
    <row r="116" spans="1:25">
      <c r="A116">
        <v>115</v>
      </c>
      <c r="B116" s="1">
        <v>-555.02996800000005</v>
      </c>
      <c r="C116" s="1">
        <v>2643.8298340000001</v>
      </c>
      <c r="D116" s="1">
        <v>18.639999</v>
      </c>
      <c r="E116" s="1">
        <v>-2266.3598630000001</v>
      </c>
      <c r="F116" s="1">
        <v>391.82998700000002</v>
      </c>
      <c r="G116" s="1">
        <v>8.1799990000000005</v>
      </c>
      <c r="H116" s="1">
        <v>0</v>
      </c>
      <c r="I116" s="1">
        <v>0</v>
      </c>
      <c r="J116" s="1">
        <v>2.0274000000000001</v>
      </c>
      <c r="K116" s="1">
        <v>-3.1689999999999999E-3</v>
      </c>
      <c r="L116" s="1">
        <v>1.7000000000000001E-4</v>
      </c>
      <c r="M116" s="1">
        <v>0.99851299999999998</v>
      </c>
      <c r="N116" s="1">
        <v>5.4426000000000002E-2</v>
      </c>
      <c r="O116">
        <v>1</v>
      </c>
      <c r="P116">
        <v>0</v>
      </c>
      <c r="Q116">
        <v>1</v>
      </c>
      <c r="R116">
        <v>1</v>
      </c>
      <c r="S116">
        <v>1</v>
      </c>
      <c r="T116" s="1">
        <f>SQRT(POWER(Plank[[#This Row],[angvel_X]],2) + POWER(Plank[[#This Row],[angvel_Y]],2) + POWER(Plank[[#This Row],[angvel_Z]],2))</f>
        <v>2.0274000000000001</v>
      </c>
      <c r="U116" s="1">
        <f>DEGREES(ASIN(MAX(-1,MIN(1,2 * (Plank[[#This Row],[quart_W]]*Plank[[#This Row],[quart_Y]] - Plank[[#This Row],[quart_Z]]*Plank[[#This Row],[quart_X]])))))</f>
        <v>0.36366335138924039</v>
      </c>
      <c r="V11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-83.760128587907673</v>
      </c>
      <c r="W11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90.000312701911525</v>
      </c>
      <c r="X116" s="1">
        <f>IF(Plank[[#This Row],[Yaw]]&gt;V115,(360-ABS(Plank[[#This Row],[Yaw]])-ABS(V115)),ABS(Plank[[#This Row],[Yaw]]-V115))</f>
        <v>0.96792317366409009</v>
      </c>
      <c r="Y116" s="1">
        <f>Plank[[#This Row],[Degree change]]+Y115</f>
        <v>52.910613213319728</v>
      </c>
    </row>
    <row r="117" spans="1:25">
      <c r="A117">
        <v>116</v>
      </c>
      <c r="B117" s="1">
        <v>-573.97997999999995</v>
      </c>
      <c r="C117" s="1">
        <v>2647.0998540000001</v>
      </c>
      <c r="D117" s="1">
        <v>18.639999</v>
      </c>
      <c r="E117" s="1">
        <v>-2272.639893</v>
      </c>
      <c r="F117" s="1">
        <v>353.58999599999999</v>
      </c>
      <c r="G117" s="1">
        <v>8.1799990000000005</v>
      </c>
      <c r="H117" s="1">
        <v>0</v>
      </c>
      <c r="I117" s="1">
        <v>-1E-4</v>
      </c>
      <c r="J117" s="1">
        <v>2.0278999999999998</v>
      </c>
      <c r="K117" s="1">
        <v>-3.1689999999999999E-3</v>
      </c>
      <c r="L117" s="1">
        <v>1.4300000000000001E-4</v>
      </c>
      <c r="M117" s="1">
        <v>0.99893699999999996</v>
      </c>
      <c r="N117" s="1">
        <v>4.5988000000000001E-2</v>
      </c>
      <c r="O117">
        <v>1</v>
      </c>
      <c r="P117">
        <v>0</v>
      </c>
      <c r="Q117">
        <v>1</v>
      </c>
      <c r="R117">
        <v>1</v>
      </c>
      <c r="S117">
        <v>1</v>
      </c>
      <c r="T117" s="1">
        <f>SQRT(POWER(Plank[[#This Row],[angvel_X]],2) + POWER(Plank[[#This Row],[angvel_Y]],2) + POWER(Plank[[#This Row],[angvel_Z]],2))</f>
        <v>2.0279000024656044</v>
      </c>
      <c r="U117" s="1">
        <f>DEGREES(ASIN(MAX(-1,MIN(1,2 * (Plank[[#This Row],[quart_W]]*Plank[[#This Row],[quart_Y]] - Plank[[#This Row],[quart_Z]]*Plank[[#This Row],[quart_X]])))))</f>
        <v>0.36351065735425725</v>
      </c>
      <c r="V11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-84.728277198205902</v>
      </c>
      <c r="W11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90.000330944905812</v>
      </c>
      <c r="X117" s="1">
        <f>IF(Plank[[#This Row],[Yaw]]&gt;V116,(360-ABS(Plank[[#This Row],[Yaw]])-ABS(V116)),ABS(Plank[[#This Row],[Yaw]]-V116))</f>
        <v>0.96814861029822907</v>
      </c>
      <c r="Y117" s="1">
        <f>Plank[[#This Row],[Degree change]]+Y116</f>
        <v>53.878761823617957</v>
      </c>
    </row>
    <row r="118" spans="1:25">
      <c r="A118">
        <v>117</v>
      </c>
      <c r="B118" s="1">
        <v>-592.98999000000003</v>
      </c>
      <c r="C118" s="1">
        <v>2650.0500489999999</v>
      </c>
      <c r="D118" s="1">
        <v>18.639999</v>
      </c>
      <c r="E118" s="1">
        <v>-2278.2700199999999</v>
      </c>
      <c r="F118" s="1">
        <v>315.22998000000001</v>
      </c>
      <c r="G118" s="1">
        <v>8.1799990000000005</v>
      </c>
      <c r="H118" s="1">
        <v>0</v>
      </c>
      <c r="I118" s="1">
        <v>-1E-4</v>
      </c>
      <c r="J118" s="1">
        <v>2.0283000000000002</v>
      </c>
      <c r="K118" s="1">
        <v>-3.1689999999999999E-3</v>
      </c>
      <c r="L118" s="1">
        <v>1.16E-4</v>
      </c>
      <c r="M118" s="1">
        <v>0.99929000000000001</v>
      </c>
      <c r="N118" s="1">
        <v>3.7545000000000002E-2</v>
      </c>
      <c r="O118">
        <v>1</v>
      </c>
      <c r="P118">
        <v>0</v>
      </c>
      <c r="Q118">
        <v>1</v>
      </c>
      <c r="R118">
        <v>1</v>
      </c>
      <c r="S118">
        <v>1</v>
      </c>
      <c r="T118" s="1">
        <f>SQRT(POWER(Plank[[#This Row],[angvel_X]],2) + POWER(Plank[[#This Row],[angvel_Y]],2) + POWER(Plank[[#This Row],[angvel_Z]],2))</f>
        <v>2.0283000024651185</v>
      </c>
      <c r="U118" s="1">
        <f>DEGREES(ASIN(MAX(-1,MIN(1,2 * (Plank[[#This Row],[quart_W]]*Plank[[#This Row],[quart_Y]] - Plank[[#This Row],[quart_Z]]*Plank[[#This Row],[quart_X]])))))</f>
        <v>0.36338432827582973</v>
      </c>
      <c r="V11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-85.696626939135953</v>
      </c>
      <c r="W11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90.000350939696915</v>
      </c>
      <c r="X118" s="1">
        <f>IF(Plank[[#This Row],[Yaw]]&gt;V117,(360-ABS(Plank[[#This Row],[Yaw]])-ABS(V117)),ABS(Plank[[#This Row],[Yaw]]-V117))</f>
        <v>0.96834974093005144</v>
      </c>
      <c r="Y118" s="1">
        <f>Plank[[#This Row],[Degree change]]+Y117</f>
        <v>54.847111564548008</v>
      </c>
    </row>
    <row r="119" spans="1:25">
      <c r="A119">
        <v>118</v>
      </c>
      <c r="B119" s="1">
        <v>-612.03997800000002</v>
      </c>
      <c r="C119" s="1">
        <v>2652.679932</v>
      </c>
      <c r="D119" s="1">
        <v>18.639999</v>
      </c>
      <c r="E119" s="1">
        <v>-2283.2700199999999</v>
      </c>
      <c r="F119" s="1">
        <v>276.76998900000001</v>
      </c>
      <c r="G119" s="1">
        <v>8.1799990000000005</v>
      </c>
      <c r="H119" s="1">
        <v>0</v>
      </c>
      <c r="I119" s="1">
        <v>-1E-4</v>
      </c>
      <c r="J119" s="1">
        <v>2.0287000000000002</v>
      </c>
      <c r="K119" s="1">
        <v>-3.1689999999999999E-3</v>
      </c>
      <c r="L119" s="1">
        <v>8.8999999999999995E-5</v>
      </c>
      <c r="M119" s="1">
        <v>0.99957200000000002</v>
      </c>
      <c r="N119" s="1">
        <v>2.9097000000000001E-2</v>
      </c>
      <c r="O119">
        <v>1</v>
      </c>
      <c r="P119">
        <v>0</v>
      </c>
      <c r="Q119">
        <v>1</v>
      </c>
      <c r="R119">
        <v>1</v>
      </c>
      <c r="S119">
        <v>1</v>
      </c>
      <c r="T119" s="1">
        <f>SQRT(POWER(Plank[[#This Row],[angvel_X]],2) + POWER(Plank[[#This Row],[angvel_Y]],2) + POWER(Plank[[#This Row],[angvel_Z]],2))</f>
        <v>2.0287000024646327</v>
      </c>
      <c r="U119" s="1">
        <f>DEGREES(ASIN(MAX(-1,MIN(1,2 * (Plank[[#This Row],[quart_W]]*Plank[[#This Row],[quart_Y]] - Plank[[#This Row],[quart_Z]]*Plank[[#This Row],[quart_X]])))))</f>
        <v>0.36328441056336519</v>
      </c>
      <c r="V11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-86.665245146331117</v>
      </c>
      <c r="W11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90.000372027255608</v>
      </c>
      <c r="X119" s="1">
        <f>IF(Plank[[#This Row],[Yaw]]&gt;V118,(360-ABS(Plank[[#This Row],[Yaw]])-ABS(V118)),ABS(Plank[[#This Row],[Yaw]]-V118))</f>
        <v>0.96861820719516345</v>
      </c>
      <c r="Y119" s="1">
        <f>Plank[[#This Row],[Degree change]]+Y118</f>
        <v>55.815729771743172</v>
      </c>
    </row>
    <row r="120" spans="1:25">
      <c r="A120">
        <v>119</v>
      </c>
      <c r="B120" s="1">
        <v>-631.14001499999995</v>
      </c>
      <c r="C120" s="1">
        <v>2654.98999</v>
      </c>
      <c r="D120" s="1">
        <v>18.639999</v>
      </c>
      <c r="E120" s="1">
        <v>-2287.6098630000001</v>
      </c>
      <c r="F120" s="1">
        <v>238.209991</v>
      </c>
      <c r="G120" s="1">
        <v>8.1799990000000005</v>
      </c>
      <c r="H120" s="1">
        <v>0</v>
      </c>
      <c r="I120" s="1">
        <v>-1E-4</v>
      </c>
      <c r="J120" s="1">
        <v>2.0291000000000001</v>
      </c>
      <c r="K120" s="1">
        <v>-3.1689999999999999E-3</v>
      </c>
      <c r="L120" s="1">
        <v>6.2000000000000003E-5</v>
      </c>
      <c r="M120" s="1">
        <v>0.99978199999999995</v>
      </c>
      <c r="N120" s="1">
        <v>2.0649000000000001E-2</v>
      </c>
      <c r="O120">
        <v>1</v>
      </c>
      <c r="P120">
        <v>0</v>
      </c>
      <c r="Q120">
        <v>1</v>
      </c>
      <c r="R120">
        <v>1</v>
      </c>
      <c r="S120">
        <v>1</v>
      </c>
      <c r="T120" s="1">
        <f>SQRT(POWER(Plank[[#This Row],[angvel_X]],2) + POWER(Plank[[#This Row],[angvel_Y]],2) + POWER(Plank[[#This Row],[angvel_Z]],2))</f>
        <v>2.0291000024641468</v>
      </c>
      <c r="U120" s="1">
        <f>DEGREES(ASIN(MAX(-1,MIN(1,2 * (Plank[[#This Row],[quart_W]]*Plank[[#This Row],[quart_Y]] - Plank[[#This Row],[quart_Z]]*Plank[[#This Row],[quart_X]])))))</f>
        <v>0.36321062300265078</v>
      </c>
      <c r="V12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-87.633619259373503</v>
      </c>
      <c r="W12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90.000395371397289</v>
      </c>
      <c r="X120" s="1">
        <f>IF(Plank[[#This Row],[Yaw]]&gt;V119,(360-ABS(Plank[[#This Row],[Yaw]])-ABS(V119)),ABS(Plank[[#This Row],[Yaw]]-V119))</f>
        <v>0.96837411304238685</v>
      </c>
      <c r="Y120" s="1">
        <f>Plank[[#This Row],[Degree change]]+Y119</f>
        <v>56.784103884785559</v>
      </c>
    </row>
    <row r="121" spans="1:25">
      <c r="A121">
        <v>120</v>
      </c>
      <c r="B121" s="1">
        <v>-650.26995799999997</v>
      </c>
      <c r="C121" s="1">
        <v>2656.9799800000001</v>
      </c>
      <c r="D121" s="1">
        <v>18.639999</v>
      </c>
      <c r="E121" s="1">
        <v>-2291.3000489999999</v>
      </c>
      <c r="F121" s="1">
        <v>199.58000200000001</v>
      </c>
      <c r="G121" s="1">
        <v>8.1799990000000005</v>
      </c>
      <c r="H121" s="1">
        <v>0</v>
      </c>
      <c r="I121" s="1">
        <v>-2.0000000000000001E-4</v>
      </c>
      <c r="J121" s="1">
        <v>2.0293999999999999</v>
      </c>
      <c r="K121" s="1">
        <v>-3.1689999999999999E-3</v>
      </c>
      <c r="L121" s="1">
        <v>3.4999999999999997E-5</v>
      </c>
      <c r="M121" s="1">
        <v>0.99992099999999995</v>
      </c>
      <c r="N121" s="1">
        <v>1.2194999999999999E-2</v>
      </c>
      <c r="O121">
        <v>1</v>
      </c>
      <c r="P121">
        <v>0</v>
      </c>
      <c r="Q121">
        <v>1</v>
      </c>
      <c r="R121">
        <v>1</v>
      </c>
      <c r="S121">
        <v>1</v>
      </c>
      <c r="T121" s="1">
        <f>SQRT(POWER(Plank[[#This Row],[angvel_X]],2) + POWER(Plank[[#This Row],[angvel_Y]],2) + POWER(Plank[[#This Row],[angvel_Z]],2))</f>
        <v>2.0294000098551295</v>
      </c>
      <c r="U121" s="1">
        <f>DEGREES(ASIN(MAX(-1,MIN(1,2 * (Plank[[#This Row],[quart_W]]*Plank[[#This Row],[quart_Y]] - Plank[[#This Row],[quart_Z]]*Plank[[#This Row],[quart_X]])))))</f>
        <v>0.36316330467628094</v>
      </c>
      <c r="V12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-88.602514564296285</v>
      </c>
      <c r="W12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90.000418120912272</v>
      </c>
      <c r="X121" s="1">
        <f>IF(Plank[[#This Row],[Yaw]]&gt;V120,(360-ABS(Plank[[#This Row],[Yaw]])-ABS(V120)),ABS(Plank[[#This Row],[Yaw]]-V120))</f>
        <v>0.96889530492278197</v>
      </c>
      <c r="Y121" s="1">
        <f>Plank[[#This Row],[Degree change]]+Y120</f>
        <v>57.752999189708341</v>
      </c>
    </row>
    <row r="122" spans="1:25">
      <c r="A122">
        <v>121</v>
      </c>
      <c r="B122" s="1">
        <v>-669.42999299999997</v>
      </c>
      <c r="C122" s="1">
        <v>2658.639893</v>
      </c>
      <c r="D122" s="1">
        <v>18.639999</v>
      </c>
      <c r="E122" s="1">
        <v>-2294.3498540000001</v>
      </c>
      <c r="F122" s="1">
        <v>160.87998999999999</v>
      </c>
      <c r="G122" s="1">
        <v>8.1799990000000005</v>
      </c>
      <c r="H122" s="1">
        <v>0</v>
      </c>
      <c r="I122" s="1">
        <v>-2.0000000000000001E-4</v>
      </c>
      <c r="J122" s="1">
        <v>2.0297000000000001</v>
      </c>
      <c r="K122" s="1">
        <v>-3.1689999999999999E-3</v>
      </c>
      <c r="L122" s="1">
        <v>7.9999999999999996E-6</v>
      </c>
      <c r="M122" s="1">
        <v>0.99998799999999999</v>
      </c>
      <c r="N122" s="1">
        <v>3.741E-3</v>
      </c>
      <c r="O122">
        <v>1</v>
      </c>
      <c r="P122">
        <v>0</v>
      </c>
      <c r="Q122">
        <v>1</v>
      </c>
      <c r="R122">
        <v>1</v>
      </c>
      <c r="S122">
        <v>1</v>
      </c>
      <c r="T122" s="1">
        <f>SQRT(POWER(Plank[[#This Row],[angvel_X]],2) + POWER(Plank[[#This Row],[angvel_Y]],2) + POWER(Plank[[#This Row],[angvel_Z]],2))</f>
        <v>2.029700009853673</v>
      </c>
      <c r="U122" s="1">
        <f>DEGREES(ASIN(MAX(-1,MIN(1,2 * (Plank[[#This Row],[quart_W]]*Plank[[#This Row],[quart_Y]] - Plank[[#This Row],[quart_Z]]*Plank[[#This Row],[quart_X]])))))</f>
        <v>0.36314215362901714</v>
      </c>
      <c r="V12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-89.571308449431271</v>
      </c>
      <c r="W12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90.000441796575885</v>
      </c>
      <c r="X122" s="1">
        <f>IF(Plank[[#This Row],[Yaw]]&gt;V121,(360-ABS(Plank[[#This Row],[Yaw]])-ABS(V121)),ABS(Plank[[#This Row],[Yaw]]-V121))</f>
        <v>0.96879388513498554</v>
      </c>
      <c r="Y122" s="1">
        <f>Plank[[#This Row],[Degree change]]+Y121</f>
        <v>58.721793074843326</v>
      </c>
    </row>
    <row r="123" spans="1:25">
      <c r="A123">
        <v>122</v>
      </c>
      <c r="B123" s="1">
        <v>-688.61999500000002</v>
      </c>
      <c r="C123" s="1">
        <v>2659.9799800000001</v>
      </c>
      <c r="D123" s="1">
        <v>18.639999</v>
      </c>
      <c r="E123" s="1">
        <v>-2296.73999</v>
      </c>
      <c r="F123" s="1">
        <v>122.119995</v>
      </c>
      <c r="G123" s="1">
        <v>8.1799990000000005</v>
      </c>
      <c r="H123" s="1">
        <v>0</v>
      </c>
      <c r="I123" s="1">
        <v>-2.0000000000000001E-4</v>
      </c>
      <c r="J123" s="1">
        <v>2.0299999999999998</v>
      </c>
      <c r="K123" s="1">
        <v>-3.1689999999999999E-3</v>
      </c>
      <c r="L123" s="1">
        <v>-1.9000000000000001E-5</v>
      </c>
      <c r="M123" s="1">
        <v>0.99998399999999998</v>
      </c>
      <c r="N123" s="1">
        <v>-4.718E-3</v>
      </c>
      <c r="O123">
        <v>1</v>
      </c>
      <c r="P123">
        <v>0</v>
      </c>
      <c r="Q123">
        <v>1</v>
      </c>
      <c r="R123">
        <v>1</v>
      </c>
      <c r="S123">
        <v>1</v>
      </c>
      <c r="T123" s="1">
        <f>SQRT(POWER(Plank[[#This Row],[angvel_X]],2) + POWER(Plank[[#This Row],[angvel_Y]],2) + POWER(Plank[[#This Row],[angvel_Z]],2))</f>
        <v>2.0300000098522162</v>
      </c>
      <c r="U123" s="1">
        <f>DEGREES(ASIN(MAX(-1,MIN(1,2 * (Plank[[#This Row],[quart_W]]*Plank[[#This Row],[quart_Y]] - Plank[[#This Row],[quart_Z]]*Plank[[#This Row],[quart_X]])))))</f>
        <v>0.36314754389503684</v>
      </c>
      <c r="V12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-90.540645980448588</v>
      </c>
      <c r="W12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90.000463916514491</v>
      </c>
      <c r="X123" s="1">
        <f>IF(Plank[[#This Row],[Yaw]]&gt;V122,(360-ABS(Plank[[#This Row],[Yaw]])-ABS(V122)),ABS(Plank[[#This Row],[Yaw]]-V122))</f>
        <v>0.96933753101731668</v>
      </c>
      <c r="Y123" s="1">
        <f>Plank[[#This Row],[Degree change]]+Y122</f>
        <v>59.691130605860643</v>
      </c>
    </row>
    <row r="124" spans="1:25">
      <c r="A124">
        <v>123</v>
      </c>
      <c r="B124" s="1">
        <v>-707.82995600000004</v>
      </c>
      <c r="C124" s="1">
        <v>2661</v>
      </c>
      <c r="D124" s="1">
        <v>18.639999</v>
      </c>
      <c r="E124" s="1">
        <v>-2298.469971</v>
      </c>
      <c r="F124" s="1">
        <v>83.309997999999993</v>
      </c>
      <c r="G124" s="1">
        <v>8.1799990000000005</v>
      </c>
      <c r="H124" s="1">
        <v>0</v>
      </c>
      <c r="I124" s="1">
        <v>-2.0000000000000001E-4</v>
      </c>
      <c r="J124" s="1">
        <v>2.0301999999999998</v>
      </c>
      <c r="K124" s="1">
        <v>-3.1689999999999999E-3</v>
      </c>
      <c r="L124" s="1">
        <v>-4.6E-5</v>
      </c>
      <c r="M124" s="1">
        <v>0.99990800000000002</v>
      </c>
      <c r="N124" s="1">
        <v>-1.3176999999999999E-2</v>
      </c>
      <c r="O124">
        <v>1</v>
      </c>
      <c r="P124">
        <v>0</v>
      </c>
      <c r="Q124">
        <v>1</v>
      </c>
      <c r="R124">
        <v>1</v>
      </c>
      <c r="S124">
        <v>1</v>
      </c>
      <c r="T124" s="1">
        <f>SQRT(POWER(Plank[[#This Row],[angvel_X]],2) + POWER(Plank[[#This Row],[angvel_Y]],2) + POWER(Plank[[#This Row],[angvel_Z]],2))</f>
        <v>2.0302000098512458</v>
      </c>
      <c r="U124" s="1">
        <f>DEGREES(ASIN(MAX(-1,MIN(1,2 * (Plank[[#This Row],[quart_W]]*Plank[[#This Row],[quart_Y]] - Plank[[#This Row],[quart_Z]]*Plank[[#This Row],[quart_X]])))))</f>
        <v>0.36317913238036753</v>
      </c>
      <c r="V12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-91.510023428942432</v>
      </c>
      <c r="W12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90.000485632167397</v>
      </c>
      <c r="X124" s="1">
        <f>IF(Plank[[#This Row],[Yaw]]&gt;V123,(360-ABS(Plank[[#This Row],[Yaw]])-ABS(V123)),ABS(Plank[[#This Row],[Yaw]]-V123))</f>
        <v>0.96937744849384444</v>
      </c>
      <c r="Y124" s="1">
        <f>Plank[[#This Row],[Degree change]]+Y123</f>
        <v>60.660508054354487</v>
      </c>
    </row>
    <row r="125" spans="1:25">
      <c r="A125">
        <v>124</v>
      </c>
      <c r="B125" s="1">
        <v>-727.04998799999998</v>
      </c>
      <c r="C125" s="1">
        <v>2661.6899410000001</v>
      </c>
      <c r="D125" s="1">
        <v>18.639999</v>
      </c>
      <c r="E125" s="1">
        <v>-2299.5500489999999</v>
      </c>
      <c r="F125" s="1">
        <v>44.469996999999999</v>
      </c>
      <c r="G125" s="1">
        <v>8.1799990000000005</v>
      </c>
      <c r="H125" s="1">
        <v>0</v>
      </c>
      <c r="I125" s="1">
        <v>-2.0000000000000001E-4</v>
      </c>
      <c r="J125" s="1">
        <v>2.0304000000000002</v>
      </c>
      <c r="K125" s="1">
        <v>-3.1689999999999999E-3</v>
      </c>
      <c r="L125" s="1">
        <v>-7.2999999999999999E-5</v>
      </c>
      <c r="M125" s="1">
        <v>0.99976100000000001</v>
      </c>
      <c r="N125" s="1">
        <v>-2.1635999999999999E-2</v>
      </c>
      <c r="O125">
        <v>1</v>
      </c>
      <c r="P125">
        <v>0</v>
      </c>
      <c r="Q125">
        <v>1</v>
      </c>
      <c r="R125">
        <v>1</v>
      </c>
      <c r="S125">
        <v>1</v>
      </c>
      <c r="T125" s="1">
        <f>SQRT(POWER(Plank[[#This Row],[angvel_X]],2) + POWER(Plank[[#This Row],[angvel_Y]],2) + POWER(Plank[[#This Row],[angvel_Z]],2))</f>
        <v>2.0304000098502759</v>
      </c>
      <c r="U125" s="1">
        <f>DEGREES(ASIN(MAX(-1,MIN(1,2 * (Plank[[#This Row],[quart_W]]*Plank[[#This Row],[quart_Y]] - Plank[[#This Row],[quart_Z]]*Plank[[#This Row],[quart_X]])))))</f>
        <v>0.36323728223323204</v>
      </c>
      <c r="V12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-92.479506475939033</v>
      </c>
      <c r="W12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90.000506283588734</v>
      </c>
      <c r="X125" s="1">
        <f>IF(Plank[[#This Row],[Yaw]]&gt;V124,(360-ABS(Plank[[#This Row],[Yaw]])-ABS(V124)),ABS(Plank[[#This Row],[Yaw]]-V124))</f>
        <v>0.96948304699660071</v>
      </c>
      <c r="Y125" s="1">
        <f>Plank[[#This Row],[Degree change]]+Y124</f>
        <v>61.629991101351088</v>
      </c>
    </row>
    <row r="126" spans="1:25">
      <c r="A126">
        <v>125</v>
      </c>
      <c r="B126" s="1">
        <v>-746.27996800000005</v>
      </c>
      <c r="C126" s="1">
        <v>2662.0600589999999</v>
      </c>
      <c r="D126" s="1">
        <v>18.639999</v>
      </c>
      <c r="E126" s="1">
        <v>-2299.969971</v>
      </c>
      <c r="F126" s="1">
        <v>5.6</v>
      </c>
      <c r="G126" s="1">
        <v>8.1799990000000005</v>
      </c>
      <c r="H126" s="1">
        <v>0</v>
      </c>
      <c r="I126" s="1">
        <v>-2.0000000000000001E-4</v>
      </c>
      <c r="J126" s="1">
        <v>2.0306000000000002</v>
      </c>
      <c r="K126" s="1">
        <v>-3.1689999999999999E-3</v>
      </c>
      <c r="L126" s="1">
        <v>-1E-4</v>
      </c>
      <c r="M126" s="1">
        <v>0.99954200000000004</v>
      </c>
      <c r="N126" s="1">
        <v>-3.0095E-2</v>
      </c>
      <c r="O126">
        <v>1</v>
      </c>
      <c r="P126">
        <v>0</v>
      </c>
      <c r="Q126">
        <v>1</v>
      </c>
      <c r="R126">
        <v>1</v>
      </c>
      <c r="S126">
        <v>1</v>
      </c>
      <c r="T126" s="1">
        <f>SQRT(POWER(Plank[[#This Row],[angvel_X]],2) + POWER(Plank[[#This Row],[angvel_Y]],2) + POWER(Plank[[#This Row],[angvel_Z]],2))</f>
        <v>2.0306000098493056</v>
      </c>
      <c r="U126" s="1">
        <f>DEGREES(ASIN(MAX(-1,MIN(1,2 * (Plank[[#This Row],[quart_W]]*Plank[[#This Row],[quart_Y]] - Plank[[#This Row],[quart_Z]]*Plank[[#This Row],[quart_X]])))))</f>
        <v>0.36332163030619147</v>
      </c>
      <c r="V12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-93.449169582285052</v>
      </c>
      <c r="W12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90.000525200289985</v>
      </c>
      <c r="X126" s="1">
        <f>IF(Plank[[#This Row],[Yaw]]&gt;V125,(360-ABS(Plank[[#This Row],[Yaw]])-ABS(V125)),ABS(Plank[[#This Row],[Yaw]]-V125))</f>
        <v>0.96966310634601882</v>
      </c>
      <c r="Y126" s="1">
        <f>Plank[[#This Row],[Degree change]]+Y125</f>
        <v>62.599654207697107</v>
      </c>
    </row>
    <row r="127" spans="1:25">
      <c r="A127">
        <v>126</v>
      </c>
      <c r="B127" s="1">
        <v>-765.51995799999997</v>
      </c>
      <c r="C127" s="1">
        <v>2662.0998540000001</v>
      </c>
      <c r="D127" s="1">
        <v>18.639999</v>
      </c>
      <c r="E127" s="1">
        <v>-2299.73999</v>
      </c>
      <c r="F127" s="1">
        <v>-33.270000000000003</v>
      </c>
      <c r="G127" s="1">
        <v>8.1799990000000005</v>
      </c>
      <c r="H127" s="1">
        <v>0</v>
      </c>
      <c r="I127" s="1">
        <v>-2.0000000000000001E-4</v>
      </c>
      <c r="J127" s="1">
        <v>2.0308000000000002</v>
      </c>
      <c r="K127" s="1">
        <v>-3.1689999999999999E-3</v>
      </c>
      <c r="L127" s="1">
        <v>-1.27E-4</v>
      </c>
      <c r="M127" s="1">
        <v>0.99925200000000003</v>
      </c>
      <c r="N127" s="1">
        <v>-3.8549E-2</v>
      </c>
      <c r="O127">
        <v>1</v>
      </c>
      <c r="P127">
        <v>0</v>
      </c>
      <c r="Q127">
        <v>1</v>
      </c>
      <c r="R127">
        <v>1</v>
      </c>
      <c r="S127">
        <v>1</v>
      </c>
      <c r="T127" s="1">
        <f>SQRT(POWER(Plank[[#This Row],[angvel_X]],2) + POWER(Plank[[#This Row],[angvel_Y]],2) + POWER(Plank[[#This Row],[angvel_Z]],2))</f>
        <v>2.0308000098483356</v>
      </c>
      <c r="U127" s="1">
        <f>DEGREES(ASIN(MAX(-1,MIN(1,2 * (Plank[[#This Row],[quart_W]]*Plank[[#This Row],[quart_Y]] - Plank[[#This Row],[quart_Z]]*Plank[[#This Row],[quart_X]])))))</f>
        <v>0.36343246698083181</v>
      </c>
      <c r="V12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-94.418501045963424</v>
      </c>
      <c r="W12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90.000543544253034</v>
      </c>
      <c r="X127" s="1">
        <f>IF(Plank[[#This Row],[Yaw]]&gt;V126,(360-ABS(Plank[[#This Row],[Yaw]])-ABS(V126)),ABS(Plank[[#This Row],[Yaw]]-V126))</f>
        <v>0.96933146367837253</v>
      </c>
      <c r="Y127" s="1">
        <f>Plank[[#This Row],[Degree change]]+Y126</f>
        <v>63.568985671375479</v>
      </c>
    </row>
    <row r="128" spans="1:25">
      <c r="A128">
        <v>127</v>
      </c>
      <c r="B128" s="1">
        <v>-784.75</v>
      </c>
      <c r="C128" s="1">
        <v>2661.8198240000002</v>
      </c>
      <c r="D128" s="1">
        <v>18.639999</v>
      </c>
      <c r="E128" s="1">
        <v>-2298.8498540000001</v>
      </c>
      <c r="F128" s="1">
        <v>-72.129997000000003</v>
      </c>
      <c r="G128" s="1">
        <v>8.1799990000000005</v>
      </c>
      <c r="H128" s="1">
        <v>0</v>
      </c>
      <c r="I128" s="1">
        <v>-2.0000000000000001E-4</v>
      </c>
      <c r="J128" s="1">
        <v>2.0310000000000001</v>
      </c>
      <c r="K128" s="1">
        <v>-3.1689999999999999E-3</v>
      </c>
      <c r="L128" s="1">
        <v>-1.54E-4</v>
      </c>
      <c r="M128" s="1">
        <v>0.99888999999999994</v>
      </c>
      <c r="N128" s="1">
        <v>-4.7002000000000002E-2</v>
      </c>
      <c r="O128">
        <v>1</v>
      </c>
      <c r="P128">
        <v>0</v>
      </c>
      <c r="Q128">
        <v>1</v>
      </c>
      <c r="R128">
        <v>1</v>
      </c>
      <c r="S128">
        <v>1</v>
      </c>
      <c r="T128" s="1">
        <f>SQRT(POWER(Plank[[#This Row],[angvel_X]],2) + POWER(Plank[[#This Row],[angvel_Y]],2) + POWER(Plank[[#This Row],[angvel_Z]],2))</f>
        <v>2.0310000098473657</v>
      </c>
      <c r="U128" s="1">
        <f>DEGREES(ASIN(MAX(-1,MIN(1,2 * (Plank[[#This Row],[quart_W]]*Plank[[#This Row],[quart_Y]] - Plank[[#This Row],[quart_Z]]*Plank[[#This Row],[quart_X]])))))</f>
        <v>0.36356945328947271</v>
      </c>
      <c r="V12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-95.388038994378505</v>
      </c>
      <c r="W12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90.000559186209429</v>
      </c>
      <c r="X128" s="1">
        <f>IF(Plank[[#This Row],[Yaw]]&gt;V127,(360-ABS(Plank[[#This Row],[Yaw]])-ABS(V127)),ABS(Plank[[#This Row],[Yaw]]-V127))</f>
        <v>0.96953794841508056</v>
      </c>
      <c r="Y128" s="1">
        <f>Plank[[#This Row],[Degree change]]+Y127</f>
        <v>64.538523619790567</v>
      </c>
    </row>
    <row r="129" spans="1:25">
      <c r="A129">
        <v>128</v>
      </c>
      <c r="B129" s="1">
        <v>-803.97997999999995</v>
      </c>
      <c r="C129" s="1">
        <v>2661.209961</v>
      </c>
      <c r="D129" s="1">
        <v>18.639999</v>
      </c>
      <c r="E129" s="1">
        <v>-2297.3000489999999</v>
      </c>
      <c r="F129" s="1">
        <v>-110.979996</v>
      </c>
      <c r="G129" s="1">
        <v>8.1799990000000005</v>
      </c>
      <c r="H129" s="1">
        <v>0</v>
      </c>
      <c r="I129" s="1">
        <v>-2.0000000000000001E-4</v>
      </c>
      <c r="J129" s="1">
        <v>2.0312000000000001</v>
      </c>
      <c r="K129" s="1">
        <v>-3.1689999999999999E-3</v>
      </c>
      <c r="L129" s="1">
        <v>-1.8100000000000001E-4</v>
      </c>
      <c r="M129" s="1">
        <v>0.99845600000000001</v>
      </c>
      <c r="N129" s="1">
        <v>-5.5455999999999998E-2</v>
      </c>
      <c r="O129">
        <v>1</v>
      </c>
      <c r="P129">
        <v>0</v>
      </c>
      <c r="Q129">
        <v>1</v>
      </c>
      <c r="R129">
        <v>1</v>
      </c>
      <c r="S129">
        <v>1</v>
      </c>
      <c r="T129" s="1">
        <f>SQRT(POWER(Plank[[#This Row],[angvel_X]],2) + POWER(Plank[[#This Row],[angvel_Y]],2) + POWER(Plank[[#This Row],[angvel_Z]],2))</f>
        <v>2.0312000098463963</v>
      </c>
      <c r="U129" s="1">
        <f>DEGREES(ASIN(MAX(-1,MIN(1,2 * (Plank[[#This Row],[quart_W]]*Plank[[#This Row],[quart_Y]] - Plank[[#This Row],[quart_Z]]*Plank[[#This Row],[quart_X]])))))</f>
        <v>0.36373262143418184</v>
      </c>
      <c r="V12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-96.358083130316231</v>
      </c>
      <c r="W12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90.000570731551747</v>
      </c>
      <c r="X129" s="1">
        <f>IF(Plank[[#This Row],[Yaw]]&gt;V128,(360-ABS(Plank[[#This Row],[Yaw]])-ABS(V128)),ABS(Plank[[#This Row],[Yaw]]-V128))</f>
        <v>0.97004413593772654</v>
      </c>
      <c r="Y129" s="1">
        <f>Plank[[#This Row],[Degree change]]+Y128</f>
        <v>65.508567755728293</v>
      </c>
    </row>
    <row r="130" spans="1:25">
      <c r="A130">
        <v>129</v>
      </c>
      <c r="B130" s="1">
        <v>-823.19000200000005</v>
      </c>
      <c r="C130" s="1">
        <v>2660.280029</v>
      </c>
      <c r="D130" s="1">
        <v>18.639999</v>
      </c>
      <c r="E130" s="1">
        <v>-2295.0998540000001</v>
      </c>
      <c r="F130" s="1">
        <v>-149.80999800000001</v>
      </c>
      <c r="G130" s="1">
        <v>8.1799990000000005</v>
      </c>
      <c r="H130" s="1">
        <v>0</v>
      </c>
      <c r="I130" s="1">
        <v>-2.0000000000000001E-4</v>
      </c>
      <c r="J130" s="1">
        <v>2.0314000000000001</v>
      </c>
      <c r="K130" s="1">
        <v>-3.1689999999999999E-3</v>
      </c>
      <c r="L130" s="1">
        <v>-2.0799999999999999E-4</v>
      </c>
      <c r="M130" s="1">
        <v>0.99795100000000003</v>
      </c>
      <c r="N130" s="1">
        <v>-6.3904000000000002E-2</v>
      </c>
      <c r="O130">
        <v>1</v>
      </c>
      <c r="P130">
        <v>0</v>
      </c>
      <c r="Q130">
        <v>1</v>
      </c>
      <c r="R130">
        <v>1</v>
      </c>
      <c r="S130">
        <v>1</v>
      </c>
      <c r="T130" s="1">
        <f>SQRT(POWER(Plank[[#This Row],[angvel_X]],2) + POWER(Plank[[#This Row],[angvel_Y]],2) + POWER(Plank[[#This Row],[angvel_Z]],2))</f>
        <v>2.0314000098454268</v>
      </c>
      <c r="U130" s="1">
        <f>DEGREES(ASIN(MAX(-1,MIN(1,2 * (Plank[[#This Row],[quart_W]]*Plank[[#This Row],[quart_Y]] - Plank[[#This Row],[quart_Z]]*Plank[[#This Row],[quart_X]])))))</f>
        <v>0.36392217699778401</v>
      </c>
      <c r="V13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-97.327887357715937</v>
      </c>
      <c r="W13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90.000580077839828</v>
      </c>
      <c r="X130" s="1">
        <f>IF(Plank[[#This Row],[Yaw]]&gt;V129,(360-ABS(Plank[[#This Row],[Yaw]])-ABS(V129)),ABS(Plank[[#This Row],[Yaw]]-V129))</f>
        <v>0.96980422739970606</v>
      </c>
      <c r="Y130" s="1">
        <f>Plank[[#This Row],[Degree change]]+Y129</f>
        <v>66.478371983128</v>
      </c>
    </row>
    <row r="131" spans="1:25">
      <c r="A131">
        <v>130</v>
      </c>
      <c r="B131" s="1">
        <v>-842.38000499999998</v>
      </c>
      <c r="C131" s="1">
        <v>2659.0200199999999</v>
      </c>
      <c r="D131" s="1">
        <v>18.639999</v>
      </c>
      <c r="E131" s="1">
        <v>-2292.2299800000001</v>
      </c>
      <c r="F131" s="1">
        <v>-188.59999099999999</v>
      </c>
      <c r="G131" s="1">
        <v>8.1799990000000005</v>
      </c>
      <c r="H131" s="1">
        <v>0</v>
      </c>
      <c r="I131" s="1">
        <v>-2.0000000000000001E-4</v>
      </c>
      <c r="J131" s="1">
        <v>2.0314999999999999</v>
      </c>
      <c r="K131" s="1">
        <v>-3.1689999999999999E-3</v>
      </c>
      <c r="L131" s="1">
        <v>-2.3499999999999999E-4</v>
      </c>
      <c r="M131" s="1">
        <v>0.99737399999999998</v>
      </c>
      <c r="N131" s="1">
        <v>-7.2346999999999995E-2</v>
      </c>
      <c r="O131">
        <v>1</v>
      </c>
      <c r="P131">
        <v>0</v>
      </c>
      <c r="Q131">
        <v>1</v>
      </c>
      <c r="R131">
        <v>1</v>
      </c>
      <c r="S131">
        <v>1</v>
      </c>
      <c r="T131" s="1">
        <f>SQRT(POWER(Plank[[#This Row],[angvel_X]],2) + POWER(Plank[[#This Row],[angvel_Y]],2) + POWER(Plank[[#This Row],[angvel_Z]],2))</f>
        <v>2.0315000098449421</v>
      </c>
      <c r="U131" s="1">
        <f>DEGREES(ASIN(MAX(-1,MIN(1,2 * (Plank[[#This Row],[quart_W]]*Plank[[#This Row],[quart_Y]] - Plank[[#This Row],[quart_Z]]*Plank[[#This Row],[quart_X]])))))</f>
        <v>0.36413772807089778</v>
      </c>
      <c r="V13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-98.297656193712044</v>
      </c>
      <c r="W13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90.000586175966674</v>
      </c>
      <c r="X131" s="1">
        <f>IF(Plank[[#This Row],[Yaw]]&gt;V130,(360-ABS(Plank[[#This Row],[Yaw]])-ABS(V130)),ABS(Plank[[#This Row],[Yaw]]-V130))</f>
        <v>0.9697688359961063</v>
      </c>
      <c r="Y131" s="1">
        <f>Plank[[#This Row],[Degree change]]+Y130</f>
        <v>67.448140819124106</v>
      </c>
    </row>
    <row r="132" spans="1:25">
      <c r="A132">
        <v>131</v>
      </c>
      <c r="B132" s="1">
        <v>-861.54998799999998</v>
      </c>
      <c r="C132" s="1">
        <v>2657.4399410000001</v>
      </c>
      <c r="D132" s="1">
        <v>18.639999</v>
      </c>
      <c r="E132" s="1">
        <v>-2288.719971</v>
      </c>
      <c r="F132" s="1">
        <v>-227.33999600000001</v>
      </c>
      <c r="G132" s="1">
        <v>8.1799990000000005</v>
      </c>
      <c r="H132" s="1">
        <v>0</v>
      </c>
      <c r="I132" s="1">
        <v>-2.0000000000000001E-4</v>
      </c>
      <c r="J132" s="1">
        <v>2.0316000000000001</v>
      </c>
      <c r="K132" s="1">
        <v>-3.1689999999999999E-3</v>
      </c>
      <c r="L132" s="1">
        <v>-2.6200000000000003E-4</v>
      </c>
      <c r="M132" s="1">
        <v>0.996726</v>
      </c>
      <c r="N132" s="1">
        <v>-8.0784999999999996E-2</v>
      </c>
      <c r="O132">
        <v>1</v>
      </c>
      <c r="P132">
        <v>0</v>
      </c>
      <c r="Q132">
        <v>1</v>
      </c>
      <c r="R132">
        <v>1</v>
      </c>
      <c r="S132">
        <v>1</v>
      </c>
      <c r="T132" s="1">
        <f>SQRT(POWER(Plank[[#This Row],[angvel_X]],2) + POWER(Plank[[#This Row],[angvel_Y]],2) + POWER(Plank[[#This Row],[angvel_Z]],2))</f>
        <v>2.0316000098444578</v>
      </c>
      <c r="U132" s="1">
        <f>DEGREES(ASIN(MAX(-1,MIN(1,2 * (Plank[[#This Row],[quart_W]]*Plank[[#This Row],[quart_Y]] - Plank[[#This Row],[quart_Z]]*Plank[[#This Row],[quart_X]])))))</f>
        <v>0.36437959139286474</v>
      </c>
      <c r="V13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-99.267436259975895</v>
      </c>
      <c r="W13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90.000588387644214</v>
      </c>
      <c r="X132" s="1">
        <f>IF(Plank[[#This Row],[Yaw]]&gt;V131,(360-ABS(Plank[[#This Row],[Yaw]])-ABS(V131)),ABS(Plank[[#This Row],[Yaw]]-V131))</f>
        <v>0.96978006626385138</v>
      </c>
      <c r="Y132" s="1">
        <f>Plank[[#This Row],[Degree change]]+Y131</f>
        <v>68.417920885387957</v>
      </c>
    </row>
    <row r="133" spans="1:25">
      <c r="A133">
        <v>132</v>
      </c>
      <c r="B133" s="1">
        <v>-880.69000200000005</v>
      </c>
      <c r="C133" s="1">
        <v>2655.530029</v>
      </c>
      <c r="D133" s="1">
        <v>18.639999</v>
      </c>
      <c r="E133" s="1">
        <v>-2284.540039</v>
      </c>
      <c r="F133" s="1">
        <v>-266.01998900000001</v>
      </c>
      <c r="G133" s="1">
        <v>8.1799990000000005</v>
      </c>
      <c r="H133" s="1">
        <v>0</v>
      </c>
      <c r="I133" s="1">
        <v>-1E-4</v>
      </c>
      <c r="J133" s="1">
        <v>2.0316999999999998</v>
      </c>
      <c r="K133" s="1">
        <v>-3.1689999999999999E-3</v>
      </c>
      <c r="L133" s="1">
        <v>-2.8899999999999998E-4</v>
      </c>
      <c r="M133" s="1">
        <v>0.99600699999999998</v>
      </c>
      <c r="N133" s="1">
        <v>-8.9217000000000005E-2</v>
      </c>
      <c r="O133">
        <v>1</v>
      </c>
      <c r="P133">
        <v>0</v>
      </c>
      <c r="Q133">
        <v>1</v>
      </c>
      <c r="R133">
        <v>1</v>
      </c>
      <c r="S133">
        <v>1</v>
      </c>
      <c r="T133" s="1">
        <f>SQRT(POWER(Plank[[#This Row],[angvel_X]],2) + POWER(Plank[[#This Row],[angvel_Y]],2) + POWER(Plank[[#This Row],[angvel_Z]],2))</f>
        <v>2.031700002460993</v>
      </c>
      <c r="U133" s="1">
        <f>DEGREES(ASIN(MAX(-1,MIN(1,2 * (Plank[[#This Row],[quart_W]]*Plank[[#This Row],[quart_Y]] - Plank[[#This Row],[quart_Z]]*Plank[[#This Row],[quart_X]])))))</f>
        <v>0.36464768743765513</v>
      </c>
      <c r="V13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-100.23718060843929</v>
      </c>
      <c r="W13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90.000586416990771</v>
      </c>
      <c r="X133" s="1">
        <f>IF(Plank[[#This Row],[Yaw]]&gt;V132,(360-ABS(Plank[[#This Row],[Yaw]])-ABS(V132)),ABS(Plank[[#This Row],[Yaw]]-V132))</f>
        <v>0.96974434846339364</v>
      </c>
      <c r="Y133" s="1">
        <f>Plank[[#This Row],[Degree change]]+Y132</f>
        <v>69.387665233851351</v>
      </c>
    </row>
    <row r="134" spans="1:25">
      <c r="A134">
        <v>133</v>
      </c>
      <c r="B134" s="1">
        <v>-899.79998799999998</v>
      </c>
      <c r="C134" s="1">
        <v>2653.3000489999999</v>
      </c>
      <c r="D134" s="1">
        <v>18.639999</v>
      </c>
      <c r="E134" s="1">
        <v>-2279.719971</v>
      </c>
      <c r="F134" s="1">
        <v>-304.63000499999998</v>
      </c>
      <c r="G134" s="1">
        <v>8.1799990000000005</v>
      </c>
      <c r="H134" s="1">
        <v>0</v>
      </c>
      <c r="I134" s="1">
        <v>0</v>
      </c>
      <c r="J134" s="1">
        <v>2.0318000000000001</v>
      </c>
      <c r="K134" s="1">
        <v>-3.1689999999999999E-3</v>
      </c>
      <c r="L134" s="1">
        <v>-3.1599999999999998E-4</v>
      </c>
      <c r="M134" s="1">
        <v>0.99521599999999999</v>
      </c>
      <c r="N134" s="1">
        <v>-9.7642999999999994E-2</v>
      </c>
      <c r="O134">
        <v>1</v>
      </c>
      <c r="P134">
        <v>0</v>
      </c>
      <c r="Q134">
        <v>1</v>
      </c>
      <c r="R134">
        <v>1</v>
      </c>
      <c r="S134">
        <v>1</v>
      </c>
      <c r="T134" s="1">
        <f>SQRT(POWER(Plank[[#This Row],[angvel_X]],2) + POWER(Plank[[#This Row],[angvel_Y]],2) + POWER(Plank[[#This Row],[angvel_Z]],2))</f>
        <v>2.0318000000000001</v>
      </c>
      <c r="U134" s="1">
        <f>DEGREES(ASIN(MAX(-1,MIN(1,2 * (Plank[[#This Row],[quart_W]]*Plank[[#This Row],[quart_Y]] - Plank[[#This Row],[quart_Z]]*Plank[[#This Row],[quart_X]])))))</f>
        <v>0.36494159736697318</v>
      </c>
      <c r="V13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-101.20698886167079</v>
      </c>
      <c r="W13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90.000579568764849</v>
      </c>
      <c r="X134" s="1">
        <f>IF(Plank[[#This Row],[Yaw]]&gt;V133,(360-ABS(Plank[[#This Row],[Yaw]])-ABS(V133)),ABS(Plank[[#This Row],[Yaw]]-V133))</f>
        <v>0.96980825323150555</v>
      </c>
      <c r="Y134" s="1">
        <f>Plank[[#This Row],[Degree change]]+Y133</f>
        <v>70.357473487082856</v>
      </c>
    </row>
    <row r="135" spans="1:25">
      <c r="A135">
        <v>134</v>
      </c>
      <c r="B135" s="1">
        <v>-918.86999500000002</v>
      </c>
      <c r="C135" s="1">
        <v>2650.75</v>
      </c>
      <c r="D135" s="1">
        <v>18.639999</v>
      </c>
      <c r="E135" s="1">
        <v>-2274.23999</v>
      </c>
      <c r="F135" s="1">
        <v>-343.14999399999999</v>
      </c>
      <c r="G135" s="1">
        <v>8.1799990000000005</v>
      </c>
      <c r="H135" s="1">
        <v>0</v>
      </c>
      <c r="I135" s="1">
        <v>0</v>
      </c>
      <c r="J135" s="1">
        <v>2.0318999999999998</v>
      </c>
      <c r="K135" s="1">
        <v>-3.1640000000000001E-3</v>
      </c>
      <c r="L135" s="1">
        <v>-3.4299999999999999E-4</v>
      </c>
      <c r="M135" s="1">
        <v>0.99435399999999996</v>
      </c>
      <c r="N135" s="1">
        <v>-0.10606500000000001</v>
      </c>
      <c r="O135">
        <v>1</v>
      </c>
      <c r="P135">
        <v>0</v>
      </c>
      <c r="Q135">
        <v>1</v>
      </c>
      <c r="R135">
        <v>1</v>
      </c>
      <c r="S135">
        <v>1</v>
      </c>
      <c r="T135" s="1">
        <f>SQRT(POWER(Plank[[#This Row],[angvel_X]],2) + POWER(Plank[[#This Row],[angvel_Y]],2) + POWER(Plank[[#This Row],[angvel_Z]],2))</f>
        <v>2.0318999999999998</v>
      </c>
      <c r="U135" s="1">
        <f>DEGREES(ASIN(MAX(-1,MIN(1,2 * (Plank[[#This Row],[quart_W]]*Plank[[#This Row],[quart_Y]] - Plank[[#This Row],[quart_Z]]*Plank[[#This Row],[quart_X]])))))</f>
        <v>0.36469197281557969</v>
      </c>
      <c r="V13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-102.17712217800819</v>
      </c>
      <c r="W13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90.000627259627748</v>
      </c>
      <c r="X135" s="1">
        <f>IF(Plank[[#This Row],[Yaw]]&gt;V134,(360-ABS(Plank[[#This Row],[Yaw]])-ABS(V134)),ABS(Plank[[#This Row],[Yaw]]-V134))</f>
        <v>0.97013331633739597</v>
      </c>
      <c r="Y135" s="1">
        <f>Plank[[#This Row],[Degree change]]+Y134</f>
        <v>71.327606803420252</v>
      </c>
    </row>
    <row r="136" spans="1:25">
      <c r="A136">
        <v>135</v>
      </c>
      <c r="B136" s="1">
        <v>-937.88995399999999</v>
      </c>
      <c r="C136" s="1">
        <v>2647.8798830000001</v>
      </c>
      <c r="D136" s="1">
        <v>18.639999</v>
      </c>
      <c r="E136" s="1">
        <v>-2268.1098630000001</v>
      </c>
      <c r="F136" s="1">
        <v>-381.57998700000002</v>
      </c>
      <c r="G136" s="1">
        <v>8.1799990000000005</v>
      </c>
      <c r="H136" s="1">
        <v>0</v>
      </c>
      <c r="I136" s="1">
        <v>0</v>
      </c>
      <c r="J136" s="1">
        <v>2.032</v>
      </c>
      <c r="K136" s="1">
        <v>-3.1589999999999999E-3</v>
      </c>
      <c r="L136" s="1">
        <v>-3.6999999999999999E-4</v>
      </c>
      <c r="M136" s="1">
        <v>0.99341999999999997</v>
      </c>
      <c r="N136" s="1">
        <v>-0.114481</v>
      </c>
      <c r="O136">
        <v>1</v>
      </c>
      <c r="P136">
        <v>0</v>
      </c>
      <c r="Q136">
        <v>1</v>
      </c>
      <c r="R136">
        <v>1</v>
      </c>
      <c r="S136">
        <v>1</v>
      </c>
      <c r="T136" s="1">
        <f>SQRT(POWER(Plank[[#This Row],[angvel_X]],2) + POWER(Plank[[#This Row],[angvel_Y]],2) + POWER(Plank[[#This Row],[angvel_Z]],2))</f>
        <v>2.032</v>
      </c>
      <c r="U136" s="1">
        <f>DEGREES(ASIN(MAX(-1,MIN(1,2 * (Plank[[#This Row],[quart_W]]*Plank[[#This Row],[quart_Y]] - Plank[[#This Row],[quart_Z]]*Plank[[#This Row],[quart_X]])))))</f>
        <v>0.36446913344400061</v>
      </c>
      <c r="V13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-103.14745982373096</v>
      </c>
      <c r="W13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90.000678386702035</v>
      </c>
      <c r="X136" s="1">
        <f>IF(Plank[[#This Row],[Yaw]]&gt;V135,(360-ABS(Plank[[#This Row],[Yaw]])-ABS(V135)),ABS(Plank[[#This Row],[Yaw]]-V135))</f>
        <v>0.97033764572276482</v>
      </c>
      <c r="Y136" s="1">
        <f>Plank[[#This Row],[Degree change]]+Y135</f>
        <v>72.297944449143017</v>
      </c>
    </row>
    <row r="137" spans="1:25">
      <c r="A137">
        <v>136</v>
      </c>
      <c r="B137" s="1">
        <v>-956.85998500000005</v>
      </c>
      <c r="C137" s="1">
        <v>2644.679932</v>
      </c>
      <c r="D137" s="1">
        <v>18.639999</v>
      </c>
      <c r="E137" s="1">
        <v>-2261.320068</v>
      </c>
      <c r="F137" s="1">
        <v>-419.91000400000001</v>
      </c>
      <c r="G137" s="1">
        <v>8.1799990000000005</v>
      </c>
      <c r="H137" s="1">
        <v>0</v>
      </c>
      <c r="I137" s="1">
        <v>0</v>
      </c>
      <c r="J137" s="1">
        <v>2.0320999999999998</v>
      </c>
      <c r="K137" s="1">
        <v>-3.153E-3</v>
      </c>
      <c r="L137" s="1">
        <v>-3.97E-4</v>
      </c>
      <c r="M137" s="1">
        <v>0.99241599999999996</v>
      </c>
      <c r="N137" s="1">
        <v>-0.122886</v>
      </c>
      <c r="O137">
        <v>1</v>
      </c>
      <c r="P137">
        <v>0</v>
      </c>
      <c r="Q137">
        <v>1</v>
      </c>
      <c r="R137">
        <v>1</v>
      </c>
      <c r="S137">
        <v>1</v>
      </c>
      <c r="T137" s="1">
        <f>SQRT(POWER(Plank[[#This Row],[angvel_X]],2) + POWER(Plank[[#This Row],[angvel_Y]],2) + POWER(Plank[[#This Row],[angvel_Z]],2))</f>
        <v>2.0320999999999998</v>
      </c>
      <c r="U137" s="1">
        <f>DEGREES(ASIN(MAX(-1,MIN(1,2 * (Plank[[#This Row],[quart_W]]*Plank[[#This Row],[quart_Y]] - Plank[[#This Row],[quart_Z]]*Plank[[#This Row],[quart_X]])))))</f>
        <v>0.36415991791395841</v>
      </c>
      <c r="V13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-104.11743950721772</v>
      </c>
      <c r="W13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90.000748251469432</v>
      </c>
      <c r="X137" s="1">
        <f>IF(Plank[[#This Row],[Yaw]]&gt;V136,(360-ABS(Plank[[#This Row],[Yaw]])-ABS(V136)),ABS(Plank[[#This Row],[Yaw]]-V136))</f>
        <v>0.96997968348676977</v>
      </c>
      <c r="Y137" s="1">
        <f>Plank[[#This Row],[Degree change]]+Y136</f>
        <v>73.267924132629787</v>
      </c>
    </row>
    <row r="138" spans="1:25">
      <c r="A138">
        <v>137</v>
      </c>
      <c r="B138" s="1">
        <v>-975.76995799999997</v>
      </c>
      <c r="C138" s="1">
        <v>2641.1599120000001</v>
      </c>
      <c r="D138" s="1">
        <v>18.639999</v>
      </c>
      <c r="E138" s="1">
        <v>-2253.889893</v>
      </c>
      <c r="F138" s="1">
        <v>-458.11999500000002</v>
      </c>
      <c r="G138" s="1">
        <v>8.1799990000000005</v>
      </c>
      <c r="H138" s="1">
        <v>0</v>
      </c>
      <c r="I138" s="1">
        <v>0</v>
      </c>
      <c r="J138" s="1">
        <v>2.0322</v>
      </c>
      <c r="K138" s="1">
        <v>-3.1480000000000002E-3</v>
      </c>
      <c r="L138" s="1">
        <v>-4.2299999999999998E-4</v>
      </c>
      <c r="M138" s="1">
        <v>0.99134</v>
      </c>
      <c r="N138" s="1">
        <v>-0.13128600000000001</v>
      </c>
      <c r="O138">
        <v>1</v>
      </c>
      <c r="P138">
        <v>0</v>
      </c>
      <c r="Q138">
        <v>1</v>
      </c>
      <c r="R138">
        <v>1</v>
      </c>
      <c r="S138">
        <v>1</v>
      </c>
      <c r="T138" s="1">
        <f>SQRT(POWER(Plank[[#This Row],[angvel_X]],2) + POWER(Plank[[#This Row],[angvel_Y]],2) + POWER(Plank[[#This Row],[angvel_Z]],2))</f>
        <v>2.0322</v>
      </c>
      <c r="U138" s="1">
        <f>DEGREES(ASIN(MAX(-1,MIN(1,2 * (Plank[[#This Row],[quart_W]]*Plank[[#This Row],[quart_Y]] - Plank[[#This Row],[quart_Z]]*Plank[[#This Row],[quart_X]])))))</f>
        <v>0.36397644258157302</v>
      </c>
      <c r="V13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-105.087872938313</v>
      </c>
      <c r="W13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90.000693120113553</v>
      </c>
      <c r="X138" s="1">
        <f>IF(Plank[[#This Row],[Yaw]]&gt;V137,(360-ABS(Plank[[#This Row],[Yaw]])-ABS(V137)),ABS(Plank[[#This Row],[Yaw]]-V137))</f>
        <v>0.97043343109527314</v>
      </c>
      <c r="Y138" s="1">
        <f>Plank[[#This Row],[Degree change]]+Y137</f>
        <v>74.23835756372506</v>
      </c>
    </row>
    <row r="139" spans="1:25">
      <c r="A139">
        <v>138</v>
      </c>
      <c r="B139" s="1">
        <v>-994.61999500000002</v>
      </c>
      <c r="C139" s="1">
        <v>2637.3198240000002</v>
      </c>
      <c r="D139" s="1">
        <v>18.639999</v>
      </c>
      <c r="E139" s="1">
        <v>-2245.820068</v>
      </c>
      <c r="F139" s="1">
        <v>-496.19998199999998</v>
      </c>
      <c r="G139" s="1">
        <v>8.1799990000000005</v>
      </c>
      <c r="H139" s="1">
        <v>0</v>
      </c>
      <c r="I139" s="1">
        <v>0</v>
      </c>
      <c r="J139" s="1">
        <v>2.0323000000000002</v>
      </c>
      <c r="K139" s="1">
        <v>-3.1419999999999998E-3</v>
      </c>
      <c r="L139" s="1">
        <v>-4.4999999999999999E-4</v>
      </c>
      <c r="M139" s="1">
        <v>0.99019199999999996</v>
      </c>
      <c r="N139" s="1">
        <v>-0.13967399999999999</v>
      </c>
      <c r="O139">
        <v>1</v>
      </c>
      <c r="P139">
        <v>0</v>
      </c>
      <c r="Q139">
        <v>1</v>
      </c>
      <c r="R139">
        <v>1</v>
      </c>
      <c r="S139">
        <v>1</v>
      </c>
      <c r="T139" s="1">
        <f>SQRT(POWER(Plank[[#This Row],[angvel_X]],2) + POWER(Plank[[#This Row],[angvel_Y]],2) + POWER(Plank[[#This Row],[angvel_Z]],2))</f>
        <v>2.0323000000000002</v>
      </c>
      <c r="U139" s="1">
        <f>DEGREES(ASIN(MAX(-1,MIN(1,2 * (Plank[[#This Row],[quart_W]]*Plank[[#This Row],[quart_Y]] - Plank[[#This Row],[quart_Z]]*Plank[[#This Row],[quart_X]])))))</f>
        <v>0.36372024117104962</v>
      </c>
      <c r="V13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-106.05806552162007</v>
      </c>
      <c r="W13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90.000771296030649</v>
      </c>
      <c r="X139" s="1">
        <f>IF(Plank[[#This Row],[Yaw]]&gt;V138,(360-ABS(Plank[[#This Row],[Yaw]])-ABS(V138)),ABS(Plank[[#This Row],[Yaw]]-V138))</f>
        <v>0.97019258330706748</v>
      </c>
      <c r="Y139" s="1">
        <f>Plank[[#This Row],[Degree change]]+Y138</f>
        <v>75.208550147032128</v>
      </c>
    </row>
    <row r="140" spans="1:25">
      <c r="A140">
        <v>139</v>
      </c>
      <c r="B140" s="1">
        <v>-1013.399963</v>
      </c>
      <c r="C140" s="1">
        <v>2633.169922</v>
      </c>
      <c r="D140" s="1">
        <v>18.639999</v>
      </c>
      <c r="E140" s="1">
        <v>-2237.0998540000001</v>
      </c>
      <c r="F140" s="1">
        <v>-534.14001499999995</v>
      </c>
      <c r="G140" s="1">
        <v>8.1799990000000005</v>
      </c>
      <c r="H140" s="1">
        <v>0</v>
      </c>
      <c r="I140" s="1">
        <v>-1E-4</v>
      </c>
      <c r="J140" s="1">
        <v>2.0324</v>
      </c>
      <c r="K140" s="1">
        <v>-3.137E-3</v>
      </c>
      <c r="L140" s="1">
        <v>-4.7699999999999999E-4</v>
      </c>
      <c r="M140" s="1">
        <v>0.98897400000000002</v>
      </c>
      <c r="N140" s="1">
        <v>-0.14805299999999999</v>
      </c>
      <c r="O140">
        <v>1</v>
      </c>
      <c r="P140">
        <v>0</v>
      </c>
      <c r="Q140">
        <v>1</v>
      </c>
      <c r="R140">
        <v>1</v>
      </c>
      <c r="S140">
        <v>1</v>
      </c>
      <c r="T140" s="1">
        <f>SQRT(POWER(Plank[[#This Row],[angvel_X]],2) + POWER(Plank[[#This Row],[angvel_Y]],2) + POWER(Plank[[#This Row],[angvel_Z]],2))</f>
        <v>2.0324000024601454</v>
      </c>
      <c r="U140" s="1">
        <f>DEGREES(ASIN(MAX(-1,MIN(1,2 * (Plank[[#This Row],[quart_W]]*Plank[[#This Row],[quart_Y]] - Plank[[#This Row],[quart_Z]]*Plank[[#This Row],[quart_X]])))))</f>
        <v>0.36360520669035712</v>
      </c>
      <c r="V14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-107.02832440581913</v>
      </c>
      <c r="W14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90.000836344656193</v>
      </c>
      <c r="X140" s="1">
        <f>IF(Plank[[#This Row],[Yaw]]&gt;V139,(360-ABS(Plank[[#This Row],[Yaw]])-ABS(V139)),ABS(Plank[[#This Row],[Yaw]]-V139))</f>
        <v>0.97025888419906892</v>
      </c>
      <c r="Y140" s="1">
        <f>Plank[[#This Row],[Degree change]]+Y139</f>
        <v>76.178809031231197</v>
      </c>
    </row>
    <row r="141" spans="1:25">
      <c r="A141">
        <v>140</v>
      </c>
      <c r="B141" s="1">
        <v>-1032.1099850000001</v>
      </c>
      <c r="C141" s="1">
        <v>2628.6999510000001</v>
      </c>
      <c r="D141" s="1">
        <v>18.639999</v>
      </c>
      <c r="E141" s="1">
        <v>-2227.7299800000001</v>
      </c>
      <c r="F141" s="1">
        <v>-571.92999299999997</v>
      </c>
      <c r="G141" s="1">
        <v>8.1799990000000005</v>
      </c>
      <c r="H141" s="1">
        <v>0</v>
      </c>
      <c r="I141" s="1">
        <v>-1E-4</v>
      </c>
      <c r="J141" s="1">
        <v>2.0325000000000002</v>
      </c>
      <c r="K141" s="1">
        <v>-3.1319999999999998E-3</v>
      </c>
      <c r="L141" s="1">
        <v>-5.04E-4</v>
      </c>
      <c r="M141" s="1">
        <v>0.98768599999999995</v>
      </c>
      <c r="N141" s="1">
        <v>-0.15642</v>
      </c>
      <c r="O141">
        <v>1</v>
      </c>
      <c r="P141">
        <v>0</v>
      </c>
      <c r="Q141">
        <v>1</v>
      </c>
      <c r="R141">
        <v>1</v>
      </c>
      <c r="S141">
        <v>1</v>
      </c>
      <c r="T141" s="1">
        <f>SQRT(POWER(Plank[[#This Row],[angvel_X]],2) + POWER(Plank[[#This Row],[angvel_Y]],2) + POWER(Plank[[#This Row],[angvel_Z]],2))</f>
        <v>2.0325000024600248</v>
      </c>
      <c r="U141" s="1">
        <f>DEGREES(ASIN(MAX(-1,MIN(1,2 * (Plank[[#This Row],[quart_W]]*Plank[[#This Row],[quart_Y]] - Plank[[#This Row],[quart_Z]]*Plank[[#This Row],[quart_X]])))))</f>
        <v>0.36351760116953036</v>
      </c>
      <c r="V14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-107.99838573011071</v>
      </c>
      <c r="W14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90.000903722059334</v>
      </c>
      <c r="X141" s="1">
        <f>IF(Plank[[#This Row],[Yaw]]&gt;V140,(360-ABS(Plank[[#This Row],[Yaw]])-ABS(V140)),ABS(Plank[[#This Row],[Yaw]]-V140))</f>
        <v>0.97006132429157788</v>
      </c>
      <c r="Y141" s="1">
        <f>Plank[[#This Row],[Degree change]]+Y140</f>
        <v>77.148870355522774</v>
      </c>
    </row>
    <row r="142" spans="1:25">
      <c r="A142">
        <v>141</v>
      </c>
      <c r="B142" s="1">
        <v>-1050.73999</v>
      </c>
      <c r="C142" s="1">
        <v>2623.9099120000001</v>
      </c>
      <c r="D142" s="1">
        <v>18.639999</v>
      </c>
      <c r="E142" s="1">
        <v>-2217.7299800000001</v>
      </c>
      <c r="F142" s="1">
        <v>-609.55999799999995</v>
      </c>
      <c r="G142" s="1">
        <v>8.1799990000000005</v>
      </c>
      <c r="H142" s="1">
        <v>0</v>
      </c>
      <c r="I142" s="1">
        <v>-1E-4</v>
      </c>
      <c r="J142" s="1">
        <v>2.0326</v>
      </c>
      <c r="K142" s="1">
        <v>-3.1259999999999999E-3</v>
      </c>
      <c r="L142" s="1">
        <v>-5.31E-4</v>
      </c>
      <c r="M142" s="1">
        <v>0.98632600000000004</v>
      </c>
      <c r="N142" s="1">
        <v>-0.16477700000000001</v>
      </c>
      <c r="O142">
        <v>1</v>
      </c>
      <c r="P142">
        <v>0</v>
      </c>
      <c r="Q142">
        <v>1</v>
      </c>
      <c r="R142">
        <v>1</v>
      </c>
      <c r="S142">
        <v>1</v>
      </c>
      <c r="T142" s="1">
        <f>SQRT(POWER(Plank[[#This Row],[angvel_X]],2) + POWER(Plank[[#This Row],[angvel_Y]],2) + POWER(Plank[[#This Row],[angvel_Z]],2))</f>
        <v>2.0326000024599034</v>
      </c>
      <c r="U142" s="1">
        <f>DEGREES(ASIN(MAX(-1,MIN(1,2 * (Plank[[#This Row],[quart_W]]*Plank[[#This Row],[quart_Y]] - Plank[[#This Row],[quart_Z]]*Plank[[#This Row],[quart_X]])))))</f>
        <v>0.36334381166729962</v>
      </c>
      <c r="V14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-108.96863961355757</v>
      </c>
      <c r="W14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90.000990801918647</v>
      </c>
      <c r="X142" s="1">
        <f>IF(Plank[[#This Row],[Yaw]]&gt;V141,(360-ABS(Plank[[#This Row],[Yaw]])-ABS(V141)),ABS(Plank[[#This Row],[Yaw]]-V141))</f>
        <v>0.97025388344685837</v>
      </c>
      <c r="Y142" s="1">
        <f>Plank[[#This Row],[Degree change]]+Y141</f>
        <v>78.119124238969633</v>
      </c>
    </row>
    <row r="143" spans="1:25">
      <c r="A143">
        <v>142</v>
      </c>
      <c r="B143" s="1">
        <v>-1069.2899170000001</v>
      </c>
      <c r="C143" s="1">
        <v>2618.8100589999999</v>
      </c>
      <c r="D143" s="1">
        <v>18.639999</v>
      </c>
      <c r="E143" s="1">
        <v>-2207.0998540000001</v>
      </c>
      <c r="F143" s="1">
        <v>-647.01995799999997</v>
      </c>
      <c r="G143" s="1">
        <v>8.1799990000000005</v>
      </c>
      <c r="H143" s="1">
        <v>0</v>
      </c>
      <c r="I143" s="1">
        <v>-2.0000000000000001E-4</v>
      </c>
      <c r="J143" s="1">
        <v>2.0326</v>
      </c>
      <c r="K143" s="1">
        <v>-3.1210000000000001E-3</v>
      </c>
      <c r="L143" s="1">
        <v>-5.5800000000000001E-4</v>
      </c>
      <c r="M143" s="1">
        <v>0.98489499999999996</v>
      </c>
      <c r="N143" s="1">
        <v>-0.173122</v>
      </c>
      <c r="O143">
        <v>1</v>
      </c>
      <c r="P143">
        <v>0</v>
      </c>
      <c r="Q143">
        <v>1</v>
      </c>
      <c r="R143">
        <v>1</v>
      </c>
      <c r="S143">
        <v>1</v>
      </c>
      <c r="T143" s="1">
        <f>SQRT(POWER(Plank[[#This Row],[angvel_X]],2) + POWER(Plank[[#This Row],[angvel_Y]],2) + POWER(Plank[[#This Row],[angvel_Z]],2))</f>
        <v>2.032600009839614</v>
      </c>
      <c r="U143" s="1">
        <f>DEGREES(ASIN(MAX(-1,MIN(1,2 * (Plank[[#This Row],[quart_W]]*Plank[[#This Row],[quart_Y]] - Plank[[#This Row],[quart_Z]]*Plank[[#This Row],[quart_X]])))))</f>
        <v>0.3633103167978915</v>
      </c>
      <c r="V14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-109.93889166399994</v>
      </c>
      <c r="W14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90.001060869644846</v>
      </c>
      <c r="X143" s="1">
        <f>IF(Plank[[#This Row],[Yaw]]&gt;V142,(360-ABS(Plank[[#This Row],[Yaw]])-ABS(V142)),ABS(Plank[[#This Row],[Yaw]]-V142))</f>
        <v>0.97025205044236884</v>
      </c>
      <c r="Y143" s="1">
        <f>Plank[[#This Row],[Degree change]]+Y142</f>
        <v>79.089376289412002</v>
      </c>
    </row>
    <row r="144" spans="1:25">
      <c r="A144">
        <v>143</v>
      </c>
      <c r="B144" s="1">
        <v>-1087.75</v>
      </c>
      <c r="C144" s="1">
        <v>2613.389893</v>
      </c>
      <c r="D144" s="1">
        <v>18.639999</v>
      </c>
      <c r="E144" s="1">
        <v>-2195.820068</v>
      </c>
      <c r="F144" s="1">
        <v>-684.28997800000002</v>
      </c>
      <c r="G144" s="1">
        <v>8.1799990000000005</v>
      </c>
      <c r="H144" s="1">
        <v>0</v>
      </c>
      <c r="I144" s="1">
        <v>-2.0000000000000001E-4</v>
      </c>
      <c r="J144" s="1">
        <v>2.0326</v>
      </c>
      <c r="K144" s="1">
        <v>-3.1159999999999998E-3</v>
      </c>
      <c r="L144" s="1">
        <v>-5.8500000000000002E-4</v>
      </c>
      <c r="M144" s="1">
        <v>0.98339399999999999</v>
      </c>
      <c r="N144" s="1">
        <v>-0.18145700000000001</v>
      </c>
      <c r="O144">
        <v>1</v>
      </c>
      <c r="P144">
        <v>0</v>
      </c>
      <c r="Q144">
        <v>1</v>
      </c>
      <c r="R144">
        <v>1</v>
      </c>
      <c r="S144">
        <v>1</v>
      </c>
      <c r="T144" s="1">
        <f>SQRT(POWER(Plank[[#This Row],[angvel_X]],2) + POWER(Plank[[#This Row],[angvel_Y]],2) + POWER(Plank[[#This Row],[angvel_Z]],2))</f>
        <v>2.032600009839614</v>
      </c>
      <c r="U144" s="1">
        <f>DEGREES(ASIN(MAX(-1,MIN(1,2 * (Plank[[#This Row],[quart_W]]*Plank[[#This Row],[quart_Y]] - Plank[[#This Row],[quart_Z]]*Plank[[#This Row],[quart_X]])))))</f>
        <v>0.36330443561166675</v>
      </c>
      <c r="V14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-110.90936349422157</v>
      </c>
      <c r="W14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90.001130523231723</v>
      </c>
      <c r="X144" s="1">
        <f>IF(Plank[[#This Row],[Yaw]]&gt;V143,(360-ABS(Plank[[#This Row],[Yaw]])-ABS(V143)),ABS(Plank[[#This Row],[Yaw]]-V143))</f>
        <v>0.97047183022162642</v>
      </c>
      <c r="Y144" s="1">
        <f>Plank[[#This Row],[Degree change]]+Y143</f>
        <v>80.059848119633628</v>
      </c>
    </row>
    <row r="145" spans="1:25">
      <c r="A145">
        <v>144</v>
      </c>
      <c r="B145" s="1">
        <v>-1106.1099850000001</v>
      </c>
      <c r="C145" s="1">
        <v>2607.6599120000001</v>
      </c>
      <c r="D145" s="1">
        <v>18.639999</v>
      </c>
      <c r="E145" s="1">
        <v>-2183.919922</v>
      </c>
      <c r="F145" s="1">
        <v>-721.36999500000002</v>
      </c>
      <c r="G145" s="1">
        <v>8.1799990000000005</v>
      </c>
      <c r="H145" s="1">
        <v>0</v>
      </c>
      <c r="I145" s="1">
        <v>-2.0000000000000001E-4</v>
      </c>
      <c r="J145" s="1">
        <v>2.0326</v>
      </c>
      <c r="K145" s="1">
        <v>-3.1099999999999999E-3</v>
      </c>
      <c r="L145" s="1">
        <v>-6.1200000000000002E-4</v>
      </c>
      <c r="M145" s="1">
        <v>0.98182100000000005</v>
      </c>
      <c r="N145" s="1">
        <v>-0.18978200000000001</v>
      </c>
      <c r="O145">
        <v>1</v>
      </c>
      <c r="P145">
        <v>0</v>
      </c>
      <c r="Q145">
        <v>1</v>
      </c>
      <c r="R145">
        <v>1</v>
      </c>
      <c r="S145">
        <v>1</v>
      </c>
      <c r="T145" s="1">
        <f>SQRT(POWER(Plank[[#This Row],[angvel_X]],2) + POWER(Plank[[#This Row],[angvel_Y]],2) + POWER(Plank[[#This Row],[angvel_Z]],2))</f>
        <v>2.032600009839614</v>
      </c>
      <c r="U145" s="1">
        <f>DEGREES(ASIN(MAX(-1,MIN(1,2 * (Plank[[#This Row],[quart_W]]*Plank[[#This Row],[quart_Y]] - Plank[[#This Row],[quart_Z]]*Plank[[#This Row],[quart_X]])))))</f>
        <v>0.36321297194762497</v>
      </c>
      <c r="V14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-111.88024063730202</v>
      </c>
      <c r="W14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90.001220703318054</v>
      </c>
      <c r="X145" s="1">
        <f>IF(Plank[[#This Row],[Yaw]]&gt;V144,(360-ABS(Plank[[#This Row],[Yaw]])-ABS(V144)),ABS(Plank[[#This Row],[Yaw]]-V144))</f>
        <v>0.97087714308045747</v>
      </c>
      <c r="Y145" s="1">
        <f>Plank[[#This Row],[Degree change]]+Y144</f>
        <v>81.030725262714085</v>
      </c>
    </row>
    <row r="146" spans="1:25">
      <c r="A146">
        <v>145</v>
      </c>
      <c r="B146" s="1">
        <v>-1124.369995</v>
      </c>
      <c r="C146" s="1">
        <v>2601.6198730000001</v>
      </c>
      <c r="D146" s="1">
        <v>18.639999</v>
      </c>
      <c r="E146" s="1">
        <v>-2171.3999020000001</v>
      </c>
      <c r="F146" s="1">
        <v>-758.25</v>
      </c>
      <c r="G146" s="1">
        <v>8.1799990000000005</v>
      </c>
      <c r="H146" s="1">
        <v>0</v>
      </c>
      <c r="I146" s="1">
        <v>-2.0000000000000001E-4</v>
      </c>
      <c r="J146" s="1">
        <v>2.0326</v>
      </c>
      <c r="K146" s="1">
        <v>-3.1050000000000001E-3</v>
      </c>
      <c r="L146" s="1">
        <v>-6.3900000000000003E-4</v>
      </c>
      <c r="M146" s="1">
        <v>0.98017900000000002</v>
      </c>
      <c r="N146" s="1">
        <v>-0.19808999999999999</v>
      </c>
      <c r="O146">
        <v>1</v>
      </c>
      <c r="P146">
        <v>0</v>
      </c>
      <c r="Q146">
        <v>1</v>
      </c>
      <c r="R146">
        <v>1</v>
      </c>
      <c r="S146">
        <v>1</v>
      </c>
      <c r="T146" s="1">
        <f>SQRT(POWER(Plank[[#This Row],[angvel_X]],2) + POWER(Plank[[#This Row],[angvel_Y]],2) + POWER(Plank[[#This Row],[angvel_Z]],2))</f>
        <v>2.032600009839614</v>
      </c>
      <c r="U146" s="1">
        <f>DEGREES(ASIN(MAX(-1,MIN(1,2 * (Plank[[#This Row],[quart_W]]*Plank[[#This Row],[quart_Y]] - Plank[[#This Row],[quart_Z]]*Plank[[#This Row],[quart_X]])))))</f>
        <v>0.36326172143699953</v>
      </c>
      <c r="V14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-112.85067222335029</v>
      </c>
      <c r="W14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90.001290891950632</v>
      </c>
      <c r="X146" s="1">
        <f>IF(Plank[[#This Row],[Yaw]]&gt;V145,(360-ABS(Plank[[#This Row],[Yaw]])-ABS(V145)),ABS(Plank[[#This Row],[Yaw]]-V145))</f>
        <v>0.97043158604826374</v>
      </c>
      <c r="Y146" s="1">
        <f>Plank[[#This Row],[Degree change]]+Y145</f>
        <v>82.001156848762349</v>
      </c>
    </row>
    <row r="147" spans="1:25">
      <c r="A147">
        <v>146</v>
      </c>
      <c r="B147" s="1">
        <v>-1142.530029</v>
      </c>
      <c r="C147" s="1">
        <v>2595.2700199999999</v>
      </c>
      <c r="D147" s="1">
        <v>18.639999</v>
      </c>
      <c r="E147" s="1">
        <v>-2158.23999</v>
      </c>
      <c r="F147" s="1">
        <v>-794.90997300000004</v>
      </c>
      <c r="G147" s="1">
        <v>8.1799990000000005</v>
      </c>
      <c r="H147" s="1">
        <v>0</v>
      </c>
      <c r="I147" s="1">
        <v>-2.0000000000000001E-4</v>
      </c>
      <c r="J147" s="1">
        <v>2.0327000000000002</v>
      </c>
      <c r="K147" s="1">
        <v>-3.0990000000000002E-3</v>
      </c>
      <c r="L147" s="1">
        <v>-6.6600000000000003E-4</v>
      </c>
      <c r="M147" s="1">
        <v>0.97846599999999995</v>
      </c>
      <c r="N147" s="1">
        <v>-0.20638100000000001</v>
      </c>
      <c r="O147">
        <v>1</v>
      </c>
      <c r="P147">
        <v>0</v>
      </c>
      <c r="Q147">
        <v>1</v>
      </c>
      <c r="R147">
        <v>1</v>
      </c>
      <c r="S147">
        <v>1</v>
      </c>
      <c r="T147" s="1">
        <f>SQRT(POWER(Plank[[#This Row],[angvel_X]],2) + POWER(Plank[[#This Row],[angvel_Y]],2) + POWER(Plank[[#This Row],[angvel_Z]],2))</f>
        <v>2.0327000098391306</v>
      </c>
      <c r="U147" s="1">
        <f>DEGREES(ASIN(MAX(-1,MIN(1,2 * (Plank[[#This Row],[quart_W]]*Plank[[#This Row],[quart_Y]] - Plank[[#This Row],[quart_Z]]*Plank[[#This Row],[quart_X]])))))</f>
        <v>0.36322511729264512</v>
      </c>
      <c r="V14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-113.82086342689382</v>
      </c>
      <c r="W14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90.001384710627633</v>
      </c>
      <c r="X147" s="1">
        <f>IF(Plank[[#This Row],[Yaw]]&gt;V146,(360-ABS(Plank[[#This Row],[Yaw]])-ABS(V146)),ABS(Plank[[#This Row],[Yaw]]-V146))</f>
        <v>0.97019120354353561</v>
      </c>
      <c r="Y147" s="1">
        <f>Plank[[#This Row],[Degree change]]+Y146</f>
        <v>82.971348052305885</v>
      </c>
    </row>
    <row r="148" spans="1:25">
      <c r="A148">
        <v>147</v>
      </c>
      <c r="B148" s="1">
        <v>-1160.579956</v>
      </c>
      <c r="C148" s="1">
        <v>2588.6198730000001</v>
      </c>
      <c r="D148" s="1">
        <v>18.639999</v>
      </c>
      <c r="E148" s="1">
        <v>-2144.469971</v>
      </c>
      <c r="F148" s="1">
        <v>-831.34997599999997</v>
      </c>
      <c r="G148" s="1">
        <v>8.1799990000000005</v>
      </c>
      <c r="H148" s="1">
        <v>0</v>
      </c>
      <c r="I148" s="1">
        <v>-2.0000000000000001E-4</v>
      </c>
      <c r="J148" s="1">
        <v>2.0327000000000002</v>
      </c>
      <c r="K148" s="1">
        <v>-3.094E-3</v>
      </c>
      <c r="L148" s="1">
        <v>-6.9300000000000004E-4</v>
      </c>
      <c r="M148" s="1">
        <v>0.97668299999999997</v>
      </c>
      <c r="N148" s="1">
        <v>-0.21466199999999999</v>
      </c>
      <c r="O148">
        <v>1</v>
      </c>
      <c r="P148">
        <v>0</v>
      </c>
      <c r="Q148">
        <v>1</v>
      </c>
      <c r="R148">
        <v>1</v>
      </c>
      <c r="S148">
        <v>1</v>
      </c>
      <c r="T148" s="1">
        <f>SQRT(POWER(Plank[[#This Row],[angvel_X]],2) + POWER(Plank[[#This Row],[angvel_Y]],2) + POWER(Plank[[#This Row],[angvel_Z]],2))</f>
        <v>2.0327000098391306</v>
      </c>
      <c r="U148" s="1">
        <f>DEGREES(ASIN(MAX(-1,MIN(1,2 * (Plank[[#This Row],[quart_W]]*Plank[[#This Row],[quart_Y]] - Plank[[#This Row],[quart_Z]]*Plank[[#This Row],[quart_X]])))))</f>
        <v>0.36332849104076853</v>
      </c>
      <c r="V14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-114.79153664058722</v>
      </c>
      <c r="W14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90.001452716829874</v>
      </c>
      <c r="X148" s="1">
        <f>IF(Plank[[#This Row],[Yaw]]&gt;V147,(360-ABS(Plank[[#This Row],[Yaw]])-ABS(V147)),ABS(Plank[[#This Row],[Yaw]]-V147))</f>
        <v>0.9706732136934022</v>
      </c>
      <c r="Y148" s="1">
        <f>Plank[[#This Row],[Degree change]]+Y147</f>
        <v>83.942021265999287</v>
      </c>
    </row>
    <row r="149" spans="1:25">
      <c r="A149">
        <v>148</v>
      </c>
      <c r="B149" s="1">
        <v>-1178.51001</v>
      </c>
      <c r="C149" s="1">
        <v>2581.6599120000001</v>
      </c>
      <c r="D149" s="1">
        <v>18.639999</v>
      </c>
      <c r="E149" s="1">
        <v>-2130.0898440000001</v>
      </c>
      <c r="F149" s="1">
        <v>-867.54998799999998</v>
      </c>
      <c r="G149" s="1">
        <v>8.1799990000000005</v>
      </c>
      <c r="H149" s="1">
        <v>0</v>
      </c>
      <c r="I149" s="1">
        <v>-2.0000000000000001E-4</v>
      </c>
      <c r="J149" s="1">
        <v>2.0327000000000002</v>
      </c>
      <c r="K149" s="1">
        <v>-3.0890000000000002E-3</v>
      </c>
      <c r="L149" s="1">
        <v>-7.2000000000000005E-4</v>
      </c>
      <c r="M149" s="1">
        <v>0.97482999999999997</v>
      </c>
      <c r="N149" s="1">
        <v>-0.22292699999999999</v>
      </c>
      <c r="O149">
        <v>1</v>
      </c>
      <c r="P149">
        <v>0</v>
      </c>
      <c r="Q149">
        <v>1</v>
      </c>
      <c r="R149">
        <v>1</v>
      </c>
      <c r="S149">
        <v>1</v>
      </c>
      <c r="T149" s="1">
        <f>SQRT(POWER(Plank[[#This Row],[angvel_X]],2) + POWER(Plank[[#This Row],[angvel_Y]],2) + POWER(Plank[[#This Row],[angvel_Z]],2))</f>
        <v>2.0327000098391306</v>
      </c>
      <c r="U149" s="1">
        <f>DEGREES(ASIN(MAX(-1,MIN(1,2 * (Plank[[#This Row],[quart_W]]*Plank[[#This Row],[quart_Y]] - Plank[[#This Row],[quart_Z]]*Plank[[#This Row],[quart_X]])))))</f>
        <v>0.36345905264280642</v>
      </c>
      <c r="V14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-115.7621419850507</v>
      </c>
      <c r="W14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90.001519067386084</v>
      </c>
      <c r="X149" s="1">
        <f>IF(Plank[[#This Row],[Yaw]]&gt;V148,(360-ABS(Plank[[#This Row],[Yaw]])-ABS(V148)),ABS(Plank[[#This Row],[Yaw]]-V148))</f>
        <v>0.97060534446347901</v>
      </c>
      <c r="Y149" s="1">
        <f>Plank[[#This Row],[Degree change]]+Y148</f>
        <v>84.912626610462766</v>
      </c>
    </row>
    <row r="150" spans="1:25">
      <c r="A150">
        <v>149</v>
      </c>
      <c r="B150" s="1">
        <v>-1196.3199460000001</v>
      </c>
      <c r="C150" s="1">
        <v>2574.3999020000001</v>
      </c>
      <c r="D150" s="1">
        <v>18.639999</v>
      </c>
      <c r="E150" s="1">
        <v>-2115.0898440000001</v>
      </c>
      <c r="F150" s="1">
        <v>-903.5</v>
      </c>
      <c r="G150" s="1">
        <v>8.1799990000000005</v>
      </c>
      <c r="H150" s="1">
        <v>0</v>
      </c>
      <c r="I150" s="1">
        <v>-2.0000000000000001E-4</v>
      </c>
      <c r="J150" s="1">
        <v>2.0327000000000002</v>
      </c>
      <c r="K150" s="1">
        <v>-3.0829999999999998E-3</v>
      </c>
      <c r="L150" s="1">
        <v>-7.4700000000000005E-4</v>
      </c>
      <c r="M150" s="1">
        <v>0.97290699999999997</v>
      </c>
      <c r="N150" s="1">
        <v>-0.23117599999999999</v>
      </c>
      <c r="O150">
        <v>1</v>
      </c>
      <c r="P150">
        <v>0</v>
      </c>
      <c r="Q150">
        <v>1</v>
      </c>
      <c r="R150">
        <v>1</v>
      </c>
      <c r="S150">
        <v>1</v>
      </c>
      <c r="T150" s="1">
        <f>SQRT(POWER(Plank[[#This Row],[angvel_X]],2) + POWER(Plank[[#This Row],[angvel_Y]],2) + POWER(Plank[[#This Row],[angvel_Z]],2))</f>
        <v>2.0327000098391306</v>
      </c>
      <c r="U150" s="1">
        <f>DEGREES(ASIN(MAX(-1,MIN(1,2 * (Plank[[#This Row],[quart_W]]*Plank[[#This Row],[quart_Y]] - Plank[[#This Row],[quart_Z]]*Plank[[#This Row],[quart_X]])))))</f>
        <v>0.36350528473547611</v>
      </c>
      <c r="V15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-116.73275002748028</v>
      </c>
      <c r="W15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90.001609576378925</v>
      </c>
      <c r="X150" s="1">
        <f>IF(Plank[[#This Row],[Yaw]]&gt;V149,(360-ABS(Plank[[#This Row],[Yaw]])-ABS(V149)),ABS(Plank[[#This Row],[Yaw]]-V149))</f>
        <v>0.97060804242957488</v>
      </c>
      <c r="Y150" s="1">
        <f>Plank[[#This Row],[Degree change]]+Y149</f>
        <v>85.883234652892341</v>
      </c>
    </row>
    <row r="151" spans="1:25">
      <c r="A151">
        <v>150</v>
      </c>
      <c r="B151" s="1">
        <v>-1214.01001</v>
      </c>
      <c r="C151" s="1">
        <v>2566.8398440000001</v>
      </c>
      <c r="D151" s="1">
        <v>18.639999</v>
      </c>
      <c r="E151" s="1">
        <v>-2099.4799800000001</v>
      </c>
      <c r="F151" s="1">
        <v>-939.19000200000005</v>
      </c>
      <c r="G151" s="1">
        <v>8.1799990000000005</v>
      </c>
      <c r="H151" s="1">
        <v>0</v>
      </c>
      <c r="I151" s="1">
        <v>-2.0000000000000001E-4</v>
      </c>
      <c r="J151" s="1">
        <v>2.0327000000000002</v>
      </c>
      <c r="K151" s="1">
        <v>-3.078E-3</v>
      </c>
      <c r="L151" s="1">
        <v>-7.7399999999999995E-4</v>
      </c>
      <c r="M151" s="1">
        <v>0.97091400000000005</v>
      </c>
      <c r="N151" s="1">
        <v>-0.23940800000000001</v>
      </c>
      <c r="O151">
        <v>1</v>
      </c>
      <c r="P151">
        <v>0</v>
      </c>
      <c r="Q151">
        <v>1</v>
      </c>
      <c r="R151">
        <v>1</v>
      </c>
      <c r="S151">
        <v>1</v>
      </c>
      <c r="T151" s="1">
        <f>SQRT(POWER(Plank[[#This Row],[angvel_X]],2) + POWER(Plank[[#This Row],[angvel_Y]],2) + POWER(Plank[[#This Row],[angvel_Z]],2))</f>
        <v>2.0327000098391306</v>
      </c>
      <c r="U151" s="1">
        <f>DEGREES(ASIN(MAX(-1,MIN(1,2 * (Plank[[#This Row],[quart_W]]*Plank[[#This Row],[quart_Y]] - Plank[[#This Row],[quart_Z]]*Plank[[#This Row],[quart_X]])))))</f>
        <v>0.3636902771664941</v>
      </c>
      <c r="V15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-117.70333182518191</v>
      </c>
      <c r="W15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90.001671880066411</v>
      </c>
      <c r="X151" s="1">
        <f>IF(Plank[[#This Row],[Yaw]]&gt;V150,(360-ABS(Plank[[#This Row],[Yaw]])-ABS(V150)),ABS(Plank[[#This Row],[Yaw]]-V150))</f>
        <v>0.97058179770162667</v>
      </c>
      <c r="Y151" s="1">
        <f>Plank[[#This Row],[Degree change]]+Y150</f>
        <v>86.853816450593968</v>
      </c>
    </row>
    <row r="152" spans="1:25">
      <c r="A152">
        <v>151</v>
      </c>
      <c r="B152" s="1">
        <v>-1231.5699460000001</v>
      </c>
      <c r="C152" s="1">
        <v>2558.9799800000001</v>
      </c>
      <c r="D152" s="1">
        <v>18.639999</v>
      </c>
      <c r="E152" s="1">
        <v>-2083.2700199999999</v>
      </c>
      <c r="F152" s="1">
        <v>-974.60998500000005</v>
      </c>
      <c r="G152" s="1">
        <v>8.1799990000000005</v>
      </c>
      <c r="H152" s="1">
        <v>0</v>
      </c>
      <c r="I152" s="1">
        <v>-2.0000000000000001E-4</v>
      </c>
      <c r="J152" s="1">
        <v>2.0327999999999999</v>
      </c>
      <c r="K152" s="1">
        <v>-3.0720000000000001E-3</v>
      </c>
      <c r="L152" s="1">
        <v>-8.0099999999999995E-4</v>
      </c>
      <c r="M152" s="1">
        <v>0.96885100000000002</v>
      </c>
      <c r="N152" s="1">
        <v>-0.24762500000000001</v>
      </c>
      <c r="O152">
        <v>1</v>
      </c>
      <c r="P152">
        <v>0</v>
      </c>
      <c r="Q152">
        <v>1</v>
      </c>
      <c r="R152">
        <v>1</v>
      </c>
      <c r="S152">
        <v>1</v>
      </c>
      <c r="T152" s="1">
        <f>SQRT(POWER(Plank[[#This Row],[angvel_X]],2) + POWER(Plank[[#This Row],[angvel_Y]],2) + POWER(Plank[[#This Row],[angvel_Z]],2))</f>
        <v>2.0328000098386463</v>
      </c>
      <c r="U152" s="1">
        <f>DEGREES(ASIN(MAX(-1,MIN(1,2 * (Plank[[#This Row],[quart_W]]*Plank[[#This Row],[quart_Y]] - Plank[[#This Row],[quart_Z]]*Plank[[#This Row],[quart_X]])))))</f>
        <v>0.36379144212311854</v>
      </c>
      <c r="V15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-118.67415441861417</v>
      </c>
      <c r="W15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90.001758517519235</v>
      </c>
      <c r="X152" s="1">
        <f>IF(Plank[[#This Row],[Yaw]]&gt;V151,(360-ABS(Plank[[#This Row],[Yaw]])-ABS(V151)),ABS(Plank[[#This Row],[Yaw]]-V151))</f>
        <v>0.97082259343225985</v>
      </c>
      <c r="Y152" s="1">
        <f>Plank[[#This Row],[Degree change]]+Y151</f>
        <v>87.824639044026227</v>
      </c>
    </row>
    <row r="153" spans="1:25">
      <c r="A153">
        <v>152</v>
      </c>
      <c r="B153" s="1">
        <v>-1248.98999</v>
      </c>
      <c r="C153" s="1">
        <v>2550.8298340000001</v>
      </c>
      <c r="D153" s="1">
        <v>18.639999</v>
      </c>
      <c r="E153" s="1">
        <v>-2066.469971</v>
      </c>
      <c r="F153" s="1">
        <v>-1009.759949</v>
      </c>
      <c r="G153" s="1">
        <v>8.1799990000000005</v>
      </c>
      <c r="H153" s="1">
        <v>0</v>
      </c>
      <c r="I153" s="1">
        <v>-2.0000000000000001E-4</v>
      </c>
      <c r="J153" s="1">
        <v>2.0327999999999999</v>
      </c>
      <c r="K153" s="1">
        <v>-3.0669999999999998E-3</v>
      </c>
      <c r="L153" s="1">
        <v>-8.2799999999999996E-4</v>
      </c>
      <c r="M153" s="1">
        <v>0.96671899999999999</v>
      </c>
      <c r="N153" s="1">
        <v>-0.25581999999999999</v>
      </c>
      <c r="O153">
        <v>1</v>
      </c>
      <c r="P153">
        <v>0</v>
      </c>
      <c r="Q153">
        <v>1</v>
      </c>
      <c r="R153">
        <v>1</v>
      </c>
      <c r="S153">
        <v>1</v>
      </c>
      <c r="T153" s="1">
        <f>SQRT(POWER(Plank[[#This Row],[angvel_X]],2) + POWER(Plank[[#This Row],[angvel_Y]],2) + POWER(Plank[[#This Row],[angvel_Z]],2))</f>
        <v>2.0328000098386463</v>
      </c>
      <c r="U153" s="1">
        <f>DEGREES(ASIN(MAX(-1,MIN(1,2 * (Plank[[#This Row],[quart_W]]*Plank[[#This Row],[quart_Y]] - Plank[[#This Row],[quart_Z]]*Plank[[#This Row],[quart_X]])))))</f>
        <v>0.36403074116872358</v>
      </c>
      <c r="V15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-119.64452396164624</v>
      </c>
      <c r="W15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90.001815555634366</v>
      </c>
      <c r="X153" s="1">
        <f>IF(Plank[[#This Row],[Yaw]]&gt;V152,(360-ABS(Plank[[#This Row],[Yaw]])-ABS(V152)),ABS(Plank[[#This Row],[Yaw]]-V152))</f>
        <v>0.97036954303207779</v>
      </c>
      <c r="Y153" s="1">
        <f>Plank[[#This Row],[Degree change]]+Y152</f>
        <v>88.795008587058305</v>
      </c>
    </row>
    <row r="154" spans="1:25">
      <c r="A154">
        <v>153</v>
      </c>
      <c r="B154" s="1">
        <v>-1266.2700199999999</v>
      </c>
      <c r="C154" s="1">
        <v>2542.3798830000001</v>
      </c>
      <c r="D154" s="1">
        <v>18.639999</v>
      </c>
      <c r="E154" s="1">
        <v>-2049.070068</v>
      </c>
      <c r="F154" s="1">
        <v>-1044.6099850000001</v>
      </c>
      <c r="G154" s="1">
        <v>8.1799990000000005</v>
      </c>
      <c r="H154" s="1">
        <v>0</v>
      </c>
      <c r="I154" s="1">
        <v>-2.0000000000000001E-4</v>
      </c>
      <c r="J154" s="1">
        <v>2.0327999999999999</v>
      </c>
      <c r="K154" s="1">
        <v>-3.0620000000000001E-3</v>
      </c>
      <c r="L154" s="1">
        <v>-8.5499999999999997E-4</v>
      </c>
      <c r="M154" s="1">
        <v>0.96451799999999999</v>
      </c>
      <c r="N154" s="1">
        <v>-0.26399800000000001</v>
      </c>
      <c r="O154">
        <v>1</v>
      </c>
      <c r="P154">
        <v>0</v>
      </c>
      <c r="Q154">
        <v>1</v>
      </c>
      <c r="R154">
        <v>1</v>
      </c>
      <c r="S154">
        <v>1</v>
      </c>
      <c r="T154" s="1">
        <f>SQRT(POWER(Plank[[#This Row],[angvel_X]],2) + POWER(Plank[[#This Row],[angvel_Y]],2) + POWER(Plank[[#This Row],[angvel_Z]],2))</f>
        <v>2.0328000098386463</v>
      </c>
      <c r="U154" s="1">
        <f>DEGREES(ASIN(MAX(-1,MIN(1,2 * (Plank[[#This Row],[quart_W]]*Plank[[#This Row],[quart_Y]] - Plank[[#This Row],[quart_Z]]*Plank[[#This Row],[quart_X]])))))</f>
        <v>0.36429731780294078</v>
      </c>
      <c r="V15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-120.61499612538097</v>
      </c>
      <c r="W15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90.001867996366485</v>
      </c>
      <c r="X154" s="1">
        <f>IF(Plank[[#This Row],[Yaw]]&gt;V153,(360-ABS(Plank[[#This Row],[Yaw]])-ABS(V153)),ABS(Plank[[#This Row],[Yaw]]-V153))</f>
        <v>0.97047216373472622</v>
      </c>
      <c r="Y154" s="1">
        <f>Plank[[#This Row],[Degree change]]+Y153</f>
        <v>89.765480750793031</v>
      </c>
    </row>
    <row r="155" spans="1:25">
      <c r="A155">
        <v>154</v>
      </c>
      <c r="B155" s="1">
        <v>-1283.400024</v>
      </c>
      <c r="C155" s="1">
        <v>2533.639893</v>
      </c>
      <c r="D155" s="1">
        <v>18.639999</v>
      </c>
      <c r="E155" s="1">
        <v>-2031.079956</v>
      </c>
      <c r="F155" s="1">
        <v>-1079.169922</v>
      </c>
      <c r="G155" s="1">
        <v>8.1799990000000005</v>
      </c>
      <c r="H155" s="1">
        <v>0</v>
      </c>
      <c r="I155" s="1">
        <v>-2.0000000000000001E-4</v>
      </c>
      <c r="J155" s="1">
        <v>2.0327999999999999</v>
      </c>
      <c r="K155" s="1">
        <v>-3.0560000000000001E-3</v>
      </c>
      <c r="L155" s="1">
        <v>-8.8199999999999997E-4</v>
      </c>
      <c r="M155" s="1">
        <v>0.96224600000000005</v>
      </c>
      <c r="N155" s="1">
        <v>-0.27216000000000001</v>
      </c>
      <c r="O155">
        <v>1</v>
      </c>
      <c r="P155">
        <v>0</v>
      </c>
      <c r="Q155">
        <v>1</v>
      </c>
      <c r="R155">
        <v>1</v>
      </c>
      <c r="S155">
        <v>1</v>
      </c>
      <c r="T155" s="1">
        <f>SQRT(POWER(Plank[[#This Row],[angvel_X]],2) + POWER(Plank[[#This Row],[angvel_Y]],2) + POWER(Plank[[#This Row],[angvel_Z]],2))</f>
        <v>2.0328000098386463</v>
      </c>
      <c r="U155" s="1">
        <f>DEGREES(ASIN(MAX(-1,MIN(1,2 * (Plank[[#This Row],[quart_W]]*Plank[[#This Row],[quart_Y]] - Plank[[#This Row],[quart_Z]]*Plank[[#This Row],[quart_X]])))))</f>
        <v>0.3644802657808332</v>
      </c>
      <c r="V15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-121.58590481281229</v>
      </c>
      <c r="W15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90.001945805418273</v>
      </c>
      <c r="X155" s="1">
        <f>IF(Plank[[#This Row],[Yaw]]&gt;V154,(360-ABS(Plank[[#This Row],[Yaw]])-ABS(V154)),ABS(Plank[[#This Row],[Yaw]]-V154))</f>
        <v>0.97090868743131864</v>
      </c>
      <c r="Y155" s="1">
        <f>Plank[[#This Row],[Degree change]]+Y154</f>
        <v>90.73638943822435</v>
      </c>
    </row>
    <row r="156" spans="1:25">
      <c r="A156">
        <v>155</v>
      </c>
      <c r="B156" s="1">
        <v>-1300.380005</v>
      </c>
      <c r="C156" s="1">
        <v>2524.6098630000001</v>
      </c>
      <c r="D156" s="1">
        <v>18.639999</v>
      </c>
      <c r="E156" s="1">
        <v>-2012.51001</v>
      </c>
      <c r="F156" s="1">
        <v>-1113.419922</v>
      </c>
      <c r="G156" s="1">
        <v>8.1799990000000005</v>
      </c>
      <c r="H156" s="1">
        <v>0</v>
      </c>
      <c r="I156" s="1">
        <v>-2.0000000000000001E-4</v>
      </c>
      <c r="J156" s="1">
        <v>2.0329000000000002</v>
      </c>
      <c r="K156" s="1">
        <v>-3.0509999999999999E-3</v>
      </c>
      <c r="L156" s="1">
        <v>-9.0899999999999998E-4</v>
      </c>
      <c r="M156" s="1">
        <v>0.95990699999999995</v>
      </c>
      <c r="N156" s="1">
        <v>-0.28030100000000002</v>
      </c>
      <c r="O156">
        <v>1</v>
      </c>
      <c r="P156">
        <v>0</v>
      </c>
      <c r="Q156">
        <v>1</v>
      </c>
      <c r="R156">
        <v>1</v>
      </c>
      <c r="S156">
        <v>1</v>
      </c>
      <c r="T156" s="1">
        <f>SQRT(POWER(Plank[[#This Row],[angvel_X]],2) + POWER(Plank[[#This Row],[angvel_Y]],2) + POWER(Plank[[#This Row],[angvel_Z]],2))</f>
        <v>2.0329000098381624</v>
      </c>
      <c r="U156" s="1">
        <f>DEGREES(ASIN(MAX(-1,MIN(1,2 * (Plank[[#This Row],[quart_W]]*Plank[[#This Row],[quart_Y]] - Plank[[#This Row],[quart_Z]]*Plank[[#This Row],[quart_X]])))))</f>
        <v>0.36480123980007179</v>
      </c>
      <c r="V15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-122.55649238591312</v>
      </c>
      <c r="W15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90.001989018840405</v>
      </c>
      <c r="X156" s="1">
        <f>IF(Plank[[#This Row],[Yaw]]&gt;V155,(360-ABS(Plank[[#This Row],[Yaw]])-ABS(V155)),ABS(Plank[[#This Row],[Yaw]]-V155))</f>
        <v>0.9705875731008291</v>
      </c>
      <c r="Y156" s="1">
        <f>Plank[[#This Row],[Degree change]]+Y155</f>
        <v>91.706977011325179</v>
      </c>
    </row>
    <row r="157" spans="1:25">
      <c r="A157">
        <v>156</v>
      </c>
      <c r="B157" s="1">
        <v>-1317.209961</v>
      </c>
      <c r="C157" s="1">
        <v>2515.290039</v>
      </c>
      <c r="D157" s="1">
        <v>18.639999</v>
      </c>
      <c r="E157" s="1">
        <v>-1993.3599850000001</v>
      </c>
      <c r="F157" s="1">
        <v>-1147.349976</v>
      </c>
      <c r="G157" s="1">
        <v>8.1799990000000005</v>
      </c>
      <c r="H157" s="1">
        <v>0</v>
      </c>
      <c r="I157" s="1">
        <v>-2.0000000000000001E-4</v>
      </c>
      <c r="J157" s="1">
        <v>2.0329000000000002</v>
      </c>
      <c r="K157" s="1">
        <v>-3.045E-3</v>
      </c>
      <c r="L157" s="1">
        <v>-9.3599999999999998E-4</v>
      </c>
      <c r="M157" s="1">
        <v>0.95749899999999999</v>
      </c>
      <c r="N157" s="1">
        <v>-0.28842000000000001</v>
      </c>
      <c r="O157">
        <v>1</v>
      </c>
      <c r="P157">
        <v>0</v>
      </c>
      <c r="Q157">
        <v>1</v>
      </c>
      <c r="R157">
        <v>1</v>
      </c>
      <c r="S157">
        <v>1</v>
      </c>
      <c r="T157" s="1">
        <f>SQRT(POWER(Plank[[#This Row],[angvel_X]],2) + POWER(Plank[[#This Row],[angvel_Y]],2) + POWER(Plank[[#This Row],[angvel_Z]],2))</f>
        <v>2.0329000098381624</v>
      </c>
      <c r="U157" s="1">
        <f>DEGREES(ASIN(MAX(-1,MIN(1,2 * (Plank[[#This Row],[quart_W]]*Plank[[#This Row],[quart_Y]] - Plank[[#This Row],[quart_Z]]*Plank[[#This Row],[quart_X]])))))</f>
        <v>0.36503910335490675</v>
      </c>
      <c r="V15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-123.52691493803808</v>
      </c>
      <c r="W15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90.002060416842141</v>
      </c>
      <c r="X157" s="1">
        <f>IF(Plank[[#This Row],[Yaw]]&gt;V156,(360-ABS(Plank[[#This Row],[Yaw]])-ABS(V156)),ABS(Plank[[#This Row],[Yaw]]-V156))</f>
        <v>0.97042255212495832</v>
      </c>
      <c r="Y157" s="1">
        <f>Plank[[#This Row],[Degree change]]+Y156</f>
        <v>92.677399563450138</v>
      </c>
    </row>
    <row r="158" spans="1:25">
      <c r="A158">
        <v>157</v>
      </c>
      <c r="B158" s="1">
        <v>-1333.880005</v>
      </c>
      <c r="C158" s="1">
        <v>2505.6899410000001</v>
      </c>
      <c r="D158" s="1">
        <v>18.639999</v>
      </c>
      <c r="E158" s="1">
        <v>-1973.6400149999999</v>
      </c>
      <c r="F158" s="1">
        <v>-1180.9499510000001</v>
      </c>
      <c r="G158" s="1">
        <v>8.1799990000000005</v>
      </c>
      <c r="H158" s="1">
        <v>-1E-4</v>
      </c>
      <c r="I158" s="1">
        <v>-1E-4</v>
      </c>
      <c r="J158" s="1">
        <v>2.0329000000000002</v>
      </c>
      <c r="K158" s="1">
        <v>-3.0400000000000002E-3</v>
      </c>
      <c r="L158" s="1">
        <v>-9.6299999999999999E-4</v>
      </c>
      <c r="M158" s="1">
        <v>0.95502200000000004</v>
      </c>
      <c r="N158" s="1">
        <v>-0.296518</v>
      </c>
      <c r="O158">
        <v>1</v>
      </c>
      <c r="P158">
        <v>0</v>
      </c>
      <c r="Q158">
        <v>1</v>
      </c>
      <c r="R158">
        <v>1</v>
      </c>
      <c r="S158">
        <v>1</v>
      </c>
      <c r="T158" s="1">
        <f>SQRT(POWER(Plank[[#This Row],[angvel_X]],2) + POWER(Plank[[#This Row],[angvel_Y]],2) + POWER(Plank[[#This Row],[angvel_Z]],2))</f>
        <v>2.0329000049190813</v>
      </c>
      <c r="U158" s="1">
        <f>DEGREES(ASIN(MAX(-1,MIN(1,2 * (Plank[[#This Row],[quart_W]]*Plank[[#This Row],[quart_Y]] - Plank[[#This Row],[quart_Z]]*Plank[[#This Row],[quart_X]])))))</f>
        <v>0.36541361210671425</v>
      </c>
      <c r="V15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-124.49733978806113</v>
      </c>
      <c r="W15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90.002093798357251</v>
      </c>
      <c r="X158" s="1">
        <f>IF(Plank[[#This Row],[Yaw]]&gt;V157,(360-ABS(Plank[[#This Row],[Yaw]])-ABS(V157)),ABS(Plank[[#This Row],[Yaw]]-V157))</f>
        <v>0.97042485002305057</v>
      </c>
      <c r="Y158" s="1">
        <f>Plank[[#This Row],[Degree change]]+Y157</f>
        <v>93.647824413473188</v>
      </c>
    </row>
    <row r="159" spans="1:25">
      <c r="A159">
        <v>158</v>
      </c>
      <c r="B159" s="1">
        <v>-1350.380005</v>
      </c>
      <c r="C159" s="1">
        <v>2495.8100589999999</v>
      </c>
      <c r="D159" s="1">
        <v>18.639999</v>
      </c>
      <c r="E159" s="1">
        <v>-1953.349976</v>
      </c>
      <c r="F159" s="1">
        <v>-1214.209961</v>
      </c>
      <c r="G159" s="1">
        <v>8.1799990000000005</v>
      </c>
      <c r="H159" s="1">
        <v>-1E-4</v>
      </c>
      <c r="I159" s="1">
        <v>-1E-4</v>
      </c>
      <c r="J159" s="1">
        <v>2.0329000000000002</v>
      </c>
      <c r="K159" s="1">
        <v>-3.0349999999999999E-3</v>
      </c>
      <c r="L159" s="1">
        <v>-9.8999999999999999E-4</v>
      </c>
      <c r="M159" s="1">
        <v>0.95247700000000002</v>
      </c>
      <c r="N159" s="1">
        <v>-0.30459399999999998</v>
      </c>
      <c r="O159">
        <v>1</v>
      </c>
      <c r="P159">
        <v>0</v>
      </c>
      <c r="Q159">
        <v>1</v>
      </c>
      <c r="R159">
        <v>1</v>
      </c>
      <c r="S159">
        <v>1</v>
      </c>
      <c r="T159" s="1">
        <f>SQRT(POWER(Plank[[#This Row],[angvel_X]],2) + POWER(Plank[[#This Row],[angvel_Y]],2) + POWER(Plank[[#This Row],[angvel_Z]],2))</f>
        <v>2.0329000049190813</v>
      </c>
      <c r="U159" s="1">
        <f>DEGREES(ASIN(MAX(-1,MIN(1,2 * (Plank[[#This Row],[quart_W]]*Plank[[#This Row],[quart_Y]] - Plank[[#This Row],[quart_Z]]*Plank[[#This Row],[quart_X]])))))</f>
        <v>0.36581492461524634</v>
      </c>
      <c r="V15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-125.46765246807196</v>
      </c>
      <c r="W15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90.00212106881834</v>
      </c>
      <c r="X159" s="1">
        <f>IF(Plank[[#This Row],[Yaw]]&gt;V158,(360-ABS(Plank[[#This Row],[Yaw]])-ABS(V158)),ABS(Plank[[#This Row],[Yaw]]-V158))</f>
        <v>0.97031268001083504</v>
      </c>
      <c r="Y159" s="1">
        <f>Plank[[#This Row],[Degree change]]+Y158</f>
        <v>94.618137093484023</v>
      </c>
    </row>
    <row r="160" spans="1:25">
      <c r="A160">
        <v>159</v>
      </c>
      <c r="B160" s="1">
        <v>-1366.709961</v>
      </c>
      <c r="C160" s="1">
        <v>2485.6499020000001</v>
      </c>
      <c r="D160" s="1">
        <v>18.639999</v>
      </c>
      <c r="E160" s="1">
        <v>-1932.51001</v>
      </c>
      <c r="F160" s="1">
        <v>-1247.119995</v>
      </c>
      <c r="G160" s="1">
        <v>8.1799990000000005</v>
      </c>
      <c r="H160" s="1">
        <v>-2.0000000000000001E-4</v>
      </c>
      <c r="I160" s="1">
        <v>0</v>
      </c>
      <c r="J160" s="1">
        <v>2.0329999999999999</v>
      </c>
      <c r="K160" s="1">
        <v>-3.0240000000000002E-3</v>
      </c>
      <c r="L160" s="1">
        <v>-1.0169999999999999E-3</v>
      </c>
      <c r="M160" s="1">
        <v>0.94986300000000001</v>
      </c>
      <c r="N160" s="1">
        <v>-0.31264900000000001</v>
      </c>
      <c r="O160">
        <v>1</v>
      </c>
      <c r="P160">
        <v>0</v>
      </c>
      <c r="Q160">
        <v>1</v>
      </c>
      <c r="R160">
        <v>1</v>
      </c>
      <c r="S160">
        <v>1</v>
      </c>
      <c r="T160" s="1">
        <f>SQRT(POWER(Plank[[#This Row],[angvel_X]],2) + POWER(Plank[[#This Row],[angvel_Y]],2) + POWER(Plank[[#This Row],[angvel_Z]],2))</f>
        <v>2.0330000098376781</v>
      </c>
      <c r="U160" s="1">
        <f>DEGREES(ASIN(MAX(-1,MIN(1,2 * (Plank[[#This Row],[quart_W]]*Plank[[#This Row],[quart_Y]] - Plank[[#This Row],[quart_Z]]*Plank[[#This Row],[quart_X]])))))</f>
        <v>0.36558963187520338</v>
      </c>
      <c r="V16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-126.43811027351343</v>
      </c>
      <c r="W16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90.002356061302507</v>
      </c>
      <c r="X160" s="1">
        <f>IF(Plank[[#This Row],[Yaw]]&gt;V159,(360-ABS(Plank[[#This Row],[Yaw]])-ABS(V159)),ABS(Plank[[#This Row],[Yaw]]-V159))</f>
        <v>0.97045780544146965</v>
      </c>
      <c r="Y160" s="1">
        <f>Plank[[#This Row],[Degree change]]+Y159</f>
        <v>95.588594898925493</v>
      </c>
    </row>
    <row r="161" spans="1:25">
      <c r="A161">
        <v>160</v>
      </c>
      <c r="B161" s="1">
        <v>-1382.869995</v>
      </c>
      <c r="C161" s="1">
        <v>2475.219971</v>
      </c>
      <c r="D161" s="1">
        <v>18.639999</v>
      </c>
      <c r="E161" s="1">
        <v>-1911.1099850000001</v>
      </c>
      <c r="F161" s="1">
        <v>-1279.669922</v>
      </c>
      <c r="G161" s="1">
        <v>8.1799990000000005</v>
      </c>
      <c r="H161" s="1">
        <v>-2.0000000000000001E-4</v>
      </c>
      <c r="I161" s="1">
        <v>0</v>
      </c>
      <c r="J161" s="1">
        <v>2.0329999999999999</v>
      </c>
      <c r="K161" s="1">
        <v>-3.0130000000000001E-3</v>
      </c>
      <c r="L161" s="1">
        <v>-1.044E-3</v>
      </c>
      <c r="M161" s="1">
        <v>0.94718199999999997</v>
      </c>
      <c r="N161" s="1">
        <v>-0.32068099999999999</v>
      </c>
      <c r="O161">
        <v>1</v>
      </c>
      <c r="P161">
        <v>0</v>
      </c>
      <c r="Q161">
        <v>1</v>
      </c>
      <c r="R161">
        <v>1</v>
      </c>
      <c r="S161">
        <v>1</v>
      </c>
      <c r="T161" s="1">
        <f>SQRT(POWER(Plank[[#This Row],[angvel_X]],2) + POWER(Plank[[#This Row],[angvel_Y]],2) + POWER(Plank[[#This Row],[angvel_Z]],2))</f>
        <v>2.0330000098376781</v>
      </c>
      <c r="U161" s="1">
        <f>DEGREES(ASIN(MAX(-1,MIN(1,2 * (Plank[[#This Row],[quart_W]]*Plank[[#This Row],[quart_Y]] - Plank[[#This Row],[quart_Z]]*Plank[[#This Row],[quart_X]])))))</f>
        <v>0.36539488929868291</v>
      </c>
      <c r="V16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-127.40840516317155</v>
      </c>
      <c r="W16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90.002595110980351</v>
      </c>
      <c r="X161" s="1">
        <f>IF(Plank[[#This Row],[Yaw]]&gt;V160,(360-ABS(Plank[[#This Row],[Yaw]])-ABS(V160)),ABS(Plank[[#This Row],[Yaw]]-V160))</f>
        <v>0.9702948896581205</v>
      </c>
      <c r="Y161" s="1">
        <f>Plank[[#This Row],[Degree change]]+Y160</f>
        <v>96.558889788583613</v>
      </c>
    </row>
    <row r="162" spans="1:25">
      <c r="A162">
        <v>161</v>
      </c>
      <c r="B162" s="1">
        <v>-1398.849976</v>
      </c>
      <c r="C162" s="1">
        <v>2464.51001</v>
      </c>
      <c r="D162" s="1">
        <v>18.639999</v>
      </c>
      <c r="E162" s="1">
        <v>-1889.1599120000001</v>
      </c>
      <c r="F162" s="1">
        <v>-1311.8599850000001</v>
      </c>
      <c r="G162" s="1">
        <v>8.1799990000000005</v>
      </c>
      <c r="H162" s="1">
        <v>-2.0000000000000001E-4</v>
      </c>
      <c r="I162" s="1">
        <v>0</v>
      </c>
      <c r="J162" s="1">
        <v>2.0329999999999999</v>
      </c>
      <c r="K162" s="1">
        <v>-3.0019999999999999E-3</v>
      </c>
      <c r="L162" s="1">
        <v>-1.0709999999999999E-3</v>
      </c>
      <c r="M162" s="1">
        <v>0.94443100000000002</v>
      </c>
      <c r="N162" s="1">
        <v>-0.32869300000000001</v>
      </c>
      <c r="O162">
        <v>1</v>
      </c>
      <c r="P162">
        <v>0</v>
      </c>
      <c r="Q162">
        <v>1</v>
      </c>
      <c r="R162">
        <v>1</v>
      </c>
      <c r="S162">
        <v>1</v>
      </c>
      <c r="T162" s="1">
        <f>SQRT(POWER(Plank[[#This Row],[angvel_X]],2) + POWER(Plank[[#This Row],[angvel_Y]],2) + POWER(Plank[[#This Row],[angvel_Z]],2))</f>
        <v>2.0330000098376781</v>
      </c>
      <c r="U162" s="1">
        <f>DEGREES(ASIN(MAX(-1,MIN(1,2 * (Plank[[#This Row],[quart_W]]*Plank[[#This Row],[quart_Y]] - Plank[[#This Row],[quart_Z]]*Plank[[#This Row],[quart_X]])))))</f>
        <v>0.36523007291997955</v>
      </c>
      <c r="V16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-128.3791703223898</v>
      </c>
      <c r="W16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90.002836108753513</v>
      </c>
      <c r="X162" s="1">
        <f>IF(Plank[[#This Row],[Yaw]]&gt;V161,(360-ABS(Plank[[#This Row],[Yaw]])-ABS(V161)),ABS(Plank[[#This Row],[Yaw]]-V161))</f>
        <v>0.9707651592182458</v>
      </c>
      <c r="Y162" s="1">
        <f>Plank[[#This Row],[Degree change]]+Y161</f>
        <v>97.529654947801859</v>
      </c>
    </row>
    <row r="163" spans="1:25">
      <c r="A163">
        <v>162</v>
      </c>
      <c r="B163" s="1">
        <v>-1414.650024</v>
      </c>
      <c r="C163" s="1">
        <v>2453.540039</v>
      </c>
      <c r="D163" s="1">
        <v>18.639999</v>
      </c>
      <c r="E163" s="1">
        <v>-1866.669922</v>
      </c>
      <c r="F163" s="1">
        <v>-1343.669922</v>
      </c>
      <c r="G163" s="1">
        <v>8.1799990000000005</v>
      </c>
      <c r="H163" s="1">
        <v>-2.0000000000000001E-4</v>
      </c>
      <c r="I163" s="1">
        <v>0</v>
      </c>
      <c r="J163" s="1">
        <v>2.0329999999999999</v>
      </c>
      <c r="K163" s="1">
        <v>-2.9910000000000002E-3</v>
      </c>
      <c r="L163" s="1">
        <v>-1.098E-3</v>
      </c>
      <c r="M163" s="1">
        <v>0.94161300000000003</v>
      </c>
      <c r="N163" s="1">
        <v>-0.33668199999999998</v>
      </c>
      <c r="O163">
        <v>1</v>
      </c>
      <c r="P163">
        <v>0</v>
      </c>
      <c r="Q163">
        <v>1</v>
      </c>
      <c r="R163">
        <v>1</v>
      </c>
      <c r="S163">
        <v>1</v>
      </c>
      <c r="T163" s="1">
        <f>SQRT(POWER(Plank[[#This Row],[angvel_X]],2) + POWER(Plank[[#This Row],[angvel_Y]],2) + POWER(Plank[[#This Row],[angvel_Z]],2))</f>
        <v>2.0330000098376781</v>
      </c>
      <c r="U163" s="1">
        <f>DEGREES(ASIN(MAX(-1,MIN(1,2 * (Plank[[#This Row],[quart_W]]*Plank[[#This Row],[quart_Y]] - Plank[[#This Row],[quart_Z]]*Plank[[#This Row],[quart_X]])))))</f>
        <v>0.36509591258590196</v>
      </c>
      <c r="V16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-129.34990428247721</v>
      </c>
      <c r="W16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90.003079734968267</v>
      </c>
      <c r="X163" s="1">
        <f>IF(Plank[[#This Row],[Yaw]]&gt;V162,(360-ABS(Plank[[#This Row],[Yaw]])-ABS(V162)),ABS(Plank[[#This Row],[Yaw]]-V162))</f>
        <v>0.97073396008741497</v>
      </c>
      <c r="Y163" s="1">
        <f>Plank[[#This Row],[Degree change]]+Y162</f>
        <v>98.500388907889274</v>
      </c>
    </row>
    <row r="164" spans="1:25">
      <c r="A164">
        <v>163</v>
      </c>
      <c r="B164" s="1">
        <v>-1430.26001</v>
      </c>
      <c r="C164" s="1">
        <v>2442.3000489999999</v>
      </c>
      <c r="D164" s="1">
        <v>18.639999</v>
      </c>
      <c r="E164" s="1">
        <v>-1843.6400149999999</v>
      </c>
      <c r="F164" s="1">
        <v>-1375.099976</v>
      </c>
      <c r="G164" s="1">
        <v>8.1799990000000005</v>
      </c>
      <c r="H164" s="1">
        <v>-2.0000000000000001E-4</v>
      </c>
      <c r="I164" s="1">
        <v>-1E-4</v>
      </c>
      <c r="J164" s="1">
        <v>2.0329999999999999</v>
      </c>
      <c r="K164" s="1">
        <v>-2.9810000000000001E-3</v>
      </c>
      <c r="L164" s="1">
        <v>-1.1249999999999999E-3</v>
      </c>
      <c r="M164" s="1">
        <v>0.93872800000000001</v>
      </c>
      <c r="N164" s="1">
        <v>-0.34464499999999998</v>
      </c>
      <c r="O164">
        <v>1</v>
      </c>
      <c r="P164">
        <v>0</v>
      </c>
      <c r="Q164">
        <v>1</v>
      </c>
      <c r="R164">
        <v>1</v>
      </c>
      <c r="S164">
        <v>1</v>
      </c>
      <c r="T164" s="1">
        <f>SQRT(POWER(Plank[[#This Row],[angvel_X]],2) + POWER(Plank[[#This Row],[angvel_Y]],2) + POWER(Plank[[#This Row],[angvel_Z]],2))</f>
        <v>2.0330000122970979</v>
      </c>
      <c r="U164" s="1">
        <f>DEGREES(ASIN(MAX(-1,MIN(1,2 * (Plank[[#This Row],[quart_W]]*Plank[[#This Row],[quart_Y]] - Plank[[#This Row],[quart_Z]]*Plank[[#This Row],[quart_X]])))))</f>
        <v>0.36509963390774047</v>
      </c>
      <c r="V16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-130.32042254797557</v>
      </c>
      <c r="W16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90.00328681104854</v>
      </c>
      <c r="X164" s="1">
        <f>IF(Plank[[#This Row],[Yaw]]&gt;V163,(360-ABS(Plank[[#This Row],[Yaw]])-ABS(V163)),ABS(Plank[[#This Row],[Yaw]]-V163))</f>
        <v>0.97051826549835596</v>
      </c>
      <c r="Y164" s="1">
        <f>Plank[[#This Row],[Degree change]]+Y163</f>
        <v>99.47090717338763</v>
      </c>
    </row>
    <row r="165" spans="1:25">
      <c r="A165">
        <v>164</v>
      </c>
      <c r="B165" s="1">
        <v>-1445.679932</v>
      </c>
      <c r="C165" s="1">
        <v>2430.8000489999999</v>
      </c>
      <c r="D165" s="1">
        <v>18.639999</v>
      </c>
      <c r="E165" s="1">
        <v>-1820.079956</v>
      </c>
      <c r="F165" s="1">
        <v>-1406.130005</v>
      </c>
      <c r="G165" s="1">
        <v>8.1799990000000005</v>
      </c>
      <c r="H165" s="1">
        <v>-2.0000000000000001E-4</v>
      </c>
      <c r="I165" s="1">
        <v>-1E-4</v>
      </c>
      <c r="J165" s="1">
        <v>2.0329999999999999</v>
      </c>
      <c r="K165" s="1">
        <v>-2.97E-3</v>
      </c>
      <c r="L165" s="1">
        <v>-1.1460000000000001E-3</v>
      </c>
      <c r="M165" s="1">
        <v>0.93577399999999999</v>
      </c>
      <c r="N165" s="1">
        <v>-0.35258600000000001</v>
      </c>
      <c r="O165">
        <v>1</v>
      </c>
      <c r="P165">
        <v>0</v>
      </c>
      <c r="Q165">
        <v>1</v>
      </c>
      <c r="R165">
        <v>1</v>
      </c>
      <c r="S165">
        <v>1</v>
      </c>
      <c r="T165" s="1">
        <f>SQRT(POWER(Plank[[#This Row],[angvel_X]],2) + POWER(Plank[[#This Row],[angvel_Y]],2) + POWER(Plank[[#This Row],[angvel_Z]],2))</f>
        <v>2.0330000122970979</v>
      </c>
      <c r="U165" s="1">
        <f>DEGREES(ASIN(MAX(-1,MIN(1,2 * (Plank[[#This Row],[quart_W]]*Plank[[#This Row],[quart_Y]] - Plank[[#This Row],[quart_Z]]*Plank[[#This Row],[quart_X]])))))</f>
        <v>0.36478318782589819</v>
      </c>
      <c r="V16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-131.2913460190951</v>
      </c>
      <c r="W16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90.002889666240421</v>
      </c>
      <c r="X165" s="1">
        <f>IF(Plank[[#This Row],[Yaw]]&gt;V164,(360-ABS(Plank[[#This Row],[Yaw]])-ABS(V164)),ABS(Plank[[#This Row],[Yaw]]-V164))</f>
        <v>0.97092347111953359</v>
      </c>
      <c r="Y165" s="1">
        <f>Plank[[#This Row],[Degree change]]+Y164</f>
        <v>100.44183064450716</v>
      </c>
    </row>
    <row r="166" spans="1:25">
      <c r="A166">
        <v>165</v>
      </c>
      <c r="B166" s="1">
        <v>-1460.900024</v>
      </c>
      <c r="C166" s="1">
        <v>2419.040039</v>
      </c>
      <c r="D166" s="1">
        <v>18.639999</v>
      </c>
      <c r="E166" s="1">
        <v>-1796</v>
      </c>
      <c r="F166" s="1">
        <v>-1436.76001</v>
      </c>
      <c r="G166" s="1">
        <v>8.1799990000000005</v>
      </c>
      <c r="H166" s="1">
        <v>-2.0000000000000001E-4</v>
      </c>
      <c r="I166" s="1">
        <v>-1E-4</v>
      </c>
      <c r="J166" s="1">
        <v>2.0329999999999999</v>
      </c>
      <c r="K166" s="1">
        <v>-2.9589999999999998E-3</v>
      </c>
      <c r="L166" s="1">
        <v>-1.168E-3</v>
      </c>
      <c r="M166" s="1">
        <v>0.93275399999999997</v>
      </c>
      <c r="N166" s="1">
        <v>-0.36050100000000002</v>
      </c>
      <c r="O166">
        <v>1</v>
      </c>
      <c r="P166">
        <v>0</v>
      </c>
      <c r="Q166">
        <v>1</v>
      </c>
      <c r="R166">
        <v>1</v>
      </c>
      <c r="S166">
        <v>1</v>
      </c>
      <c r="T166" s="1">
        <f>SQRT(POWER(Plank[[#This Row],[angvel_X]],2) + POWER(Plank[[#This Row],[angvel_Y]],2) + POWER(Plank[[#This Row],[angvel_Z]],2))</f>
        <v>2.0330000122970979</v>
      </c>
      <c r="U166" s="1">
        <f>DEGREES(ASIN(MAX(-1,MIN(1,2 * (Plank[[#This Row],[quart_W]]*Plank[[#This Row],[quart_Y]] - Plank[[#This Row],[quart_Z]]*Plank[[#This Row],[quart_X]])))))</f>
        <v>0.36452786326479736</v>
      </c>
      <c r="V16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-132.26208279177283</v>
      </c>
      <c r="W16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90.002605201637891</v>
      </c>
      <c r="X166" s="1">
        <f>IF(Plank[[#This Row],[Yaw]]&gt;V165,(360-ABS(Plank[[#This Row],[Yaw]])-ABS(V165)),ABS(Plank[[#This Row],[Yaw]]-V165))</f>
        <v>0.97073677267772496</v>
      </c>
      <c r="Y166" s="1">
        <f>Plank[[#This Row],[Degree change]]+Y165</f>
        <v>101.41256741718489</v>
      </c>
    </row>
    <row r="167" spans="1:25">
      <c r="A167">
        <v>166</v>
      </c>
      <c r="B167" s="1">
        <v>-1475.919922</v>
      </c>
      <c r="C167" s="1">
        <v>2407.0200199999999</v>
      </c>
      <c r="D167" s="1">
        <v>18.639999</v>
      </c>
      <c r="E167" s="1">
        <v>-1771.4099120000001</v>
      </c>
      <c r="F167" s="1">
        <v>-1466.9799800000001</v>
      </c>
      <c r="G167" s="1">
        <v>8.1799990000000005</v>
      </c>
      <c r="H167" s="1">
        <v>-2.0000000000000001E-4</v>
      </c>
      <c r="I167" s="1">
        <v>-2.0000000000000001E-4</v>
      </c>
      <c r="J167" s="1">
        <v>2.0329999999999999</v>
      </c>
      <c r="K167" s="1">
        <v>-2.9480000000000001E-3</v>
      </c>
      <c r="L167" s="1">
        <v>-1.1900000000000001E-3</v>
      </c>
      <c r="M167" s="1">
        <v>0.92966700000000002</v>
      </c>
      <c r="N167" s="1">
        <v>-0.36838799999999999</v>
      </c>
      <c r="O167">
        <v>1</v>
      </c>
      <c r="P167">
        <v>0</v>
      </c>
      <c r="Q167">
        <v>1</v>
      </c>
      <c r="R167">
        <v>1</v>
      </c>
      <c r="S167">
        <v>1</v>
      </c>
      <c r="T167" s="1">
        <f>SQRT(POWER(Plank[[#This Row],[angvel_X]],2) + POWER(Plank[[#This Row],[angvel_Y]],2) + POWER(Plank[[#This Row],[angvel_Z]],2))</f>
        <v>2.0330000196753568</v>
      </c>
      <c r="U167" s="1">
        <f>DEGREES(ASIN(MAX(-1,MIN(1,2 * (Plank[[#This Row],[quart_W]]*Plank[[#This Row],[quart_Y]] - Plank[[#This Row],[quart_Z]]*Plank[[#This Row],[quart_X]])))))</f>
        <v>0.36429360839919694</v>
      </c>
      <c r="V16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-133.23265835377859</v>
      </c>
      <c r="W16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90.002325786521638</v>
      </c>
      <c r="X167" s="1">
        <f>IF(Plank[[#This Row],[Yaw]]&gt;V166,(360-ABS(Plank[[#This Row],[Yaw]])-ABS(V166)),ABS(Plank[[#This Row],[Yaw]]-V166))</f>
        <v>0.970575562005763</v>
      </c>
      <c r="Y167" s="1">
        <f>Plank[[#This Row],[Degree change]]+Y166</f>
        <v>102.38314297919065</v>
      </c>
    </row>
    <row r="168" spans="1:25">
      <c r="A168">
        <v>167</v>
      </c>
      <c r="B168" s="1">
        <v>-1490.7299800000001</v>
      </c>
      <c r="C168" s="1">
        <v>2394.75</v>
      </c>
      <c r="D168" s="1">
        <v>18.639999</v>
      </c>
      <c r="E168" s="1">
        <v>-1746.299927</v>
      </c>
      <c r="F168" s="1">
        <v>-1496.7700199999999</v>
      </c>
      <c r="G168" s="1">
        <v>8.1799990000000005</v>
      </c>
      <c r="H168" s="1">
        <v>-1E-4</v>
      </c>
      <c r="I168" s="1">
        <v>-2.0000000000000001E-4</v>
      </c>
      <c r="J168" s="1">
        <v>2.0329999999999999</v>
      </c>
      <c r="K168" s="1">
        <v>-2.9369999999999999E-3</v>
      </c>
      <c r="L168" s="1">
        <v>-1.2110000000000001E-3</v>
      </c>
      <c r="M168" s="1">
        <v>0.92651300000000003</v>
      </c>
      <c r="N168" s="1">
        <v>-0.37624800000000003</v>
      </c>
      <c r="O168">
        <v>1</v>
      </c>
      <c r="P168">
        <v>0</v>
      </c>
      <c r="Q168">
        <v>1</v>
      </c>
      <c r="R168">
        <v>1</v>
      </c>
      <c r="S168">
        <v>1</v>
      </c>
      <c r="T168" s="1">
        <f>SQRT(POWER(Plank[[#This Row],[angvel_X]],2) + POWER(Plank[[#This Row],[angvel_Y]],2) + POWER(Plank[[#This Row],[angvel_Z]],2))</f>
        <v>2.0330000122970979</v>
      </c>
      <c r="U168" s="1">
        <f>DEGREES(ASIN(MAX(-1,MIN(1,2 * (Plank[[#This Row],[quart_W]]*Plank[[#This Row],[quart_Y]] - Plank[[#This Row],[quart_Z]]*Plank[[#This Row],[quart_X]])))))</f>
        <v>0.36403748799753094</v>
      </c>
      <c r="V16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-134.20322830031034</v>
      </c>
      <c r="W16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90.001944298986203</v>
      </c>
      <c r="X168" s="1">
        <f>IF(Plank[[#This Row],[Yaw]]&gt;V167,(360-ABS(Plank[[#This Row],[Yaw]])-ABS(V167)),ABS(Plank[[#This Row],[Yaw]]-V167))</f>
        <v>0.97056994653175366</v>
      </c>
      <c r="Y168" s="1">
        <f>Plank[[#This Row],[Degree change]]+Y167</f>
        <v>103.35371292572241</v>
      </c>
    </row>
    <row r="169" spans="1:25">
      <c r="A169">
        <v>168</v>
      </c>
      <c r="B169" s="1">
        <v>-1505.329956</v>
      </c>
      <c r="C169" s="1">
        <v>2382.2299800000001</v>
      </c>
      <c r="D169" s="1">
        <v>18.639999</v>
      </c>
      <c r="E169" s="1">
        <v>-1720.6999510000001</v>
      </c>
      <c r="F169" s="1">
        <v>-1526.1400149999999</v>
      </c>
      <c r="G169" s="1">
        <v>8.1799990000000005</v>
      </c>
      <c r="H169" s="1">
        <v>0</v>
      </c>
      <c r="I169" s="1">
        <v>-2.0000000000000001E-4</v>
      </c>
      <c r="J169" s="1">
        <v>2.0329999999999999</v>
      </c>
      <c r="K169" s="1">
        <v>-2.9269999999999999E-3</v>
      </c>
      <c r="L169" s="1">
        <v>-1.2329999999999999E-3</v>
      </c>
      <c r="M169" s="1">
        <v>0.92329399999999995</v>
      </c>
      <c r="N169" s="1">
        <v>-0.38408100000000001</v>
      </c>
      <c r="O169">
        <v>1</v>
      </c>
      <c r="P169">
        <v>0</v>
      </c>
      <c r="Q169">
        <v>1</v>
      </c>
      <c r="R169">
        <v>1</v>
      </c>
      <c r="S169">
        <v>1</v>
      </c>
      <c r="T169" s="1">
        <f>SQRT(POWER(Plank[[#This Row],[angvel_X]],2) + POWER(Plank[[#This Row],[angvel_Y]],2) + POWER(Plank[[#This Row],[angvel_Z]],2))</f>
        <v>2.0330000098376781</v>
      </c>
      <c r="U169" s="1">
        <f>DEGREES(ASIN(MAX(-1,MIN(1,2 * (Plank[[#This Row],[quart_W]]*Plank[[#This Row],[quart_Y]] - Plank[[#This Row],[quart_Z]]*Plank[[#This Row],[quart_X]])))))</f>
        <v>0.36395135947290996</v>
      </c>
      <c r="V16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-135.17362692681178</v>
      </c>
      <c r="W16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90.001629114025931</v>
      </c>
      <c r="X169" s="1">
        <f>IF(Plank[[#This Row],[Yaw]]&gt;V168,(360-ABS(Plank[[#This Row],[Yaw]])-ABS(V168)),ABS(Plank[[#This Row],[Yaw]]-V168))</f>
        <v>0.97039862650143505</v>
      </c>
      <c r="Y169" s="1">
        <f>Plank[[#This Row],[Degree change]]+Y168</f>
        <v>104.32411155222384</v>
      </c>
    </row>
    <row r="170" spans="1:25">
      <c r="A170">
        <v>169</v>
      </c>
      <c r="B170" s="1">
        <v>-1519.719971</v>
      </c>
      <c r="C170" s="1">
        <v>2369.459961</v>
      </c>
      <c r="D170" s="1">
        <v>18.639999</v>
      </c>
      <c r="E170" s="1">
        <v>-1694.599976</v>
      </c>
      <c r="F170" s="1">
        <v>-1555.0699460000001</v>
      </c>
      <c r="G170" s="1">
        <v>8.1799990000000005</v>
      </c>
      <c r="H170" s="1">
        <v>0</v>
      </c>
      <c r="I170" s="1">
        <v>-2.0000000000000001E-4</v>
      </c>
      <c r="J170" s="1">
        <v>2.0329999999999999</v>
      </c>
      <c r="K170" s="1">
        <v>-2.9160000000000002E-3</v>
      </c>
      <c r="L170" s="1">
        <v>-1.2600000000000001E-3</v>
      </c>
      <c r="M170" s="1">
        <v>0.92000800000000005</v>
      </c>
      <c r="N170" s="1">
        <v>-0.39188800000000001</v>
      </c>
      <c r="O170">
        <v>1</v>
      </c>
      <c r="P170">
        <v>0</v>
      </c>
      <c r="Q170">
        <v>1</v>
      </c>
      <c r="R170">
        <v>1</v>
      </c>
      <c r="S170">
        <v>1</v>
      </c>
      <c r="T170" s="1">
        <f>SQRT(POWER(Plank[[#This Row],[angvel_X]],2) + POWER(Plank[[#This Row],[angvel_Y]],2) + POWER(Plank[[#This Row],[angvel_Z]],2))</f>
        <v>2.0330000098376781</v>
      </c>
      <c r="U170" s="1">
        <f>DEGREES(ASIN(MAX(-1,MIN(1,2 * (Plank[[#This Row],[quart_W]]*Plank[[#This Row],[quart_Y]] - Plank[[#This Row],[quart_Z]]*Plank[[#This Row],[quart_X]])))))</f>
        <v>0.36400508073598437</v>
      </c>
      <c r="V17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-136.14422833281517</v>
      </c>
      <c r="W17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90.001886750509755</v>
      </c>
      <c r="X170" s="1">
        <f>IF(Plank[[#This Row],[Yaw]]&gt;V169,(360-ABS(Plank[[#This Row],[Yaw]])-ABS(V169)),ABS(Plank[[#This Row],[Yaw]]-V169))</f>
        <v>0.97060140600339651</v>
      </c>
      <c r="Y170" s="1">
        <f>Plank[[#This Row],[Degree change]]+Y169</f>
        <v>105.29471295822724</v>
      </c>
    </row>
    <row r="171" spans="1:25">
      <c r="A171">
        <v>170</v>
      </c>
      <c r="B171" s="1">
        <v>-1533.8900149999999</v>
      </c>
      <c r="C171" s="1">
        <v>2356.4499510000001</v>
      </c>
      <c r="D171" s="1">
        <v>18.639999</v>
      </c>
      <c r="E171" s="1">
        <v>-1668.01001</v>
      </c>
      <c r="F171" s="1">
        <v>-1583.549927</v>
      </c>
      <c r="G171" s="1">
        <v>8.1799990000000005</v>
      </c>
      <c r="H171" s="1">
        <v>0</v>
      </c>
      <c r="I171" s="1">
        <v>-2.0000000000000001E-4</v>
      </c>
      <c r="J171" s="1">
        <v>2.0329999999999999</v>
      </c>
      <c r="K171" s="1">
        <v>-2.905E-3</v>
      </c>
      <c r="L171" s="1">
        <v>-1.2869999999999999E-3</v>
      </c>
      <c r="M171" s="1">
        <v>0.916655</v>
      </c>
      <c r="N171" s="1">
        <v>-0.39966699999999999</v>
      </c>
      <c r="O171">
        <v>1</v>
      </c>
      <c r="P171">
        <v>0</v>
      </c>
      <c r="Q171">
        <v>1</v>
      </c>
      <c r="R171">
        <v>1</v>
      </c>
      <c r="S171">
        <v>1</v>
      </c>
      <c r="T171" s="1">
        <f>SQRT(POWER(Plank[[#This Row],[angvel_X]],2) + POWER(Plank[[#This Row],[angvel_Y]],2) + POWER(Plank[[#This Row],[angvel_Z]],2))</f>
        <v>2.0330000098376781</v>
      </c>
      <c r="U171" s="1">
        <f>DEGREES(ASIN(MAX(-1,MIN(1,2 * (Plank[[#This Row],[quart_W]]*Plank[[#This Row],[quart_Y]] - Plank[[#This Row],[quart_Z]]*Plank[[#This Row],[quart_X]])))))</f>
        <v>0.36408896299202559</v>
      </c>
      <c r="V17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-137.11495769395859</v>
      </c>
      <c r="W17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90.002143174715343</v>
      </c>
      <c r="X171" s="1">
        <f>IF(Plank[[#This Row],[Yaw]]&gt;V170,(360-ABS(Plank[[#This Row],[Yaw]])-ABS(V170)),ABS(Plank[[#This Row],[Yaw]]-V170))</f>
        <v>0.97072936114341246</v>
      </c>
      <c r="Y171" s="1">
        <f>Plank[[#This Row],[Degree change]]+Y170</f>
        <v>106.26544231937065</v>
      </c>
    </row>
    <row r="172" spans="1:25">
      <c r="A172">
        <v>171</v>
      </c>
      <c r="B172" s="1">
        <v>-1547.839966</v>
      </c>
      <c r="C172" s="1">
        <v>2343.1999510000001</v>
      </c>
      <c r="D172" s="1">
        <v>18.639999</v>
      </c>
      <c r="E172" s="1">
        <v>-1640.9499510000001</v>
      </c>
      <c r="F172" s="1">
        <v>-1611.579956</v>
      </c>
      <c r="G172" s="1">
        <v>8.1799990000000005</v>
      </c>
      <c r="H172" s="1">
        <v>0</v>
      </c>
      <c r="I172" s="1">
        <v>-2.0000000000000001E-4</v>
      </c>
      <c r="J172" s="1">
        <v>2.0329999999999999</v>
      </c>
      <c r="K172" s="1">
        <v>-2.8939999999999999E-3</v>
      </c>
      <c r="L172" s="1">
        <v>-1.3079999999999999E-3</v>
      </c>
      <c r="M172" s="1">
        <v>0.91323600000000005</v>
      </c>
      <c r="N172" s="1">
        <v>-0.40741899999999998</v>
      </c>
      <c r="O172">
        <v>1</v>
      </c>
      <c r="P172">
        <v>0</v>
      </c>
      <c r="Q172">
        <v>1</v>
      </c>
      <c r="R172">
        <v>1</v>
      </c>
      <c r="S172">
        <v>1</v>
      </c>
      <c r="T172" s="1">
        <f>SQRT(POWER(Plank[[#This Row],[angvel_X]],2) + POWER(Plank[[#This Row],[angvel_Y]],2) + POWER(Plank[[#This Row],[angvel_Z]],2))</f>
        <v>2.0330000098376781</v>
      </c>
      <c r="U172" s="1">
        <f>DEGREES(ASIN(MAX(-1,MIN(1,2 * (Plank[[#This Row],[quart_W]]*Plank[[#This Row],[quart_Y]] - Plank[[#This Row],[quart_Z]]*Plank[[#This Row],[quart_X]])))))</f>
        <v>0.3639233555957429</v>
      </c>
      <c r="V17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-138.08583683453415</v>
      </c>
      <c r="W17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90.00176957023838</v>
      </c>
      <c r="X172" s="1">
        <f>IF(Plank[[#This Row],[Yaw]]&gt;V171,(360-ABS(Plank[[#This Row],[Yaw]])-ABS(V171)),ABS(Plank[[#This Row],[Yaw]]-V171))</f>
        <v>0.97087914057556191</v>
      </c>
      <c r="Y172" s="1">
        <f>Plank[[#This Row],[Degree change]]+Y171</f>
        <v>107.23632145994621</v>
      </c>
    </row>
    <row r="173" spans="1:25">
      <c r="A173">
        <v>172</v>
      </c>
      <c r="B173" s="1">
        <v>-1561.559937</v>
      </c>
      <c r="C173" s="1">
        <v>2329.719971</v>
      </c>
      <c r="D173" s="1">
        <v>18.639999</v>
      </c>
      <c r="E173" s="1">
        <v>-1613.4099120000001</v>
      </c>
      <c r="F173" s="1">
        <v>-1639.1499020000001</v>
      </c>
      <c r="G173" s="1">
        <v>8.1799990000000005</v>
      </c>
      <c r="H173" s="1">
        <v>0</v>
      </c>
      <c r="I173" s="1">
        <v>-2.0000000000000001E-4</v>
      </c>
      <c r="J173" s="1">
        <v>2.0329999999999999</v>
      </c>
      <c r="K173" s="1">
        <v>-2.8839999999999998E-3</v>
      </c>
      <c r="L173" s="1">
        <v>-1.33E-3</v>
      </c>
      <c r="M173" s="1">
        <v>0.90975200000000001</v>
      </c>
      <c r="N173" s="1">
        <v>-0.41513899999999998</v>
      </c>
      <c r="O173">
        <v>1</v>
      </c>
      <c r="P173">
        <v>0</v>
      </c>
      <c r="Q173">
        <v>1</v>
      </c>
      <c r="R173">
        <v>1</v>
      </c>
      <c r="S173">
        <v>1</v>
      </c>
      <c r="T173" s="1">
        <f>SQRT(POWER(Plank[[#This Row],[angvel_X]],2) + POWER(Plank[[#This Row],[angvel_Y]],2) + POWER(Plank[[#This Row],[angvel_Z]],2))</f>
        <v>2.0330000098376781</v>
      </c>
      <c r="U173" s="1">
        <f>DEGREES(ASIN(MAX(-1,MIN(1,2 * (Plank[[#This Row],[quart_W]]*Plank[[#This Row],[quart_Y]] - Plank[[#This Row],[quart_Z]]*Plank[[#This Row],[quart_X]])))))</f>
        <v>0.36392915427478401</v>
      </c>
      <c r="V17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-139.0564567683117</v>
      </c>
      <c r="W17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90.001456406047012</v>
      </c>
      <c r="X173" s="1">
        <f>IF(Plank[[#This Row],[Yaw]]&gt;V172,(360-ABS(Plank[[#This Row],[Yaw]])-ABS(V172)),ABS(Plank[[#This Row],[Yaw]]-V172))</f>
        <v>0.97061993377755584</v>
      </c>
      <c r="Y173" s="1">
        <f>Plank[[#This Row],[Degree change]]+Y172</f>
        <v>108.20694139372377</v>
      </c>
    </row>
    <row r="174" spans="1:25">
      <c r="A174">
        <v>173</v>
      </c>
      <c r="B174" s="1">
        <v>-1575.049927</v>
      </c>
      <c r="C174" s="1">
        <v>2316.01001</v>
      </c>
      <c r="D174" s="1">
        <v>18.639999</v>
      </c>
      <c r="E174" s="1">
        <v>-1585.4099120000001</v>
      </c>
      <c r="F174" s="1">
        <v>-1666.23999</v>
      </c>
      <c r="G174" s="1">
        <v>8.1799990000000005</v>
      </c>
      <c r="H174" s="1">
        <v>0</v>
      </c>
      <c r="I174" s="1">
        <v>-2.0000000000000001E-4</v>
      </c>
      <c r="J174" s="1">
        <v>2.0329999999999999</v>
      </c>
      <c r="K174" s="1">
        <v>-2.8730000000000001E-3</v>
      </c>
      <c r="L174" s="1">
        <v>-1.351E-3</v>
      </c>
      <c r="M174" s="1">
        <v>0.90620199999999995</v>
      </c>
      <c r="N174" s="1">
        <v>-0.42283199999999999</v>
      </c>
      <c r="O174">
        <v>1</v>
      </c>
      <c r="P174">
        <v>0</v>
      </c>
      <c r="Q174">
        <v>1</v>
      </c>
      <c r="R174">
        <v>1</v>
      </c>
      <c r="S174">
        <v>1</v>
      </c>
      <c r="T174" s="1">
        <f>SQRT(POWER(Plank[[#This Row],[angvel_X]],2) + POWER(Plank[[#This Row],[angvel_Y]],2) + POWER(Plank[[#This Row],[angvel_Z]],2))</f>
        <v>2.0330000098376781</v>
      </c>
      <c r="U174" s="1">
        <f>DEGREES(ASIN(MAX(-1,MIN(1,2 * (Plank[[#This Row],[quart_W]]*Plank[[#This Row],[quart_Y]] - Plank[[#This Row],[quart_Z]]*Plank[[#This Row],[quart_X]])))))</f>
        <v>0.36380364419288191</v>
      </c>
      <c r="V17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-140.02735960339933</v>
      </c>
      <c r="W17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90.001086643926655</v>
      </c>
      <c r="X174" s="1">
        <f>IF(Plank[[#This Row],[Yaw]]&gt;V173,(360-ABS(Plank[[#This Row],[Yaw]])-ABS(V173)),ABS(Plank[[#This Row],[Yaw]]-V173))</f>
        <v>0.97090283508762809</v>
      </c>
      <c r="Y174" s="1">
        <f>Plank[[#This Row],[Degree change]]+Y173</f>
        <v>109.1778442288114</v>
      </c>
    </row>
    <row r="175" spans="1:25">
      <c r="A175">
        <v>174</v>
      </c>
      <c r="B175" s="1">
        <v>-1588.309937</v>
      </c>
      <c r="C175" s="1">
        <v>2302.070068</v>
      </c>
      <c r="D175" s="1">
        <v>18.639999</v>
      </c>
      <c r="E175" s="1">
        <v>-1556.959961</v>
      </c>
      <c r="F175" s="1">
        <v>-1692.8599850000001</v>
      </c>
      <c r="G175" s="1">
        <v>8.1799990000000005</v>
      </c>
      <c r="H175" s="1">
        <v>0</v>
      </c>
      <c r="I175" s="1">
        <v>-2.0000000000000001E-4</v>
      </c>
      <c r="J175" s="1">
        <v>2.0329999999999999</v>
      </c>
      <c r="K175" s="1">
        <v>-2.862E-3</v>
      </c>
      <c r="L175" s="1">
        <v>-1.3730000000000001E-3</v>
      </c>
      <c r="M175" s="1">
        <v>0.90258799999999995</v>
      </c>
      <c r="N175" s="1">
        <v>-0.43049300000000001</v>
      </c>
      <c r="O175">
        <v>1</v>
      </c>
      <c r="P175">
        <v>0</v>
      </c>
      <c r="Q175">
        <v>1</v>
      </c>
      <c r="R175">
        <v>1</v>
      </c>
      <c r="S175">
        <v>1</v>
      </c>
      <c r="T175" s="1">
        <f>SQRT(POWER(Plank[[#This Row],[angvel_X]],2) + POWER(Plank[[#This Row],[angvel_Y]],2) + POWER(Plank[[#This Row],[angvel_Z]],2))</f>
        <v>2.0330000098376781</v>
      </c>
      <c r="U175" s="1">
        <f>DEGREES(ASIN(MAX(-1,MIN(1,2 * (Plank[[#This Row],[quart_W]]*Plank[[#This Row],[quart_Y]] - Plank[[#This Row],[quart_Z]]*Plank[[#This Row],[quart_X]])))))</f>
        <v>0.36374742065929749</v>
      </c>
      <c r="V17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-140.99801852833338</v>
      </c>
      <c r="W17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90.000823054187123</v>
      </c>
      <c r="X175" s="1">
        <f>IF(Plank[[#This Row],[Yaw]]&gt;V174,(360-ABS(Plank[[#This Row],[Yaw]])-ABS(V174)),ABS(Plank[[#This Row],[Yaw]]-V174))</f>
        <v>0.97065892493404249</v>
      </c>
      <c r="Y175" s="1">
        <f>Plank[[#This Row],[Degree change]]+Y174</f>
        <v>110.14850315374544</v>
      </c>
    </row>
    <row r="176" spans="1:25">
      <c r="A176">
        <v>175</v>
      </c>
      <c r="B176" s="1">
        <v>-1601.329956</v>
      </c>
      <c r="C176" s="1">
        <v>2287.9099120000001</v>
      </c>
      <c r="D176" s="1">
        <v>18.639999</v>
      </c>
      <c r="E176" s="1">
        <v>-1528.059937</v>
      </c>
      <c r="F176" s="1">
        <v>-1718.98999</v>
      </c>
      <c r="G176" s="1">
        <v>8.1799990000000005</v>
      </c>
      <c r="H176" s="1">
        <v>0</v>
      </c>
      <c r="I176" s="1">
        <v>-2.0000000000000001E-4</v>
      </c>
      <c r="J176" s="1">
        <v>2.0329999999999999</v>
      </c>
      <c r="K176" s="1">
        <v>-2.8509999999999998E-3</v>
      </c>
      <c r="L176" s="1">
        <v>-1.395E-3</v>
      </c>
      <c r="M176" s="1">
        <v>0.89890999999999999</v>
      </c>
      <c r="N176" s="1">
        <v>-0.43812099999999998</v>
      </c>
      <c r="O176">
        <v>1</v>
      </c>
      <c r="P176">
        <v>0</v>
      </c>
      <c r="Q176">
        <v>1</v>
      </c>
      <c r="R176">
        <v>1</v>
      </c>
      <c r="S176">
        <v>1</v>
      </c>
      <c r="T176" s="1">
        <f>SQRT(POWER(Plank[[#This Row],[angvel_X]],2) + POWER(Plank[[#This Row],[angvel_Y]],2) + POWER(Plank[[#This Row],[angvel_Z]],2))</f>
        <v>2.0330000098376781</v>
      </c>
      <c r="U176" s="1">
        <f>DEGREES(ASIN(MAX(-1,MIN(1,2 * (Plank[[#This Row],[quart_W]]*Plank[[#This Row],[quart_Y]] - Plank[[#This Row],[quart_Z]]*Plank[[#This Row],[quart_X]])))))</f>
        <v>0.36371275143043391</v>
      </c>
      <c r="V17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-141.96844241306761</v>
      </c>
      <c r="W17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90.000561106467742</v>
      </c>
      <c r="X176" s="1">
        <f>IF(Plank[[#This Row],[Yaw]]&gt;V175,(360-ABS(Plank[[#This Row],[Yaw]])-ABS(V175)),ABS(Plank[[#This Row],[Yaw]]-V175))</f>
        <v>0.97042388473423102</v>
      </c>
      <c r="Y176" s="1">
        <f>Plank[[#This Row],[Degree change]]+Y175</f>
        <v>111.11892703847967</v>
      </c>
    </row>
    <row r="177" spans="1:25">
      <c r="A177">
        <v>176</v>
      </c>
      <c r="B177" s="1">
        <v>-1614.1099850000001</v>
      </c>
      <c r="C177" s="1">
        <v>2273.530029</v>
      </c>
      <c r="D177" s="1">
        <v>18.639999</v>
      </c>
      <c r="E177" s="1">
        <v>-1498.719971</v>
      </c>
      <c r="F177" s="1">
        <v>-1744.630005</v>
      </c>
      <c r="G177" s="1">
        <v>8.1799990000000005</v>
      </c>
      <c r="H177" s="1">
        <v>0</v>
      </c>
      <c r="I177" s="1">
        <v>-2.0000000000000001E-4</v>
      </c>
      <c r="J177" s="1">
        <v>2.0329999999999999</v>
      </c>
      <c r="K177" s="1">
        <v>-2.8400000000000001E-3</v>
      </c>
      <c r="L177" s="1">
        <v>-1.4159999999999999E-3</v>
      </c>
      <c r="M177" s="1">
        <v>0.89516600000000002</v>
      </c>
      <c r="N177" s="1">
        <v>-0.44572200000000001</v>
      </c>
      <c r="O177">
        <v>1</v>
      </c>
      <c r="P177">
        <v>0</v>
      </c>
      <c r="Q177">
        <v>1</v>
      </c>
      <c r="R177">
        <v>1</v>
      </c>
      <c r="S177">
        <v>1</v>
      </c>
      <c r="T177" s="1">
        <f>SQRT(POWER(Plank[[#This Row],[angvel_X]],2) + POWER(Plank[[#This Row],[angvel_Y]],2) + POWER(Plank[[#This Row],[angvel_Z]],2))</f>
        <v>2.0330000098376781</v>
      </c>
      <c r="U177" s="1">
        <f>DEGREES(ASIN(MAX(-1,MIN(1,2 * (Plank[[#This Row],[quart_W]]*Plank[[#This Row],[quart_Y]] - Plank[[#This Row],[quart_Z]]*Plank[[#This Row],[quart_X]])))))</f>
        <v>0.36364887531896783</v>
      </c>
      <c r="V17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-142.93934422197171</v>
      </c>
      <c r="W17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90.000195333955588</v>
      </c>
      <c r="X177" s="1">
        <f>IF(Plank[[#This Row],[Yaw]]&gt;V176,(360-ABS(Plank[[#This Row],[Yaw]])-ABS(V176)),ABS(Plank[[#This Row],[Yaw]]-V176))</f>
        <v>0.97090180890410238</v>
      </c>
      <c r="Y177" s="1">
        <f>Plank[[#This Row],[Degree change]]+Y176</f>
        <v>112.08982884738377</v>
      </c>
    </row>
    <row r="178" spans="1:25">
      <c r="A178">
        <v>177</v>
      </c>
      <c r="B178" s="1">
        <v>-1626.6400149999999</v>
      </c>
      <c r="C178" s="1">
        <v>2258.9399410000001</v>
      </c>
      <c r="D178" s="1">
        <v>18.639999</v>
      </c>
      <c r="E178" s="1">
        <v>-1468.9499510000001</v>
      </c>
      <c r="F178" s="1">
        <v>-1769.7700199999999</v>
      </c>
      <c r="G178" s="1">
        <v>8.1799990000000005</v>
      </c>
      <c r="H178" s="1">
        <v>0</v>
      </c>
      <c r="I178" s="1">
        <v>-2.0000000000000001E-4</v>
      </c>
      <c r="J178" s="1">
        <v>2.0329999999999999</v>
      </c>
      <c r="K178" s="1">
        <v>-2.8300000000000001E-3</v>
      </c>
      <c r="L178" s="1">
        <v>-1.438E-3</v>
      </c>
      <c r="M178" s="1">
        <v>0.89135699999999995</v>
      </c>
      <c r="N178" s="1">
        <v>-0.453291</v>
      </c>
      <c r="O178">
        <v>1</v>
      </c>
      <c r="P178">
        <v>0</v>
      </c>
      <c r="Q178">
        <v>1</v>
      </c>
      <c r="R178">
        <v>1</v>
      </c>
      <c r="S178">
        <v>1</v>
      </c>
      <c r="T178" s="1">
        <f>SQRT(POWER(Plank[[#This Row],[angvel_X]],2) + POWER(Plank[[#This Row],[angvel_Y]],2) + POWER(Plank[[#This Row],[angvel_Z]],2))</f>
        <v>2.0330000098376781</v>
      </c>
      <c r="U178" s="1">
        <f>DEGREES(ASIN(MAX(-1,MIN(1,2 * (Plank[[#This Row],[quart_W]]*Plank[[#This Row],[quart_Y]] - Plank[[#This Row],[quart_Z]]*Plank[[#This Row],[quart_X]])))))</f>
        <v>0.36375876808793006</v>
      </c>
      <c r="V17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-143.91034170983912</v>
      </c>
      <c r="W17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89.999880574395647</v>
      </c>
      <c r="X178" s="1">
        <f>IF(Plank[[#This Row],[Yaw]]&gt;V177,(360-ABS(Plank[[#This Row],[Yaw]])-ABS(V177)),ABS(Plank[[#This Row],[Yaw]]-V177))</f>
        <v>0.97099748786740747</v>
      </c>
      <c r="Y178" s="1">
        <f>Plank[[#This Row],[Degree change]]+Y177</f>
        <v>113.06082633525118</v>
      </c>
    </row>
    <row r="179" spans="1:25">
      <c r="A179">
        <v>178</v>
      </c>
      <c r="B179" s="1">
        <v>-1638.919922</v>
      </c>
      <c r="C179" s="1">
        <v>2244.139893</v>
      </c>
      <c r="D179" s="1">
        <v>18.639999</v>
      </c>
      <c r="E179" s="1">
        <v>-1438.76001</v>
      </c>
      <c r="F179" s="1">
        <v>-1794.3999020000001</v>
      </c>
      <c r="G179" s="1">
        <v>8.1799990000000005</v>
      </c>
      <c r="H179" s="1">
        <v>0</v>
      </c>
      <c r="I179" s="1">
        <v>-2.0000000000000001E-4</v>
      </c>
      <c r="J179" s="1">
        <v>2.0329999999999999</v>
      </c>
      <c r="K179" s="1">
        <v>-2.8189999999999999E-3</v>
      </c>
      <c r="L179" s="1">
        <v>-1.459E-3</v>
      </c>
      <c r="M179" s="1">
        <v>0.88748400000000005</v>
      </c>
      <c r="N179" s="1">
        <v>-0.46082800000000002</v>
      </c>
      <c r="O179">
        <v>1</v>
      </c>
      <c r="P179">
        <v>0</v>
      </c>
      <c r="Q179">
        <v>1</v>
      </c>
      <c r="R179">
        <v>1</v>
      </c>
      <c r="S179">
        <v>1</v>
      </c>
      <c r="T179" s="1">
        <f>SQRT(POWER(Plank[[#This Row],[angvel_X]],2) + POWER(Plank[[#This Row],[angvel_Y]],2) + POWER(Plank[[#This Row],[angvel_Z]],2))</f>
        <v>2.0330000098376781</v>
      </c>
      <c r="U179" s="1">
        <f>DEGREES(ASIN(MAX(-1,MIN(1,2 * (Plank[[#This Row],[quart_W]]*Plank[[#This Row],[quart_Y]] - Plank[[#This Row],[quart_Z]]*Plank[[#This Row],[quart_X]])))))</f>
        <v>0.36373501048714552</v>
      </c>
      <c r="V17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-144.88137233706411</v>
      </c>
      <c r="W17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89.999514697718467</v>
      </c>
      <c r="X179" s="1">
        <f>IF(Plank[[#This Row],[Yaw]]&gt;V178,(360-ABS(Plank[[#This Row],[Yaw]])-ABS(V178)),ABS(Plank[[#This Row],[Yaw]]-V178))</f>
        <v>0.97103062722499089</v>
      </c>
      <c r="Y179" s="1">
        <f>Plank[[#This Row],[Degree change]]+Y178</f>
        <v>114.03185696247617</v>
      </c>
    </row>
    <row r="180" spans="1:25">
      <c r="A180">
        <v>179</v>
      </c>
      <c r="B180" s="1">
        <v>-1650.9499510000001</v>
      </c>
      <c r="C180" s="1">
        <v>2229.1298830000001</v>
      </c>
      <c r="D180" s="1">
        <v>18.639999</v>
      </c>
      <c r="E180" s="1">
        <v>-1408.150024</v>
      </c>
      <c r="F180" s="1">
        <v>-1818.5200199999999</v>
      </c>
      <c r="G180" s="1">
        <v>8.1799990000000005</v>
      </c>
      <c r="H180" s="1">
        <v>0</v>
      </c>
      <c r="I180" s="1">
        <v>-1E-4</v>
      </c>
      <c r="J180" s="1">
        <v>2.0329999999999999</v>
      </c>
      <c r="K180" s="1">
        <v>-2.8080000000000002E-3</v>
      </c>
      <c r="L180" s="1">
        <v>-1.4809999999999999E-3</v>
      </c>
      <c r="M180" s="1">
        <v>0.88354999999999995</v>
      </c>
      <c r="N180" s="1">
        <v>-0.46832699999999999</v>
      </c>
      <c r="O180">
        <v>1</v>
      </c>
      <c r="P180">
        <v>0</v>
      </c>
      <c r="Q180">
        <v>1</v>
      </c>
      <c r="R180">
        <v>1</v>
      </c>
      <c r="S180">
        <v>1</v>
      </c>
      <c r="T180" s="1">
        <f>SQRT(POWER(Plank[[#This Row],[angvel_X]],2) + POWER(Plank[[#This Row],[angvel_Y]],2) + POWER(Plank[[#This Row],[angvel_Z]],2))</f>
        <v>2.0330000024594197</v>
      </c>
      <c r="U180" s="1">
        <f>DEGREES(ASIN(MAX(-1,MIN(1,2 * (Plank[[#This Row],[quart_W]]*Plank[[#This Row],[quart_Y]] - Plank[[#This Row],[quart_Z]]*Plank[[#This Row],[quart_X]])))))</f>
        <v>0.3637848862078808</v>
      </c>
      <c r="V18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-145.85174793670998</v>
      </c>
      <c r="W18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89.999252313280266</v>
      </c>
      <c r="X180" s="1">
        <f>IF(Plank[[#This Row],[Yaw]]&gt;V179,(360-ABS(Plank[[#This Row],[Yaw]])-ABS(V179)),ABS(Plank[[#This Row],[Yaw]]-V179))</f>
        <v>0.97037559964587672</v>
      </c>
      <c r="Y180" s="1">
        <f>Plank[[#This Row],[Degree change]]+Y179</f>
        <v>115.00223256212205</v>
      </c>
    </row>
    <row r="181" spans="1:25">
      <c r="A181">
        <v>180</v>
      </c>
      <c r="B181" s="1">
        <v>-1662.719971</v>
      </c>
      <c r="C181" s="1">
        <v>2213.919922</v>
      </c>
      <c r="D181" s="1">
        <v>18.639999</v>
      </c>
      <c r="E181" s="1">
        <v>-1377.1400149999999</v>
      </c>
      <c r="F181" s="1">
        <v>-1842.119995</v>
      </c>
      <c r="G181" s="1">
        <v>8.1799990000000005</v>
      </c>
      <c r="H181" s="1">
        <v>1E-4</v>
      </c>
      <c r="I181" s="1">
        <v>0</v>
      </c>
      <c r="J181" s="1">
        <v>2.0329999999999999</v>
      </c>
      <c r="K181" s="1">
        <v>-2.797E-3</v>
      </c>
      <c r="L181" s="1">
        <v>-1.5020000000000001E-3</v>
      </c>
      <c r="M181" s="1">
        <v>0.87955099999999997</v>
      </c>
      <c r="N181" s="1">
        <v>-0.47579300000000002</v>
      </c>
      <c r="O181">
        <v>1</v>
      </c>
      <c r="P181">
        <v>0</v>
      </c>
      <c r="Q181">
        <v>1</v>
      </c>
      <c r="R181">
        <v>1</v>
      </c>
      <c r="S181">
        <v>1</v>
      </c>
      <c r="T181" s="1">
        <f>SQRT(POWER(Plank[[#This Row],[angvel_X]],2) + POWER(Plank[[#This Row],[angvel_Y]],2) + POWER(Plank[[#This Row],[angvel_Z]],2))</f>
        <v>2.0330000024594197</v>
      </c>
      <c r="U181" s="1">
        <f>DEGREES(ASIN(MAX(-1,MIN(1,2 * (Plank[[#This Row],[quart_W]]*Plank[[#This Row],[quart_Y]] - Plank[[#This Row],[quart_Z]]*Plank[[#This Row],[quart_X]])))))</f>
        <v>0.363801450293259</v>
      </c>
      <c r="V18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-146.82238281232262</v>
      </c>
      <c r="W18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89.998887589298363</v>
      </c>
      <c r="X181" s="1">
        <f>IF(Plank[[#This Row],[Yaw]]&gt;V180,(360-ABS(Plank[[#This Row],[Yaw]])-ABS(V180)),ABS(Plank[[#This Row],[Yaw]]-V180))</f>
        <v>0.97063487561263173</v>
      </c>
      <c r="Y181" s="1">
        <f>Plank[[#This Row],[Degree change]]+Y180</f>
        <v>115.97286743773468</v>
      </c>
    </row>
    <row r="182" spans="1:25">
      <c r="A182">
        <v>181</v>
      </c>
      <c r="B182" s="1">
        <v>-1674.2299800000001</v>
      </c>
      <c r="C182" s="1">
        <v>2198.51001</v>
      </c>
      <c r="D182" s="1">
        <v>18.639999</v>
      </c>
      <c r="E182" s="1">
        <v>-1345.7299800000001</v>
      </c>
      <c r="F182" s="1">
        <v>-1865.179932</v>
      </c>
      <c r="G182" s="1">
        <v>8.1799990000000005</v>
      </c>
      <c r="H182" s="1">
        <v>1E-4</v>
      </c>
      <c r="I182" s="1">
        <v>0</v>
      </c>
      <c r="J182" s="1">
        <v>2.0329999999999999</v>
      </c>
      <c r="K182" s="1">
        <v>-2.7859999999999998E-3</v>
      </c>
      <c r="L182" s="1">
        <v>-1.524E-3</v>
      </c>
      <c r="M182" s="1">
        <v>0.87548899999999996</v>
      </c>
      <c r="N182" s="1">
        <v>-0.48322700000000002</v>
      </c>
      <c r="O182">
        <v>1</v>
      </c>
      <c r="P182">
        <v>0</v>
      </c>
      <c r="Q182">
        <v>1</v>
      </c>
      <c r="R182">
        <v>1</v>
      </c>
      <c r="S182">
        <v>1</v>
      </c>
      <c r="T182" s="1">
        <f>SQRT(POWER(Plank[[#This Row],[angvel_X]],2) + POWER(Plank[[#This Row],[angvel_Y]],2) + POWER(Plank[[#This Row],[angvel_Z]],2))</f>
        <v>2.0330000024594197</v>
      </c>
      <c r="U182" s="1">
        <f>DEGREES(ASIN(MAX(-1,MIN(1,2 * (Plank[[#This Row],[quart_W]]*Plank[[#This Row],[quart_Y]] - Plank[[#This Row],[quart_Z]]*Plank[[#This Row],[quart_X]])))))</f>
        <v>0.36389370626528028</v>
      </c>
      <c r="V18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-147.79312167536565</v>
      </c>
      <c r="W18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89.998621987396177</v>
      </c>
      <c r="X182" s="1">
        <f>IF(Plank[[#This Row],[Yaw]]&gt;V181,(360-ABS(Plank[[#This Row],[Yaw]])-ABS(V181)),ABS(Plank[[#This Row],[Yaw]]-V181))</f>
        <v>0.97073886304303869</v>
      </c>
      <c r="Y182" s="1">
        <f>Plank[[#This Row],[Degree change]]+Y181</f>
        <v>116.94360630077772</v>
      </c>
    </row>
    <row r="183" spans="1:25">
      <c r="A183">
        <v>182</v>
      </c>
      <c r="B183" s="1">
        <v>-1685.4799800000001</v>
      </c>
      <c r="C183" s="1">
        <v>2182.9099120000001</v>
      </c>
      <c r="D183" s="1">
        <v>18.639999</v>
      </c>
      <c r="E183" s="1">
        <v>-1313.9399410000001</v>
      </c>
      <c r="F183" s="1">
        <v>-1887.709961</v>
      </c>
      <c r="G183" s="1">
        <v>8.1799990000000005</v>
      </c>
      <c r="H183" s="1">
        <v>1E-4</v>
      </c>
      <c r="I183" s="1">
        <v>0</v>
      </c>
      <c r="J183" s="1">
        <v>2.0329999999999999</v>
      </c>
      <c r="K183" s="1">
        <v>-2.7759999999999998E-3</v>
      </c>
      <c r="L183" s="1">
        <v>-1.5460000000000001E-3</v>
      </c>
      <c r="M183" s="1">
        <v>0.87136599999999997</v>
      </c>
      <c r="N183" s="1">
        <v>-0.490624</v>
      </c>
      <c r="O183">
        <v>1</v>
      </c>
      <c r="P183">
        <v>0</v>
      </c>
      <c r="Q183">
        <v>1</v>
      </c>
      <c r="R183">
        <v>1</v>
      </c>
      <c r="S183">
        <v>1</v>
      </c>
      <c r="T183" s="1">
        <f>SQRT(POWER(Plank[[#This Row],[angvel_X]],2) + POWER(Plank[[#This Row],[angvel_Y]],2) + POWER(Plank[[#This Row],[angvel_Z]],2))</f>
        <v>2.0330000024594197</v>
      </c>
      <c r="U183" s="1">
        <f>DEGREES(ASIN(MAX(-1,MIN(1,2 * (Plank[[#This Row],[quart_W]]*Plank[[#This Row],[quart_Y]] - Plank[[#This Row],[quart_Z]]*Plank[[#This Row],[quart_X]])))))</f>
        <v>0.36410758632985835</v>
      </c>
      <c r="V18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-148.76348037064028</v>
      </c>
      <c r="W18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89.998299382463173</v>
      </c>
      <c r="X183" s="1">
        <f>IF(Plank[[#This Row],[Yaw]]&gt;V182,(360-ABS(Plank[[#This Row],[Yaw]])-ABS(V182)),ABS(Plank[[#This Row],[Yaw]]-V182))</f>
        <v>0.97035869527462637</v>
      </c>
      <c r="Y183" s="1">
        <f>Plank[[#This Row],[Degree change]]+Y182</f>
        <v>117.91396499605234</v>
      </c>
    </row>
    <row r="184" spans="1:25">
      <c r="A184">
        <v>183</v>
      </c>
      <c r="B184" s="1">
        <v>-1696.469971</v>
      </c>
      <c r="C184" s="1">
        <v>2167.1198730000001</v>
      </c>
      <c r="D184" s="1">
        <v>18.639999</v>
      </c>
      <c r="E184" s="1">
        <v>-1281.7700199999999</v>
      </c>
      <c r="F184" s="1">
        <v>-1909.6999510000001</v>
      </c>
      <c r="G184" s="1">
        <v>8.1799990000000005</v>
      </c>
      <c r="H184" s="1">
        <v>1E-4</v>
      </c>
      <c r="I184" s="1">
        <v>0</v>
      </c>
      <c r="J184" s="1">
        <v>2.0329999999999999</v>
      </c>
      <c r="K184" s="1">
        <v>-2.7650000000000001E-3</v>
      </c>
      <c r="L184" s="1">
        <v>-1.567E-3</v>
      </c>
      <c r="M184" s="1">
        <v>0.867178</v>
      </c>
      <c r="N184" s="1">
        <v>-0.49798700000000001</v>
      </c>
      <c r="O184">
        <v>1</v>
      </c>
      <c r="P184">
        <v>0</v>
      </c>
      <c r="Q184">
        <v>1</v>
      </c>
      <c r="R184">
        <v>1</v>
      </c>
      <c r="S184">
        <v>1</v>
      </c>
      <c r="T184" s="1">
        <f>SQRT(POWER(Plank[[#This Row],[angvel_X]],2) + POWER(Plank[[#This Row],[angvel_Y]],2) + POWER(Plank[[#This Row],[angvel_Z]],2))</f>
        <v>2.0330000024594197</v>
      </c>
      <c r="U184" s="1">
        <f>DEGREES(ASIN(MAX(-1,MIN(1,2 * (Plank[[#This Row],[quart_W]]*Plank[[#This Row],[quart_Y]] - Plank[[#This Row],[quart_Z]]*Plank[[#This Row],[quart_X]])))))</f>
        <v>0.36418506084120383</v>
      </c>
      <c r="V18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-149.73425500865494</v>
      </c>
      <c r="W18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89.997929732290856</v>
      </c>
      <c r="X184" s="1">
        <f>IF(Plank[[#This Row],[Yaw]]&gt;V183,(360-ABS(Plank[[#This Row],[Yaw]])-ABS(V183)),ABS(Plank[[#This Row],[Yaw]]-V183))</f>
        <v>0.97077463801466024</v>
      </c>
      <c r="Y184" s="1">
        <f>Plank[[#This Row],[Degree change]]+Y183</f>
        <v>118.884739634067</v>
      </c>
    </row>
    <row r="185" spans="1:25">
      <c r="A185">
        <v>184</v>
      </c>
      <c r="B185" s="1">
        <v>-1707.1899410000001</v>
      </c>
      <c r="C185" s="1">
        <v>2151.1499020000001</v>
      </c>
      <c r="D185" s="1">
        <v>18.639999</v>
      </c>
      <c r="E185" s="1">
        <v>-1249.2299800000001</v>
      </c>
      <c r="F185" s="1">
        <v>-1931.1400149999999</v>
      </c>
      <c r="G185" s="1">
        <v>8.1799990000000005</v>
      </c>
      <c r="H185" s="1">
        <v>1E-4</v>
      </c>
      <c r="I185" s="1">
        <v>0</v>
      </c>
      <c r="J185" s="1">
        <v>2.0329999999999999</v>
      </c>
      <c r="K185" s="1">
        <v>-2.7539999999999999E-3</v>
      </c>
      <c r="L185" s="1">
        <v>-1.5889999999999999E-3</v>
      </c>
      <c r="M185" s="1">
        <v>0.86292999999999997</v>
      </c>
      <c r="N185" s="1">
        <v>-0.50531400000000004</v>
      </c>
      <c r="O185">
        <v>1</v>
      </c>
      <c r="P185">
        <v>0</v>
      </c>
      <c r="Q185">
        <v>1</v>
      </c>
      <c r="R185">
        <v>1</v>
      </c>
      <c r="S185">
        <v>1</v>
      </c>
      <c r="T185" s="1">
        <f>SQRT(POWER(Plank[[#This Row],[angvel_X]],2) + POWER(Plank[[#This Row],[angvel_Y]],2) + POWER(Plank[[#This Row],[angvel_Z]],2))</f>
        <v>2.0330000024594197</v>
      </c>
      <c r="U185" s="1">
        <f>DEGREES(ASIN(MAX(-1,MIN(1,2 * (Plank[[#This Row],[quart_W]]*Plank[[#This Row],[quart_Y]] - Plank[[#This Row],[quart_Z]]*Plank[[#This Row],[quart_X]])))))</f>
        <v>0.36434095056701926</v>
      </c>
      <c r="V18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-150.70469932096319</v>
      </c>
      <c r="W18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89.99765781737436</v>
      </c>
      <c r="X185" s="1">
        <f>IF(Plank[[#This Row],[Yaw]]&gt;V184,(360-ABS(Plank[[#This Row],[Yaw]])-ABS(V184)),ABS(Plank[[#This Row],[Yaw]]-V184))</f>
        <v>0.97044431230824557</v>
      </c>
      <c r="Y185" s="1">
        <f>Plank[[#This Row],[Degree change]]+Y184</f>
        <v>119.85518394637525</v>
      </c>
    </row>
    <row r="186" spans="1:25">
      <c r="A186">
        <v>185</v>
      </c>
      <c r="B186" s="1">
        <v>-1717.630005</v>
      </c>
      <c r="C186" s="1">
        <v>2135</v>
      </c>
      <c r="D186" s="1">
        <v>18.639999</v>
      </c>
      <c r="E186" s="1">
        <v>-1216.339966</v>
      </c>
      <c r="F186" s="1">
        <v>-1952.0299070000001</v>
      </c>
      <c r="G186" s="1">
        <v>8.1799990000000005</v>
      </c>
      <c r="H186" s="1">
        <v>1E-4</v>
      </c>
      <c r="I186" s="1">
        <v>0</v>
      </c>
      <c r="J186" s="1">
        <v>2.0329999999999999</v>
      </c>
      <c r="K186" s="1">
        <v>-2.7430000000000002E-3</v>
      </c>
      <c r="L186" s="1">
        <v>-1.6100000000000001E-3</v>
      </c>
      <c r="M186" s="1">
        <v>0.85861699999999996</v>
      </c>
      <c r="N186" s="1">
        <v>-0.51260700000000003</v>
      </c>
      <c r="O186">
        <v>1</v>
      </c>
      <c r="P186">
        <v>0</v>
      </c>
      <c r="Q186">
        <v>1</v>
      </c>
      <c r="R186">
        <v>1</v>
      </c>
      <c r="S186">
        <v>1</v>
      </c>
      <c r="T186" s="1">
        <f>SQRT(POWER(Plank[[#This Row],[angvel_X]],2) + POWER(Plank[[#This Row],[angvel_Y]],2) + POWER(Plank[[#This Row],[angvel_Z]],2))</f>
        <v>2.0330000024594197</v>
      </c>
      <c r="U186" s="1">
        <f>DEGREES(ASIN(MAX(-1,MIN(1,2 * (Plank[[#This Row],[quart_W]]*Plank[[#This Row],[quart_Y]] - Plank[[#This Row],[quart_Z]]*Plank[[#This Row],[quart_X]])))))</f>
        <v>0.36445904356768444</v>
      </c>
      <c r="V18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-151.67569645932781</v>
      </c>
      <c r="W18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89.997283250638844</v>
      </c>
      <c r="X186" s="1">
        <f>IF(Plank[[#This Row],[Yaw]]&gt;V185,(360-ABS(Plank[[#This Row],[Yaw]])-ABS(V185)),ABS(Plank[[#This Row],[Yaw]]-V185))</f>
        <v>0.97099713836462342</v>
      </c>
      <c r="Y186" s="1">
        <f>Plank[[#This Row],[Degree change]]+Y185</f>
        <v>120.82618108473987</v>
      </c>
    </row>
    <row r="187" spans="1:25">
      <c r="A187">
        <v>186</v>
      </c>
      <c r="B187" s="1">
        <v>-1727.799927</v>
      </c>
      <c r="C187" s="1">
        <v>2118.669922</v>
      </c>
      <c r="D187" s="1">
        <v>18.639999</v>
      </c>
      <c r="E187" s="1">
        <v>-1183.089966</v>
      </c>
      <c r="F187" s="1">
        <v>-1972.3599850000001</v>
      </c>
      <c r="G187" s="1">
        <v>8.1799990000000005</v>
      </c>
      <c r="H187" s="1">
        <v>1E-4</v>
      </c>
      <c r="I187" s="1">
        <v>1E-4</v>
      </c>
      <c r="J187" s="1">
        <v>2.0329999999999999</v>
      </c>
      <c r="K187" s="1">
        <v>-2.7269999999999998E-3</v>
      </c>
      <c r="L187" s="1">
        <v>-1.632E-3</v>
      </c>
      <c r="M187" s="1">
        <v>0.85424299999999997</v>
      </c>
      <c r="N187" s="1">
        <v>-0.51986299999999996</v>
      </c>
      <c r="O187">
        <v>1</v>
      </c>
      <c r="P187">
        <v>0</v>
      </c>
      <c r="Q187">
        <v>1</v>
      </c>
      <c r="R187">
        <v>1</v>
      </c>
      <c r="S187">
        <v>1</v>
      </c>
      <c r="T187" s="1">
        <f>SQRT(POWER(Plank[[#This Row],[angvel_X]],2) + POWER(Plank[[#This Row],[angvel_Y]],2) + POWER(Plank[[#This Row],[angvel_Z]],2))</f>
        <v>2.033000004918839</v>
      </c>
      <c r="U187" s="1">
        <f>DEGREES(ASIN(MAX(-1,MIN(1,2 * (Plank[[#This Row],[quart_W]]*Plank[[#This Row],[quart_Y]] - Plank[[#This Row],[quart_Z]]*Plank[[#This Row],[quart_X]])))))</f>
        <v>0.36416721605398861</v>
      </c>
      <c r="V18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-152.64659316148368</v>
      </c>
      <c r="W18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89.997302251078651</v>
      </c>
      <c r="X187" s="1">
        <f>IF(Plank[[#This Row],[Yaw]]&gt;V186,(360-ABS(Plank[[#This Row],[Yaw]])-ABS(V186)),ABS(Plank[[#This Row],[Yaw]]-V186))</f>
        <v>0.97089670215586921</v>
      </c>
      <c r="Y187" s="1">
        <f>Plank[[#This Row],[Degree change]]+Y186</f>
        <v>121.79707778689574</v>
      </c>
    </row>
    <row r="188" spans="1:25">
      <c r="A188">
        <v>187</v>
      </c>
      <c r="B188" s="1">
        <v>-1737.6899410000001</v>
      </c>
      <c r="C188" s="1">
        <v>2102.169922</v>
      </c>
      <c r="D188" s="1">
        <v>18.639999</v>
      </c>
      <c r="E188" s="1">
        <v>-1149.5</v>
      </c>
      <c r="F188" s="1">
        <v>-1992.119995</v>
      </c>
      <c r="G188" s="1">
        <v>8.1799990000000005</v>
      </c>
      <c r="H188" s="1">
        <v>1E-4</v>
      </c>
      <c r="I188" s="1">
        <v>1E-4</v>
      </c>
      <c r="J188" s="1">
        <v>2.0329999999999999</v>
      </c>
      <c r="K188" s="1">
        <v>-2.7109999999999999E-3</v>
      </c>
      <c r="L188" s="1">
        <v>-1.6540000000000001E-3</v>
      </c>
      <c r="M188" s="1">
        <v>0.84980900000000004</v>
      </c>
      <c r="N188" s="1">
        <v>-0.52708200000000005</v>
      </c>
      <c r="O188">
        <v>1</v>
      </c>
      <c r="P188">
        <v>0</v>
      </c>
      <c r="Q188">
        <v>1</v>
      </c>
      <c r="R188">
        <v>1</v>
      </c>
      <c r="S188">
        <v>1</v>
      </c>
      <c r="T188" s="1">
        <f>SQRT(POWER(Plank[[#This Row],[angvel_X]],2) + POWER(Plank[[#This Row],[angvel_Y]],2) + POWER(Plank[[#This Row],[angvel_Z]],2))</f>
        <v>2.033000004918839</v>
      </c>
      <c r="U188" s="1">
        <f>DEGREES(ASIN(MAX(-1,MIN(1,2 * (Plank[[#This Row],[quart_W]]*Plank[[#This Row],[quart_Y]] - Plank[[#This Row],[quart_Z]]*Plank[[#This Row],[quart_X]])))))</f>
        <v>0.36390236096733181</v>
      </c>
      <c r="V18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-153.61730950960168</v>
      </c>
      <c r="W18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89.997325927282972</v>
      </c>
      <c r="X188" s="1">
        <f>IF(Plank[[#This Row],[Yaw]]&gt;V187,(360-ABS(Plank[[#This Row],[Yaw]])-ABS(V187)),ABS(Plank[[#This Row],[Yaw]]-V187))</f>
        <v>0.97071634811800322</v>
      </c>
      <c r="Y188" s="1">
        <f>Plank[[#This Row],[Degree change]]+Y187</f>
        <v>122.76779413501374</v>
      </c>
    </row>
    <row r="189" spans="1:25">
      <c r="A189">
        <v>188</v>
      </c>
      <c r="B189" s="1">
        <v>-1747.299927</v>
      </c>
      <c r="C189" s="1">
        <v>2085.51001</v>
      </c>
      <c r="D189" s="1">
        <v>18.639999</v>
      </c>
      <c r="E189" s="1">
        <v>-1115.589966</v>
      </c>
      <c r="F189" s="1">
        <v>-2011.309937</v>
      </c>
      <c r="G189" s="1">
        <v>8.1799990000000005</v>
      </c>
      <c r="H189" s="1">
        <v>2.0000000000000001E-4</v>
      </c>
      <c r="I189" s="1">
        <v>1E-4</v>
      </c>
      <c r="J189" s="1">
        <v>2.0329999999999999</v>
      </c>
      <c r="K189" s="1">
        <v>-2.6949999999999999E-3</v>
      </c>
      <c r="L189" s="1">
        <v>-1.6750000000000001E-3</v>
      </c>
      <c r="M189" s="1">
        <v>0.84531299999999998</v>
      </c>
      <c r="N189" s="1">
        <v>-0.53426200000000001</v>
      </c>
      <c r="O189">
        <v>1</v>
      </c>
      <c r="P189">
        <v>0</v>
      </c>
      <c r="Q189">
        <v>1</v>
      </c>
      <c r="R189">
        <v>1</v>
      </c>
      <c r="S189">
        <v>1</v>
      </c>
      <c r="T189" s="1">
        <f>SQRT(POWER(Plank[[#This Row],[angvel_X]],2) + POWER(Plank[[#This Row],[angvel_Y]],2) + POWER(Plank[[#This Row],[angvel_Z]],2))</f>
        <v>2.0330000122970979</v>
      </c>
      <c r="U189" s="1">
        <f>DEGREES(ASIN(MAX(-1,MIN(1,2 * (Plank[[#This Row],[quart_W]]*Plank[[#This Row],[quart_Y]] - Plank[[#This Row],[quart_Z]]*Plank[[#This Row],[quart_X]])))))</f>
        <v>0.36360230356934259</v>
      </c>
      <c r="V18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-154.58812325535246</v>
      </c>
      <c r="W18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89.997256987816272</v>
      </c>
      <c r="X189" s="1">
        <f>IF(Plank[[#This Row],[Yaw]]&gt;V188,(360-ABS(Plank[[#This Row],[Yaw]])-ABS(V188)),ABS(Plank[[#This Row],[Yaw]]-V188))</f>
        <v>0.97081374575077461</v>
      </c>
      <c r="Y189" s="1">
        <f>Plank[[#This Row],[Degree change]]+Y188</f>
        <v>123.73860788076452</v>
      </c>
    </row>
    <row r="190" spans="1:25">
      <c r="A190">
        <v>189</v>
      </c>
      <c r="B190" s="1">
        <v>-1756.630005</v>
      </c>
      <c r="C190" s="1">
        <v>2068.6899410000001</v>
      </c>
      <c r="D190" s="1">
        <v>18.639999</v>
      </c>
      <c r="E190" s="1">
        <v>-1081.349976</v>
      </c>
      <c r="F190" s="1">
        <v>-2029.919922</v>
      </c>
      <c r="G190" s="1">
        <v>8.1799990000000005</v>
      </c>
      <c r="H190" s="1">
        <v>2.9999999999999997E-4</v>
      </c>
      <c r="I190" s="1">
        <v>1E-4</v>
      </c>
      <c r="J190" s="1">
        <v>2.0329999999999999</v>
      </c>
      <c r="K190" s="1">
        <v>-2.679E-3</v>
      </c>
      <c r="L190" s="1">
        <v>-1.6969999999999999E-3</v>
      </c>
      <c r="M190" s="1">
        <v>0.84075599999999995</v>
      </c>
      <c r="N190" s="1">
        <v>-0.54140500000000003</v>
      </c>
      <c r="O190">
        <v>1</v>
      </c>
      <c r="P190">
        <v>0</v>
      </c>
      <c r="Q190">
        <v>1</v>
      </c>
      <c r="R190">
        <v>1</v>
      </c>
      <c r="S190">
        <v>1</v>
      </c>
      <c r="T190" s="1">
        <f>SQRT(POWER(Plank[[#This Row],[angvel_X]],2) + POWER(Plank[[#This Row],[angvel_Y]],2) + POWER(Plank[[#This Row],[angvel_Z]],2))</f>
        <v>2.0330000245941955</v>
      </c>
      <c r="U190" s="1">
        <f>DEGREES(ASIN(MAX(-1,MIN(1,2 * (Plank[[#This Row],[quart_W]]*Plank[[#This Row],[quart_Y]] - Plank[[#This Row],[quart_Z]]*Plank[[#This Row],[quart_X]])))))</f>
        <v>0.36338941383691009</v>
      </c>
      <c r="V19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-155.55904149917833</v>
      </c>
      <c r="W19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89.997288587368104</v>
      </c>
      <c r="X190" s="1">
        <f>IF(Plank[[#This Row],[Yaw]]&gt;V189,(360-ABS(Plank[[#This Row],[Yaw]])-ABS(V189)),ABS(Plank[[#This Row],[Yaw]]-V189))</f>
        <v>0.97091824382587788</v>
      </c>
      <c r="Y190" s="1">
        <f>Plank[[#This Row],[Degree change]]+Y189</f>
        <v>124.7095261245904</v>
      </c>
    </row>
    <row r="191" spans="1:25">
      <c r="A191">
        <v>190</v>
      </c>
      <c r="B191" s="1">
        <v>-1765.669922</v>
      </c>
      <c r="C191" s="1">
        <v>2051.709961</v>
      </c>
      <c r="D191" s="1">
        <v>18.639999</v>
      </c>
      <c r="E191" s="1">
        <v>-1046.799927</v>
      </c>
      <c r="F191" s="1">
        <v>-2047.9499510000001</v>
      </c>
      <c r="G191" s="1">
        <v>8.1799990000000005</v>
      </c>
      <c r="H191" s="1">
        <v>2.9999999999999997E-4</v>
      </c>
      <c r="I191" s="1">
        <v>1E-4</v>
      </c>
      <c r="J191" s="1">
        <v>2.0329999999999999</v>
      </c>
      <c r="K191" s="1">
        <v>-2.6619999999999999E-3</v>
      </c>
      <c r="L191" s="1">
        <v>-1.7179999999999999E-3</v>
      </c>
      <c r="M191" s="1">
        <v>0.83613800000000005</v>
      </c>
      <c r="N191" s="1">
        <v>-0.54851000000000005</v>
      </c>
      <c r="O191">
        <v>1</v>
      </c>
      <c r="P191">
        <v>0</v>
      </c>
      <c r="Q191">
        <v>1</v>
      </c>
      <c r="R191">
        <v>1</v>
      </c>
      <c r="S191">
        <v>1</v>
      </c>
      <c r="T191" s="1">
        <f>SQRT(POWER(Plank[[#This Row],[angvel_X]],2) + POWER(Plank[[#This Row],[angvel_Y]],2) + POWER(Plank[[#This Row],[angvel_Z]],2))</f>
        <v>2.0330000245941955</v>
      </c>
      <c r="U191" s="1">
        <f>DEGREES(ASIN(MAX(-1,MIN(1,2 * (Plank[[#This Row],[quart_W]]*Plank[[#This Row],[quart_Y]] - Plank[[#This Row],[quart_Z]]*Plank[[#This Row],[quart_X]])))))</f>
        <v>0.36304447794808936</v>
      </c>
      <c r="V19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-156.53009006127661</v>
      </c>
      <c r="W19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89.99729002298885</v>
      </c>
      <c r="X191" s="1">
        <f>IF(Plank[[#This Row],[Yaw]]&gt;V190,(360-ABS(Plank[[#This Row],[Yaw]])-ABS(V190)),ABS(Plank[[#This Row],[Yaw]]-V190))</f>
        <v>0.97104856209827517</v>
      </c>
      <c r="Y191" s="1">
        <f>Plank[[#This Row],[Degree change]]+Y190</f>
        <v>125.68057468668867</v>
      </c>
    </row>
    <row r="192" spans="1:25">
      <c r="A192">
        <v>191</v>
      </c>
      <c r="B192" s="1">
        <v>-1774.419922</v>
      </c>
      <c r="C192" s="1">
        <v>2034.579956</v>
      </c>
      <c r="D192" s="1">
        <v>18.639999</v>
      </c>
      <c r="E192" s="1">
        <v>-1011.9499510000001</v>
      </c>
      <c r="F192" s="1">
        <v>-2065.389893</v>
      </c>
      <c r="G192" s="1">
        <v>8.1799990000000005</v>
      </c>
      <c r="H192" s="1">
        <v>4.0000000000000002E-4</v>
      </c>
      <c r="I192" s="1">
        <v>1E-4</v>
      </c>
      <c r="J192" s="1">
        <v>2.0329999999999999</v>
      </c>
      <c r="K192" s="1">
        <v>-2.6459999999999999E-3</v>
      </c>
      <c r="L192" s="1">
        <v>-1.74E-3</v>
      </c>
      <c r="M192" s="1">
        <v>0.83146299999999995</v>
      </c>
      <c r="N192" s="1">
        <v>-0.55557199999999995</v>
      </c>
      <c r="O192">
        <v>1</v>
      </c>
      <c r="P192">
        <v>0</v>
      </c>
      <c r="Q192">
        <v>1</v>
      </c>
      <c r="R192">
        <v>1</v>
      </c>
      <c r="S192">
        <v>1</v>
      </c>
      <c r="T192" s="1">
        <f>SQRT(POWER(Plank[[#This Row],[angvel_X]],2) + POWER(Plank[[#This Row],[angvel_Y]],2) + POWER(Plank[[#This Row],[angvel_Z]],2))</f>
        <v>2.0330000418101322</v>
      </c>
      <c r="U192" s="1">
        <f>DEGREES(ASIN(MAX(-1,MIN(1,2 * (Plank[[#This Row],[quart_W]]*Plank[[#This Row],[quart_Y]] - Plank[[#This Row],[quart_Z]]*Plank[[#This Row],[quart_X]])))))</f>
        <v>0.362884830597481</v>
      </c>
      <c r="V19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-157.5005450288003</v>
      </c>
      <c r="W19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89.997330204685326</v>
      </c>
      <c r="X192" s="1">
        <f>IF(Plank[[#This Row],[Yaw]]&gt;V191,(360-ABS(Plank[[#This Row],[Yaw]])-ABS(V191)),ABS(Plank[[#This Row],[Yaw]]-V191))</f>
        <v>0.97045496752369331</v>
      </c>
      <c r="Y192" s="1">
        <f>Plank[[#This Row],[Degree change]]+Y191</f>
        <v>126.65102965421237</v>
      </c>
    </row>
    <row r="193" spans="1:25">
      <c r="A193">
        <v>192</v>
      </c>
      <c r="B193" s="1">
        <v>-1782.880005</v>
      </c>
      <c r="C193" s="1">
        <v>2017.299927</v>
      </c>
      <c r="D193" s="1">
        <v>18.639999</v>
      </c>
      <c r="E193" s="1">
        <v>-976.80999799999995</v>
      </c>
      <c r="F193" s="1">
        <v>-2082.23999</v>
      </c>
      <c r="G193" s="1">
        <v>8.1799990000000005</v>
      </c>
      <c r="H193" s="1">
        <v>4.0000000000000002E-4</v>
      </c>
      <c r="I193" s="1">
        <v>1E-4</v>
      </c>
      <c r="J193" s="1">
        <v>2.0329999999999999</v>
      </c>
      <c r="K193" s="1">
        <v>-2.63E-3</v>
      </c>
      <c r="L193" s="1">
        <v>-1.761E-3</v>
      </c>
      <c r="M193" s="1">
        <v>0.82672599999999996</v>
      </c>
      <c r="N193" s="1">
        <v>-0.56259599999999998</v>
      </c>
      <c r="O193">
        <v>1</v>
      </c>
      <c r="P193">
        <v>0</v>
      </c>
      <c r="Q193">
        <v>1</v>
      </c>
      <c r="R193">
        <v>1</v>
      </c>
      <c r="S193">
        <v>1</v>
      </c>
      <c r="T193" s="1">
        <f>SQRT(POWER(Plank[[#This Row],[angvel_X]],2) + POWER(Plank[[#This Row],[angvel_Y]],2) + POWER(Plank[[#This Row],[angvel_Z]],2))</f>
        <v>2.0330000418101322</v>
      </c>
      <c r="U193" s="1">
        <f>DEGREES(ASIN(MAX(-1,MIN(1,2 * (Plank[[#This Row],[quart_W]]*Plank[[#This Row],[quart_Y]] - Plank[[#This Row],[quart_Z]]*Plank[[#This Row],[quart_X]])))))</f>
        <v>0.36268710554512706</v>
      </c>
      <c r="V19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-158.47142328550794</v>
      </c>
      <c r="W19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89.997276906912461</v>
      </c>
      <c r="X193" s="1">
        <f>IF(Plank[[#This Row],[Yaw]]&gt;V192,(360-ABS(Plank[[#This Row],[Yaw]])-ABS(V192)),ABS(Plank[[#This Row],[Yaw]]-V192))</f>
        <v>0.9708782567076355</v>
      </c>
      <c r="Y193" s="1">
        <f>Plank[[#This Row],[Degree change]]+Y192</f>
        <v>127.62190791092</v>
      </c>
    </row>
    <row r="194" spans="1:25">
      <c r="A194">
        <v>193</v>
      </c>
      <c r="B194" s="1">
        <v>-1791.049927</v>
      </c>
      <c r="C194" s="1">
        <v>1999.880005</v>
      </c>
      <c r="D194" s="1">
        <v>18.639999</v>
      </c>
      <c r="E194" s="1">
        <v>-941.38995399999999</v>
      </c>
      <c r="F194" s="1">
        <v>-2098.48999</v>
      </c>
      <c r="G194" s="1">
        <v>8.1799990000000005</v>
      </c>
      <c r="H194" s="1">
        <v>4.0000000000000002E-4</v>
      </c>
      <c r="I194" s="1">
        <v>1E-4</v>
      </c>
      <c r="J194" s="1">
        <v>2.0329999999999999</v>
      </c>
      <c r="K194" s="1">
        <v>-2.614E-3</v>
      </c>
      <c r="L194" s="1">
        <v>-1.7830000000000001E-3</v>
      </c>
      <c r="M194" s="1">
        <v>0.821932</v>
      </c>
      <c r="N194" s="1">
        <v>-0.569577</v>
      </c>
      <c r="O194">
        <v>1</v>
      </c>
      <c r="P194">
        <v>0</v>
      </c>
      <c r="Q194">
        <v>1</v>
      </c>
      <c r="R194">
        <v>1</v>
      </c>
      <c r="S194">
        <v>1</v>
      </c>
      <c r="T194" s="1">
        <f>SQRT(POWER(Plank[[#This Row],[angvel_X]],2) + POWER(Plank[[#This Row],[angvel_Y]],2) + POWER(Plank[[#This Row],[angvel_Z]],2))</f>
        <v>2.0330000418101322</v>
      </c>
      <c r="U194" s="1">
        <f>DEGREES(ASIN(MAX(-1,MIN(1,2 * (Plank[[#This Row],[quart_W]]*Plank[[#This Row],[quart_Y]] - Plank[[#This Row],[quart_Z]]*Plank[[#This Row],[quart_X]])))))</f>
        <v>0.36257997209459253</v>
      </c>
      <c r="V19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-159.4418567419786</v>
      </c>
      <c r="W19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89.997321996417483</v>
      </c>
      <c r="X194" s="1">
        <f>IF(Plank[[#This Row],[Yaw]]&gt;V193,(360-ABS(Plank[[#This Row],[Yaw]])-ABS(V193)),ABS(Plank[[#This Row],[Yaw]]-V193))</f>
        <v>0.97043345647065848</v>
      </c>
      <c r="Y194" s="1">
        <f>Plank[[#This Row],[Degree change]]+Y193</f>
        <v>128.59234136739065</v>
      </c>
    </row>
    <row r="195" spans="1:25">
      <c r="A195">
        <v>194</v>
      </c>
      <c r="B195" s="1">
        <v>-1798.919922</v>
      </c>
      <c r="C195" s="1">
        <v>1982.329956</v>
      </c>
      <c r="D195" s="1">
        <v>18.639999</v>
      </c>
      <c r="E195" s="1">
        <v>-905.70996100000002</v>
      </c>
      <c r="F195" s="1">
        <v>-2114.139893</v>
      </c>
      <c r="G195" s="1">
        <v>8.1799990000000005</v>
      </c>
      <c r="H195" s="1">
        <v>5.0000000000000001E-4</v>
      </c>
      <c r="I195" s="1">
        <v>1E-4</v>
      </c>
      <c r="J195" s="1">
        <v>2.0329999999999999</v>
      </c>
      <c r="K195" s="1">
        <v>-2.598E-3</v>
      </c>
      <c r="L195" s="1">
        <v>-1.805E-3</v>
      </c>
      <c r="M195" s="1">
        <v>0.81707700000000005</v>
      </c>
      <c r="N195" s="1">
        <v>-0.57652000000000003</v>
      </c>
      <c r="O195">
        <v>1</v>
      </c>
      <c r="P195">
        <v>0</v>
      </c>
      <c r="Q195">
        <v>1</v>
      </c>
      <c r="R195">
        <v>1</v>
      </c>
      <c r="S195">
        <v>1</v>
      </c>
      <c r="T195" s="1">
        <f>SQRT(POWER(Plank[[#This Row],[angvel_X]],2) + POWER(Plank[[#This Row],[angvel_Y]],2) + POWER(Plank[[#This Row],[angvel_Z]],2))</f>
        <v>2.033000063944908</v>
      </c>
      <c r="U195" s="1">
        <f>DEGREES(ASIN(MAX(-1,MIN(1,2 * (Plank[[#This Row],[quart_W]]*Plank[[#This Row],[quart_Y]] - Plank[[#This Row],[quart_Z]]*Plank[[#This Row],[quart_X]])))))</f>
        <v>0.36249959676822746</v>
      </c>
      <c r="V19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-160.41269623409522</v>
      </c>
      <c r="W19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89.997367209102023</v>
      </c>
      <c r="X195" s="1">
        <f>IF(Plank[[#This Row],[Yaw]]&gt;V194,(360-ABS(Plank[[#This Row],[Yaw]])-ABS(V194)),ABS(Plank[[#This Row],[Yaw]]-V194))</f>
        <v>0.97083949211662457</v>
      </c>
      <c r="Y195" s="1">
        <f>Plank[[#This Row],[Degree change]]+Y194</f>
        <v>129.56318085950727</v>
      </c>
    </row>
    <row r="196" spans="1:25">
      <c r="A196">
        <v>195</v>
      </c>
      <c r="B196" s="1">
        <v>-1806.48999</v>
      </c>
      <c r="C196" s="1">
        <v>1964.6499020000001</v>
      </c>
      <c r="D196" s="1">
        <v>18.639999</v>
      </c>
      <c r="E196" s="1">
        <v>-869.76000999999997</v>
      </c>
      <c r="F196" s="1">
        <v>-2129.179932</v>
      </c>
      <c r="G196" s="1">
        <v>8.1799990000000005</v>
      </c>
      <c r="H196" s="1">
        <v>5.0000000000000001E-4</v>
      </c>
      <c r="I196" s="1">
        <v>1E-4</v>
      </c>
      <c r="J196" s="1">
        <v>2.0329999999999999</v>
      </c>
      <c r="K196" s="1">
        <v>-2.581E-3</v>
      </c>
      <c r="L196" s="1">
        <v>-1.8259999999999999E-3</v>
      </c>
      <c r="M196" s="1">
        <v>0.81216500000000003</v>
      </c>
      <c r="N196" s="1">
        <v>-0.58342000000000005</v>
      </c>
      <c r="O196">
        <v>1</v>
      </c>
      <c r="P196">
        <v>0</v>
      </c>
      <c r="Q196">
        <v>1</v>
      </c>
      <c r="R196">
        <v>1</v>
      </c>
      <c r="S196">
        <v>1</v>
      </c>
      <c r="T196" s="1">
        <f>SQRT(POWER(Plank[[#This Row],[angvel_X]],2) + POWER(Plank[[#This Row],[angvel_Y]],2) + POWER(Plank[[#This Row],[angvel_Z]],2))</f>
        <v>2.033000063944908</v>
      </c>
      <c r="U196" s="1">
        <f>DEGREES(ASIN(MAX(-1,MIN(1,2 * (Plank[[#This Row],[quart_W]]*Plank[[#This Row],[quart_Y]] - Plank[[#This Row],[quart_Z]]*Plank[[#This Row],[quart_X]])))))</f>
        <v>0.36228623894587308</v>
      </c>
      <c r="V19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-161.38323273471877</v>
      </c>
      <c r="W19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89.997387978726422</v>
      </c>
      <c r="X196" s="1">
        <f>IF(Plank[[#This Row],[Yaw]]&gt;V195,(360-ABS(Plank[[#This Row],[Yaw]])-ABS(V195)),ABS(Plank[[#This Row],[Yaw]]-V195))</f>
        <v>0.97053650062355246</v>
      </c>
      <c r="Y196" s="1">
        <f>Plank[[#This Row],[Degree change]]+Y195</f>
        <v>130.53371736013082</v>
      </c>
    </row>
    <row r="197" spans="1:25">
      <c r="A197">
        <v>196</v>
      </c>
      <c r="B197" s="1">
        <v>-1813.76001</v>
      </c>
      <c r="C197" s="1">
        <v>1946.839966</v>
      </c>
      <c r="D197" s="1">
        <v>18.639999</v>
      </c>
      <c r="E197" s="1">
        <v>-833.55999799999995</v>
      </c>
      <c r="F197" s="1">
        <v>-2143.6098630000001</v>
      </c>
      <c r="G197" s="1">
        <v>8.1799990000000005</v>
      </c>
      <c r="H197" s="1">
        <v>5.0000000000000001E-4</v>
      </c>
      <c r="I197" s="1">
        <v>1E-4</v>
      </c>
      <c r="J197" s="1">
        <v>2.0329999999999999</v>
      </c>
      <c r="K197" s="1">
        <v>-2.565E-3</v>
      </c>
      <c r="L197" s="1">
        <v>-1.848E-3</v>
      </c>
      <c r="M197" s="1">
        <v>0.807195</v>
      </c>
      <c r="N197" s="1">
        <v>-0.59027700000000005</v>
      </c>
      <c r="O197">
        <v>1</v>
      </c>
      <c r="P197">
        <v>0</v>
      </c>
      <c r="Q197">
        <v>1</v>
      </c>
      <c r="R197">
        <v>1</v>
      </c>
      <c r="S197">
        <v>1</v>
      </c>
      <c r="T197" s="1">
        <f>SQRT(POWER(Plank[[#This Row],[angvel_X]],2) + POWER(Plank[[#This Row],[angvel_Y]],2) + POWER(Plank[[#This Row],[angvel_Z]],2))</f>
        <v>2.033000063944908</v>
      </c>
      <c r="U197" s="1">
        <f>DEGREES(ASIN(MAX(-1,MIN(1,2 * (Plank[[#This Row],[quart_W]]*Plank[[#This Row],[quart_Y]] - Plank[[#This Row],[quart_Z]]*Plank[[#This Row],[quart_X]])))))</f>
        <v>0.36225922757119394</v>
      </c>
      <c r="V19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-162.35369423968285</v>
      </c>
      <c r="W19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89.997437206533078</v>
      </c>
      <c r="X197" s="1">
        <f>IF(Plank[[#This Row],[Yaw]]&gt;V196,(360-ABS(Plank[[#This Row],[Yaw]])-ABS(V196)),ABS(Plank[[#This Row],[Yaw]]-V196))</f>
        <v>0.9704615049640779</v>
      </c>
      <c r="Y197" s="1">
        <f>Plank[[#This Row],[Degree change]]+Y196</f>
        <v>131.5041788650949</v>
      </c>
    </row>
    <row r="198" spans="1:25">
      <c r="A198">
        <v>197</v>
      </c>
      <c r="B198" s="1">
        <v>-1820.7299800000001</v>
      </c>
      <c r="C198" s="1">
        <v>1928.9099120000001</v>
      </c>
      <c r="D198" s="1">
        <v>18.639999</v>
      </c>
      <c r="E198" s="1">
        <v>-797.13000499999998</v>
      </c>
      <c r="F198" s="1">
        <v>-2157.429932</v>
      </c>
      <c r="G198" s="1">
        <v>8.1799990000000005</v>
      </c>
      <c r="H198" s="1">
        <v>5.0000000000000001E-4</v>
      </c>
      <c r="I198" s="1">
        <v>1E-4</v>
      </c>
      <c r="J198" s="1">
        <v>2.0329999999999999</v>
      </c>
      <c r="K198" s="1">
        <v>-2.5490000000000001E-3</v>
      </c>
      <c r="L198" s="1">
        <v>-1.869E-3</v>
      </c>
      <c r="M198" s="1">
        <v>0.80216799999999999</v>
      </c>
      <c r="N198" s="1">
        <v>-0.59709000000000001</v>
      </c>
      <c r="O198">
        <v>1</v>
      </c>
      <c r="P198">
        <v>0</v>
      </c>
      <c r="Q198">
        <v>1</v>
      </c>
      <c r="R198">
        <v>1</v>
      </c>
      <c r="S198">
        <v>1</v>
      </c>
      <c r="T198" s="1">
        <f>SQRT(POWER(Plank[[#This Row],[angvel_X]],2) + POWER(Plank[[#This Row],[angvel_Y]],2) + POWER(Plank[[#This Row],[angvel_Z]],2))</f>
        <v>2.033000063944908</v>
      </c>
      <c r="U198" s="1">
        <f>DEGREES(ASIN(MAX(-1,MIN(1,2 * (Plank[[#This Row],[quart_W]]*Plank[[#This Row],[quart_Y]] - Plank[[#This Row],[quart_Z]]*Plank[[#This Row],[quart_X]])))))</f>
        <v>0.36219051377607842</v>
      </c>
      <c r="V19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-163.32397293346833</v>
      </c>
      <c r="W19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89.997395233919718</v>
      </c>
      <c r="X198" s="1">
        <f>IF(Plank[[#This Row],[Yaw]]&gt;V197,(360-ABS(Plank[[#This Row],[Yaw]])-ABS(V197)),ABS(Plank[[#This Row],[Yaw]]-V197))</f>
        <v>0.97027869378547393</v>
      </c>
      <c r="Y198" s="1">
        <f>Plank[[#This Row],[Degree change]]+Y197</f>
        <v>132.47445755888037</v>
      </c>
    </row>
    <row r="199" spans="1:25">
      <c r="A199">
        <v>198</v>
      </c>
      <c r="B199" s="1">
        <v>-1827.3900149999999</v>
      </c>
      <c r="C199" s="1">
        <v>1910.869995</v>
      </c>
      <c r="D199" s="1">
        <v>18.639999</v>
      </c>
      <c r="E199" s="1">
        <v>-760.46997099999999</v>
      </c>
      <c r="F199" s="1">
        <v>-2170.6198730000001</v>
      </c>
      <c r="G199" s="1">
        <v>8.1799990000000005</v>
      </c>
      <c r="H199" s="1">
        <v>5.0000000000000001E-4</v>
      </c>
      <c r="I199" s="1">
        <v>1E-4</v>
      </c>
      <c r="J199" s="1">
        <v>2.0329999999999999</v>
      </c>
      <c r="K199" s="1">
        <v>-2.5330000000000001E-3</v>
      </c>
      <c r="L199" s="1">
        <v>-1.8910000000000001E-3</v>
      </c>
      <c r="M199" s="1">
        <v>0.79707899999999998</v>
      </c>
      <c r="N199" s="1">
        <v>-0.60386600000000001</v>
      </c>
      <c r="O199">
        <v>1</v>
      </c>
      <c r="P199">
        <v>0</v>
      </c>
      <c r="Q199">
        <v>1</v>
      </c>
      <c r="R199">
        <v>1</v>
      </c>
      <c r="S199">
        <v>1</v>
      </c>
      <c r="T199" s="1">
        <f>SQRT(POWER(Plank[[#This Row],[angvel_X]],2) + POWER(Plank[[#This Row],[angvel_Y]],2) + POWER(Plank[[#This Row],[angvel_Z]],2))</f>
        <v>2.033000063944908</v>
      </c>
      <c r="U199" s="1">
        <f>DEGREES(ASIN(MAX(-1,MIN(1,2 * (Plank[[#This Row],[quart_W]]*Plank[[#This Row],[quart_Y]] - Plank[[#This Row],[quart_Z]]*Plank[[#This Row],[quart_X]])))))</f>
        <v>0.36221621385313901</v>
      </c>
      <c r="V19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-164.29510180787028</v>
      </c>
      <c r="W19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89.997442702007774</v>
      </c>
      <c r="X199" s="1">
        <f>IF(Plank[[#This Row],[Yaw]]&gt;V198,(360-ABS(Plank[[#This Row],[Yaw]])-ABS(V198)),ABS(Plank[[#This Row],[Yaw]]-V198))</f>
        <v>0.9711288744019555</v>
      </c>
      <c r="Y199" s="1">
        <f>Plank[[#This Row],[Degree change]]+Y198</f>
        <v>133.44558643328233</v>
      </c>
    </row>
    <row r="200" spans="1:25">
      <c r="A200">
        <v>199</v>
      </c>
      <c r="B200" s="1">
        <v>-1833.75</v>
      </c>
      <c r="C200" s="1">
        <v>1892.719971</v>
      </c>
      <c r="D200" s="1">
        <v>18.639999</v>
      </c>
      <c r="E200" s="1">
        <v>-723.589966</v>
      </c>
      <c r="F200" s="1">
        <v>-2183.1899410000001</v>
      </c>
      <c r="G200" s="1">
        <v>8.1799990000000005</v>
      </c>
      <c r="H200" s="1">
        <v>5.0000000000000001E-4</v>
      </c>
      <c r="I200" s="1">
        <v>1E-4</v>
      </c>
      <c r="J200" s="1">
        <v>2.0329999999999999</v>
      </c>
      <c r="K200" s="1">
        <v>-2.5170000000000001E-3</v>
      </c>
      <c r="L200" s="1">
        <v>-1.9120000000000001E-3</v>
      </c>
      <c r="M200" s="1">
        <v>0.79193400000000003</v>
      </c>
      <c r="N200" s="1">
        <v>-0.610599</v>
      </c>
      <c r="O200">
        <v>1</v>
      </c>
      <c r="P200">
        <v>0</v>
      </c>
      <c r="Q200">
        <v>1</v>
      </c>
      <c r="R200">
        <v>1</v>
      </c>
      <c r="S200">
        <v>1</v>
      </c>
      <c r="T200" s="1">
        <f>SQRT(POWER(Plank[[#This Row],[angvel_X]],2) + POWER(Plank[[#This Row],[angvel_Y]],2) + POWER(Plank[[#This Row],[angvel_Z]],2))</f>
        <v>2.033000063944908</v>
      </c>
      <c r="U200" s="1">
        <f>DEGREES(ASIN(MAX(-1,MIN(1,2 * (Plank[[#This Row],[quart_W]]*Plank[[#This Row],[quart_Y]] - Plank[[#This Row],[quart_Z]]*Plank[[#This Row],[quart_X]])))))</f>
        <v>0.36219919128067568</v>
      </c>
      <c r="V20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-165.26604516706033</v>
      </c>
      <c r="W20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89.997398733957169</v>
      </c>
      <c r="X200" s="1">
        <f>IF(Plank[[#This Row],[Yaw]]&gt;V199,(360-ABS(Plank[[#This Row],[Yaw]])-ABS(V199)),ABS(Plank[[#This Row],[Yaw]]-V199))</f>
        <v>0.97094335919004493</v>
      </c>
      <c r="Y200" s="1">
        <f>Plank[[#This Row],[Degree change]]+Y199</f>
        <v>134.41652979247237</v>
      </c>
    </row>
    <row r="201" spans="1:25">
      <c r="A201">
        <v>200</v>
      </c>
      <c r="B201" s="1">
        <v>-1839.799927</v>
      </c>
      <c r="C201" s="1">
        <v>1874.459961</v>
      </c>
      <c r="D201" s="1">
        <v>18.639999</v>
      </c>
      <c r="E201" s="1">
        <v>-686.5</v>
      </c>
      <c r="F201" s="1">
        <v>-2195.139893</v>
      </c>
      <c r="G201" s="1">
        <v>8.1799990000000005</v>
      </c>
      <c r="H201" s="1">
        <v>5.0000000000000001E-4</v>
      </c>
      <c r="I201" s="1">
        <v>1E-4</v>
      </c>
      <c r="J201" s="1">
        <v>2.0329999999999999</v>
      </c>
      <c r="K201" s="1">
        <v>-2.5000000000000001E-3</v>
      </c>
      <c r="L201" s="1">
        <v>-1.934E-3</v>
      </c>
      <c r="M201" s="1">
        <v>0.78673499999999996</v>
      </c>
      <c r="N201" s="1">
        <v>-0.61728300000000003</v>
      </c>
      <c r="O201">
        <v>1</v>
      </c>
      <c r="P201">
        <v>0</v>
      </c>
      <c r="Q201">
        <v>1</v>
      </c>
      <c r="R201">
        <v>1</v>
      </c>
      <c r="S201">
        <v>1</v>
      </c>
      <c r="T201" s="1">
        <f>SQRT(POWER(Plank[[#This Row],[angvel_X]],2) + POWER(Plank[[#This Row],[angvel_Y]],2) + POWER(Plank[[#This Row],[angvel_Z]],2))</f>
        <v>2.033000063944908</v>
      </c>
      <c r="U201" s="1">
        <f>DEGREES(ASIN(MAX(-1,MIN(1,2 * (Plank[[#This Row],[quart_W]]*Plank[[#This Row],[quart_Y]] - Plank[[#This Row],[quart_Z]]*Plank[[#This Row],[quart_X]])))))</f>
        <v>0.36218769247552585</v>
      </c>
      <c r="V20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-166.23642169450801</v>
      </c>
      <c r="W20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89.997517666905239</v>
      </c>
      <c r="X201" s="1">
        <f>IF(Plank[[#This Row],[Yaw]]&gt;V200,(360-ABS(Plank[[#This Row],[Yaw]])-ABS(V200)),ABS(Plank[[#This Row],[Yaw]]-V200))</f>
        <v>0.97037652744768366</v>
      </c>
      <c r="Y201" s="1">
        <f>Plank[[#This Row],[Degree change]]+Y200</f>
        <v>135.38690631992006</v>
      </c>
    </row>
    <row r="202" spans="1:25">
      <c r="A202">
        <v>201</v>
      </c>
      <c r="B202" s="1">
        <v>-1845.5399170000001</v>
      </c>
      <c r="C202" s="1">
        <v>1856.099976</v>
      </c>
      <c r="D202" s="1">
        <v>18.639999</v>
      </c>
      <c r="E202" s="1">
        <v>-649.20996100000002</v>
      </c>
      <c r="F202" s="1">
        <v>-2206.4499510000001</v>
      </c>
      <c r="G202" s="1">
        <v>8.1799990000000005</v>
      </c>
      <c r="H202" s="1">
        <v>5.0000000000000001E-4</v>
      </c>
      <c r="I202" s="1">
        <v>1E-4</v>
      </c>
      <c r="J202" s="1">
        <v>2.0329999999999999</v>
      </c>
      <c r="K202" s="1">
        <v>-2.4840000000000001E-3</v>
      </c>
      <c r="L202" s="1">
        <v>-1.9559999999999998E-3</v>
      </c>
      <c r="M202" s="1">
        <v>0.78147800000000001</v>
      </c>
      <c r="N202" s="1">
        <v>-0.62392400000000003</v>
      </c>
      <c r="O202">
        <v>1</v>
      </c>
      <c r="P202">
        <v>0</v>
      </c>
      <c r="Q202">
        <v>1</v>
      </c>
      <c r="R202">
        <v>1</v>
      </c>
      <c r="S202">
        <v>1</v>
      </c>
      <c r="T202" s="1">
        <f>SQRT(POWER(Plank[[#This Row],[angvel_X]],2) + POWER(Plank[[#This Row],[angvel_Y]],2) + POWER(Plank[[#This Row],[angvel_Z]],2))</f>
        <v>2.033000063944908</v>
      </c>
      <c r="U202" s="1">
        <f>DEGREES(ASIN(MAX(-1,MIN(1,2 * (Plank[[#This Row],[quart_W]]*Plank[[#This Row],[quart_Y]] - Plank[[#This Row],[quart_Z]]*Plank[[#This Row],[quart_X]])))))</f>
        <v>0.36229356275341262</v>
      </c>
      <c r="V20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-167.2070755588492</v>
      </c>
      <c r="W20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89.997564164705949</v>
      </c>
      <c r="X202" s="1">
        <f>IF(Plank[[#This Row],[Yaw]]&gt;V201,(360-ABS(Plank[[#This Row],[Yaw]])-ABS(V201)),ABS(Plank[[#This Row],[Yaw]]-V201))</f>
        <v>0.9706538643411875</v>
      </c>
      <c r="Y202" s="1">
        <f>Plank[[#This Row],[Degree change]]+Y201</f>
        <v>136.35756018426125</v>
      </c>
    </row>
    <row r="203" spans="1:25">
      <c r="A203">
        <v>202</v>
      </c>
      <c r="B203" s="1">
        <v>-1850.969971</v>
      </c>
      <c r="C203" s="1">
        <v>1837.6499020000001</v>
      </c>
      <c r="D203" s="1">
        <v>18.639999</v>
      </c>
      <c r="E203" s="1">
        <v>-611.73999000000003</v>
      </c>
      <c r="F203" s="1">
        <v>-2217.1298830000001</v>
      </c>
      <c r="G203" s="1">
        <v>8.1799990000000005</v>
      </c>
      <c r="H203" s="1">
        <v>5.0000000000000001E-4</v>
      </c>
      <c r="I203" s="1">
        <v>1E-4</v>
      </c>
      <c r="J203" s="1">
        <v>2.0329999999999999</v>
      </c>
      <c r="K203" s="1">
        <v>-2.4680000000000001E-3</v>
      </c>
      <c r="L203" s="1">
        <v>-1.977E-3</v>
      </c>
      <c r="M203" s="1">
        <v>0.77616499999999999</v>
      </c>
      <c r="N203" s="1">
        <v>-0.63052200000000003</v>
      </c>
      <c r="O203">
        <v>1</v>
      </c>
      <c r="P203">
        <v>0</v>
      </c>
      <c r="Q203">
        <v>1</v>
      </c>
      <c r="R203">
        <v>1</v>
      </c>
      <c r="S203">
        <v>1</v>
      </c>
      <c r="T203" s="1">
        <f>SQRT(POWER(Plank[[#This Row],[angvel_X]],2) + POWER(Plank[[#This Row],[angvel_Y]],2) + POWER(Plank[[#This Row],[angvel_Z]],2))</f>
        <v>2.033000063944908</v>
      </c>
      <c r="U203" s="1">
        <f>DEGREES(ASIN(MAX(-1,MIN(1,2 * (Plank[[#This Row],[quart_W]]*Plank[[#This Row],[quart_Y]] - Plank[[#This Row],[quart_Z]]*Plank[[#This Row],[quart_X]])))))</f>
        <v>0.36235435685369088</v>
      </c>
      <c r="V20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-168.17775359834044</v>
      </c>
      <c r="W20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89.997519032703678</v>
      </c>
      <c r="X203" s="1">
        <f>IF(Plank[[#This Row],[Yaw]]&gt;V202,(360-ABS(Plank[[#This Row],[Yaw]])-ABS(V202)),ABS(Plank[[#This Row],[Yaw]]-V202))</f>
        <v>0.97067803949124709</v>
      </c>
      <c r="Y203" s="1">
        <f>Plank[[#This Row],[Degree change]]+Y202</f>
        <v>137.32823822375249</v>
      </c>
    </row>
    <row r="204" spans="1:25">
      <c r="A204">
        <v>203</v>
      </c>
      <c r="B204" s="1">
        <v>-1856.079956</v>
      </c>
      <c r="C204" s="1">
        <v>1819.1099850000001</v>
      </c>
      <c r="D204" s="1">
        <v>18.639999</v>
      </c>
      <c r="E204" s="1">
        <v>-574.089966</v>
      </c>
      <c r="F204" s="1">
        <v>-2227.179932</v>
      </c>
      <c r="G204" s="1">
        <v>8.1799990000000005</v>
      </c>
      <c r="H204" s="1">
        <v>5.0000000000000001E-4</v>
      </c>
      <c r="I204" s="1">
        <v>1E-4</v>
      </c>
      <c r="J204" s="1">
        <v>2.0329999999999999</v>
      </c>
      <c r="K204" s="1">
        <v>-2.4520000000000002E-3</v>
      </c>
      <c r="L204" s="1">
        <v>-1.9989999999999999E-3</v>
      </c>
      <c r="M204" s="1">
        <v>0.77079799999999998</v>
      </c>
      <c r="N204" s="1">
        <v>-0.63707100000000005</v>
      </c>
      <c r="O204">
        <v>1</v>
      </c>
      <c r="P204">
        <v>0</v>
      </c>
      <c r="Q204">
        <v>1</v>
      </c>
      <c r="R204">
        <v>1</v>
      </c>
      <c r="S204">
        <v>1</v>
      </c>
      <c r="T204" s="1">
        <f>SQRT(POWER(Plank[[#This Row],[angvel_X]],2) + POWER(Plank[[#This Row],[angvel_Y]],2) + POWER(Plank[[#This Row],[angvel_Z]],2))</f>
        <v>2.033000063944908</v>
      </c>
      <c r="U204" s="1">
        <f>DEGREES(ASIN(MAX(-1,MIN(1,2 * (Plank[[#This Row],[quart_W]]*Plank[[#This Row],[quart_Y]] - Plank[[#This Row],[quart_Z]]*Plank[[#This Row],[quart_X]])))))</f>
        <v>0.36251300184251267</v>
      </c>
      <c r="V20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-169.14809571213567</v>
      </c>
      <c r="W20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89.997562257576035</v>
      </c>
      <c r="X204" s="1">
        <f>IF(Plank[[#This Row],[Yaw]]&gt;V203,(360-ABS(Plank[[#This Row],[Yaw]])-ABS(V203)),ABS(Plank[[#This Row],[Yaw]]-V203))</f>
        <v>0.97034211379522617</v>
      </c>
      <c r="Y204" s="1">
        <f>Plank[[#This Row],[Degree change]]+Y203</f>
        <v>138.29858033754772</v>
      </c>
    </row>
    <row r="205" spans="1:25">
      <c r="A205">
        <v>204</v>
      </c>
      <c r="B205" s="1">
        <v>-1860.880005</v>
      </c>
      <c r="C205" s="1">
        <v>1800.4799800000001</v>
      </c>
      <c r="D205" s="1">
        <v>18.639999</v>
      </c>
      <c r="E205" s="1">
        <v>-536.27996800000005</v>
      </c>
      <c r="F205" s="1">
        <v>-2236.5798340000001</v>
      </c>
      <c r="G205" s="1">
        <v>8.1799990000000005</v>
      </c>
      <c r="H205" s="1">
        <v>5.0000000000000001E-4</v>
      </c>
      <c r="I205" s="1">
        <v>1E-4</v>
      </c>
      <c r="J205" s="1">
        <v>2.0329999999999999</v>
      </c>
      <c r="K205" s="1">
        <v>-2.4359999999999998E-3</v>
      </c>
      <c r="L205" s="1">
        <v>-2.0200000000000001E-3</v>
      </c>
      <c r="M205" s="1">
        <v>0.765374</v>
      </c>
      <c r="N205" s="1">
        <v>-0.64357699999999995</v>
      </c>
      <c r="O205">
        <v>1</v>
      </c>
      <c r="P205">
        <v>0</v>
      </c>
      <c r="Q205">
        <v>1</v>
      </c>
      <c r="R205">
        <v>1</v>
      </c>
      <c r="S205">
        <v>1</v>
      </c>
      <c r="T205" s="1">
        <f>SQRT(POWER(Plank[[#This Row],[angvel_X]],2) + POWER(Plank[[#This Row],[angvel_Y]],2) + POWER(Plank[[#This Row],[angvel_Z]],2))</f>
        <v>2.033000063944908</v>
      </c>
      <c r="U205" s="1">
        <f>DEGREES(ASIN(MAX(-1,MIN(1,2 * (Plank[[#This Row],[quart_W]]*Plank[[#This Row],[quart_Y]] - Plank[[#This Row],[quart_Z]]*Plank[[#This Row],[quart_X]])))))</f>
        <v>0.36262472844311411</v>
      </c>
      <c r="V20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-170.11875824849693</v>
      </c>
      <c r="W20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89.997513532009947</v>
      </c>
      <c r="X205" s="1">
        <f>IF(Plank[[#This Row],[Yaw]]&gt;V204,(360-ABS(Plank[[#This Row],[Yaw]])-ABS(V204)),ABS(Plank[[#This Row],[Yaw]]-V204))</f>
        <v>0.97066253636126021</v>
      </c>
      <c r="Y205" s="1">
        <f>Plank[[#This Row],[Degree change]]+Y204</f>
        <v>139.26924287390898</v>
      </c>
    </row>
    <row r="206" spans="1:25">
      <c r="A206">
        <v>205</v>
      </c>
      <c r="B206" s="1">
        <v>-1865.3599850000001</v>
      </c>
      <c r="C206" s="1">
        <v>1781.7700199999999</v>
      </c>
      <c r="D206" s="1">
        <v>18.639999</v>
      </c>
      <c r="E206" s="1">
        <v>-498.31997699999999</v>
      </c>
      <c r="F206" s="1">
        <v>-2245.3498540000001</v>
      </c>
      <c r="G206" s="1">
        <v>8.1799990000000005</v>
      </c>
      <c r="H206" s="1">
        <v>5.0000000000000001E-4</v>
      </c>
      <c r="I206" s="1">
        <v>1E-4</v>
      </c>
      <c r="J206" s="1">
        <v>2.0329999999999999</v>
      </c>
      <c r="K206" s="1">
        <v>-2.4199999999999998E-3</v>
      </c>
      <c r="L206" s="1">
        <v>-2.042E-3</v>
      </c>
      <c r="M206" s="1">
        <v>0.75989799999999996</v>
      </c>
      <c r="N206" s="1">
        <v>-0.65003500000000003</v>
      </c>
      <c r="O206">
        <v>1</v>
      </c>
      <c r="P206">
        <v>0</v>
      </c>
      <c r="Q206">
        <v>1</v>
      </c>
      <c r="R206">
        <v>1</v>
      </c>
      <c r="S206">
        <v>1</v>
      </c>
      <c r="T206" s="1">
        <f>SQRT(POWER(Plank[[#This Row],[angvel_X]],2) + POWER(Plank[[#This Row],[angvel_Y]],2) + POWER(Plank[[#This Row],[angvel_Z]],2))</f>
        <v>2.033000063944908</v>
      </c>
      <c r="U206" s="1">
        <f>DEGREES(ASIN(MAX(-1,MIN(1,2 * (Plank[[#This Row],[quart_W]]*Plank[[#This Row],[quart_Y]] - Plank[[#This Row],[quart_Z]]*Plank[[#This Row],[quart_X]])))))</f>
        <v>0.36283650086743591</v>
      </c>
      <c r="V20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-171.08892813463174</v>
      </c>
      <c r="W20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89.997550787331477</v>
      </c>
      <c r="X206" s="1">
        <f>IF(Plank[[#This Row],[Yaw]]&gt;V205,(360-ABS(Plank[[#This Row],[Yaw]])-ABS(V205)),ABS(Plank[[#This Row],[Yaw]]-V205))</f>
        <v>0.97016988613481203</v>
      </c>
      <c r="Y206" s="1">
        <f>Plank[[#This Row],[Degree change]]+Y205</f>
        <v>140.23941276004379</v>
      </c>
    </row>
    <row r="207" spans="1:25">
      <c r="A207">
        <v>206</v>
      </c>
      <c r="B207" s="1">
        <v>-1869.5198969999999</v>
      </c>
      <c r="C207" s="1">
        <v>1762.98999</v>
      </c>
      <c r="D207" s="1">
        <v>18.639999</v>
      </c>
      <c r="E207" s="1">
        <v>-460.209991</v>
      </c>
      <c r="F207" s="1">
        <v>-2253.469971</v>
      </c>
      <c r="G207" s="1">
        <v>8.1799990000000005</v>
      </c>
      <c r="H207" s="1">
        <v>5.0000000000000001E-4</v>
      </c>
      <c r="I207" s="1">
        <v>1E-4</v>
      </c>
      <c r="J207" s="1">
        <v>2.0329999999999999</v>
      </c>
      <c r="K207" s="1">
        <v>-2.4030000000000002E-3</v>
      </c>
      <c r="L207" s="1">
        <v>-2.0639999999999999E-3</v>
      </c>
      <c r="M207" s="1">
        <v>0.75436300000000001</v>
      </c>
      <c r="N207" s="1">
        <v>-0.65644899999999995</v>
      </c>
      <c r="O207">
        <v>1</v>
      </c>
      <c r="P207">
        <v>0</v>
      </c>
      <c r="Q207">
        <v>1</v>
      </c>
      <c r="R207">
        <v>1</v>
      </c>
      <c r="S207">
        <v>1</v>
      </c>
      <c r="T207" s="1">
        <f>SQRT(POWER(Plank[[#This Row],[angvel_X]],2) + POWER(Plank[[#This Row],[angvel_Y]],2) + POWER(Plank[[#This Row],[angvel_Z]],2))</f>
        <v>2.033000063944908</v>
      </c>
      <c r="U207" s="1">
        <f>DEGREES(ASIN(MAX(-1,MIN(1,2 * (Plank[[#This Row],[quart_W]]*Plank[[#This Row],[quart_Y]] - Plank[[#This Row],[quart_Z]]*Plank[[#This Row],[quart_X]])))))</f>
        <v>0.36298781002424574</v>
      </c>
      <c r="V20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-172.0598539493534</v>
      </c>
      <c r="W20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89.997657504998742</v>
      </c>
      <c r="X207" s="1">
        <f>IF(Plank[[#This Row],[Yaw]]&gt;V206,(360-ABS(Plank[[#This Row],[Yaw]])-ABS(V206)),ABS(Plank[[#This Row],[Yaw]]-V206))</f>
        <v>0.97092581472165307</v>
      </c>
      <c r="Y207" s="1">
        <f>Plank[[#This Row],[Degree change]]+Y206</f>
        <v>141.21033857476544</v>
      </c>
    </row>
    <row r="208" spans="1:25">
      <c r="A208">
        <v>207</v>
      </c>
      <c r="B208" s="1">
        <v>-1873.3599850000001</v>
      </c>
      <c r="C208" s="1">
        <v>1744.1400149999999</v>
      </c>
      <c r="D208" s="1">
        <v>18.639999</v>
      </c>
      <c r="E208" s="1">
        <v>-421.97000100000002</v>
      </c>
      <c r="F208" s="1">
        <v>-2260.9399410000001</v>
      </c>
      <c r="G208" s="1">
        <v>8.1799990000000005</v>
      </c>
      <c r="H208" s="1">
        <v>5.0000000000000001E-4</v>
      </c>
      <c r="I208" s="1">
        <v>1E-4</v>
      </c>
      <c r="J208" s="1">
        <v>2.0329999999999999</v>
      </c>
      <c r="K208" s="1">
        <v>-2.3869999999999998E-3</v>
      </c>
      <c r="L208" s="1">
        <v>-2.085E-3</v>
      </c>
      <c r="M208" s="1">
        <v>0.748776</v>
      </c>
      <c r="N208" s="1">
        <v>-0.66281500000000004</v>
      </c>
      <c r="O208">
        <v>1</v>
      </c>
      <c r="P208">
        <v>0</v>
      </c>
      <c r="Q208">
        <v>1</v>
      </c>
      <c r="R208">
        <v>1</v>
      </c>
      <c r="S208">
        <v>1</v>
      </c>
      <c r="T208" s="1">
        <f>SQRT(POWER(Plank[[#This Row],[angvel_X]],2) + POWER(Plank[[#This Row],[angvel_Y]],2) + POWER(Plank[[#This Row],[angvel_Z]],2))</f>
        <v>2.033000063944908</v>
      </c>
      <c r="U208" s="1">
        <f>DEGREES(ASIN(MAX(-1,MIN(1,2 * (Plank[[#This Row],[quart_W]]*Plank[[#This Row],[quart_Y]] - Plank[[#This Row],[quart_Z]]*Plank[[#This Row],[quart_X]])))))</f>
        <v>0.36317718348257133</v>
      </c>
      <c r="V20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-173.0304272971388</v>
      </c>
      <c r="W20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89.997600238959421</v>
      </c>
      <c r="X208" s="1">
        <f>IF(Plank[[#This Row],[Yaw]]&gt;V207,(360-ABS(Plank[[#This Row],[Yaw]])-ABS(V207)),ABS(Plank[[#This Row],[Yaw]]-V207))</f>
        <v>0.97057334778540394</v>
      </c>
      <c r="Y208" s="1">
        <f>Plank[[#This Row],[Degree change]]+Y207</f>
        <v>142.18091192255085</v>
      </c>
    </row>
    <row r="209" spans="1:25">
      <c r="A209">
        <v>208</v>
      </c>
      <c r="B209" s="1">
        <v>-1876.880005</v>
      </c>
      <c r="C209" s="1">
        <v>1725.2299800000001</v>
      </c>
      <c r="D209" s="1">
        <v>18.639999</v>
      </c>
      <c r="E209" s="1">
        <v>-383.60998499999999</v>
      </c>
      <c r="F209" s="1">
        <v>-2267.76001</v>
      </c>
      <c r="G209" s="1">
        <v>8.1799990000000005</v>
      </c>
      <c r="H209" s="1">
        <v>4.0000000000000002E-4</v>
      </c>
      <c r="I209" s="1">
        <v>1E-4</v>
      </c>
      <c r="J209" s="1">
        <v>2.0329999999999999</v>
      </c>
      <c r="K209" s="1">
        <v>-2.3709999999999998E-3</v>
      </c>
      <c r="L209" s="1">
        <v>-2.1069999999999999E-3</v>
      </c>
      <c r="M209" s="1">
        <v>0.74313600000000002</v>
      </c>
      <c r="N209" s="1">
        <v>-0.66913299999999998</v>
      </c>
      <c r="O209">
        <v>1</v>
      </c>
      <c r="P209">
        <v>0</v>
      </c>
      <c r="Q209">
        <v>1</v>
      </c>
      <c r="R209">
        <v>1</v>
      </c>
      <c r="S209">
        <v>1</v>
      </c>
      <c r="T209" s="1">
        <f>SQRT(POWER(Plank[[#This Row],[angvel_X]],2) + POWER(Plank[[#This Row],[angvel_Y]],2) + POWER(Plank[[#This Row],[angvel_Z]],2))</f>
        <v>2.0330000418101322</v>
      </c>
      <c r="U209" s="1">
        <f>DEGREES(ASIN(MAX(-1,MIN(1,2 * (Plank[[#This Row],[quart_W]]*Plank[[#This Row],[quart_Y]] - Plank[[#This Row],[quart_Z]]*Plank[[#This Row],[quart_X]])))))</f>
        <v>0.36346837794773795</v>
      </c>
      <c r="V20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-174.00087969252399</v>
      </c>
      <c r="W20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89.997624836913616</v>
      </c>
      <c r="X209" s="1">
        <f>IF(Plank[[#This Row],[Yaw]]&gt;V208,(360-ABS(Plank[[#This Row],[Yaw]])-ABS(V208)),ABS(Plank[[#This Row],[Yaw]]-V208))</f>
        <v>0.97045239538519468</v>
      </c>
      <c r="Y209" s="1">
        <f>Plank[[#This Row],[Degree change]]+Y208</f>
        <v>143.15136431793604</v>
      </c>
    </row>
    <row r="210" spans="1:25">
      <c r="A210">
        <v>209</v>
      </c>
      <c r="B210" s="1">
        <v>-1880.079956</v>
      </c>
      <c r="C210" s="1">
        <v>1706.26001</v>
      </c>
      <c r="D210" s="1">
        <v>18.639999</v>
      </c>
      <c r="E210" s="1">
        <v>-345.13998400000003</v>
      </c>
      <c r="F210" s="1">
        <v>-2273.9399410000001</v>
      </c>
      <c r="G210" s="1">
        <v>8.1799990000000005</v>
      </c>
      <c r="H210" s="1">
        <v>4.0000000000000002E-4</v>
      </c>
      <c r="I210" s="1">
        <v>1E-4</v>
      </c>
      <c r="J210" s="1">
        <v>2.0329999999999999</v>
      </c>
      <c r="K210" s="1">
        <v>-2.3549999999999999E-3</v>
      </c>
      <c r="L210" s="1">
        <v>-2.1280000000000001E-3</v>
      </c>
      <c r="M210" s="1">
        <v>0.73744299999999996</v>
      </c>
      <c r="N210" s="1">
        <v>-0.67540100000000003</v>
      </c>
      <c r="O210">
        <v>1</v>
      </c>
      <c r="P210">
        <v>0</v>
      </c>
      <c r="Q210">
        <v>1</v>
      </c>
      <c r="R210">
        <v>1</v>
      </c>
      <c r="S210">
        <v>1</v>
      </c>
      <c r="T210" s="1">
        <f>SQRT(POWER(Plank[[#This Row],[angvel_X]],2) + POWER(Plank[[#This Row],[angvel_Y]],2) + POWER(Plank[[#This Row],[angvel_Z]],2))</f>
        <v>2.0330000418101322</v>
      </c>
      <c r="U210" s="1">
        <f>DEGREES(ASIN(MAX(-1,MIN(1,2 * (Plank[[#This Row],[quart_W]]*Plank[[#This Row],[quart_Y]] - Plank[[#This Row],[quart_Z]]*Plank[[#This Row],[quart_X]])))))</f>
        <v>0.36370821213813959</v>
      </c>
      <c r="V21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-174.97126767239544</v>
      </c>
      <c r="W21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89.997560221952071</v>
      </c>
      <c r="X210" s="1">
        <f>IF(Plank[[#This Row],[Yaw]]&gt;V209,(360-ABS(Plank[[#This Row],[Yaw]])-ABS(V209)),ABS(Plank[[#This Row],[Yaw]]-V209))</f>
        <v>0.97038797987144676</v>
      </c>
      <c r="Y210" s="1">
        <f>Plank[[#This Row],[Degree change]]+Y209</f>
        <v>144.12175229780749</v>
      </c>
    </row>
    <row r="211" spans="1:25">
      <c r="A211">
        <v>210</v>
      </c>
      <c r="B211" s="1">
        <v>-1882.959961</v>
      </c>
      <c r="C211" s="1">
        <v>1687.23999</v>
      </c>
      <c r="D211" s="1">
        <v>18.639999</v>
      </c>
      <c r="E211" s="1">
        <v>-306.57000699999998</v>
      </c>
      <c r="F211" s="1">
        <v>-2279.459961</v>
      </c>
      <c r="G211" s="1">
        <v>8.1799990000000005</v>
      </c>
      <c r="H211" s="1">
        <v>2.9999999999999997E-4</v>
      </c>
      <c r="I211" s="1">
        <v>2.0000000000000001E-4</v>
      </c>
      <c r="J211" s="1">
        <v>2.0329999999999999</v>
      </c>
      <c r="K211" s="1">
        <v>-2.3389999999999999E-3</v>
      </c>
      <c r="L211" s="1">
        <v>-2.15E-3</v>
      </c>
      <c r="M211" s="1">
        <v>0.73169799999999996</v>
      </c>
      <c r="N211" s="1">
        <v>-0.68162199999999995</v>
      </c>
      <c r="O211">
        <v>1</v>
      </c>
      <c r="P211">
        <v>0</v>
      </c>
      <c r="Q211">
        <v>1</v>
      </c>
      <c r="R211">
        <v>1</v>
      </c>
      <c r="S211">
        <v>1</v>
      </c>
      <c r="T211" s="1">
        <f>SQRT(POWER(Plank[[#This Row],[angvel_X]],2) + POWER(Plank[[#This Row],[angvel_Y]],2) + POWER(Plank[[#This Row],[angvel_Z]],2))</f>
        <v>2.0330000319724544</v>
      </c>
      <c r="U211" s="1">
        <f>DEGREES(ASIN(MAX(-1,MIN(1,2 * (Plank[[#This Row],[quart_W]]*Plank[[#This Row],[quart_Y]] - Plank[[#This Row],[quart_Z]]*Plank[[#This Row],[quart_X]])))))</f>
        <v>0.36405168766800722</v>
      </c>
      <c r="V21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-175.94152376010177</v>
      </c>
      <c r="W21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89.997574831775822</v>
      </c>
      <c r="X211" s="1">
        <f>IF(Plank[[#This Row],[Yaw]]&gt;V210,(360-ABS(Plank[[#This Row],[Yaw]])-ABS(V210)),ABS(Plank[[#This Row],[Yaw]]-V210))</f>
        <v>0.97025608770633198</v>
      </c>
      <c r="Y211" s="1">
        <f>Plank[[#This Row],[Degree change]]+Y210</f>
        <v>145.09200838551382</v>
      </c>
    </row>
    <row r="212" spans="1:25">
      <c r="A212">
        <v>211</v>
      </c>
      <c r="B212" s="1">
        <v>-1885.5198969999999</v>
      </c>
      <c r="C212" s="1">
        <v>1668.179932</v>
      </c>
      <c r="D212" s="1">
        <v>18.639999</v>
      </c>
      <c r="E212" s="1">
        <v>-267.919983</v>
      </c>
      <c r="F212" s="1">
        <v>-2284.320068</v>
      </c>
      <c r="G212" s="1">
        <v>8.1799990000000005</v>
      </c>
      <c r="H212" s="1">
        <v>2.0000000000000001E-4</v>
      </c>
      <c r="I212" s="1">
        <v>2.0000000000000001E-4</v>
      </c>
      <c r="J212" s="1">
        <v>2.0329999999999999</v>
      </c>
      <c r="K212" s="1">
        <v>-2.3219999999999998E-3</v>
      </c>
      <c r="L212" s="1">
        <v>-2.1710000000000002E-3</v>
      </c>
      <c r="M212" s="1">
        <v>0.72589999999999999</v>
      </c>
      <c r="N212" s="1">
        <v>-0.68779299999999999</v>
      </c>
      <c r="O212">
        <v>1</v>
      </c>
      <c r="P212">
        <v>0</v>
      </c>
      <c r="Q212">
        <v>1</v>
      </c>
      <c r="R212">
        <v>1</v>
      </c>
      <c r="S212">
        <v>1</v>
      </c>
      <c r="T212" s="1">
        <f>SQRT(POWER(Plank[[#This Row],[angvel_X]],2) + POWER(Plank[[#This Row],[angvel_Y]],2) + POWER(Plank[[#This Row],[angvel_Z]],2))</f>
        <v>2.0330000196753568</v>
      </c>
      <c r="U212" s="1">
        <f>DEGREES(ASIN(MAX(-1,MIN(1,2 * (Plank[[#This Row],[quart_W]]*Plank[[#This Row],[quart_Y]] - Plank[[#This Row],[quart_Z]]*Plank[[#This Row],[quart_X]])))))</f>
        <v>0.36425904310487822</v>
      </c>
      <c r="V21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-176.91185946299223</v>
      </c>
      <c r="W21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89.997579038690361</v>
      </c>
      <c r="X212" s="1">
        <f>IF(Plank[[#This Row],[Yaw]]&gt;V211,(360-ABS(Plank[[#This Row],[Yaw]])-ABS(V211)),ABS(Plank[[#This Row],[Yaw]]-V211))</f>
        <v>0.97033570289045201</v>
      </c>
      <c r="Y212" s="1">
        <f>Plank[[#This Row],[Degree change]]+Y211</f>
        <v>146.06234408840427</v>
      </c>
    </row>
    <row r="213" spans="1:25">
      <c r="A213">
        <v>212</v>
      </c>
      <c r="B213" s="1">
        <v>-1887.76001</v>
      </c>
      <c r="C213" s="1">
        <v>1649.079956</v>
      </c>
      <c r="D213" s="1">
        <v>18.639999</v>
      </c>
      <c r="E213" s="1">
        <v>-229.19000199999999</v>
      </c>
      <c r="F213" s="1">
        <v>-2288.530029</v>
      </c>
      <c r="G213" s="1">
        <v>8.1799990000000005</v>
      </c>
      <c r="H213" s="1">
        <v>1E-4</v>
      </c>
      <c r="I213" s="1">
        <v>2.0000000000000001E-4</v>
      </c>
      <c r="J213" s="1">
        <v>2.0329999999999999</v>
      </c>
      <c r="K213" s="1">
        <v>-2.3059999999999999E-3</v>
      </c>
      <c r="L213" s="1">
        <v>-2.1930000000000001E-3</v>
      </c>
      <c r="M213" s="1">
        <v>0.72004800000000002</v>
      </c>
      <c r="N213" s="1">
        <v>-0.69391599999999998</v>
      </c>
      <c r="O213">
        <v>1</v>
      </c>
      <c r="P213">
        <v>0</v>
      </c>
      <c r="Q213">
        <v>1</v>
      </c>
      <c r="R213">
        <v>1</v>
      </c>
      <c r="S213">
        <v>1</v>
      </c>
      <c r="T213" s="1">
        <f>SQRT(POWER(Plank[[#This Row],[angvel_X]],2) + POWER(Plank[[#This Row],[angvel_Y]],2) + POWER(Plank[[#This Row],[angvel_Z]],2))</f>
        <v>2.0330000122970979</v>
      </c>
      <c r="U213" s="1">
        <f>DEGREES(ASIN(MAX(-1,MIN(1,2 * (Plank[[#This Row],[quart_W]]*Plank[[#This Row],[quart_Y]] - Plank[[#This Row],[quart_Z]]*Plank[[#This Row],[quart_X]])))))</f>
        <v>0.36465440034713587</v>
      </c>
      <c r="V21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-177.8825155882474</v>
      </c>
      <c r="W21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89.997581492497375</v>
      </c>
      <c r="X213" s="1">
        <f>IF(Plank[[#This Row],[Yaw]]&gt;V212,(360-ABS(Plank[[#This Row],[Yaw]])-ABS(V212)),ABS(Plank[[#This Row],[Yaw]]-V212))</f>
        <v>0.97065612525517508</v>
      </c>
      <c r="Y213" s="1">
        <f>Plank[[#This Row],[Degree change]]+Y212</f>
        <v>147.03300021365945</v>
      </c>
    </row>
    <row r="214" spans="1:25">
      <c r="A214">
        <v>213</v>
      </c>
      <c r="B214" s="1">
        <v>-1889.669922</v>
      </c>
      <c r="C214" s="1">
        <v>1629.9399410000001</v>
      </c>
      <c r="D214" s="1">
        <v>18.639999</v>
      </c>
      <c r="E214" s="1">
        <v>-190.38999899999999</v>
      </c>
      <c r="F214" s="1">
        <v>-2292.0898440000001</v>
      </c>
      <c r="G214" s="1">
        <v>8.1799990000000005</v>
      </c>
      <c r="H214" s="1">
        <v>0</v>
      </c>
      <c r="I214" s="1">
        <v>2.0000000000000001E-4</v>
      </c>
      <c r="J214" s="1">
        <v>2.0329999999999999</v>
      </c>
      <c r="K214" s="1">
        <v>-2.2850000000000001E-3</v>
      </c>
      <c r="L214" s="1">
        <v>-2.215E-3</v>
      </c>
      <c r="M214" s="1">
        <v>0.71414500000000003</v>
      </c>
      <c r="N214" s="1">
        <v>-0.69999100000000003</v>
      </c>
      <c r="O214">
        <v>1</v>
      </c>
      <c r="P214">
        <v>0</v>
      </c>
      <c r="Q214">
        <v>1</v>
      </c>
      <c r="R214">
        <v>1</v>
      </c>
      <c r="S214">
        <v>1</v>
      </c>
      <c r="T214" s="1">
        <f>SQRT(POWER(Plank[[#This Row],[angvel_X]],2) + POWER(Plank[[#This Row],[angvel_Y]],2) + POWER(Plank[[#This Row],[angvel_Z]],2))</f>
        <v>2.0330000098376781</v>
      </c>
      <c r="U214" s="1">
        <f>DEGREES(ASIN(MAX(-1,MIN(1,2 * (Plank[[#This Row],[quart_W]]*Plank[[#This Row],[quart_Y]] - Plank[[#This Row],[quart_Z]]*Plank[[#This Row],[quart_X]])))))</f>
        <v>0.36466733960049796</v>
      </c>
      <c r="V21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-178.85307002562215</v>
      </c>
      <c r="W21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89.997977617410186</v>
      </c>
      <c r="X214" s="1">
        <f>IF(Plank[[#This Row],[Yaw]]&gt;V213,(360-ABS(Plank[[#This Row],[Yaw]])-ABS(V213)),ABS(Plank[[#This Row],[Yaw]]-V213))</f>
        <v>0.97055443737474434</v>
      </c>
      <c r="Y214" s="1">
        <f>Plank[[#This Row],[Degree change]]+Y213</f>
        <v>148.00355465103419</v>
      </c>
    </row>
    <row r="215" spans="1:25">
      <c r="A215">
        <v>214</v>
      </c>
      <c r="B215" s="1">
        <v>-1891.26001</v>
      </c>
      <c r="C215" s="1">
        <v>1610.7700199999999</v>
      </c>
      <c r="D215" s="1">
        <v>18.639999</v>
      </c>
      <c r="E215" s="1">
        <v>-151.53999300000001</v>
      </c>
      <c r="F215" s="1">
        <v>-2294.9799800000001</v>
      </c>
      <c r="G215" s="1">
        <v>8.1799990000000005</v>
      </c>
      <c r="H215" s="1">
        <v>0</v>
      </c>
      <c r="I215" s="1">
        <v>2.0000000000000001E-4</v>
      </c>
      <c r="J215" s="1">
        <v>2.0329999999999999</v>
      </c>
      <c r="K215" s="1">
        <v>-2.2629999999999998E-3</v>
      </c>
      <c r="L215" s="1">
        <v>-2.2360000000000001E-3</v>
      </c>
      <c r="M215" s="1">
        <v>0.70818800000000004</v>
      </c>
      <c r="N215" s="1">
        <v>-0.70601700000000001</v>
      </c>
      <c r="O215">
        <v>1</v>
      </c>
      <c r="P215">
        <v>0</v>
      </c>
      <c r="Q215">
        <v>1</v>
      </c>
      <c r="R215">
        <v>1</v>
      </c>
      <c r="S215">
        <v>1</v>
      </c>
      <c r="T215" s="1">
        <f>SQRT(POWER(Plank[[#This Row],[angvel_X]],2) + POWER(Plank[[#This Row],[angvel_Y]],2) + POWER(Plank[[#This Row],[angvel_Z]],2))</f>
        <v>2.0330000098376781</v>
      </c>
      <c r="U215" s="1">
        <f>DEGREES(ASIN(MAX(-1,MIN(1,2 * (Plank[[#This Row],[quart_W]]*Plank[[#This Row],[quart_Y]] - Plank[[#This Row],[quart_Z]]*Plank[[#This Row],[quart_X]])))))</f>
        <v>0.36455069059456507</v>
      </c>
      <c r="V21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-179.82407033409433</v>
      </c>
      <c r="W21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89.998371838370062</v>
      </c>
      <c r="X215" s="1">
        <f>IF(Plank[[#This Row],[Yaw]]&gt;V214,(360-ABS(Plank[[#This Row],[Yaw]])-ABS(V214)),ABS(Plank[[#This Row],[Yaw]]-V214))</f>
        <v>0.97100030847218477</v>
      </c>
      <c r="Y215" s="1">
        <f>Plank[[#This Row],[Degree change]]+Y214</f>
        <v>148.97455495950638</v>
      </c>
    </row>
    <row r="216" spans="1:25">
      <c r="A216">
        <v>215</v>
      </c>
      <c r="B216" s="1">
        <v>-1892.5198969999999</v>
      </c>
      <c r="C216" s="1">
        <v>1591.579956</v>
      </c>
      <c r="D216" s="1">
        <v>18.639999</v>
      </c>
      <c r="E216" s="1">
        <v>-112.639999</v>
      </c>
      <c r="F216" s="1">
        <v>-2297.219971</v>
      </c>
      <c r="G216" s="1">
        <v>8.1799990000000005</v>
      </c>
      <c r="H216" s="1">
        <v>0</v>
      </c>
      <c r="I216" s="1">
        <v>2.0000000000000001E-4</v>
      </c>
      <c r="J216" s="1">
        <v>2.0329999999999999</v>
      </c>
      <c r="K216" s="1">
        <v>2.2420000000000001E-3</v>
      </c>
      <c r="L216" s="1">
        <v>2.258E-3</v>
      </c>
      <c r="M216" s="1">
        <v>-0.70218100000000006</v>
      </c>
      <c r="N216" s="1">
        <v>0.71199100000000004</v>
      </c>
      <c r="O216">
        <v>1</v>
      </c>
      <c r="P216">
        <v>0</v>
      </c>
      <c r="Q216">
        <v>1</v>
      </c>
      <c r="R216">
        <v>1</v>
      </c>
      <c r="S216">
        <v>1</v>
      </c>
      <c r="T216" s="1">
        <f>SQRT(POWER(Plank[[#This Row],[angvel_X]],2) + POWER(Plank[[#This Row],[angvel_Y]],2) + POWER(Plank[[#This Row],[angvel_Z]],2))</f>
        <v>2.0330000098376781</v>
      </c>
      <c r="U216" s="1">
        <f>DEGREES(ASIN(MAX(-1,MIN(1,2 * (Plank[[#This Row],[quart_W]]*Plank[[#This Row],[quart_Y]] - Plank[[#This Row],[quart_Z]]*Plank[[#This Row],[quart_X]])))))</f>
        <v>0.36462884637033471</v>
      </c>
      <c r="V21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179.20506559447225</v>
      </c>
      <c r="W21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89.998767070240135</v>
      </c>
      <c r="X216" s="1">
        <f>IF(Plank[[#This Row],[Yaw]]&gt;V215,(360-ABS(Plank[[#This Row],[Yaw]])-ABS(V215)),ABS(Plank[[#This Row],[Yaw]]-V215))</f>
        <v>0.97086407143342512</v>
      </c>
      <c r="Y216" s="1">
        <f>Plank[[#This Row],[Degree change]]+Y215</f>
        <v>149.9454190309398</v>
      </c>
    </row>
    <row r="217" spans="1:25">
      <c r="A217">
        <v>216</v>
      </c>
      <c r="B217" s="1">
        <v>-1893.459961</v>
      </c>
      <c r="C217" s="1">
        <v>1572.369995</v>
      </c>
      <c r="D217" s="1">
        <v>18.639999</v>
      </c>
      <c r="E217" s="1">
        <v>-73.709998999999996</v>
      </c>
      <c r="F217" s="1">
        <v>-2298.8000489999999</v>
      </c>
      <c r="G217" s="1">
        <v>8.1799990000000005</v>
      </c>
      <c r="H217" s="1">
        <v>0</v>
      </c>
      <c r="I217" s="1">
        <v>2.0000000000000001E-4</v>
      </c>
      <c r="J217" s="1">
        <v>2.0329999999999999</v>
      </c>
      <c r="K217" s="1">
        <v>2.2200000000000002E-3</v>
      </c>
      <c r="L217" s="1">
        <v>2.2790000000000002E-3</v>
      </c>
      <c r="M217" s="1">
        <v>-0.69612300000000005</v>
      </c>
      <c r="N217" s="1">
        <v>0.71791499999999997</v>
      </c>
      <c r="O217">
        <v>1</v>
      </c>
      <c r="P217">
        <v>0</v>
      </c>
      <c r="Q217">
        <v>1</v>
      </c>
      <c r="R217">
        <v>1</v>
      </c>
      <c r="S217">
        <v>1</v>
      </c>
      <c r="T217" s="1">
        <f>SQRT(POWER(Plank[[#This Row],[angvel_X]],2) + POWER(Plank[[#This Row],[angvel_Y]],2) + POWER(Plank[[#This Row],[angvel_Z]],2))</f>
        <v>2.0330000098376781</v>
      </c>
      <c r="U217" s="1">
        <f>DEGREES(ASIN(MAX(-1,MIN(1,2 * (Plank[[#This Row],[quart_W]]*Plank[[#This Row],[quart_Y]] - Plank[[#This Row],[quart_Z]]*Plank[[#This Row],[quart_X]])))))</f>
        <v>0.36457795121778303</v>
      </c>
      <c r="V21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178.2341054545355</v>
      </c>
      <c r="W21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89.999162664474895</v>
      </c>
      <c r="X217" s="1">
        <f>IF(Plank[[#This Row],[Yaw]]&gt;V216,(360-ABS(Plank[[#This Row],[Yaw]])-ABS(V216)),ABS(Plank[[#This Row],[Yaw]]-V216))</f>
        <v>0.97096013993675001</v>
      </c>
      <c r="Y217" s="1">
        <f>Plank[[#This Row],[Degree change]]+Y216</f>
        <v>150.91637917087655</v>
      </c>
    </row>
    <row r="218" spans="1:25">
      <c r="A218">
        <v>217</v>
      </c>
      <c r="B218" s="1">
        <v>-1894.0699460000001</v>
      </c>
      <c r="C218" s="1">
        <v>1553.1400149999999</v>
      </c>
      <c r="D218" s="1">
        <v>18.639999</v>
      </c>
      <c r="E218" s="1">
        <v>-34.759998000000003</v>
      </c>
      <c r="F218" s="1">
        <v>-2299.719971</v>
      </c>
      <c r="G218" s="1">
        <v>8.1799990000000005</v>
      </c>
      <c r="H218" s="1">
        <v>0</v>
      </c>
      <c r="I218" s="1">
        <v>1E-4</v>
      </c>
      <c r="J218" s="1">
        <v>2.0329999999999999</v>
      </c>
      <c r="K218" s="1">
        <v>2.1979999999999999E-3</v>
      </c>
      <c r="L218" s="1">
        <v>2.3010000000000001E-3</v>
      </c>
      <c r="M218" s="1">
        <v>-0.69001599999999996</v>
      </c>
      <c r="N218" s="1">
        <v>0.72378699999999996</v>
      </c>
      <c r="O218">
        <v>1</v>
      </c>
      <c r="P218">
        <v>0</v>
      </c>
      <c r="Q218">
        <v>1</v>
      </c>
      <c r="R218">
        <v>1</v>
      </c>
      <c r="S218">
        <v>1</v>
      </c>
      <c r="T218" s="1">
        <f>SQRT(POWER(Plank[[#This Row],[angvel_X]],2) + POWER(Plank[[#This Row],[angvel_Y]],2) + POWER(Plank[[#This Row],[angvel_Z]],2))</f>
        <v>2.0330000024594197</v>
      </c>
      <c r="U218" s="1">
        <f>DEGREES(ASIN(MAX(-1,MIN(1,2 * (Plank[[#This Row],[quart_W]]*Plank[[#This Row],[quart_Y]] - Plank[[#This Row],[quart_Z]]*Plank[[#This Row],[quart_X]])))))</f>
        <v>0.36464300730901167</v>
      </c>
      <c r="V21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177.26330233424557</v>
      </c>
      <c r="W21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89.999638225975744</v>
      </c>
      <c r="X218" s="1">
        <f>IF(Plank[[#This Row],[Yaw]]&gt;V217,(360-ABS(Plank[[#This Row],[Yaw]])-ABS(V217)),ABS(Plank[[#This Row],[Yaw]]-V217))</f>
        <v>0.97080312028992921</v>
      </c>
      <c r="Y218" s="1">
        <f>Plank[[#This Row],[Degree change]]+Y217</f>
        <v>151.88718229116648</v>
      </c>
    </row>
    <row r="219" spans="1:25">
      <c r="A219">
        <v>218</v>
      </c>
      <c r="B219" s="1">
        <v>-1894.3599850000001</v>
      </c>
      <c r="C219" s="1">
        <v>1533.9099120000001</v>
      </c>
      <c r="D219" s="1">
        <v>18.639999</v>
      </c>
      <c r="E219" s="1">
        <v>4.1900000000000004</v>
      </c>
      <c r="F219" s="1">
        <v>-2299.9799800000001</v>
      </c>
      <c r="G219" s="1">
        <v>8.1799990000000005</v>
      </c>
      <c r="H219" s="1">
        <v>0</v>
      </c>
      <c r="I219" s="1">
        <v>0</v>
      </c>
      <c r="J219" s="1">
        <v>2.0329999999999999</v>
      </c>
      <c r="K219" s="1">
        <v>2.1770000000000001E-3</v>
      </c>
      <c r="L219" s="1">
        <v>2.3219999999999998E-3</v>
      </c>
      <c r="M219" s="1">
        <v>-0.68386000000000002</v>
      </c>
      <c r="N219" s="1">
        <v>0.72960599999999998</v>
      </c>
      <c r="O219">
        <v>1</v>
      </c>
      <c r="P219">
        <v>0</v>
      </c>
      <c r="Q219">
        <v>1</v>
      </c>
      <c r="R219">
        <v>1</v>
      </c>
      <c r="S219">
        <v>1</v>
      </c>
      <c r="T219" s="1">
        <f>SQRT(POWER(Plank[[#This Row],[angvel_X]],2) + POWER(Plank[[#This Row],[angvel_Y]],2) + POWER(Plank[[#This Row],[angvel_Z]],2))</f>
        <v>2.0329999999999999</v>
      </c>
      <c r="U219" s="1">
        <f>DEGREES(ASIN(MAX(-1,MIN(1,2 * (Plank[[#This Row],[quart_W]]*Plank[[#This Row],[quart_Y]] - Plank[[#This Row],[quart_Z]]*Plank[[#This Row],[quart_X]])))))</f>
        <v>0.36473689373138574</v>
      </c>
      <c r="V21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176.29257920387209</v>
      </c>
      <c r="W21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89.999950800033986</v>
      </c>
      <c r="X219" s="1">
        <f>IF(Plank[[#This Row],[Yaw]]&gt;V218,(360-ABS(Plank[[#This Row],[Yaw]])-ABS(V218)),ABS(Plank[[#This Row],[Yaw]]-V218))</f>
        <v>0.97072313037347158</v>
      </c>
      <c r="Y219" s="1">
        <f>Plank[[#This Row],[Degree change]]+Y218</f>
        <v>152.85790542153995</v>
      </c>
    </row>
    <row r="220" spans="1:25">
      <c r="A220">
        <v>219</v>
      </c>
      <c r="B220" s="1">
        <v>-1894.3199460000001</v>
      </c>
      <c r="C220" s="1">
        <v>1514.669922</v>
      </c>
      <c r="D220" s="1">
        <v>18.639999</v>
      </c>
      <c r="E220" s="1">
        <v>43.149997999999997</v>
      </c>
      <c r="F220" s="1">
        <v>-2299.5798340000001</v>
      </c>
      <c r="G220" s="1">
        <v>8.1799990000000005</v>
      </c>
      <c r="H220" s="1">
        <v>0</v>
      </c>
      <c r="I220" s="1">
        <v>0</v>
      </c>
      <c r="J220" s="1">
        <v>2.0329999999999999</v>
      </c>
      <c r="K220" s="1">
        <v>2.1549999999999998E-3</v>
      </c>
      <c r="L220" s="1">
        <v>2.3389999999999999E-3</v>
      </c>
      <c r="M220" s="1">
        <v>-0.67765600000000004</v>
      </c>
      <c r="N220" s="1">
        <v>0.73537200000000003</v>
      </c>
      <c r="O220">
        <v>1</v>
      </c>
      <c r="P220">
        <v>0</v>
      </c>
      <c r="Q220">
        <v>1</v>
      </c>
      <c r="R220">
        <v>1</v>
      </c>
      <c r="S220">
        <v>1</v>
      </c>
      <c r="T220" s="1">
        <f>SQRT(POWER(Plank[[#This Row],[angvel_X]],2) + POWER(Plank[[#This Row],[angvel_Y]],2) + POWER(Plank[[#This Row],[angvel_Z]],2))</f>
        <v>2.0329999999999999</v>
      </c>
      <c r="U220" s="1">
        <f>DEGREES(ASIN(MAX(-1,MIN(1,2 * (Plank[[#This Row],[quart_W]]*Plank[[#This Row],[quart_Y]] - Plank[[#This Row],[quart_Z]]*Plank[[#This Row],[quart_X]])))))</f>
        <v>0.36444759414961969</v>
      </c>
      <c r="V22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175.32202317141781</v>
      </c>
      <c r="W22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90.000035607067915</v>
      </c>
      <c r="X220" s="1">
        <f>IF(Plank[[#This Row],[Yaw]]&gt;V219,(360-ABS(Plank[[#This Row],[Yaw]])-ABS(V219)),ABS(Plank[[#This Row],[Yaw]]-V219))</f>
        <v>0.97055603245428301</v>
      </c>
      <c r="Y220" s="1">
        <f>Plank[[#This Row],[Degree change]]+Y219</f>
        <v>153.82846145399424</v>
      </c>
    </row>
    <row r="221" spans="1:25">
      <c r="A221">
        <v>220</v>
      </c>
      <c r="B221" s="1">
        <v>-1893.9499510000001</v>
      </c>
      <c r="C221" s="1">
        <v>1495.4399410000001</v>
      </c>
      <c r="D221" s="1">
        <v>18.639999</v>
      </c>
      <c r="E221" s="1">
        <v>82.089995999999999</v>
      </c>
      <c r="F221" s="1">
        <v>-2298.51001</v>
      </c>
      <c r="G221" s="1">
        <v>8.1799990000000005</v>
      </c>
      <c r="H221" s="1">
        <v>0</v>
      </c>
      <c r="I221" s="1">
        <v>0</v>
      </c>
      <c r="J221" s="1">
        <v>2.0329999999999999</v>
      </c>
      <c r="K221" s="1">
        <v>2.134E-3</v>
      </c>
      <c r="L221" s="1">
        <v>2.3549999999999999E-3</v>
      </c>
      <c r="M221" s="1">
        <v>-0.671404</v>
      </c>
      <c r="N221" s="1">
        <v>0.74108499999999999</v>
      </c>
      <c r="O221">
        <v>1</v>
      </c>
      <c r="P221">
        <v>0</v>
      </c>
      <c r="Q221">
        <v>1</v>
      </c>
      <c r="R221">
        <v>1</v>
      </c>
      <c r="S221">
        <v>1</v>
      </c>
      <c r="T221" s="1">
        <f>SQRT(POWER(Plank[[#This Row],[angvel_X]],2) + POWER(Plank[[#This Row],[angvel_Y]],2) + POWER(Plank[[#This Row],[angvel_Z]],2))</f>
        <v>2.0329999999999999</v>
      </c>
      <c r="U221" s="1">
        <f>DEGREES(ASIN(MAX(-1,MIN(1,2 * (Plank[[#This Row],[quart_W]]*Plank[[#This Row],[quart_Y]] - Plank[[#This Row],[quart_Z]]*Plank[[#This Row],[quart_X]])))))</f>
        <v>0.36417801469308769</v>
      </c>
      <c r="V22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174.35156402441578</v>
      </c>
      <c r="W22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89.999963447992073</v>
      </c>
      <c r="X221" s="1">
        <f>IF(Plank[[#This Row],[Yaw]]&gt;V220,(360-ABS(Plank[[#This Row],[Yaw]])-ABS(V220)),ABS(Plank[[#This Row],[Yaw]]-V220))</f>
        <v>0.97045914700203184</v>
      </c>
      <c r="Y221" s="1">
        <f>Plank[[#This Row],[Degree change]]+Y220</f>
        <v>154.79892060099627</v>
      </c>
    </row>
    <row r="222" spans="1:25">
      <c r="A222">
        <v>221</v>
      </c>
      <c r="B222" s="1">
        <v>-1893.26001</v>
      </c>
      <c r="C222" s="1">
        <v>1476.219971</v>
      </c>
      <c r="D222" s="1">
        <v>18.639999</v>
      </c>
      <c r="E222" s="1">
        <v>121.009995</v>
      </c>
      <c r="F222" s="1">
        <v>-2296.790039</v>
      </c>
      <c r="G222" s="1">
        <v>8.1799990000000005</v>
      </c>
      <c r="H222" s="1">
        <v>0</v>
      </c>
      <c r="I222" s="1">
        <v>0</v>
      </c>
      <c r="J222" s="1">
        <v>2.0329999999999999</v>
      </c>
      <c r="K222" s="1">
        <v>2.1120000000000002E-3</v>
      </c>
      <c r="L222" s="1">
        <v>2.3709999999999998E-3</v>
      </c>
      <c r="M222" s="1">
        <v>-0.665103</v>
      </c>
      <c r="N222" s="1">
        <v>0.74674499999999999</v>
      </c>
      <c r="O222">
        <v>1</v>
      </c>
      <c r="P222">
        <v>0</v>
      </c>
      <c r="Q222">
        <v>1</v>
      </c>
      <c r="R222">
        <v>1</v>
      </c>
      <c r="S222">
        <v>1</v>
      </c>
      <c r="T222" s="1">
        <f>SQRT(POWER(Plank[[#This Row],[angvel_X]],2) + POWER(Plank[[#This Row],[angvel_Y]],2) + POWER(Plank[[#This Row],[angvel_Z]],2))</f>
        <v>2.0329999999999999</v>
      </c>
      <c r="U222" s="1">
        <f>DEGREES(ASIN(MAX(-1,MIN(1,2 * (Plank[[#This Row],[quart_W]]*Plank[[#This Row],[quart_Y]] - Plank[[#This Row],[quart_Z]]*Plank[[#This Row],[quart_X]])))))</f>
        <v>0.36385699371256319</v>
      </c>
      <c r="V22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173.38097100975534</v>
      </c>
      <c r="W22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89.999980951404808</v>
      </c>
      <c r="X222" s="1">
        <f>IF(Plank[[#This Row],[Yaw]]&gt;V221,(360-ABS(Plank[[#This Row],[Yaw]])-ABS(V221)),ABS(Plank[[#This Row],[Yaw]]-V221))</f>
        <v>0.97059301466043735</v>
      </c>
      <c r="Y222" s="1">
        <f>Plank[[#This Row],[Degree change]]+Y221</f>
        <v>155.76951361565671</v>
      </c>
    </row>
    <row r="223" spans="1:25">
      <c r="A223">
        <v>222</v>
      </c>
      <c r="B223" s="1">
        <v>-1892.23999</v>
      </c>
      <c r="C223" s="1">
        <v>1457.01001</v>
      </c>
      <c r="D223" s="1">
        <v>18.639999</v>
      </c>
      <c r="E223" s="1">
        <v>159.89999399999999</v>
      </c>
      <c r="F223" s="1">
        <v>-2294.419922</v>
      </c>
      <c r="G223" s="1">
        <v>8.1799990000000005</v>
      </c>
      <c r="H223" s="1">
        <v>0</v>
      </c>
      <c r="I223" s="1">
        <v>0</v>
      </c>
      <c r="J223" s="1">
        <v>2.0329999999999999</v>
      </c>
      <c r="K223" s="1">
        <v>2.0899999999999998E-3</v>
      </c>
      <c r="L223" s="1">
        <v>2.3869999999999998E-3</v>
      </c>
      <c r="M223" s="1">
        <v>-0.65875300000000003</v>
      </c>
      <c r="N223" s="1">
        <v>0.75235300000000005</v>
      </c>
      <c r="O223">
        <v>1</v>
      </c>
      <c r="P223">
        <v>0</v>
      </c>
      <c r="Q223">
        <v>1</v>
      </c>
      <c r="R223">
        <v>1</v>
      </c>
      <c r="S223">
        <v>1</v>
      </c>
      <c r="T223" s="1">
        <f>SQRT(POWER(Plank[[#This Row],[angvel_X]],2) + POWER(Plank[[#This Row],[angvel_Y]],2) + POWER(Plank[[#This Row],[angvel_Z]],2))</f>
        <v>2.0329999999999999</v>
      </c>
      <c r="U223" s="1">
        <f>DEGREES(ASIN(MAX(-1,MIN(1,2 * (Plank[[#This Row],[quart_W]]*Plank[[#This Row],[quart_Y]] - Plank[[#This Row],[quart_Z]]*Plank[[#This Row],[quart_X]])))))</f>
        <v>0.36356253903937713</v>
      </c>
      <c r="V22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172.41018646029909</v>
      </c>
      <c r="W22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90.000002938301307</v>
      </c>
      <c r="X223" s="1">
        <f>IF(Plank[[#This Row],[Yaw]]&gt;V222,(360-ABS(Plank[[#This Row],[Yaw]])-ABS(V222)),ABS(Plank[[#This Row],[Yaw]]-V222))</f>
        <v>0.97078454945625481</v>
      </c>
      <c r="Y223" s="1">
        <f>Plank[[#This Row],[Degree change]]+Y222</f>
        <v>156.74029816511296</v>
      </c>
    </row>
    <row r="224" spans="1:25">
      <c r="A224">
        <v>223</v>
      </c>
      <c r="B224" s="1">
        <v>-1890.8999020000001</v>
      </c>
      <c r="C224" s="1">
        <v>1437.8199460000001</v>
      </c>
      <c r="D224" s="1">
        <v>18.639999</v>
      </c>
      <c r="E224" s="1">
        <v>198.73999000000001</v>
      </c>
      <c r="F224" s="1">
        <v>-2291.3798830000001</v>
      </c>
      <c r="G224" s="1">
        <v>8.1799990000000005</v>
      </c>
      <c r="H224" s="1">
        <v>1E-4</v>
      </c>
      <c r="I224" s="1">
        <v>0</v>
      </c>
      <c r="J224" s="1">
        <v>2.0329999999999999</v>
      </c>
      <c r="K224" s="1">
        <v>2.0690000000000001E-3</v>
      </c>
      <c r="L224" s="1">
        <v>2.4030000000000002E-3</v>
      </c>
      <c r="M224" s="1">
        <v>-0.65235500000000002</v>
      </c>
      <c r="N224" s="1">
        <v>0.757907</v>
      </c>
      <c r="O224">
        <v>1</v>
      </c>
      <c r="P224">
        <v>0</v>
      </c>
      <c r="Q224">
        <v>1</v>
      </c>
      <c r="R224">
        <v>1</v>
      </c>
      <c r="S224">
        <v>1</v>
      </c>
      <c r="T224" s="1">
        <f>SQRT(POWER(Plank[[#This Row],[angvel_X]],2) + POWER(Plank[[#This Row],[angvel_Y]],2) + POWER(Plank[[#This Row],[angvel_Z]],2))</f>
        <v>2.0330000024594197</v>
      </c>
      <c r="U224" s="1">
        <f>DEGREES(ASIN(MAX(-1,MIN(1,2 * (Plank[[#This Row],[quart_W]]*Plank[[#This Row],[quart_Y]] - Plank[[#This Row],[quart_Z]]*Plank[[#This Row],[quart_X]])))))</f>
        <v>0.36336917736274188</v>
      </c>
      <c r="V22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171.43928660502547</v>
      </c>
      <c r="W22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89.999942643708607</v>
      </c>
      <c r="X224" s="1">
        <f>IF(Plank[[#This Row],[Yaw]]&gt;V223,(360-ABS(Plank[[#This Row],[Yaw]])-ABS(V223)),ABS(Plank[[#This Row],[Yaw]]-V223))</f>
        <v>0.97089985527361478</v>
      </c>
      <c r="Y224" s="1">
        <f>Plank[[#This Row],[Degree change]]+Y223</f>
        <v>157.71119802038658</v>
      </c>
    </row>
    <row r="225" spans="1:25">
      <c r="A225">
        <v>224</v>
      </c>
      <c r="B225" s="1">
        <v>-1889.2299800000001</v>
      </c>
      <c r="C225" s="1">
        <v>1418.6599120000001</v>
      </c>
      <c r="D225" s="1">
        <v>18.639999</v>
      </c>
      <c r="E225" s="1">
        <v>237.529999</v>
      </c>
      <c r="F225" s="1">
        <v>-2287.679932</v>
      </c>
      <c r="G225" s="1">
        <v>8.1799990000000005</v>
      </c>
      <c r="H225" s="1">
        <v>1E-4</v>
      </c>
      <c r="I225" s="1">
        <v>0</v>
      </c>
      <c r="J225" s="1">
        <v>2.0329999999999999</v>
      </c>
      <c r="K225" s="1">
        <v>2.0470000000000002E-3</v>
      </c>
      <c r="L225" s="1">
        <v>2.4199999999999998E-3</v>
      </c>
      <c r="M225" s="1">
        <v>-0.64591299999999996</v>
      </c>
      <c r="N225" s="1">
        <v>0.76340399999999997</v>
      </c>
      <c r="O225">
        <v>1</v>
      </c>
      <c r="P225">
        <v>0</v>
      </c>
      <c r="Q225">
        <v>1</v>
      </c>
      <c r="R225">
        <v>1</v>
      </c>
      <c r="S225">
        <v>1</v>
      </c>
      <c r="T225" s="1">
        <f>SQRT(POWER(Plank[[#This Row],[angvel_X]],2) + POWER(Plank[[#This Row],[angvel_Y]],2) + POWER(Plank[[#This Row],[angvel_Z]],2))</f>
        <v>2.0330000024594197</v>
      </c>
      <c r="U225" s="1">
        <f>DEGREES(ASIN(MAX(-1,MIN(1,2 * (Plank[[#This Row],[quart_W]]*Plank[[#This Row],[quart_Y]] - Plank[[#This Row],[quart_Z]]*Plank[[#This Row],[quart_X]])))))</f>
        <v>0.36321431235202378</v>
      </c>
      <c r="V22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170.46880897690454</v>
      </c>
      <c r="W22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90.000048298104019</v>
      </c>
      <c r="X225" s="1">
        <f>IF(Plank[[#This Row],[Yaw]]&gt;V224,(360-ABS(Plank[[#This Row],[Yaw]])-ABS(V224)),ABS(Plank[[#This Row],[Yaw]]-V224))</f>
        <v>0.97047762812093197</v>
      </c>
      <c r="Y225" s="1">
        <f>Plank[[#This Row],[Degree change]]+Y224</f>
        <v>158.68167564850751</v>
      </c>
    </row>
    <row r="226" spans="1:25">
      <c r="A226">
        <v>225</v>
      </c>
      <c r="B226" s="1">
        <v>-1887.23999</v>
      </c>
      <c r="C226" s="1">
        <v>1399.530029</v>
      </c>
      <c r="D226" s="1">
        <v>18.639999</v>
      </c>
      <c r="E226" s="1">
        <v>276.25</v>
      </c>
      <c r="F226" s="1">
        <v>-2283.3298340000001</v>
      </c>
      <c r="G226" s="1">
        <v>8.1799990000000005</v>
      </c>
      <c r="H226" s="1">
        <v>2.0000000000000001E-4</v>
      </c>
      <c r="I226" s="1">
        <v>0</v>
      </c>
      <c r="J226" s="1">
        <v>2.0329999999999999</v>
      </c>
      <c r="K226" s="1">
        <v>2.026E-3</v>
      </c>
      <c r="L226" s="1">
        <v>2.4359999999999998E-3</v>
      </c>
      <c r="M226" s="1">
        <v>-0.63942299999999996</v>
      </c>
      <c r="N226" s="1">
        <v>0.76884799999999998</v>
      </c>
      <c r="O226">
        <v>1</v>
      </c>
      <c r="P226">
        <v>0</v>
      </c>
      <c r="Q226">
        <v>1</v>
      </c>
      <c r="R226">
        <v>1</v>
      </c>
      <c r="S226">
        <v>1</v>
      </c>
      <c r="T226" s="1">
        <f>SQRT(POWER(Plank[[#This Row],[angvel_X]],2) + POWER(Plank[[#This Row],[angvel_Y]],2) + POWER(Plank[[#This Row],[angvel_Z]],2))</f>
        <v>2.0330000098376781</v>
      </c>
      <c r="U226" s="1">
        <f>DEGREES(ASIN(MAX(-1,MIN(1,2 * (Plank[[#This Row],[quart_W]]*Plank[[#This Row],[quart_Y]] - Plank[[#This Row],[quart_Z]]*Plank[[#This Row],[quart_X]])))))</f>
        <v>0.36307257521652692</v>
      </c>
      <c r="V22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169.49808517713694</v>
      </c>
      <c r="W22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89.999994084664948</v>
      </c>
      <c r="X226" s="1">
        <f>IF(Plank[[#This Row],[Yaw]]&gt;V225,(360-ABS(Plank[[#This Row],[Yaw]])-ABS(V225)),ABS(Plank[[#This Row],[Yaw]]-V225))</f>
        <v>0.97072379976759748</v>
      </c>
      <c r="Y226" s="1">
        <f>Plank[[#This Row],[Degree change]]+Y225</f>
        <v>159.6523994482751</v>
      </c>
    </row>
    <row r="227" spans="1:25">
      <c r="A227">
        <v>226</v>
      </c>
      <c r="B227" s="1">
        <v>-1884.929932</v>
      </c>
      <c r="C227" s="1">
        <v>1380.429932</v>
      </c>
      <c r="D227" s="1">
        <v>18.639999</v>
      </c>
      <c r="E227" s="1">
        <v>314.88998400000003</v>
      </c>
      <c r="F227" s="1">
        <v>-2278.320068</v>
      </c>
      <c r="G227" s="1">
        <v>8.1799990000000005</v>
      </c>
      <c r="H227" s="1">
        <v>2.0000000000000001E-4</v>
      </c>
      <c r="I227" s="1">
        <v>0</v>
      </c>
      <c r="J227" s="1">
        <v>2.0329999999999999</v>
      </c>
      <c r="K227" s="1">
        <v>2.0040000000000001E-3</v>
      </c>
      <c r="L227" s="1">
        <v>2.4520000000000002E-3</v>
      </c>
      <c r="M227" s="1">
        <v>-0.63288500000000003</v>
      </c>
      <c r="N227" s="1">
        <v>0.77423900000000001</v>
      </c>
      <c r="O227">
        <v>1</v>
      </c>
      <c r="P227">
        <v>0</v>
      </c>
      <c r="Q227">
        <v>1</v>
      </c>
      <c r="R227">
        <v>1</v>
      </c>
      <c r="S227">
        <v>1</v>
      </c>
      <c r="T227" s="1">
        <f>SQRT(POWER(Plank[[#This Row],[angvel_X]],2) + POWER(Plank[[#This Row],[angvel_Y]],2) + POWER(Plank[[#This Row],[angvel_Z]],2))</f>
        <v>2.0330000098376781</v>
      </c>
      <c r="U227" s="1">
        <f>DEGREES(ASIN(MAX(-1,MIN(1,2 * (Plank[[#This Row],[quart_W]]*Plank[[#This Row],[quart_Y]] - Plank[[#This Row],[quart_Z]]*Plank[[#This Row],[quart_X]])))))</f>
        <v>0.36288359183788255</v>
      </c>
      <c r="V22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168.52705452327564</v>
      </c>
      <c r="W22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90.000029687143069</v>
      </c>
      <c r="X227" s="1">
        <f>IF(Plank[[#This Row],[Yaw]]&gt;V226,(360-ABS(Plank[[#This Row],[Yaw]])-ABS(V226)),ABS(Plank[[#This Row],[Yaw]]-V226))</f>
        <v>0.97103065386130538</v>
      </c>
      <c r="Y227" s="1">
        <f>Plank[[#This Row],[Degree change]]+Y226</f>
        <v>160.62343010213641</v>
      </c>
    </row>
    <row r="228" spans="1:25">
      <c r="A228">
        <v>227</v>
      </c>
      <c r="B228" s="1">
        <v>-1882.2899170000001</v>
      </c>
      <c r="C228" s="1">
        <v>1361.380005</v>
      </c>
      <c r="D228" s="1">
        <v>18.639999</v>
      </c>
      <c r="E228" s="1">
        <v>353.44000199999999</v>
      </c>
      <c r="F228" s="1">
        <v>-2272.6599120000001</v>
      </c>
      <c r="G228" s="1">
        <v>8.1799990000000005</v>
      </c>
      <c r="H228" s="1">
        <v>2.9999999999999997E-4</v>
      </c>
      <c r="I228" s="1">
        <v>0</v>
      </c>
      <c r="J228" s="1">
        <v>2.0329999999999999</v>
      </c>
      <c r="K228" s="1">
        <v>1.983E-3</v>
      </c>
      <c r="L228" s="1">
        <v>2.4680000000000001E-3</v>
      </c>
      <c r="M228" s="1">
        <v>-0.62630300000000005</v>
      </c>
      <c r="N228" s="1">
        <v>0.77957299999999996</v>
      </c>
      <c r="O228">
        <v>1</v>
      </c>
      <c r="P228">
        <v>0</v>
      </c>
      <c r="Q228">
        <v>1</v>
      </c>
      <c r="R228">
        <v>1</v>
      </c>
      <c r="S228">
        <v>1</v>
      </c>
      <c r="T228" s="1">
        <f>SQRT(POWER(Plank[[#This Row],[angvel_X]],2) + POWER(Plank[[#This Row],[angvel_Y]],2) + POWER(Plank[[#This Row],[angvel_Z]],2))</f>
        <v>2.0330000221347762</v>
      </c>
      <c r="U228" s="1">
        <f>DEGREES(ASIN(MAX(-1,MIN(1,2 * (Plank[[#This Row],[quart_W]]*Plank[[#This Row],[quart_Y]] - Plank[[#This Row],[quart_Z]]*Plank[[#This Row],[quart_X]])))))</f>
        <v>0.36279299909140511</v>
      </c>
      <c r="V22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167.55623313387571</v>
      </c>
      <c r="W22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89.999979664747244</v>
      </c>
      <c r="X228" s="1">
        <f>IF(Plank[[#This Row],[Yaw]]&gt;V227,(360-ABS(Plank[[#This Row],[Yaw]])-ABS(V227)),ABS(Plank[[#This Row],[Yaw]]-V227))</f>
        <v>0.97082138939993001</v>
      </c>
      <c r="Y228" s="1">
        <f>Plank[[#This Row],[Degree change]]+Y227</f>
        <v>161.59425149153634</v>
      </c>
    </row>
    <row r="229" spans="1:25">
      <c r="A229">
        <v>228</v>
      </c>
      <c r="B229" s="1">
        <v>-1879.329956</v>
      </c>
      <c r="C229" s="1">
        <v>1342.369995</v>
      </c>
      <c r="D229" s="1">
        <v>18.639999</v>
      </c>
      <c r="E229" s="1">
        <v>391.88998400000003</v>
      </c>
      <c r="F229" s="1">
        <v>-2266.3498540000001</v>
      </c>
      <c r="G229" s="1">
        <v>8.1799990000000005</v>
      </c>
      <c r="H229" s="1">
        <v>2.9999999999999997E-4</v>
      </c>
      <c r="I229" s="1">
        <v>0</v>
      </c>
      <c r="J229" s="1">
        <v>2.0329999999999999</v>
      </c>
      <c r="K229" s="1">
        <v>1.9610000000000001E-3</v>
      </c>
      <c r="L229" s="1">
        <v>2.4840000000000001E-3</v>
      </c>
      <c r="M229" s="1">
        <v>-0.61967799999999995</v>
      </c>
      <c r="N229" s="1">
        <v>0.78484900000000002</v>
      </c>
      <c r="O229">
        <v>1</v>
      </c>
      <c r="P229">
        <v>0</v>
      </c>
      <c r="Q229">
        <v>1</v>
      </c>
      <c r="R229">
        <v>1</v>
      </c>
      <c r="S229">
        <v>1</v>
      </c>
      <c r="T229" s="1">
        <f>SQRT(POWER(Plank[[#This Row],[angvel_X]],2) + POWER(Plank[[#This Row],[angvel_Y]],2) + POWER(Plank[[#This Row],[angvel_Z]],2))</f>
        <v>2.0330000221347762</v>
      </c>
      <c r="U229" s="1">
        <f>DEGREES(ASIN(MAX(-1,MIN(1,2 * (Plank[[#This Row],[quart_W]]*Plank[[#This Row],[quart_Y]] - Plank[[#This Row],[quart_Z]]*Plank[[#This Row],[quart_X]])))))</f>
        <v>0.36265645604355856</v>
      </c>
      <c r="V22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166.58568876499407</v>
      </c>
      <c r="W22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90.000021917564396</v>
      </c>
      <c r="X229" s="1">
        <f>IF(Plank[[#This Row],[Yaw]]&gt;V228,(360-ABS(Plank[[#This Row],[Yaw]])-ABS(V228)),ABS(Plank[[#This Row],[Yaw]]-V228))</f>
        <v>0.97054436888163309</v>
      </c>
      <c r="Y229" s="1">
        <f>Plank[[#This Row],[Degree change]]+Y228</f>
        <v>162.56479586041797</v>
      </c>
    </row>
    <row r="230" spans="1:25">
      <c r="A230">
        <v>229</v>
      </c>
      <c r="B230" s="1">
        <v>-1876.049927</v>
      </c>
      <c r="C230" s="1">
        <v>1323.419922</v>
      </c>
      <c r="D230" s="1">
        <v>18.639999</v>
      </c>
      <c r="E230" s="1">
        <v>430.22998000000001</v>
      </c>
      <c r="F230" s="1">
        <v>-2259.3798830000001</v>
      </c>
      <c r="G230" s="1">
        <v>8.1799990000000005</v>
      </c>
      <c r="H230" s="1">
        <v>2.9999999999999997E-4</v>
      </c>
      <c r="I230" s="1">
        <v>0</v>
      </c>
      <c r="J230" s="1">
        <v>2.0329999999999999</v>
      </c>
      <c r="K230" s="1">
        <v>1.939E-3</v>
      </c>
      <c r="L230" s="1">
        <v>2.5000000000000001E-3</v>
      </c>
      <c r="M230" s="1">
        <v>-0.61301000000000005</v>
      </c>
      <c r="N230" s="1">
        <v>0.79006900000000002</v>
      </c>
      <c r="O230">
        <v>1</v>
      </c>
      <c r="P230">
        <v>0</v>
      </c>
      <c r="Q230">
        <v>1</v>
      </c>
      <c r="R230">
        <v>1</v>
      </c>
      <c r="S230">
        <v>1</v>
      </c>
      <c r="T230" s="1">
        <f>SQRT(POWER(Plank[[#This Row],[angvel_X]],2) + POWER(Plank[[#This Row],[angvel_Y]],2) + POWER(Plank[[#This Row],[angvel_Z]],2))</f>
        <v>2.0330000221347762</v>
      </c>
      <c r="U230" s="1">
        <f>DEGREES(ASIN(MAX(-1,MIN(1,2 * (Plank[[#This Row],[quart_W]]*Plank[[#This Row],[quart_Y]] - Plank[[#This Row],[quart_Z]]*Plank[[#This Row],[quart_X]])))))</f>
        <v>0.36254706658419977</v>
      </c>
      <c r="V23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165.61537891265374</v>
      </c>
      <c r="W23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90.000066602978791</v>
      </c>
      <c r="X230" s="1">
        <f>IF(Plank[[#This Row],[Yaw]]&gt;V229,(360-ABS(Plank[[#This Row],[Yaw]])-ABS(V229)),ABS(Plank[[#This Row],[Yaw]]-V229))</f>
        <v>0.97030985234033551</v>
      </c>
      <c r="Y230" s="1">
        <f>Plank[[#This Row],[Degree change]]+Y229</f>
        <v>163.53510571275831</v>
      </c>
    </row>
    <row r="231" spans="1:25">
      <c r="A231">
        <v>230</v>
      </c>
      <c r="B231" s="1">
        <v>-1872.4499510000001</v>
      </c>
      <c r="C231" s="1">
        <v>1304.530029</v>
      </c>
      <c r="D231" s="1">
        <v>18.639999</v>
      </c>
      <c r="E231" s="1">
        <v>468.44000199999999</v>
      </c>
      <c r="F231" s="1">
        <v>-2251.7700199999999</v>
      </c>
      <c r="G231" s="1">
        <v>8.1799990000000005</v>
      </c>
      <c r="H231" s="1">
        <v>2.9999999999999997E-4</v>
      </c>
      <c r="I231" s="1">
        <v>0</v>
      </c>
      <c r="J231" s="1">
        <v>2.0329999999999999</v>
      </c>
      <c r="K231" s="1">
        <v>1.918E-3</v>
      </c>
      <c r="L231" s="1">
        <v>2.5170000000000001E-3</v>
      </c>
      <c r="M231" s="1">
        <v>-0.606294</v>
      </c>
      <c r="N231" s="1">
        <v>0.795234</v>
      </c>
      <c r="O231">
        <v>1</v>
      </c>
      <c r="P231">
        <v>0</v>
      </c>
      <c r="Q231">
        <v>1</v>
      </c>
      <c r="R231">
        <v>1</v>
      </c>
      <c r="S231">
        <v>1</v>
      </c>
      <c r="T231" s="1">
        <f>SQRT(POWER(Plank[[#This Row],[angvel_X]],2) + POWER(Plank[[#This Row],[angvel_Y]],2) + POWER(Plank[[#This Row],[angvel_Z]],2))</f>
        <v>2.0330000221347762</v>
      </c>
      <c r="U231" s="1">
        <f>DEGREES(ASIN(MAX(-1,MIN(1,2 * (Plank[[#This Row],[quart_W]]*Plank[[#This Row],[quart_Y]] - Plank[[#This Row],[quart_Z]]*Plank[[#This Row],[quart_X]])))))</f>
        <v>0.36262464433122521</v>
      </c>
      <c r="V23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164.64446191184862</v>
      </c>
      <c r="W23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90.00008974830223</v>
      </c>
      <c r="X231" s="1">
        <f>IF(Plank[[#This Row],[Yaw]]&gt;V230,(360-ABS(Plank[[#This Row],[Yaw]])-ABS(V230)),ABS(Plank[[#This Row],[Yaw]]-V230))</f>
        <v>0.970917000805116</v>
      </c>
      <c r="Y231" s="1">
        <f>Plank[[#This Row],[Degree change]]+Y230</f>
        <v>164.50602271356342</v>
      </c>
    </row>
    <row r="232" spans="1:25">
      <c r="A232">
        <v>231</v>
      </c>
      <c r="B232" s="1">
        <v>-1868.5299070000001</v>
      </c>
      <c r="C232" s="1">
        <v>1285.6999510000001</v>
      </c>
      <c r="D232" s="1">
        <v>18.639999</v>
      </c>
      <c r="E232" s="1">
        <v>506.51998900000001</v>
      </c>
      <c r="F232" s="1">
        <v>-2243.51001</v>
      </c>
      <c r="G232" s="1">
        <v>8.1799990000000005</v>
      </c>
      <c r="H232" s="1">
        <v>2.9999999999999997E-4</v>
      </c>
      <c r="I232" s="1">
        <v>0</v>
      </c>
      <c r="J232" s="1">
        <v>2.0329999999999999</v>
      </c>
      <c r="K232" s="1">
        <v>1.8959999999999999E-3</v>
      </c>
      <c r="L232" s="1">
        <v>2.5330000000000001E-3</v>
      </c>
      <c r="M232" s="1">
        <v>-0.59953400000000001</v>
      </c>
      <c r="N232" s="1">
        <v>0.80034300000000003</v>
      </c>
      <c r="O232">
        <v>1</v>
      </c>
      <c r="P232">
        <v>0</v>
      </c>
      <c r="Q232">
        <v>1</v>
      </c>
      <c r="R232">
        <v>1</v>
      </c>
      <c r="S232">
        <v>1</v>
      </c>
      <c r="T232" s="1">
        <f>SQRT(POWER(Plank[[#This Row],[angvel_X]],2) + POWER(Plank[[#This Row],[angvel_Y]],2) + POWER(Plank[[#This Row],[angvel_Z]],2))</f>
        <v>2.0330000221347762</v>
      </c>
      <c r="U232" s="1">
        <f>DEGREES(ASIN(MAX(-1,MIN(1,2 * (Plank[[#This Row],[quart_W]]*Plank[[#This Row],[quart_Y]] - Plank[[#This Row],[quart_Z]]*Plank[[#This Row],[quart_X]])))))</f>
        <v>0.36256842607629181</v>
      </c>
      <c r="V23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163.67348971700346</v>
      </c>
      <c r="W23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90.000133993905209</v>
      </c>
      <c r="X232" s="1">
        <f>IF(Plank[[#This Row],[Yaw]]&gt;V231,(360-ABS(Plank[[#This Row],[Yaw]])-ABS(V231)),ABS(Plank[[#This Row],[Yaw]]-V231))</f>
        <v>0.97097219484516017</v>
      </c>
      <c r="Y232" s="1">
        <f>Plank[[#This Row],[Degree change]]+Y231</f>
        <v>165.47699490840859</v>
      </c>
    </row>
    <row r="233" spans="1:25">
      <c r="A233">
        <v>232</v>
      </c>
      <c r="B233" s="1">
        <v>-1864.2899170000001</v>
      </c>
      <c r="C233" s="1">
        <v>1266.9399410000001</v>
      </c>
      <c r="D233" s="1">
        <v>18.639999</v>
      </c>
      <c r="E233" s="1">
        <v>544.45001200000002</v>
      </c>
      <c r="F233" s="1">
        <v>-2234.6098630000001</v>
      </c>
      <c r="G233" s="1">
        <v>8.1799990000000005</v>
      </c>
      <c r="H233" s="1">
        <v>2.9999999999999997E-4</v>
      </c>
      <c r="I233" s="1">
        <v>0</v>
      </c>
      <c r="J233" s="1">
        <v>2.0329999999999999</v>
      </c>
      <c r="K233" s="1">
        <v>1.8749999999999999E-3</v>
      </c>
      <c r="L233" s="1">
        <v>2.5490000000000001E-3</v>
      </c>
      <c r="M233" s="1">
        <v>-0.59273100000000001</v>
      </c>
      <c r="N233" s="1">
        <v>0.80539400000000005</v>
      </c>
      <c r="O233">
        <v>1</v>
      </c>
      <c r="P233">
        <v>0</v>
      </c>
      <c r="Q233">
        <v>1</v>
      </c>
      <c r="R233">
        <v>1</v>
      </c>
      <c r="S233">
        <v>1</v>
      </c>
      <c r="T233" s="1">
        <f>SQRT(POWER(Plank[[#This Row],[angvel_X]],2) + POWER(Plank[[#This Row],[angvel_Y]],2) + POWER(Plank[[#This Row],[angvel_Z]],2))</f>
        <v>2.0330000221347762</v>
      </c>
      <c r="U233" s="1">
        <f>DEGREES(ASIN(MAX(-1,MIN(1,2 * (Plank[[#This Row],[quart_W]]*Plank[[#This Row],[quart_Y]] - Plank[[#This Row],[quart_Z]]*Plank[[#This Row],[quart_X]])))))</f>
        <v>0.36260677468022617</v>
      </c>
      <c r="V23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162.70251421585704</v>
      </c>
      <c r="W23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90.000086812751292</v>
      </c>
      <c r="X233" s="1">
        <f>IF(Plank[[#This Row],[Yaw]]&gt;V232,(360-ABS(Plank[[#This Row],[Yaw]])-ABS(V232)),ABS(Plank[[#This Row],[Yaw]]-V232))</f>
        <v>0.97097550114642672</v>
      </c>
      <c r="Y233" s="1">
        <f>Plank[[#This Row],[Degree change]]+Y232</f>
        <v>166.44797040955501</v>
      </c>
    </row>
    <row r="234" spans="1:25">
      <c r="A234">
        <v>233</v>
      </c>
      <c r="B234" s="1">
        <v>-1859.7299800000001</v>
      </c>
      <c r="C234" s="1">
        <v>1248.25</v>
      </c>
      <c r="D234" s="1">
        <v>18.639999</v>
      </c>
      <c r="E234" s="1">
        <v>582.22997999999995</v>
      </c>
      <c r="F234" s="1">
        <v>-2225.0600589999999</v>
      </c>
      <c r="G234" s="1">
        <v>8.1799990000000005</v>
      </c>
      <c r="H234" s="1">
        <v>2.9999999999999997E-4</v>
      </c>
      <c r="I234" s="1">
        <v>0</v>
      </c>
      <c r="J234" s="1">
        <v>2.0329999999999999</v>
      </c>
      <c r="K234" s="1">
        <v>1.853E-3</v>
      </c>
      <c r="L234" s="1">
        <v>2.565E-3</v>
      </c>
      <c r="M234" s="1">
        <v>-0.58588499999999999</v>
      </c>
      <c r="N234" s="1">
        <v>0.810388</v>
      </c>
      <c r="O234">
        <v>1</v>
      </c>
      <c r="P234">
        <v>0</v>
      </c>
      <c r="Q234">
        <v>1</v>
      </c>
      <c r="R234">
        <v>1</v>
      </c>
      <c r="S234">
        <v>1</v>
      </c>
      <c r="T234" s="1">
        <f>SQRT(POWER(Plank[[#This Row],[angvel_X]],2) + POWER(Plank[[#This Row],[angvel_Y]],2) + POWER(Plank[[#This Row],[angvel_Z]],2))</f>
        <v>2.0330000221347762</v>
      </c>
      <c r="U234" s="1">
        <f>DEGREES(ASIN(MAX(-1,MIN(1,2 * (Plank[[#This Row],[quart_W]]*Plank[[#This Row],[quart_Y]] - Plank[[#This Row],[quart_Z]]*Plank[[#This Row],[quart_X]])))))</f>
        <v>0.36260335909581798</v>
      </c>
      <c r="V23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161.7314862868831</v>
      </c>
      <c r="W23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90.000131331546726</v>
      </c>
      <c r="X234" s="1">
        <f>IF(Plank[[#This Row],[Yaw]]&gt;V233,(360-ABS(Plank[[#This Row],[Yaw]])-ABS(V233)),ABS(Plank[[#This Row],[Yaw]]-V233))</f>
        <v>0.97102792897393897</v>
      </c>
      <c r="Y234" s="1">
        <f>Plank[[#This Row],[Degree change]]+Y233</f>
        <v>167.41899833852895</v>
      </c>
    </row>
    <row r="235" spans="1:25">
      <c r="A235">
        <v>234</v>
      </c>
      <c r="B235" s="1">
        <v>-1854.8599850000001</v>
      </c>
      <c r="C235" s="1">
        <v>1229.6400149999999</v>
      </c>
      <c r="D235" s="1">
        <v>18.639999</v>
      </c>
      <c r="E235" s="1">
        <v>619.84997599999997</v>
      </c>
      <c r="F235" s="1">
        <v>-2214.8798830000001</v>
      </c>
      <c r="G235" s="1">
        <v>8.1799990000000005</v>
      </c>
      <c r="H235" s="1">
        <v>2.9999999999999997E-4</v>
      </c>
      <c r="I235" s="1">
        <v>0</v>
      </c>
      <c r="J235" s="1">
        <v>2.0329999999999999</v>
      </c>
      <c r="K235" s="1">
        <v>1.8320000000000001E-3</v>
      </c>
      <c r="L235" s="1">
        <v>2.581E-3</v>
      </c>
      <c r="M235" s="1">
        <v>-0.57900099999999999</v>
      </c>
      <c r="N235" s="1">
        <v>0.81532000000000004</v>
      </c>
      <c r="O235">
        <v>1</v>
      </c>
      <c r="P235">
        <v>0</v>
      </c>
      <c r="Q235">
        <v>1</v>
      </c>
      <c r="R235">
        <v>1</v>
      </c>
      <c r="S235">
        <v>1</v>
      </c>
      <c r="T235" s="1">
        <f>SQRT(POWER(Plank[[#This Row],[angvel_X]],2) + POWER(Plank[[#This Row],[angvel_Y]],2) + POWER(Plank[[#This Row],[angvel_Z]],2))</f>
        <v>2.0330000221347762</v>
      </c>
      <c r="U235" s="1">
        <f>DEGREES(ASIN(MAX(-1,MIN(1,2 * (Plank[[#This Row],[quart_W]]*Plank[[#This Row],[quart_Y]] - Plank[[#This Row],[quart_Z]]*Plank[[#This Row],[quart_X]])))))</f>
        <v>0.36269281415260479</v>
      </c>
      <c r="V23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160.76101070975457</v>
      </c>
      <c r="W23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90.000084265559906</v>
      </c>
      <c r="X235" s="1">
        <f>IF(Plank[[#This Row],[Yaw]]&gt;V234,(360-ABS(Plank[[#This Row],[Yaw]])-ABS(V234)),ABS(Plank[[#This Row],[Yaw]]-V234))</f>
        <v>0.97047557712852495</v>
      </c>
      <c r="Y235" s="1">
        <f>Plank[[#This Row],[Degree change]]+Y234</f>
        <v>168.38947391565748</v>
      </c>
    </row>
    <row r="236" spans="1:25">
      <c r="A236">
        <v>235</v>
      </c>
      <c r="B236" s="1">
        <v>-1849.669922</v>
      </c>
      <c r="C236" s="1">
        <v>1211.119995</v>
      </c>
      <c r="D236" s="1">
        <v>18.639999</v>
      </c>
      <c r="E236" s="1">
        <v>657.27996800000005</v>
      </c>
      <c r="F236" s="1">
        <v>-2204.0600589999999</v>
      </c>
      <c r="G236" s="1">
        <v>8.1799990000000005</v>
      </c>
      <c r="H236" s="1">
        <v>2.9999999999999997E-4</v>
      </c>
      <c r="I236" s="1">
        <v>0</v>
      </c>
      <c r="J236" s="1">
        <v>2.0329999999999999</v>
      </c>
      <c r="K236" s="1">
        <v>1.81E-3</v>
      </c>
      <c r="L236" s="1">
        <v>2.598E-3</v>
      </c>
      <c r="M236" s="1">
        <v>-0.57207399999999997</v>
      </c>
      <c r="N236" s="1">
        <v>0.82019600000000004</v>
      </c>
      <c r="O236">
        <v>1</v>
      </c>
      <c r="P236">
        <v>0</v>
      </c>
      <c r="Q236">
        <v>1</v>
      </c>
      <c r="R236">
        <v>1</v>
      </c>
      <c r="S236">
        <v>1</v>
      </c>
      <c r="T236" s="1">
        <f>SQRT(POWER(Plank[[#This Row],[angvel_X]],2) + POWER(Plank[[#This Row],[angvel_Y]],2) + POWER(Plank[[#This Row],[angvel_Z]],2))</f>
        <v>2.0330000221347762</v>
      </c>
      <c r="U236" s="1">
        <f>DEGREES(ASIN(MAX(-1,MIN(1,2 * (Plank[[#This Row],[quart_W]]*Plank[[#This Row],[quart_Y]] - Plank[[#This Row],[quart_Z]]*Plank[[#This Row],[quart_X]])))))</f>
        <v>0.3628363310393401</v>
      </c>
      <c r="V23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159.79036171214062</v>
      </c>
      <c r="W23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90.00019406377973</v>
      </c>
      <c r="X236" s="1">
        <f>IF(Plank[[#This Row],[Yaw]]&gt;V235,(360-ABS(Plank[[#This Row],[Yaw]])-ABS(V235)),ABS(Plank[[#This Row],[Yaw]]-V235))</f>
        <v>0.9706489976139494</v>
      </c>
      <c r="Y236" s="1">
        <f>Plank[[#This Row],[Degree change]]+Y235</f>
        <v>169.36012291327143</v>
      </c>
    </row>
    <row r="237" spans="1:25">
      <c r="A237">
        <v>236</v>
      </c>
      <c r="B237" s="1">
        <v>-1844.169922</v>
      </c>
      <c r="C237" s="1">
        <v>1192.6899410000001</v>
      </c>
      <c r="D237" s="1">
        <v>18.639999</v>
      </c>
      <c r="E237" s="1">
        <v>694.52996800000005</v>
      </c>
      <c r="F237" s="1">
        <v>-2192.6098630000001</v>
      </c>
      <c r="G237" s="1">
        <v>8.1799990000000005</v>
      </c>
      <c r="H237" s="1">
        <v>2.9999999999999997E-4</v>
      </c>
      <c r="I237" s="1">
        <v>0</v>
      </c>
      <c r="J237" s="1">
        <v>2.0329999999999999</v>
      </c>
      <c r="K237" s="1">
        <v>1.7880000000000001E-3</v>
      </c>
      <c r="L237" s="1">
        <v>2.614E-3</v>
      </c>
      <c r="M237" s="1">
        <v>-0.56510400000000005</v>
      </c>
      <c r="N237" s="1">
        <v>0.825013</v>
      </c>
      <c r="O237">
        <v>1</v>
      </c>
      <c r="P237">
        <v>0</v>
      </c>
      <c r="Q237">
        <v>1</v>
      </c>
      <c r="R237">
        <v>1</v>
      </c>
      <c r="S237">
        <v>1</v>
      </c>
      <c r="T237" s="1">
        <f>SQRT(POWER(Plank[[#This Row],[angvel_X]],2) + POWER(Plank[[#This Row],[angvel_Y]],2) + POWER(Plank[[#This Row],[angvel_Z]],2))</f>
        <v>2.0330000221347762</v>
      </c>
      <c r="U237" s="1">
        <f>DEGREES(ASIN(MAX(-1,MIN(1,2 * (Plank[[#This Row],[quart_W]]*Plank[[#This Row],[quart_Y]] - Plank[[#This Row],[quart_Z]]*Plank[[#This Row],[quart_X]])))))</f>
        <v>0.36291274061905909</v>
      </c>
      <c r="V23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158.81940748442119</v>
      </c>
      <c r="W23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90.000235904290719</v>
      </c>
      <c r="X237" s="1">
        <f>IF(Plank[[#This Row],[Yaw]]&gt;V236,(360-ABS(Plank[[#This Row],[Yaw]])-ABS(V236)),ABS(Plank[[#This Row],[Yaw]]-V236))</f>
        <v>0.97095422771943163</v>
      </c>
      <c r="Y237" s="1">
        <f>Plank[[#This Row],[Degree change]]+Y236</f>
        <v>170.33107714099086</v>
      </c>
    </row>
    <row r="238" spans="1:25">
      <c r="A238">
        <v>237</v>
      </c>
      <c r="B238" s="1">
        <v>-1838.3599850000001</v>
      </c>
      <c r="C238" s="1">
        <v>1174.349976</v>
      </c>
      <c r="D238" s="1">
        <v>18.639999</v>
      </c>
      <c r="E238" s="1">
        <v>731.57995600000004</v>
      </c>
      <c r="F238" s="1">
        <v>-2180.530029</v>
      </c>
      <c r="G238" s="1">
        <v>8.1799990000000005</v>
      </c>
      <c r="H238" s="1">
        <v>2.9999999999999997E-4</v>
      </c>
      <c r="I238" s="1">
        <v>0</v>
      </c>
      <c r="J238" s="1">
        <v>2.0329999999999999</v>
      </c>
      <c r="K238" s="1">
        <v>1.7669999999999999E-3</v>
      </c>
      <c r="L238" s="1">
        <v>2.63E-3</v>
      </c>
      <c r="M238" s="1">
        <v>-0.55809600000000004</v>
      </c>
      <c r="N238" s="1">
        <v>0.82977000000000001</v>
      </c>
      <c r="O238">
        <v>1</v>
      </c>
      <c r="P238">
        <v>0</v>
      </c>
      <c r="Q238">
        <v>1</v>
      </c>
      <c r="R238">
        <v>1</v>
      </c>
      <c r="S238">
        <v>1</v>
      </c>
      <c r="T238" s="1">
        <f>SQRT(POWER(Plank[[#This Row],[angvel_X]],2) + POWER(Plank[[#This Row],[angvel_Y]],2) + POWER(Plank[[#This Row],[angvel_Z]],2))</f>
        <v>2.0330000221347762</v>
      </c>
      <c r="U238" s="1">
        <f>DEGREES(ASIN(MAX(-1,MIN(1,2 * (Plank[[#This Row],[quart_W]]*Plank[[#This Row],[quart_Y]] - Plank[[#This Row],[quart_Z]]*Plank[[#This Row],[quart_X]])))))</f>
        <v>0.36308013909883924</v>
      </c>
      <c r="V23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157.84883020259684</v>
      </c>
      <c r="W23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90.000182077038033</v>
      </c>
      <c r="X238" s="1">
        <f>IF(Plank[[#This Row],[Yaw]]&gt;V237,(360-ABS(Plank[[#This Row],[Yaw]])-ABS(V237)),ABS(Plank[[#This Row],[Yaw]]-V237))</f>
        <v>0.97057728182434744</v>
      </c>
      <c r="Y238" s="1">
        <f>Plank[[#This Row],[Degree change]]+Y237</f>
        <v>171.3016544228152</v>
      </c>
    </row>
    <row r="239" spans="1:25">
      <c r="A239">
        <v>238</v>
      </c>
      <c r="B239" s="1">
        <v>-1832.23999</v>
      </c>
      <c r="C239" s="1">
        <v>1156.119995</v>
      </c>
      <c r="D239" s="1">
        <v>18.639999</v>
      </c>
      <c r="E239" s="1">
        <v>768.40997300000004</v>
      </c>
      <c r="F239" s="1">
        <v>-2167.820068</v>
      </c>
      <c r="G239" s="1">
        <v>8.1799990000000005</v>
      </c>
      <c r="H239" s="1">
        <v>2.9999999999999997E-4</v>
      </c>
      <c r="I239" s="1">
        <v>0</v>
      </c>
      <c r="J239" s="1">
        <v>2.0329999999999999</v>
      </c>
      <c r="K239" s="1">
        <v>1.745E-3</v>
      </c>
      <c r="L239" s="1">
        <v>2.6459999999999999E-3</v>
      </c>
      <c r="M239" s="1">
        <v>-0.55104500000000001</v>
      </c>
      <c r="N239" s="1">
        <v>0.83446900000000002</v>
      </c>
      <c r="O239">
        <v>1</v>
      </c>
      <c r="P239">
        <v>0</v>
      </c>
      <c r="Q239">
        <v>1</v>
      </c>
      <c r="R239">
        <v>1</v>
      </c>
      <c r="S239">
        <v>1</v>
      </c>
      <c r="T239" s="1">
        <f>SQRT(POWER(Plank[[#This Row],[angvel_X]],2) + POWER(Plank[[#This Row],[angvel_Y]],2) + POWER(Plank[[#This Row],[angvel_Z]],2))</f>
        <v>2.0330000221347762</v>
      </c>
      <c r="U239" s="1">
        <f>DEGREES(ASIN(MAX(-1,MIN(1,2 * (Plank[[#This Row],[quart_W]]*Plank[[#This Row],[quart_Y]] - Plank[[#This Row],[quart_Z]]*Plank[[#This Row],[quart_X]])))))</f>
        <v>0.36320937427334171</v>
      </c>
      <c r="V23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156.87783599867853</v>
      </c>
      <c r="W23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90.000219638043589</v>
      </c>
      <c r="X239" s="1">
        <f>IF(Plank[[#This Row],[Yaw]]&gt;V238,(360-ABS(Plank[[#This Row],[Yaw]])-ABS(V238)),ABS(Plank[[#This Row],[Yaw]]-V238))</f>
        <v>0.97099420391830904</v>
      </c>
      <c r="Y239" s="1">
        <f>Plank[[#This Row],[Degree change]]+Y238</f>
        <v>172.27264862673351</v>
      </c>
    </row>
    <row r="240" spans="1:25">
      <c r="A240">
        <v>239</v>
      </c>
      <c r="B240" s="1">
        <v>-1825.809937</v>
      </c>
      <c r="C240" s="1">
        <v>1137.98999</v>
      </c>
      <c r="D240" s="1">
        <v>18.639999</v>
      </c>
      <c r="E240" s="1">
        <v>805.02996800000005</v>
      </c>
      <c r="F240" s="1">
        <v>-2154.48999</v>
      </c>
      <c r="G240" s="1">
        <v>8.1799990000000005</v>
      </c>
      <c r="H240" s="1">
        <v>2.9999999999999997E-4</v>
      </c>
      <c r="I240" s="1">
        <v>0</v>
      </c>
      <c r="J240" s="1">
        <v>2.0329999999999999</v>
      </c>
      <c r="K240" s="1">
        <v>1.7240000000000001E-3</v>
      </c>
      <c r="L240" s="1">
        <v>2.6619999999999999E-3</v>
      </c>
      <c r="M240" s="1">
        <v>-0.54395700000000002</v>
      </c>
      <c r="N240" s="1">
        <v>0.83910700000000005</v>
      </c>
      <c r="O240">
        <v>1</v>
      </c>
      <c r="P240">
        <v>0</v>
      </c>
      <c r="Q240">
        <v>1</v>
      </c>
      <c r="R240">
        <v>1</v>
      </c>
      <c r="S240">
        <v>1</v>
      </c>
      <c r="T240" s="1">
        <f>SQRT(POWER(Plank[[#This Row],[angvel_X]],2) + POWER(Plank[[#This Row],[angvel_Y]],2) + POWER(Plank[[#This Row],[angvel_Z]],2))</f>
        <v>2.0330000221347762</v>
      </c>
      <c r="U240" s="1">
        <f>DEGREES(ASIN(MAX(-1,MIN(1,2 * (Plank[[#This Row],[quart_W]]*Plank[[#This Row],[quart_Y]] - Plank[[#This Row],[quart_Z]]*Plank[[#This Row],[quart_X]])))))</f>
        <v>0.36342781343859559</v>
      </c>
      <c r="V24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155.90720646719748</v>
      </c>
      <c r="W24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90.00015963681615</v>
      </c>
      <c r="X240" s="1">
        <f>IF(Plank[[#This Row],[Yaw]]&gt;V239,(360-ABS(Plank[[#This Row],[Yaw]])-ABS(V239)),ABS(Plank[[#This Row],[Yaw]]-V239))</f>
        <v>0.9706295314810518</v>
      </c>
      <c r="Y240" s="1">
        <f>Plank[[#This Row],[Degree change]]+Y239</f>
        <v>173.24327815821457</v>
      </c>
    </row>
    <row r="241" spans="1:25">
      <c r="A241">
        <v>240</v>
      </c>
      <c r="B241" s="1">
        <v>-1819.0699460000001</v>
      </c>
      <c r="C241" s="1">
        <v>1119.969971</v>
      </c>
      <c r="D241" s="1">
        <v>18.639999</v>
      </c>
      <c r="E241" s="1">
        <v>841.419983</v>
      </c>
      <c r="F241" s="1">
        <v>-2140.540039</v>
      </c>
      <c r="G241" s="1">
        <v>8.1799990000000005</v>
      </c>
      <c r="H241" s="1">
        <v>2.9999999999999997E-4</v>
      </c>
      <c r="I241" s="1">
        <v>0</v>
      </c>
      <c r="J241" s="1">
        <v>2.0329999999999999</v>
      </c>
      <c r="K241" s="1">
        <v>1.702E-3</v>
      </c>
      <c r="L241" s="1">
        <v>2.679E-3</v>
      </c>
      <c r="M241" s="1">
        <v>-0.53683000000000003</v>
      </c>
      <c r="N241" s="1">
        <v>0.84368399999999999</v>
      </c>
      <c r="O241">
        <v>1</v>
      </c>
      <c r="P241">
        <v>0</v>
      </c>
      <c r="Q241">
        <v>1</v>
      </c>
      <c r="R241">
        <v>1</v>
      </c>
      <c r="S241">
        <v>1</v>
      </c>
      <c r="T241" s="1">
        <f>SQRT(POWER(Plank[[#This Row],[angvel_X]],2) + POWER(Plank[[#This Row],[angvel_Y]],2) + POWER(Plank[[#This Row],[angvel_Z]],2))</f>
        <v>2.0330000221347762</v>
      </c>
      <c r="U241" s="1">
        <f>DEGREES(ASIN(MAX(-1,MIN(1,2 * (Plank[[#This Row],[quart_W]]*Plank[[#This Row],[quart_Y]] - Plank[[#This Row],[quart_Z]]*Plank[[#This Row],[quart_X]])))))</f>
        <v>0.36370620708923401</v>
      </c>
      <c r="V24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154.93656158156494</v>
      </c>
      <c r="W24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90.000254100671711</v>
      </c>
      <c r="X241" s="1">
        <f>IF(Plank[[#This Row],[Yaw]]&gt;V240,(360-ABS(Plank[[#This Row],[Yaw]])-ABS(V240)),ABS(Plank[[#This Row],[Yaw]]-V240))</f>
        <v>0.97064488563253803</v>
      </c>
      <c r="Y241" s="1">
        <f>Plank[[#This Row],[Degree change]]+Y240</f>
        <v>174.2139230438471</v>
      </c>
    </row>
    <row r="242" spans="1:25">
      <c r="A242">
        <v>241</v>
      </c>
      <c r="B242" s="1">
        <v>-1812.0299070000001</v>
      </c>
      <c r="C242" s="1">
        <v>1102.0699460000001</v>
      </c>
      <c r="D242" s="1">
        <v>18.639999</v>
      </c>
      <c r="E242" s="1">
        <v>877.55999799999995</v>
      </c>
      <c r="F242" s="1">
        <v>-2125.9799800000001</v>
      </c>
      <c r="G242" s="1">
        <v>8.1799990000000005</v>
      </c>
      <c r="H242" s="1">
        <v>2.9999999999999997E-4</v>
      </c>
      <c r="I242" s="1">
        <v>0</v>
      </c>
      <c r="J242" s="1">
        <v>2.0329999999999999</v>
      </c>
      <c r="K242" s="1">
        <v>1.6800000000000001E-3</v>
      </c>
      <c r="L242" s="1">
        <v>2.6949999999999999E-3</v>
      </c>
      <c r="M242" s="1">
        <v>-0.52966599999999997</v>
      </c>
      <c r="N242" s="1">
        <v>0.84819999999999995</v>
      </c>
      <c r="O242">
        <v>1</v>
      </c>
      <c r="P242">
        <v>0</v>
      </c>
      <c r="Q242">
        <v>1</v>
      </c>
      <c r="R242">
        <v>1</v>
      </c>
      <c r="S242">
        <v>1</v>
      </c>
      <c r="T242" s="1">
        <f>SQRT(POWER(Plank[[#This Row],[angvel_X]],2) + POWER(Plank[[#This Row],[angvel_Y]],2) + POWER(Plank[[#This Row],[angvel_Z]],2))</f>
        <v>2.0330000221347762</v>
      </c>
      <c r="U242" s="1">
        <f>DEGREES(ASIN(MAX(-1,MIN(1,2 * (Plank[[#This Row],[quart_W]]*Plank[[#This Row],[quart_Y]] - Plank[[#This Row],[quart_Z]]*Plank[[#This Row],[quart_X]])))))</f>
        <v>0.3639152015542913</v>
      </c>
      <c r="V24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153.96613341905592</v>
      </c>
      <c r="W24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90.000283490338362</v>
      </c>
      <c r="X242" s="1">
        <f>IF(Plank[[#This Row],[Yaw]]&gt;V241,(360-ABS(Plank[[#This Row],[Yaw]])-ABS(V241)),ABS(Plank[[#This Row],[Yaw]]-V241))</f>
        <v>0.9704281625090232</v>
      </c>
      <c r="Y242" s="1">
        <f>Plank[[#This Row],[Degree change]]+Y241</f>
        <v>175.18435120635613</v>
      </c>
    </row>
    <row r="243" spans="1:25">
      <c r="A243">
        <v>242</v>
      </c>
      <c r="B243" s="1">
        <v>-1804.6899410000001</v>
      </c>
      <c r="C243" s="1">
        <v>1084.2899170000001</v>
      </c>
      <c r="D243" s="1">
        <v>18.639999</v>
      </c>
      <c r="E243" s="1">
        <v>913.44995100000006</v>
      </c>
      <c r="F243" s="1">
        <v>-2110.8100589999999</v>
      </c>
      <c r="G243" s="1">
        <v>8.1799990000000005</v>
      </c>
      <c r="H243" s="1">
        <v>2.0000000000000001E-4</v>
      </c>
      <c r="I243" s="1">
        <v>0</v>
      </c>
      <c r="J243" s="1">
        <v>2.0329999999999999</v>
      </c>
      <c r="K243" s="1">
        <v>1.6590000000000001E-3</v>
      </c>
      <c r="L243" s="1">
        <v>2.7109999999999999E-3</v>
      </c>
      <c r="M243" s="1">
        <v>-0.52246400000000004</v>
      </c>
      <c r="N243" s="1">
        <v>0.85265599999999997</v>
      </c>
      <c r="O243">
        <v>1</v>
      </c>
      <c r="P243">
        <v>0</v>
      </c>
      <c r="Q243">
        <v>1</v>
      </c>
      <c r="R243">
        <v>1</v>
      </c>
      <c r="S243">
        <v>1</v>
      </c>
      <c r="T243" s="1">
        <f>SQRT(POWER(Plank[[#This Row],[angvel_X]],2) + POWER(Plank[[#This Row],[angvel_Y]],2) + POWER(Plank[[#This Row],[angvel_Z]],2))</f>
        <v>2.0330000098376781</v>
      </c>
      <c r="U243" s="1">
        <f>DEGREES(ASIN(MAX(-1,MIN(1,2 * (Plank[[#This Row],[quart_W]]*Plank[[#This Row],[quart_Y]] - Plank[[#This Row],[quart_Z]]*Plank[[#This Row],[quart_X]])))))</f>
        <v>0.36421088949826264</v>
      </c>
      <c r="V24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152.99572575973119</v>
      </c>
      <c r="W24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90.000211265266543</v>
      </c>
      <c r="X243" s="1">
        <f>IF(Plank[[#This Row],[Yaw]]&gt;V242,(360-ABS(Plank[[#This Row],[Yaw]])-ABS(V242)),ABS(Plank[[#This Row],[Yaw]]-V242))</f>
        <v>0.97040765932473505</v>
      </c>
      <c r="Y243" s="1">
        <f>Plank[[#This Row],[Degree change]]+Y242</f>
        <v>176.15475886568086</v>
      </c>
    </row>
    <row r="244" spans="1:25">
      <c r="A244">
        <v>243</v>
      </c>
      <c r="B244" s="1">
        <v>-1797.049927</v>
      </c>
      <c r="C244" s="1">
        <v>1066.6400149999999</v>
      </c>
      <c r="D244" s="1">
        <v>18.639999</v>
      </c>
      <c r="E244" s="1">
        <v>949.07995600000004</v>
      </c>
      <c r="F244" s="1">
        <v>-2095.030029</v>
      </c>
      <c r="G244" s="1">
        <v>8.1799990000000005</v>
      </c>
      <c r="H244" s="1">
        <v>1E-4</v>
      </c>
      <c r="I244" s="1">
        <v>0</v>
      </c>
      <c r="J244" s="1">
        <v>2.0329999999999999</v>
      </c>
      <c r="K244" s="1">
        <v>1.637E-3</v>
      </c>
      <c r="L244" s="1">
        <v>2.7269999999999998E-3</v>
      </c>
      <c r="M244" s="1">
        <v>-0.51522400000000002</v>
      </c>
      <c r="N244" s="1">
        <v>0.85704999999999998</v>
      </c>
      <c r="O244">
        <v>1</v>
      </c>
      <c r="P244">
        <v>0</v>
      </c>
      <c r="Q244">
        <v>1</v>
      </c>
      <c r="R244">
        <v>1</v>
      </c>
      <c r="S244">
        <v>1</v>
      </c>
      <c r="T244" s="1">
        <f>SQRT(POWER(Plank[[#This Row],[angvel_X]],2) + POWER(Plank[[#This Row],[angvel_Y]],2) + POWER(Plank[[#This Row],[angvel_Z]],2))</f>
        <v>2.0330000024594197</v>
      </c>
      <c r="U244" s="1">
        <f>DEGREES(ASIN(MAX(-1,MIN(1,2 * (Plank[[#This Row],[quart_W]]*Plank[[#This Row],[quart_Y]] - Plank[[#This Row],[quart_Z]]*Plank[[#This Row],[quart_X]])))))</f>
        <v>0.36447203129397582</v>
      </c>
      <c r="V24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152.02521596508959</v>
      </c>
      <c r="W24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90.000232052372866</v>
      </c>
      <c r="X244" s="1">
        <f>IF(Plank[[#This Row],[Yaw]]&gt;V243,(360-ABS(Plank[[#This Row],[Yaw]])-ABS(V243)),ABS(Plank[[#This Row],[Yaw]]-V243))</f>
        <v>0.97050979464160037</v>
      </c>
      <c r="Y244" s="1">
        <f>Plank[[#This Row],[Degree change]]+Y243</f>
        <v>177.12526866032246</v>
      </c>
    </row>
    <row r="245" spans="1:25">
      <c r="A245">
        <v>244</v>
      </c>
      <c r="B245" s="1">
        <v>-1789.1099850000001</v>
      </c>
      <c r="C245" s="1">
        <v>1049.119995</v>
      </c>
      <c r="D245" s="1">
        <v>18.639999</v>
      </c>
      <c r="E245" s="1">
        <v>984.42999299999997</v>
      </c>
      <c r="F245" s="1">
        <v>-2078.6499020000001</v>
      </c>
      <c r="G245" s="1">
        <v>8.1799990000000005</v>
      </c>
      <c r="H245" s="1">
        <v>1E-4</v>
      </c>
      <c r="I245" s="1">
        <v>0</v>
      </c>
      <c r="J245" s="1">
        <v>2.0329999999999999</v>
      </c>
      <c r="K245" s="1">
        <v>1.616E-3</v>
      </c>
      <c r="L245" s="1">
        <v>2.7430000000000002E-3</v>
      </c>
      <c r="M245" s="1">
        <v>-0.50794600000000001</v>
      </c>
      <c r="N245" s="1">
        <v>0.86138300000000001</v>
      </c>
      <c r="O245">
        <v>1</v>
      </c>
      <c r="P245">
        <v>0</v>
      </c>
      <c r="Q245">
        <v>1</v>
      </c>
      <c r="R245">
        <v>1</v>
      </c>
      <c r="S245">
        <v>1</v>
      </c>
      <c r="T245" s="1">
        <f>SQRT(POWER(Plank[[#This Row],[angvel_X]],2) + POWER(Plank[[#This Row],[angvel_Y]],2) + POWER(Plank[[#This Row],[angvel_Z]],2))</f>
        <v>2.0330000024594197</v>
      </c>
      <c r="U245" s="1">
        <f>DEGREES(ASIN(MAX(-1,MIN(1,2 * (Plank[[#This Row],[quart_W]]*Plank[[#This Row],[quart_Y]] - Plank[[#This Row],[quart_Z]]*Plank[[#This Row],[quart_X]])))))</f>
        <v>0.36481779162577305</v>
      </c>
      <c r="V24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151.05456291647835</v>
      </c>
      <c r="W24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90.000149080910731</v>
      </c>
      <c r="X245" s="1">
        <f>IF(Plank[[#This Row],[Yaw]]&gt;V244,(360-ABS(Plank[[#This Row],[Yaw]])-ABS(V244)),ABS(Plank[[#This Row],[Yaw]]-V244))</f>
        <v>0.97065304861123991</v>
      </c>
      <c r="Y245" s="1">
        <f>Plank[[#This Row],[Degree change]]+Y244</f>
        <v>178.0959217089337</v>
      </c>
    </row>
    <row r="246" spans="1:25">
      <c r="A246">
        <v>245</v>
      </c>
      <c r="B246" s="1">
        <v>-1780.869995</v>
      </c>
      <c r="C246" s="1">
        <v>1031.73999</v>
      </c>
      <c r="D246" s="1">
        <v>18.639999</v>
      </c>
      <c r="E246" s="1">
        <v>1019.5</v>
      </c>
      <c r="F246" s="1">
        <v>-2061.679932</v>
      </c>
      <c r="G246" s="1">
        <v>8.1799990000000005</v>
      </c>
      <c r="H246" s="1">
        <v>0</v>
      </c>
      <c r="I246" s="1">
        <v>0</v>
      </c>
      <c r="J246" s="1">
        <v>2.0329999999999999</v>
      </c>
      <c r="K246" s="1">
        <v>1.5939999999999999E-3</v>
      </c>
      <c r="L246" s="1">
        <v>2.7590000000000002E-3</v>
      </c>
      <c r="M246" s="1">
        <v>-0.50063100000000005</v>
      </c>
      <c r="N246" s="1">
        <v>0.86565499999999995</v>
      </c>
      <c r="O246">
        <v>1</v>
      </c>
      <c r="P246">
        <v>0</v>
      </c>
      <c r="Q246">
        <v>1</v>
      </c>
      <c r="R246">
        <v>1</v>
      </c>
      <c r="S246">
        <v>1</v>
      </c>
      <c r="T246" s="1">
        <f>SQRT(POWER(Plank[[#This Row],[angvel_X]],2) + POWER(Plank[[#This Row],[angvel_Y]],2) + POWER(Plank[[#This Row],[angvel_Z]],2))</f>
        <v>2.0329999999999999</v>
      </c>
      <c r="U246" s="1">
        <f>DEGREES(ASIN(MAX(-1,MIN(1,2 * (Plank[[#This Row],[quart_W]]*Plank[[#This Row],[quart_Y]] - Plank[[#This Row],[quart_Z]]*Plank[[#This Row],[quart_X]])))))</f>
        <v>0.36513105165502113</v>
      </c>
      <c r="V24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150.08384990479288</v>
      </c>
      <c r="W24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90.000158925562076</v>
      </c>
      <c r="X246" s="1">
        <f>IF(Plank[[#This Row],[Yaw]]&gt;V245,(360-ABS(Plank[[#This Row],[Yaw]])-ABS(V245)),ABS(Plank[[#This Row],[Yaw]]-V245))</f>
        <v>0.97071301168546142</v>
      </c>
      <c r="Y246" s="1">
        <f>Plank[[#This Row],[Degree change]]+Y245</f>
        <v>179.06663472061916</v>
      </c>
    </row>
    <row r="247" spans="1:25">
      <c r="A247">
        <v>246</v>
      </c>
      <c r="B247" s="1">
        <v>-1772.339966</v>
      </c>
      <c r="C247" s="1">
        <v>1014.5</v>
      </c>
      <c r="D247" s="1">
        <v>18.639999</v>
      </c>
      <c r="E247" s="1">
        <v>1054.280029</v>
      </c>
      <c r="F247" s="1">
        <v>-2044.1099850000001</v>
      </c>
      <c r="G247" s="1">
        <v>8.1799990000000005</v>
      </c>
      <c r="H247" s="1">
        <v>0</v>
      </c>
      <c r="I247" s="1">
        <v>0</v>
      </c>
      <c r="J247" s="1">
        <v>2.0329999999999999</v>
      </c>
      <c r="K247" s="1">
        <v>1.573E-3</v>
      </c>
      <c r="L247" s="1">
        <v>2.7699999999999999E-3</v>
      </c>
      <c r="M247" s="1">
        <v>-0.49327799999999999</v>
      </c>
      <c r="N247" s="1">
        <v>0.86986600000000003</v>
      </c>
      <c r="O247">
        <v>1</v>
      </c>
      <c r="P247">
        <v>0</v>
      </c>
      <c r="Q247">
        <v>1</v>
      </c>
      <c r="R247">
        <v>1</v>
      </c>
      <c r="S247">
        <v>1</v>
      </c>
      <c r="T247" s="1">
        <f>SQRT(POWER(Plank[[#This Row],[angvel_X]],2) + POWER(Plank[[#This Row],[angvel_Y]],2) + POWER(Plank[[#This Row],[angvel_Z]],2))</f>
        <v>2.0329999999999999</v>
      </c>
      <c r="U247" s="1">
        <f>DEGREES(ASIN(MAX(-1,MIN(1,2 * (Plank[[#This Row],[quart_W]]*Plank[[#This Row],[quart_Y]] - Plank[[#This Row],[quart_Z]]*Plank[[#This Row],[quart_X]])))))</f>
        <v>0.36502873707750177</v>
      </c>
      <c r="V24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149.11285952219413</v>
      </c>
      <c r="W24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89.999780076229527</v>
      </c>
      <c r="X247" s="1">
        <f>IF(Plank[[#This Row],[Yaw]]&gt;V246,(360-ABS(Plank[[#This Row],[Yaw]])-ABS(V246)),ABS(Plank[[#This Row],[Yaw]]-V246))</f>
        <v>0.9709903825987567</v>
      </c>
      <c r="Y247" s="1">
        <f>Plank[[#This Row],[Degree change]]+Y246</f>
        <v>180.03762510321792</v>
      </c>
    </row>
    <row r="248" spans="1:25">
      <c r="A248">
        <v>247</v>
      </c>
      <c r="B248" s="1">
        <v>-1763.5200199999999</v>
      </c>
      <c r="C248" s="1">
        <v>997.40997300000004</v>
      </c>
      <c r="D248" s="1">
        <v>18.639999</v>
      </c>
      <c r="E248" s="1">
        <v>1088.76001</v>
      </c>
      <c r="F248" s="1">
        <v>-2025.959961</v>
      </c>
      <c r="G248" s="1">
        <v>8.1799990000000005</v>
      </c>
      <c r="H248" s="1">
        <v>0</v>
      </c>
      <c r="I248" s="1">
        <v>0</v>
      </c>
      <c r="J248" s="1">
        <v>2.0329999999999999</v>
      </c>
      <c r="K248" s="1">
        <v>1.5510000000000001E-3</v>
      </c>
      <c r="L248" s="1">
        <v>2.7810000000000001E-3</v>
      </c>
      <c r="M248" s="1">
        <v>-0.48589199999999999</v>
      </c>
      <c r="N248" s="1">
        <v>0.87401300000000004</v>
      </c>
      <c r="O248">
        <v>1</v>
      </c>
      <c r="P248">
        <v>0</v>
      </c>
      <c r="Q248">
        <v>1</v>
      </c>
      <c r="R248">
        <v>1</v>
      </c>
      <c r="S248">
        <v>1</v>
      </c>
      <c r="T248" s="1">
        <f>SQRT(POWER(Plank[[#This Row],[angvel_X]],2) + POWER(Plank[[#This Row],[angvel_Y]],2) + POWER(Plank[[#This Row],[angvel_Z]],2))</f>
        <v>2.0329999999999999</v>
      </c>
      <c r="U248" s="1">
        <f>DEGREES(ASIN(MAX(-1,MIN(1,2 * (Plank[[#This Row],[quart_W]]*Plank[[#This Row],[quart_Y]] - Plank[[#This Row],[quart_Z]]*Plank[[#This Row],[quart_X]])))))</f>
        <v>0.36489048310914879</v>
      </c>
      <c r="V24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148.14218042604617</v>
      </c>
      <c r="W24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89.999503979117392</v>
      </c>
      <c r="X248" s="1">
        <f>IF(Plank[[#This Row],[Yaw]]&gt;V247,(360-ABS(Plank[[#This Row],[Yaw]])-ABS(V247)),ABS(Plank[[#This Row],[Yaw]]-V247))</f>
        <v>0.97067909614796122</v>
      </c>
      <c r="Y248" s="1">
        <f>Plank[[#This Row],[Degree change]]+Y247</f>
        <v>181.00830419936588</v>
      </c>
    </row>
    <row r="249" spans="1:25">
      <c r="A249">
        <v>248</v>
      </c>
      <c r="B249" s="1">
        <v>-1754.4099120000001</v>
      </c>
      <c r="C249" s="1">
        <v>980.46997099999999</v>
      </c>
      <c r="D249" s="1">
        <v>18.639999</v>
      </c>
      <c r="E249" s="1">
        <v>1122.929932</v>
      </c>
      <c r="F249" s="1">
        <v>-2007.219971</v>
      </c>
      <c r="G249" s="1">
        <v>8.1799990000000005</v>
      </c>
      <c r="H249" s="1">
        <v>0</v>
      </c>
      <c r="I249" s="1">
        <v>0</v>
      </c>
      <c r="J249" s="1">
        <v>2.0329999999999999</v>
      </c>
      <c r="K249" s="1">
        <v>1.529E-3</v>
      </c>
      <c r="L249" s="1">
        <v>2.7920000000000002E-3</v>
      </c>
      <c r="M249" s="1">
        <v>-0.47846899999999998</v>
      </c>
      <c r="N249" s="1">
        <v>0.87809899999999996</v>
      </c>
      <c r="O249">
        <v>1</v>
      </c>
      <c r="P249">
        <v>0</v>
      </c>
      <c r="Q249">
        <v>1</v>
      </c>
      <c r="R249">
        <v>1</v>
      </c>
      <c r="S249">
        <v>1</v>
      </c>
      <c r="T249" s="1">
        <f>SQRT(POWER(Plank[[#This Row],[angvel_X]],2) + POWER(Plank[[#This Row],[angvel_Y]],2) + POWER(Plank[[#This Row],[angvel_Z]],2))</f>
        <v>2.0329999999999999</v>
      </c>
      <c r="U249" s="1">
        <f>DEGREES(ASIN(MAX(-1,MIN(1,2 * (Plank[[#This Row],[quart_W]]*Plank[[#This Row],[quart_Y]] - Plank[[#This Row],[quart_Z]]*Plank[[#This Row],[quart_X]])))))</f>
        <v>0.36477392554624138</v>
      </c>
      <c r="V24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147.17123886357101</v>
      </c>
      <c r="W24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89.999229021189649</v>
      </c>
      <c r="X249" s="1">
        <f>IF(Plank[[#This Row],[Yaw]]&gt;V248,(360-ABS(Plank[[#This Row],[Yaw]])-ABS(V248)),ABS(Plank[[#This Row],[Yaw]]-V248))</f>
        <v>0.97094156247516139</v>
      </c>
      <c r="Y249" s="1">
        <f>Plank[[#This Row],[Degree change]]+Y248</f>
        <v>181.97924576184104</v>
      </c>
    </row>
    <row r="250" spans="1:25">
      <c r="A250">
        <v>249</v>
      </c>
      <c r="B250" s="1">
        <v>-1745.01001</v>
      </c>
      <c r="C250" s="1">
        <v>963.69000200000005</v>
      </c>
      <c r="D250" s="1">
        <v>18.639999</v>
      </c>
      <c r="E250" s="1">
        <v>1156.7700199999999</v>
      </c>
      <c r="F250" s="1">
        <v>-1987.9099120000001</v>
      </c>
      <c r="G250" s="1">
        <v>8.1799990000000005</v>
      </c>
      <c r="H250" s="1">
        <v>0</v>
      </c>
      <c r="I250" s="1">
        <v>0</v>
      </c>
      <c r="J250" s="1">
        <v>2.0329999999999999</v>
      </c>
      <c r="K250" s="1">
        <v>1.508E-3</v>
      </c>
      <c r="L250" s="1">
        <v>2.8029999999999999E-3</v>
      </c>
      <c r="M250" s="1">
        <v>-0.47101300000000001</v>
      </c>
      <c r="N250" s="1">
        <v>0.88212000000000002</v>
      </c>
      <c r="O250">
        <v>1</v>
      </c>
      <c r="P250">
        <v>0</v>
      </c>
      <c r="Q250">
        <v>1</v>
      </c>
      <c r="R250">
        <v>1</v>
      </c>
      <c r="S250">
        <v>1</v>
      </c>
      <c r="T250" s="1">
        <f>SQRT(POWER(Plank[[#This Row],[angvel_X]],2) + POWER(Plank[[#This Row],[angvel_Y]],2) + POWER(Plank[[#This Row],[angvel_Z]],2))</f>
        <v>2.0329999999999999</v>
      </c>
      <c r="U250" s="1">
        <f>DEGREES(ASIN(MAX(-1,MIN(1,2 * (Plank[[#This Row],[quart_W]]*Plank[[#This Row],[quart_Y]] - Plank[[#This Row],[quart_Z]]*Plank[[#This Row],[quart_X]])))))</f>
        <v>0.36473249470148578</v>
      </c>
      <c r="V25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146.20043582571776</v>
      </c>
      <c r="W25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89.998855491208218</v>
      </c>
      <c r="X250" s="1">
        <f>IF(Plank[[#This Row],[Yaw]]&gt;V249,(360-ABS(Plank[[#This Row],[Yaw]])-ABS(V249)),ABS(Plank[[#This Row],[Yaw]]-V249))</f>
        <v>0.97080303785324418</v>
      </c>
      <c r="Y250" s="1">
        <f>Plank[[#This Row],[Degree change]]+Y249</f>
        <v>182.95004879969429</v>
      </c>
    </row>
    <row r="251" spans="1:25">
      <c r="A251">
        <v>250</v>
      </c>
      <c r="B251" s="1">
        <v>-1735.329956</v>
      </c>
      <c r="C251" s="1">
        <v>947.07000700000003</v>
      </c>
      <c r="D251" s="1">
        <v>18.639999</v>
      </c>
      <c r="E251" s="1">
        <v>1190.280029</v>
      </c>
      <c r="F251" s="1">
        <v>-1968.0299070000001</v>
      </c>
      <c r="G251" s="1">
        <v>8.1799990000000005</v>
      </c>
      <c r="H251" s="1">
        <v>0</v>
      </c>
      <c r="I251" s="1">
        <v>0</v>
      </c>
      <c r="J251" s="1">
        <v>2.0329999999999999</v>
      </c>
      <c r="K251" s="1">
        <v>1.4859999999999999E-3</v>
      </c>
      <c r="L251" s="1">
        <v>2.813E-3</v>
      </c>
      <c r="M251" s="1">
        <v>-0.46352500000000002</v>
      </c>
      <c r="N251" s="1">
        <v>0.88607800000000003</v>
      </c>
      <c r="O251">
        <v>1</v>
      </c>
      <c r="P251">
        <v>0</v>
      </c>
      <c r="Q251">
        <v>1</v>
      </c>
      <c r="R251">
        <v>1</v>
      </c>
      <c r="S251">
        <v>1</v>
      </c>
      <c r="T251" s="1">
        <f>SQRT(POWER(Plank[[#This Row],[angvel_X]],2) + POWER(Plank[[#This Row],[angvel_Y]],2) + POWER(Plank[[#This Row],[angvel_Z]],2))</f>
        <v>2.0329999999999999</v>
      </c>
      <c r="U251" s="1">
        <f>DEGREES(ASIN(MAX(-1,MIN(1,2 * (Plank[[#This Row],[quart_W]]*Plank[[#This Row],[quart_Y]] - Plank[[#This Row],[quart_Z]]*Plank[[#This Row],[quart_X]])))))</f>
        <v>0.36455666185239105</v>
      </c>
      <c r="V25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145.22990329830247</v>
      </c>
      <c r="W25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89.998531355339964</v>
      </c>
      <c r="X251" s="1">
        <f>IF(Plank[[#This Row],[Yaw]]&gt;V250,(360-ABS(Plank[[#This Row],[Yaw]])-ABS(V250)),ABS(Plank[[#This Row],[Yaw]]-V250))</f>
        <v>0.97053252741528695</v>
      </c>
      <c r="Y251" s="1">
        <f>Plank[[#This Row],[Degree change]]+Y250</f>
        <v>183.92058132710957</v>
      </c>
    </row>
    <row r="252" spans="1:25">
      <c r="A252">
        <v>251</v>
      </c>
      <c r="B252" s="1">
        <v>-1725.369995</v>
      </c>
      <c r="C252" s="1">
        <v>930.60998500000005</v>
      </c>
      <c r="D252" s="1">
        <v>18.639999</v>
      </c>
      <c r="E252" s="1">
        <v>1223.4499510000001</v>
      </c>
      <c r="F252" s="1">
        <v>-1947.579956</v>
      </c>
      <c r="G252" s="1">
        <v>8.1799990000000005</v>
      </c>
      <c r="H252" s="1">
        <v>0</v>
      </c>
      <c r="I252" s="1">
        <v>0</v>
      </c>
      <c r="J252" s="1">
        <v>2.0329999999999999</v>
      </c>
      <c r="K252" s="1">
        <v>1.4649999999999999E-3</v>
      </c>
      <c r="L252" s="1">
        <v>2.8240000000000001E-3</v>
      </c>
      <c r="M252" s="1">
        <v>-0.45600499999999999</v>
      </c>
      <c r="N252" s="1">
        <v>0.88997099999999996</v>
      </c>
      <c r="O252">
        <v>1</v>
      </c>
      <c r="P252">
        <v>0</v>
      </c>
      <c r="Q252">
        <v>1</v>
      </c>
      <c r="R252">
        <v>1</v>
      </c>
      <c r="S252">
        <v>1</v>
      </c>
      <c r="T252" s="1">
        <f>SQRT(POWER(Plank[[#This Row],[angvel_X]],2) + POWER(Plank[[#This Row],[angvel_Y]],2) + POWER(Plank[[#This Row],[angvel_Z]],2))</f>
        <v>2.0329999999999999</v>
      </c>
      <c r="U252" s="1">
        <f>DEGREES(ASIN(MAX(-1,MIN(1,2 * (Plank[[#This Row],[quart_W]]*Plank[[#This Row],[quart_Y]] - Plank[[#This Row],[quart_Z]]*Plank[[#This Row],[quart_X]])))))</f>
        <v>0.3645555004434311</v>
      </c>
      <c r="V25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144.25950791386535</v>
      </c>
      <c r="W25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89.998160837577089</v>
      </c>
      <c r="X252" s="1">
        <f>IF(Plank[[#This Row],[Yaw]]&gt;V251,(360-ABS(Plank[[#This Row],[Yaw]])-ABS(V251)),ABS(Plank[[#This Row],[Yaw]]-V251))</f>
        <v>0.97039538443712559</v>
      </c>
      <c r="Y252" s="1">
        <f>Plank[[#This Row],[Degree change]]+Y251</f>
        <v>184.8909767115467</v>
      </c>
    </row>
    <row r="253" spans="1:25">
      <c r="A253">
        <v>252</v>
      </c>
      <c r="B253" s="1">
        <v>-1715.130005</v>
      </c>
      <c r="C253" s="1">
        <v>914.32000700000003</v>
      </c>
      <c r="D253" s="1">
        <v>18.639999</v>
      </c>
      <c r="E253" s="1">
        <v>1256.2700199999999</v>
      </c>
      <c r="F253" s="1">
        <v>-1926.5699460000001</v>
      </c>
      <c r="G253" s="1">
        <v>8.1799990000000005</v>
      </c>
      <c r="H253" s="1">
        <v>0</v>
      </c>
      <c r="I253" s="1">
        <v>0</v>
      </c>
      <c r="J253" s="1">
        <v>2.0329999999999999</v>
      </c>
      <c r="K253" s="1">
        <v>1.4430000000000001E-3</v>
      </c>
      <c r="L253" s="1">
        <v>2.8349999999999998E-3</v>
      </c>
      <c r="M253" s="1">
        <v>-0.44845200000000002</v>
      </c>
      <c r="N253" s="1">
        <v>0.89380099999999996</v>
      </c>
      <c r="O253">
        <v>1</v>
      </c>
      <c r="P253">
        <v>0</v>
      </c>
      <c r="Q253">
        <v>1</v>
      </c>
      <c r="R253">
        <v>1</v>
      </c>
      <c r="S253">
        <v>1</v>
      </c>
      <c r="T253" s="1">
        <f>SQRT(POWER(Plank[[#This Row],[angvel_X]],2) + POWER(Plank[[#This Row],[angvel_Y]],2) + POWER(Plank[[#This Row],[angvel_Z]],2))</f>
        <v>2.0329999999999999</v>
      </c>
      <c r="U253" s="1">
        <f>DEGREES(ASIN(MAX(-1,MIN(1,2 * (Plank[[#This Row],[quart_W]]*Plank[[#This Row],[quart_Y]] - Plank[[#This Row],[quart_Z]]*Plank[[#This Row],[quart_X]])))))</f>
        <v>0.36452302935123165</v>
      </c>
      <c r="V25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143.28909470763355</v>
      </c>
      <c r="W25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89.997892226324439</v>
      </c>
      <c r="X253" s="1">
        <f>IF(Plank[[#This Row],[Yaw]]&gt;V252,(360-ABS(Plank[[#This Row],[Yaw]])-ABS(V252)),ABS(Plank[[#This Row],[Yaw]]-V252))</f>
        <v>0.97041320623179672</v>
      </c>
      <c r="Y253" s="1">
        <f>Plank[[#This Row],[Degree change]]+Y252</f>
        <v>185.8613899177785</v>
      </c>
    </row>
    <row r="254" spans="1:25">
      <c r="A254">
        <v>253</v>
      </c>
      <c r="B254" s="1">
        <v>-1704.619995</v>
      </c>
      <c r="C254" s="1">
        <v>898.20996100000002</v>
      </c>
      <c r="D254" s="1">
        <v>18.639999</v>
      </c>
      <c r="E254" s="1">
        <v>1288.7299800000001</v>
      </c>
      <c r="F254" s="1">
        <v>-1905.01001</v>
      </c>
      <c r="G254" s="1">
        <v>8.1799990000000005</v>
      </c>
      <c r="H254" s="1">
        <v>0</v>
      </c>
      <c r="I254" s="1">
        <v>1E-4</v>
      </c>
      <c r="J254" s="1">
        <v>2.0329999999999999</v>
      </c>
      <c r="K254" s="1">
        <v>1.4220000000000001E-3</v>
      </c>
      <c r="L254" s="1">
        <v>2.846E-3</v>
      </c>
      <c r="M254" s="1">
        <v>-0.44086700000000001</v>
      </c>
      <c r="N254" s="1">
        <v>0.897567</v>
      </c>
      <c r="O254">
        <v>1</v>
      </c>
      <c r="P254">
        <v>0</v>
      </c>
      <c r="Q254">
        <v>1</v>
      </c>
      <c r="R254">
        <v>1</v>
      </c>
      <c r="S254">
        <v>1</v>
      </c>
      <c r="T254" s="1">
        <f>SQRT(POWER(Plank[[#This Row],[angvel_X]],2) + POWER(Plank[[#This Row],[angvel_Y]],2) + POWER(Plank[[#This Row],[angvel_Z]],2))</f>
        <v>2.0330000024594197</v>
      </c>
      <c r="U254" s="1">
        <f>DEGREES(ASIN(MAX(-1,MIN(1,2 * (Plank[[#This Row],[quart_W]]*Plank[[#This Row],[quart_Y]] - Plank[[#This Row],[quart_Z]]*Plank[[#This Row],[quart_X]])))))</f>
        <v>0.36456273441120973</v>
      </c>
      <c r="V25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142.31870751289674</v>
      </c>
      <c r="W25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89.997521014456595</v>
      </c>
      <c r="X254" s="1">
        <f>IF(Plank[[#This Row],[Yaw]]&gt;V253,(360-ABS(Plank[[#This Row],[Yaw]])-ABS(V253)),ABS(Plank[[#This Row],[Yaw]]-V253))</f>
        <v>0.97038719473681567</v>
      </c>
      <c r="Y254" s="1">
        <f>Plank[[#This Row],[Degree change]]+Y253</f>
        <v>186.83177711251531</v>
      </c>
    </row>
    <row r="255" spans="1:25">
      <c r="A255">
        <v>254</v>
      </c>
      <c r="B255" s="1">
        <v>-1693.839966</v>
      </c>
      <c r="C255" s="1">
        <v>882.27996800000005</v>
      </c>
      <c r="D255" s="1">
        <v>18.639999</v>
      </c>
      <c r="E255" s="1">
        <v>1320.8199460000001</v>
      </c>
      <c r="F255" s="1">
        <v>-1882.9099120000001</v>
      </c>
      <c r="G255" s="1">
        <v>8.1799990000000005</v>
      </c>
      <c r="H255" s="1">
        <v>0</v>
      </c>
      <c r="I255" s="1">
        <v>1E-4</v>
      </c>
      <c r="J255" s="1">
        <v>2.0329999999999999</v>
      </c>
      <c r="K255" s="1">
        <v>1.395E-3</v>
      </c>
      <c r="L255" s="1">
        <v>2.8570000000000002E-3</v>
      </c>
      <c r="M255" s="1">
        <v>-0.43325000000000002</v>
      </c>
      <c r="N255" s="1">
        <v>0.90126799999999996</v>
      </c>
      <c r="O255">
        <v>1</v>
      </c>
      <c r="P255">
        <v>0</v>
      </c>
      <c r="Q255">
        <v>1</v>
      </c>
      <c r="R255">
        <v>1</v>
      </c>
      <c r="S255">
        <v>1</v>
      </c>
      <c r="T255" s="1">
        <f>SQRT(POWER(Plank[[#This Row],[angvel_X]],2) + POWER(Plank[[#This Row],[angvel_Y]],2) + POWER(Plank[[#This Row],[angvel_Z]],2))</f>
        <v>2.0330000024594197</v>
      </c>
      <c r="U255" s="1">
        <f>DEGREES(ASIN(MAX(-1,MIN(1,2 * (Plank[[#This Row],[quart_W]]*Plank[[#This Row],[quart_Y]] - Plank[[#This Row],[quart_Z]]*Plank[[#This Row],[quart_X]])))))</f>
        <v>0.36432413506168682</v>
      </c>
      <c r="V25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141.34824746462743</v>
      </c>
      <c r="W25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89.997768443556097</v>
      </c>
      <c r="X255" s="1">
        <f>IF(Plank[[#This Row],[Yaw]]&gt;V254,(360-ABS(Plank[[#This Row],[Yaw]])-ABS(V254)),ABS(Plank[[#This Row],[Yaw]]-V254))</f>
        <v>0.97046004826930243</v>
      </c>
      <c r="Y255" s="1">
        <f>Plank[[#This Row],[Degree change]]+Y254</f>
        <v>187.80223716078461</v>
      </c>
    </row>
    <row r="256" spans="1:25">
      <c r="A256">
        <v>255</v>
      </c>
      <c r="B256" s="1">
        <v>-1682.7899170000001</v>
      </c>
      <c r="C256" s="1">
        <v>866.53997800000002</v>
      </c>
      <c r="D256" s="1">
        <v>18.639999</v>
      </c>
      <c r="E256" s="1">
        <v>1352.5200199999999</v>
      </c>
      <c r="F256" s="1">
        <v>-1860.26001</v>
      </c>
      <c r="G256" s="1">
        <v>8.1799990000000005</v>
      </c>
      <c r="H256" s="1">
        <v>0</v>
      </c>
      <c r="I256" s="1">
        <v>1E-4</v>
      </c>
      <c r="J256" s="1">
        <v>2.0329999999999999</v>
      </c>
      <c r="K256" s="1">
        <v>1.3680000000000001E-3</v>
      </c>
      <c r="L256" s="1">
        <v>2.8670000000000002E-3</v>
      </c>
      <c r="M256" s="1">
        <v>-0.42559999999999998</v>
      </c>
      <c r="N256" s="1">
        <v>0.90490599999999999</v>
      </c>
      <c r="O256">
        <v>1</v>
      </c>
      <c r="P256">
        <v>0</v>
      </c>
      <c r="Q256">
        <v>1</v>
      </c>
      <c r="R256">
        <v>1</v>
      </c>
      <c r="S256">
        <v>1</v>
      </c>
      <c r="T256" s="1">
        <f>SQRT(POWER(Plank[[#This Row],[angvel_X]],2) + POWER(Plank[[#This Row],[angvel_Y]],2) + POWER(Plank[[#This Row],[angvel_Z]],2))</f>
        <v>2.0330000024594197</v>
      </c>
      <c r="U256" s="1">
        <f>DEGREES(ASIN(MAX(-1,MIN(1,2 * (Plank[[#This Row],[quart_W]]*Plank[[#This Row],[quart_Y]] - Plank[[#This Row],[quart_Z]]*Plank[[#This Row],[quart_X]])))))</f>
        <v>0.36401242551559504</v>
      </c>
      <c r="V25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140.37756571202445</v>
      </c>
      <c r="W25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89.997969831132778</v>
      </c>
      <c r="X256" s="1">
        <f>IF(Plank[[#This Row],[Yaw]]&gt;V255,(360-ABS(Plank[[#This Row],[Yaw]])-ABS(V255)),ABS(Plank[[#This Row],[Yaw]]-V255))</f>
        <v>0.97068175260298517</v>
      </c>
      <c r="Y256" s="1">
        <f>Plank[[#This Row],[Degree change]]+Y255</f>
        <v>188.7729189133876</v>
      </c>
    </row>
    <row r="257" spans="1:25">
      <c r="A257">
        <v>256</v>
      </c>
      <c r="B257" s="1">
        <v>-1671.469971</v>
      </c>
      <c r="C257" s="1">
        <v>850.97997999999995</v>
      </c>
      <c r="D257" s="1">
        <v>18.639999</v>
      </c>
      <c r="E257" s="1">
        <v>1383.839966</v>
      </c>
      <c r="F257" s="1">
        <v>-1837.089966</v>
      </c>
      <c r="G257" s="1">
        <v>8.1799990000000005</v>
      </c>
      <c r="H257" s="1">
        <v>0</v>
      </c>
      <c r="I257" s="1">
        <v>2.0000000000000001E-4</v>
      </c>
      <c r="J257" s="1">
        <v>2.0329999999999999</v>
      </c>
      <c r="K257" s="1">
        <v>1.341E-3</v>
      </c>
      <c r="L257" s="1">
        <v>2.8779999999999999E-3</v>
      </c>
      <c r="M257" s="1">
        <v>-0.41791800000000001</v>
      </c>
      <c r="N257" s="1">
        <v>0.90847900000000004</v>
      </c>
      <c r="O257">
        <v>1</v>
      </c>
      <c r="P257">
        <v>0</v>
      </c>
      <c r="Q257">
        <v>1</v>
      </c>
      <c r="R257">
        <v>1</v>
      </c>
      <c r="S257">
        <v>1</v>
      </c>
      <c r="T257" s="1">
        <f>SQRT(POWER(Plank[[#This Row],[angvel_X]],2) + POWER(Plank[[#This Row],[angvel_Y]],2) + POWER(Plank[[#This Row],[angvel_Z]],2))</f>
        <v>2.0330000098376781</v>
      </c>
      <c r="U257" s="1">
        <f>DEGREES(ASIN(MAX(-1,MIN(1,2 * (Plank[[#This Row],[quart_W]]*Plank[[#This Row],[quart_Y]] - Plank[[#This Row],[quart_Z]]*Plank[[#This Row],[quart_X]])))))</f>
        <v>0.36383415160194299</v>
      </c>
      <c r="V25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139.40667719777809</v>
      </c>
      <c r="W25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89.998223527446555</v>
      </c>
      <c r="X257" s="1">
        <f>IF(Plank[[#This Row],[Yaw]]&gt;V256,(360-ABS(Plank[[#This Row],[Yaw]])-ABS(V256)),ABS(Plank[[#This Row],[Yaw]]-V256))</f>
        <v>0.97088851424635436</v>
      </c>
      <c r="Y257" s="1">
        <f>Plank[[#This Row],[Degree change]]+Y256</f>
        <v>189.74380742763395</v>
      </c>
    </row>
    <row r="258" spans="1:25">
      <c r="A258">
        <v>257</v>
      </c>
      <c r="B258" s="1">
        <v>-1659.8900149999999</v>
      </c>
      <c r="C258" s="1">
        <v>835.61999500000002</v>
      </c>
      <c r="D258" s="1">
        <v>18.639999</v>
      </c>
      <c r="E258" s="1">
        <v>1414.76001</v>
      </c>
      <c r="F258" s="1">
        <v>-1813.380005</v>
      </c>
      <c r="G258" s="1">
        <v>8.1799990000000005</v>
      </c>
      <c r="H258" s="1">
        <v>0</v>
      </c>
      <c r="I258" s="1">
        <v>2.0000000000000001E-4</v>
      </c>
      <c r="J258" s="1">
        <v>2.0329999999999999</v>
      </c>
      <c r="K258" s="1">
        <v>1.3140000000000001E-3</v>
      </c>
      <c r="L258" s="1">
        <v>2.8890000000000001E-3</v>
      </c>
      <c r="M258" s="1">
        <v>-0.41020800000000002</v>
      </c>
      <c r="N258" s="1">
        <v>0.91198599999999996</v>
      </c>
      <c r="O258">
        <v>1</v>
      </c>
      <c r="P258">
        <v>0</v>
      </c>
      <c r="Q258">
        <v>1</v>
      </c>
      <c r="R258">
        <v>1</v>
      </c>
      <c r="S258">
        <v>1</v>
      </c>
      <c r="T258" s="1">
        <f>SQRT(POWER(Plank[[#This Row],[angvel_X]],2) + POWER(Plank[[#This Row],[angvel_Y]],2) + POWER(Plank[[#This Row],[angvel_Z]],2))</f>
        <v>2.0330000098376781</v>
      </c>
      <c r="U258" s="1">
        <f>DEGREES(ASIN(MAX(-1,MIN(1,2 * (Plank[[#This Row],[quart_W]]*Plank[[#This Row],[quart_Y]] - Plank[[#This Row],[quart_Z]]*Plank[[#This Row],[quart_X]])))))</f>
        <v>0.36368635599353255</v>
      </c>
      <c r="V25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138.43604348240012</v>
      </c>
      <c r="W25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89.998480635204558</v>
      </c>
      <c r="X258" s="1">
        <f>IF(Plank[[#This Row],[Yaw]]&gt;V257,(360-ABS(Plank[[#This Row],[Yaw]])-ABS(V257)),ABS(Plank[[#This Row],[Yaw]]-V257))</f>
        <v>0.97063371537797138</v>
      </c>
      <c r="Y258" s="1">
        <f>Plank[[#This Row],[Degree change]]+Y257</f>
        <v>190.71444114301192</v>
      </c>
    </row>
    <row r="259" spans="1:25">
      <c r="A259">
        <v>258</v>
      </c>
      <c r="B259" s="1">
        <v>-1648.049927</v>
      </c>
      <c r="C259" s="1">
        <v>820.45996100000002</v>
      </c>
      <c r="D259" s="1">
        <v>18.639999</v>
      </c>
      <c r="E259" s="1">
        <v>1445.2799070000001</v>
      </c>
      <c r="F259" s="1">
        <v>-1789.1499020000001</v>
      </c>
      <c r="G259" s="1">
        <v>8.1799990000000005</v>
      </c>
      <c r="H259" s="1">
        <v>0</v>
      </c>
      <c r="I259" s="1">
        <v>2.0000000000000001E-4</v>
      </c>
      <c r="J259" s="1">
        <v>2.0329999999999999</v>
      </c>
      <c r="K259" s="1">
        <v>1.2869999999999999E-3</v>
      </c>
      <c r="L259" s="1">
        <v>2.8999999999999998E-3</v>
      </c>
      <c r="M259" s="1">
        <v>-0.40246700000000002</v>
      </c>
      <c r="N259" s="1">
        <v>0.91542900000000005</v>
      </c>
      <c r="O259">
        <v>1</v>
      </c>
      <c r="P259">
        <v>0</v>
      </c>
      <c r="Q259">
        <v>1</v>
      </c>
      <c r="R259">
        <v>1</v>
      </c>
      <c r="S259">
        <v>1</v>
      </c>
      <c r="T259" s="1">
        <f>SQRT(POWER(Plank[[#This Row],[angvel_X]],2) + POWER(Plank[[#This Row],[angvel_Y]],2) + POWER(Plank[[#This Row],[angvel_Z]],2))</f>
        <v>2.0330000098376781</v>
      </c>
      <c r="U259" s="1">
        <f>DEGREES(ASIN(MAX(-1,MIN(1,2 * (Plank[[#This Row],[quart_W]]*Plank[[#This Row],[quart_Y]] - Plank[[#This Row],[quart_Z]]*Plank[[#This Row],[quart_X]])))))</f>
        <v>0.36356927119981941</v>
      </c>
      <c r="V25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137.46523652721467</v>
      </c>
      <c r="W25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89.998739143974461</v>
      </c>
      <c r="X259" s="1">
        <f>IF(Plank[[#This Row],[Yaw]]&gt;V258,(360-ABS(Plank[[#This Row],[Yaw]])-ABS(V258)),ABS(Plank[[#This Row],[Yaw]]-V258))</f>
        <v>0.97080695518545213</v>
      </c>
      <c r="Y259" s="1">
        <f>Plank[[#This Row],[Degree change]]+Y258</f>
        <v>191.68524809819738</v>
      </c>
    </row>
    <row r="260" spans="1:25">
      <c r="A260">
        <v>259</v>
      </c>
      <c r="B260" s="1">
        <v>-1635.959961</v>
      </c>
      <c r="C260" s="1">
        <v>805.5</v>
      </c>
      <c r="D260" s="1">
        <v>18.639999</v>
      </c>
      <c r="E260" s="1">
        <v>1475.380005</v>
      </c>
      <c r="F260" s="1">
        <v>-1764.4099120000001</v>
      </c>
      <c r="G260" s="1">
        <v>8.1799990000000005</v>
      </c>
      <c r="H260" s="1">
        <v>0</v>
      </c>
      <c r="I260" s="1">
        <v>2.0000000000000001E-4</v>
      </c>
      <c r="J260" s="1">
        <v>2.0329999999999999</v>
      </c>
      <c r="K260" s="1">
        <v>1.2600000000000001E-3</v>
      </c>
      <c r="L260" s="1">
        <v>2.911E-3</v>
      </c>
      <c r="M260" s="1">
        <v>-0.39469799999999999</v>
      </c>
      <c r="N260" s="1">
        <v>0.91880499999999998</v>
      </c>
      <c r="O260">
        <v>1</v>
      </c>
      <c r="P260">
        <v>0</v>
      </c>
      <c r="Q260">
        <v>1</v>
      </c>
      <c r="R260">
        <v>1</v>
      </c>
      <c r="S260">
        <v>1</v>
      </c>
      <c r="T260" s="1">
        <f>SQRT(POWER(Plank[[#This Row],[angvel_X]],2) + POWER(Plank[[#This Row],[angvel_Y]],2) + POWER(Plank[[#This Row],[angvel_Z]],2))</f>
        <v>2.0330000098376781</v>
      </c>
      <c r="U260" s="1">
        <f>DEGREES(ASIN(MAX(-1,MIN(1,2 * (Plank[[#This Row],[quart_W]]*Plank[[#This Row],[quart_Y]] - Plank[[#This Row],[quart_Z]]*Plank[[#This Row],[quart_X]])))))</f>
        <v>0.36348237535914724</v>
      </c>
      <c r="V26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136.49451178570956</v>
      </c>
      <c r="W26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89.998999776387748</v>
      </c>
      <c r="X260" s="1">
        <f>IF(Plank[[#This Row],[Yaw]]&gt;V259,(360-ABS(Plank[[#This Row],[Yaw]])-ABS(V259)),ABS(Plank[[#This Row],[Yaw]]-V259))</f>
        <v>0.97072474150510857</v>
      </c>
      <c r="Y260" s="1">
        <f>Plank[[#This Row],[Degree change]]+Y259</f>
        <v>192.65597283970249</v>
      </c>
    </row>
    <row r="261" spans="1:25">
      <c r="A261">
        <v>260</v>
      </c>
      <c r="B261" s="1">
        <v>-1623.619995</v>
      </c>
      <c r="C261" s="1">
        <v>790.75</v>
      </c>
      <c r="D261" s="1">
        <v>18.639999</v>
      </c>
      <c r="E261" s="1">
        <v>1505.059937</v>
      </c>
      <c r="F261" s="1">
        <v>-1739.1599120000001</v>
      </c>
      <c r="G261" s="1">
        <v>8.1799990000000005</v>
      </c>
      <c r="H261" s="1">
        <v>0</v>
      </c>
      <c r="I261" s="1">
        <v>2.0000000000000001E-4</v>
      </c>
      <c r="J261" s="1">
        <v>2.0329999999999999</v>
      </c>
      <c r="K261" s="1">
        <v>1.2329999999999999E-3</v>
      </c>
      <c r="L261" s="1">
        <v>2.921E-3</v>
      </c>
      <c r="M261" s="1">
        <v>-0.386903</v>
      </c>
      <c r="N261" s="1">
        <v>0.92211500000000002</v>
      </c>
      <c r="O261">
        <v>1</v>
      </c>
      <c r="P261">
        <v>0</v>
      </c>
      <c r="Q261">
        <v>1</v>
      </c>
      <c r="R261">
        <v>1</v>
      </c>
      <c r="S261">
        <v>1</v>
      </c>
      <c r="T261" s="1">
        <f>SQRT(POWER(Plank[[#This Row],[angvel_X]],2) + POWER(Plank[[#This Row],[angvel_Y]],2) + POWER(Plank[[#This Row],[angvel_Z]],2))</f>
        <v>2.0330000098376781</v>
      </c>
      <c r="U261" s="1">
        <f>DEGREES(ASIN(MAX(-1,MIN(1,2 * (Plank[[#This Row],[quart_W]]*Plank[[#This Row],[quart_Y]] - Plank[[#This Row],[quart_Z]]*Plank[[#This Row],[quart_X]])))))</f>
        <v>0.36332062371369944</v>
      </c>
      <c r="V26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135.52410364268979</v>
      </c>
      <c r="W26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89.99921799635294</v>
      </c>
      <c r="X261" s="1">
        <f>IF(Plank[[#This Row],[Yaw]]&gt;V260,(360-ABS(Plank[[#This Row],[Yaw]])-ABS(V260)),ABS(Plank[[#This Row],[Yaw]]-V260))</f>
        <v>0.97040814301976752</v>
      </c>
      <c r="Y261" s="1">
        <f>Plank[[#This Row],[Degree change]]+Y260</f>
        <v>193.62638098272225</v>
      </c>
    </row>
    <row r="262" spans="1:25">
      <c r="A262">
        <v>261</v>
      </c>
      <c r="B262" s="1">
        <v>-1611.0299070000001</v>
      </c>
      <c r="C262" s="1">
        <v>776.20996100000002</v>
      </c>
      <c r="D262" s="1">
        <v>18.639999</v>
      </c>
      <c r="E262" s="1">
        <v>1534.309937</v>
      </c>
      <c r="F262" s="1">
        <v>-1713.419922</v>
      </c>
      <c r="G262" s="1">
        <v>8.1799990000000005</v>
      </c>
      <c r="H262" s="1">
        <v>0</v>
      </c>
      <c r="I262" s="1">
        <v>2.0000000000000001E-4</v>
      </c>
      <c r="J262" s="1">
        <v>2.0329999999999999</v>
      </c>
      <c r="K262" s="1">
        <v>1.206E-3</v>
      </c>
      <c r="L262" s="1">
        <v>2.9320000000000001E-3</v>
      </c>
      <c r="M262" s="1">
        <v>-0.37907999999999997</v>
      </c>
      <c r="N262" s="1">
        <v>0.92535800000000001</v>
      </c>
      <c r="O262">
        <v>1</v>
      </c>
      <c r="P262">
        <v>0</v>
      </c>
      <c r="Q262">
        <v>1</v>
      </c>
      <c r="R262">
        <v>1</v>
      </c>
      <c r="S262">
        <v>1</v>
      </c>
      <c r="T262" s="1">
        <f>SQRT(POWER(Plank[[#This Row],[angvel_X]],2) + POWER(Plank[[#This Row],[angvel_Y]],2) + POWER(Plank[[#This Row],[angvel_Z]],2))</f>
        <v>2.0330000098376781</v>
      </c>
      <c r="U262" s="1">
        <f>DEGREES(ASIN(MAX(-1,MIN(1,2 * (Plank[[#This Row],[quart_W]]*Plank[[#This Row],[quart_Y]] - Plank[[#This Row],[quart_Z]]*Plank[[#This Row],[quart_X]])))))</f>
        <v>0.36329436132141851</v>
      </c>
      <c r="V26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134.55363441048004</v>
      </c>
      <c r="W26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89.999482128791257</v>
      </c>
      <c r="X262" s="1">
        <f>IF(Plank[[#This Row],[Yaw]]&gt;V261,(360-ABS(Plank[[#This Row],[Yaw]])-ABS(V261)),ABS(Plank[[#This Row],[Yaw]]-V261))</f>
        <v>0.97046923220975145</v>
      </c>
      <c r="Y262" s="1">
        <f>Plank[[#This Row],[Degree change]]+Y261</f>
        <v>194.596850214932</v>
      </c>
    </row>
    <row r="263" spans="1:25">
      <c r="A263">
        <v>262</v>
      </c>
      <c r="B263" s="1">
        <v>-1598.1899410000001</v>
      </c>
      <c r="C263" s="1">
        <v>761.88000499999998</v>
      </c>
      <c r="D263" s="1">
        <v>18.639999</v>
      </c>
      <c r="E263" s="1">
        <v>1563.1099850000001</v>
      </c>
      <c r="F263" s="1">
        <v>-1687.179932</v>
      </c>
      <c r="G263" s="1">
        <v>8.1799990000000005</v>
      </c>
      <c r="H263" s="1">
        <v>0</v>
      </c>
      <c r="I263" s="1">
        <v>2.0000000000000001E-4</v>
      </c>
      <c r="J263" s="1">
        <v>2.0329999999999999</v>
      </c>
      <c r="K263" s="1">
        <v>1.1789999999999999E-3</v>
      </c>
      <c r="L263" s="1">
        <v>2.9429999999999999E-3</v>
      </c>
      <c r="M263" s="1">
        <v>-0.37123099999999998</v>
      </c>
      <c r="N263" s="1">
        <v>0.928535</v>
      </c>
      <c r="O263">
        <v>1</v>
      </c>
      <c r="P263">
        <v>0</v>
      </c>
      <c r="Q263">
        <v>1</v>
      </c>
      <c r="R263">
        <v>1</v>
      </c>
      <c r="S263">
        <v>1</v>
      </c>
      <c r="T263" s="1">
        <f>SQRT(POWER(Plank[[#This Row],[angvel_X]],2) + POWER(Plank[[#This Row],[angvel_Y]],2) + POWER(Plank[[#This Row],[angvel_Z]],2))</f>
        <v>2.0330000098376781</v>
      </c>
      <c r="U263" s="1">
        <f>DEGREES(ASIN(MAX(-1,MIN(1,2 * (Plank[[#This Row],[quart_W]]*Plank[[#This Row],[quart_Y]] - Plank[[#This Row],[quart_Z]]*Plank[[#This Row],[quart_X]])))))</f>
        <v>0.36329891276045423</v>
      </c>
      <c r="V26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133.58333791456596</v>
      </c>
      <c r="W26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89.999746755355915</v>
      </c>
      <c r="X263" s="1">
        <f>IF(Plank[[#This Row],[Yaw]]&gt;V262,(360-ABS(Plank[[#This Row],[Yaw]])-ABS(V262)),ABS(Plank[[#This Row],[Yaw]]-V262))</f>
        <v>0.97029649591408429</v>
      </c>
      <c r="Y263" s="1">
        <f>Plank[[#This Row],[Degree change]]+Y262</f>
        <v>195.56714671084609</v>
      </c>
    </row>
    <row r="264" spans="1:25">
      <c r="A264">
        <v>263</v>
      </c>
      <c r="B264" s="1">
        <v>-1585.1099850000001</v>
      </c>
      <c r="C264" s="1">
        <v>747.76995799999997</v>
      </c>
      <c r="D264" s="1">
        <v>18.639999</v>
      </c>
      <c r="E264" s="1">
        <v>1591.469971</v>
      </c>
      <c r="F264" s="1">
        <v>-1660.459961</v>
      </c>
      <c r="G264" s="1">
        <v>8.1799990000000005</v>
      </c>
      <c r="H264" s="1">
        <v>0</v>
      </c>
      <c r="I264" s="1">
        <v>2.0000000000000001E-4</v>
      </c>
      <c r="J264" s="1">
        <v>2.0329999999999999</v>
      </c>
      <c r="K264" s="1">
        <v>1.152E-3</v>
      </c>
      <c r="L264" s="1">
        <v>2.954E-3</v>
      </c>
      <c r="M264" s="1">
        <v>-0.36335400000000001</v>
      </c>
      <c r="N264" s="1">
        <v>0.93164499999999995</v>
      </c>
      <c r="O264">
        <v>1</v>
      </c>
      <c r="P264">
        <v>0</v>
      </c>
      <c r="Q264">
        <v>1</v>
      </c>
      <c r="R264">
        <v>1</v>
      </c>
      <c r="S264">
        <v>1</v>
      </c>
      <c r="T264" s="1">
        <f>SQRT(POWER(Plank[[#This Row],[angvel_X]],2) + POWER(Plank[[#This Row],[angvel_Y]],2) + POWER(Plank[[#This Row],[angvel_Z]],2))</f>
        <v>2.0330000098376781</v>
      </c>
      <c r="U264" s="1">
        <f>DEGREES(ASIN(MAX(-1,MIN(1,2 * (Plank[[#This Row],[quart_W]]*Plank[[#This Row],[quart_Y]] - Plank[[#This Row],[quart_Z]]*Plank[[#This Row],[quart_X]])))))</f>
        <v>0.36333366724556315</v>
      </c>
      <c r="V26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132.61284168267346</v>
      </c>
      <c r="W26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90.000010620100852</v>
      </c>
      <c r="X264" s="1">
        <f>IF(Plank[[#This Row],[Yaw]]&gt;V263,(360-ABS(Plank[[#This Row],[Yaw]])-ABS(V263)),ABS(Plank[[#This Row],[Yaw]]-V263))</f>
        <v>0.97049623189249701</v>
      </c>
      <c r="Y264" s="1">
        <f>Plank[[#This Row],[Degree change]]+Y263</f>
        <v>196.53764294273859</v>
      </c>
    </row>
    <row r="265" spans="1:25">
      <c r="A265">
        <v>264</v>
      </c>
      <c r="B265" s="1">
        <v>-1571.799927</v>
      </c>
      <c r="C265" s="1">
        <v>733.88995399999999</v>
      </c>
      <c r="D265" s="1">
        <v>18.639999</v>
      </c>
      <c r="E265" s="1">
        <v>1619.369995</v>
      </c>
      <c r="F265" s="1">
        <v>-1633.26001</v>
      </c>
      <c r="G265" s="1">
        <v>8.1799990000000005</v>
      </c>
      <c r="H265" s="1">
        <v>0</v>
      </c>
      <c r="I265" s="1">
        <v>2.0000000000000001E-4</v>
      </c>
      <c r="J265" s="1">
        <v>2.0329999999999999</v>
      </c>
      <c r="K265" s="1">
        <v>1.1249999999999999E-3</v>
      </c>
      <c r="L265" s="1">
        <v>2.9640000000000001E-3</v>
      </c>
      <c r="M265" s="1">
        <v>-0.35545100000000002</v>
      </c>
      <c r="N265" s="1">
        <v>0.93468899999999999</v>
      </c>
      <c r="O265">
        <v>1</v>
      </c>
      <c r="P265">
        <v>0</v>
      </c>
      <c r="Q265">
        <v>1</v>
      </c>
      <c r="R265">
        <v>1</v>
      </c>
      <c r="S265">
        <v>1</v>
      </c>
      <c r="T265" s="1">
        <f>SQRT(POWER(Plank[[#This Row],[angvel_X]],2) + POWER(Plank[[#This Row],[angvel_Y]],2) + POWER(Plank[[#This Row],[angvel_Z]],2))</f>
        <v>2.0330000098376781</v>
      </c>
      <c r="U265" s="1">
        <f>DEGREES(ASIN(MAX(-1,MIN(1,2 * (Plank[[#This Row],[quart_W]]*Plank[[#This Row],[quart_Y]] - Plank[[#This Row],[quart_Z]]*Plank[[#This Row],[quart_X]])))))</f>
        <v>0.363292119292497</v>
      </c>
      <c r="V26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131.64237861571303</v>
      </c>
      <c r="W26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90.000232813360356</v>
      </c>
      <c r="X265" s="1">
        <f>IF(Plank[[#This Row],[Yaw]]&gt;V264,(360-ABS(Plank[[#This Row],[Yaw]])-ABS(V264)),ABS(Plank[[#This Row],[Yaw]]-V264))</f>
        <v>0.97046306696043416</v>
      </c>
      <c r="Y265" s="1">
        <f>Plank[[#This Row],[Degree change]]+Y264</f>
        <v>197.50810600969902</v>
      </c>
    </row>
    <row r="266" spans="1:25">
      <c r="A266">
        <v>265</v>
      </c>
      <c r="B266" s="1">
        <v>-1558.25</v>
      </c>
      <c r="C266" s="1">
        <v>720.22997999999995</v>
      </c>
      <c r="D266" s="1">
        <v>18.639999</v>
      </c>
      <c r="E266" s="1">
        <v>1646.799927</v>
      </c>
      <c r="F266" s="1">
        <v>-1605.599976</v>
      </c>
      <c r="G266" s="1">
        <v>8.1799990000000005</v>
      </c>
      <c r="H266" s="1">
        <v>0</v>
      </c>
      <c r="I266" s="1">
        <v>2.0000000000000001E-4</v>
      </c>
      <c r="J266" s="1">
        <v>2.0329999999999999</v>
      </c>
      <c r="K266" s="1">
        <v>1.098E-3</v>
      </c>
      <c r="L266" s="1">
        <v>2.9750000000000002E-3</v>
      </c>
      <c r="M266" s="1">
        <v>-0.34752100000000002</v>
      </c>
      <c r="N266" s="1">
        <v>0.93766700000000003</v>
      </c>
      <c r="O266">
        <v>1</v>
      </c>
      <c r="P266">
        <v>0</v>
      </c>
      <c r="Q266">
        <v>1</v>
      </c>
      <c r="R266">
        <v>1</v>
      </c>
      <c r="S266">
        <v>1</v>
      </c>
      <c r="T266" s="1">
        <f>SQRT(POWER(Plank[[#This Row],[angvel_X]],2) + POWER(Plank[[#This Row],[angvel_Y]],2) + POWER(Plank[[#This Row],[angvel_Z]],2))</f>
        <v>2.0330000098376781</v>
      </c>
      <c r="U266" s="1">
        <f>DEGREES(ASIN(MAX(-1,MIN(1,2 * (Plank[[#This Row],[quart_W]]*Plank[[#This Row],[quart_Y]] - Plank[[#This Row],[quart_Z]]*Plank[[#This Row],[quart_X]])))))</f>
        <v>0.36338801281233141</v>
      </c>
      <c r="V26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130.6717463331504</v>
      </c>
      <c r="W26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90.000494656903768</v>
      </c>
      <c r="X266" s="1">
        <f>IF(Plank[[#This Row],[Yaw]]&gt;V265,(360-ABS(Plank[[#This Row],[Yaw]])-ABS(V265)),ABS(Plank[[#This Row],[Yaw]]-V265))</f>
        <v>0.97063228256263301</v>
      </c>
      <c r="Y266" s="1">
        <f>Plank[[#This Row],[Degree change]]+Y265</f>
        <v>198.47873829226165</v>
      </c>
    </row>
    <row r="267" spans="1:25">
      <c r="A267">
        <v>266</v>
      </c>
      <c r="B267" s="1">
        <v>-1544.469971</v>
      </c>
      <c r="C267" s="1">
        <v>706.80999799999995</v>
      </c>
      <c r="D267" s="1">
        <v>18.639999</v>
      </c>
      <c r="E267" s="1">
        <v>1673.76001</v>
      </c>
      <c r="F267" s="1">
        <v>-1577.469971</v>
      </c>
      <c r="G267" s="1">
        <v>8.1799990000000005</v>
      </c>
      <c r="H267" s="1">
        <v>0</v>
      </c>
      <c r="I267" s="1">
        <v>2.0000000000000001E-4</v>
      </c>
      <c r="J267" s="1">
        <v>2.0329999999999999</v>
      </c>
      <c r="K267" s="1">
        <v>1.0709999999999999E-3</v>
      </c>
      <c r="L267" s="1">
        <v>2.9859999999999999E-3</v>
      </c>
      <c r="M267" s="1">
        <v>-0.339563</v>
      </c>
      <c r="N267" s="1">
        <v>0.94057800000000003</v>
      </c>
      <c r="O267">
        <v>1</v>
      </c>
      <c r="P267">
        <v>0</v>
      </c>
      <c r="Q267">
        <v>1</v>
      </c>
      <c r="R267">
        <v>1</v>
      </c>
      <c r="S267">
        <v>1</v>
      </c>
      <c r="T267" s="1">
        <f>SQRT(POWER(Plank[[#This Row],[angvel_X]],2) + POWER(Plank[[#This Row],[angvel_Y]],2) + POWER(Plank[[#This Row],[angvel_Z]],2))</f>
        <v>2.0330000098376781</v>
      </c>
      <c r="U267" s="1">
        <f>DEGREES(ASIN(MAX(-1,MIN(1,2 * (Plank[[#This Row],[quart_W]]*Plank[[#This Row],[quart_Y]] - Plank[[#This Row],[quart_Z]]*Plank[[#This Row],[quart_X]])))))</f>
        <v>0.36351412313112141</v>
      </c>
      <c r="V26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129.70071545838022</v>
      </c>
      <c r="W26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90.000753578426313</v>
      </c>
      <c r="X267" s="1">
        <f>IF(Plank[[#This Row],[Yaw]]&gt;V266,(360-ABS(Plank[[#This Row],[Yaw]])-ABS(V266)),ABS(Plank[[#This Row],[Yaw]]-V266))</f>
        <v>0.9710308747701788</v>
      </c>
      <c r="Y267" s="1">
        <f>Plank[[#This Row],[Degree change]]+Y266</f>
        <v>199.44976916703183</v>
      </c>
    </row>
    <row r="268" spans="1:25">
      <c r="A268">
        <v>267</v>
      </c>
      <c r="B268" s="1">
        <v>-1530.469971</v>
      </c>
      <c r="C268" s="1">
        <v>693.61999500000002</v>
      </c>
      <c r="D268" s="1">
        <v>18.639999</v>
      </c>
      <c r="E268" s="1">
        <v>1700.23999</v>
      </c>
      <c r="F268" s="1">
        <v>-1548.8900149999999</v>
      </c>
      <c r="G268" s="1">
        <v>8.1799990000000005</v>
      </c>
      <c r="H268" s="1">
        <v>0</v>
      </c>
      <c r="I268" s="1">
        <v>2.0000000000000001E-4</v>
      </c>
      <c r="J268" s="1">
        <v>2.0329999999999999</v>
      </c>
      <c r="K268" s="1">
        <v>1.044E-3</v>
      </c>
      <c r="L268" s="1">
        <v>2.9970000000000001E-3</v>
      </c>
      <c r="M268" s="1">
        <v>-0.33158399999999999</v>
      </c>
      <c r="N268" s="1">
        <v>0.94342000000000004</v>
      </c>
      <c r="O268">
        <v>1</v>
      </c>
      <c r="P268">
        <v>0</v>
      </c>
      <c r="Q268">
        <v>1</v>
      </c>
      <c r="R268">
        <v>1</v>
      </c>
      <c r="S268">
        <v>1</v>
      </c>
      <c r="T268" s="1">
        <f>SQRT(POWER(Plank[[#This Row],[angvel_X]],2) + POWER(Plank[[#This Row],[angvel_Y]],2) + POWER(Plank[[#This Row],[angvel_Z]],2))</f>
        <v>2.0330000098376781</v>
      </c>
      <c r="U268" s="1">
        <f>DEGREES(ASIN(MAX(-1,MIN(1,2 * (Plank[[#This Row],[quart_W]]*Plank[[#This Row],[quart_Y]] - Plank[[#This Row],[quart_Z]]*Plank[[#This Row],[quart_X]])))))</f>
        <v>0.36367060735832585</v>
      </c>
      <c r="V26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128.73008745239446</v>
      </c>
      <c r="W26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90.001011493481585</v>
      </c>
      <c r="X268" s="1">
        <f>IF(Plank[[#This Row],[Yaw]]&gt;V267,(360-ABS(Plank[[#This Row],[Yaw]])-ABS(V267)),ABS(Plank[[#This Row],[Yaw]]-V267))</f>
        <v>0.97062800598575905</v>
      </c>
      <c r="Y268" s="1">
        <f>Plank[[#This Row],[Degree change]]+Y267</f>
        <v>200.42039717301759</v>
      </c>
    </row>
    <row r="269" spans="1:25">
      <c r="A269">
        <v>268</v>
      </c>
      <c r="B269" s="1">
        <v>-1516.25</v>
      </c>
      <c r="C269" s="1">
        <v>680.669983</v>
      </c>
      <c r="D269" s="1">
        <v>18.639999</v>
      </c>
      <c r="E269" s="1">
        <v>1726.23999</v>
      </c>
      <c r="F269" s="1">
        <v>-1519.869995</v>
      </c>
      <c r="G269" s="1">
        <v>8.1799990000000005</v>
      </c>
      <c r="H269" s="1">
        <v>0</v>
      </c>
      <c r="I269" s="1">
        <v>1E-4</v>
      </c>
      <c r="J269" s="1">
        <v>2.0329999999999999</v>
      </c>
      <c r="K269" s="1">
        <v>1.0169999999999999E-3</v>
      </c>
      <c r="L269" s="1">
        <v>3.0079999999999998E-3</v>
      </c>
      <c r="M269" s="1">
        <v>-0.32357799999999998</v>
      </c>
      <c r="N269" s="1">
        <v>0.94619600000000004</v>
      </c>
      <c r="O269">
        <v>1</v>
      </c>
      <c r="P269">
        <v>0</v>
      </c>
      <c r="Q269">
        <v>1</v>
      </c>
      <c r="R269">
        <v>1</v>
      </c>
      <c r="S269">
        <v>1</v>
      </c>
      <c r="T269" s="1">
        <f>SQRT(POWER(Plank[[#This Row],[angvel_X]],2) + POWER(Plank[[#This Row],[angvel_Y]],2) + POWER(Plank[[#This Row],[angvel_Z]],2))</f>
        <v>2.0330000024594197</v>
      </c>
      <c r="U269" s="1">
        <f>DEGREES(ASIN(MAX(-1,MIN(1,2 * (Plank[[#This Row],[quart_W]]*Plank[[#This Row],[quart_Y]] - Plank[[#This Row],[quart_Z]]*Plank[[#This Row],[quart_X]])))))</f>
        <v>0.36385773433274327</v>
      </c>
      <c r="V26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127.7590881149378</v>
      </c>
      <c r="W26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90.001265264377409</v>
      </c>
      <c r="X269" s="1">
        <f>IF(Plank[[#This Row],[Yaw]]&gt;V268,(360-ABS(Plank[[#This Row],[Yaw]])-ABS(V268)),ABS(Plank[[#This Row],[Yaw]]-V268))</f>
        <v>0.97099933745666078</v>
      </c>
      <c r="Y269" s="1">
        <f>Plank[[#This Row],[Degree change]]+Y268</f>
        <v>201.39139651047424</v>
      </c>
    </row>
    <row r="270" spans="1:25">
      <c r="A270">
        <v>269</v>
      </c>
      <c r="B270" s="1">
        <v>-1501.809937</v>
      </c>
      <c r="C270" s="1">
        <v>667.95996100000002</v>
      </c>
      <c r="D270" s="1">
        <v>18.639999</v>
      </c>
      <c r="E270" s="1">
        <v>1751.73999</v>
      </c>
      <c r="F270" s="1">
        <v>-1490.4099120000001</v>
      </c>
      <c r="G270" s="1">
        <v>8.1799990000000005</v>
      </c>
      <c r="H270" s="1">
        <v>1E-4</v>
      </c>
      <c r="I270" s="1">
        <v>1E-4</v>
      </c>
      <c r="J270" s="1">
        <v>2.0329999999999999</v>
      </c>
      <c r="K270" s="1">
        <v>9.8999999999999999E-4</v>
      </c>
      <c r="L270" s="1">
        <v>3.0179999999999998E-3</v>
      </c>
      <c r="M270" s="1">
        <v>-0.31555100000000003</v>
      </c>
      <c r="N270" s="1">
        <v>0.94890300000000005</v>
      </c>
      <c r="O270">
        <v>1</v>
      </c>
      <c r="P270">
        <v>0</v>
      </c>
      <c r="Q270">
        <v>1</v>
      </c>
      <c r="R270">
        <v>1</v>
      </c>
      <c r="S270">
        <v>1</v>
      </c>
      <c r="T270" s="1">
        <f>SQRT(POWER(Plank[[#This Row],[angvel_X]],2) + POWER(Plank[[#This Row],[angvel_Y]],2) + POWER(Plank[[#This Row],[angvel_Z]],2))</f>
        <v>2.033000004918839</v>
      </c>
      <c r="U270" s="1">
        <f>DEGREES(ASIN(MAX(-1,MIN(1,2 * (Plank[[#This Row],[quart_W]]*Plank[[#This Row],[quart_Y]] - Plank[[#This Row],[quart_Z]]*Plank[[#This Row],[quart_X]])))))</f>
        <v>0.3639664094297746</v>
      </c>
      <c r="V27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126.78834886780739</v>
      </c>
      <c r="W27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90.001480432262412</v>
      </c>
      <c r="X270" s="1">
        <f>IF(Plank[[#This Row],[Yaw]]&gt;V269,(360-ABS(Plank[[#This Row],[Yaw]])-ABS(V269)),ABS(Plank[[#This Row],[Yaw]]-V269))</f>
        <v>0.97073924713041038</v>
      </c>
      <c r="Y270" s="1">
        <f>Plank[[#This Row],[Degree change]]+Y269</f>
        <v>202.36213575760465</v>
      </c>
    </row>
    <row r="271" spans="1:25">
      <c r="A271">
        <v>270</v>
      </c>
      <c r="B271" s="1">
        <v>-1487.1599120000001</v>
      </c>
      <c r="C271" s="1">
        <v>655.5</v>
      </c>
      <c r="D271" s="1">
        <v>18.639999</v>
      </c>
      <c r="E271" s="1">
        <v>1776.7299800000001</v>
      </c>
      <c r="F271" s="1">
        <v>-1460.5200199999999</v>
      </c>
      <c r="G271" s="1">
        <v>8.1799990000000005</v>
      </c>
      <c r="H271" s="1">
        <v>1E-4</v>
      </c>
      <c r="I271" s="1">
        <v>0</v>
      </c>
      <c r="J271" s="1">
        <v>2.0329999999999999</v>
      </c>
      <c r="K271" s="1">
        <v>9.6299999999999999E-4</v>
      </c>
      <c r="L271" s="1">
        <v>3.029E-3</v>
      </c>
      <c r="M271" s="1">
        <v>-0.307502</v>
      </c>
      <c r="N271" s="1">
        <v>0.951542</v>
      </c>
      <c r="O271">
        <v>1</v>
      </c>
      <c r="P271">
        <v>0</v>
      </c>
      <c r="Q271">
        <v>1</v>
      </c>
      <c r="R271">
        <v>1</v>
      </c>
      <c r="S271">
        <v>1</v>
      </c>
      <c r="T271" s="1">
        <f>SQRT(POWER(Plank[[#This Row],[angvel_X]],2) + POWER(Plank[[#This Row],[angvel_Y]],2) + POWER(Plank[[#This Row],[angvel_Z]],2))</f>
        <v>2.0330000024594197</v>
      </c>
      <c r="U271" s="1">
        <f>DEGREES(ASIN(MAX(-1,MIN(1,2 * (Plank[[#This Row],[quart_W]]*Plank[[#This Row],[quart_Y]] - Plank[[#This Row],[quart_Z]]*Plank[[#This Row],[quart_X]])))))</f>
        <v>0.36421397803236166</v>
      </c>
      <c r="V27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125.81769638500511</v>
      </c>
      <c r="W27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90.001729062506797</v>
      </c>
      <c r="X271" s="1">
        <f>IF(Plank[[#This Row],[Yaw]]&gt;V270,(360-ABS(Plank[[#This Row],[Yaw]])-ABS(V270)),ABS(Plank[[#This Row],[Yaw]]-V270))</f>
        <v>0.97065248280227934</v>
      </c>
      <c r="Y271" s="1">
        <f>Plank[[#This Row],[Degree change]]+Y270</f>
        <v>203.33278824040693</v>
      </c>
    </row>
    <row r="272" spans="1:25">
      <c r="A272">
        <v>271</v>
      </c>
      <c r="B272" s="1">
        <v>-1472.299927</v>
      </c>
      <c r="C272" s="1">
        <v>643.28997800000002</v>
      </c>
      <c r="D272" s="1">
        <v>18.639999</v>
      </c>
      <c r="E272" s="1">
        <v>1801.219971</v>
      </c>
      <c r="F272" s="1">
        <v>-1430.209961</v>
      </c>
      <c r="G272" s="1">
        <v>8.1799990000000005</v>
      </c>
      <c r="H272" s="1">
        <v>1E-4</v>
      </c>
      <c r="I272" s="1">
        <v>0</v>
      </c>
      <c r="J272" s="1">
        <v>2.0329999999999999</v>
      </c>
      <c r="K272" s="1">
        <v>9.3599999999999998E-4</v>
      </c>
      <c r="L272" s="1">
        <v>3.0400000000000002E-3</v>
      </c>
      <c r="M272" s="1">
        <v>-0.299431</v>
      </c>
      <c r="N272" s="1">
        <v>0.95411299999999999</v>
      </c>
      <c r="O272">
        <v>1</v>
      </c>
      <c r="P272">
        <v>0</v>
      </c>
      <c r="Q272">
        <v>1</v>
      </c>
      <c r="R272">
        <v>1</v>
      </c>
      <c r="S272">
        <v>1</v>
      </c>
      <c r="T272" s="1">
        <f>SQRT(POWER(Plank[[#This Row],[angvel_X]],2) + POWER(Plank[[#This Row],[angvel_Y]],2) + POWER(Plank[[#This Row],[angvel_Z]],2))</f>
        <v>2.0330000024594197</v>
      </c>
      <c r="U272" s="1">
        <f>DEGREES(ASIN(MAX(-1,MIN(1,2 * (Plank[[#This Row],[quart_W]]*Plank[[#This Row],[quart_Y]] - Plank[[#This Row],[quart_Z]]*Plank[[#This Row],[quart_X]])))))</f>
        <v>0.36449195894011749</v>
      </c>
      <c r="V27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124.84705967876492</v>
      </c>
      <c r="W27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90.001973360664579</v>
      </c>
      <c r="X272" s="1">
        <f>IF(Plank[[#This Row],[Yaw]]&gt;V271,(360-ABS(Plank[[#This Row],[Yaw]])-ABS(V271)),ABS(Plank[[#This Row],[Yaw]]-V271))</f>
        <v>0.97063670624018528</v>
      </c>
      <c r="Y272" s="1">
        <f>Plank[[#This Row],[Degree change]]+Y271</f>
        <v>204.30342494664711</v>
      </c>
    </row>
    <row r="273" spans="1:25">
      <c r="A273">
        <v>272</v>
      </c>
      <c r="B273" s="1">
        <v>-1457.2299800000001</v>
      </c>
      <c r="C273" s="1">
        <v>631.32995600000004</v>
      </c>
      <c r="D273" s="1">
        <v>18.639999</v>
      </c>
      <c r="E273" s="1">
        <v>1825.1899410000001</v>
      </c>
      <c r="F273" s="1">
        <v>-1399.48999</v>
      </c>
      <c r="G273" s="1">
        <v>8.1799990000000005</v>
      </c>
      <c r="H273" s="1">
        <v>1E-4</v>
      </c>
      <c r="I273" s="1">
        <v>0</v>
      </c>
      <c r="J273" s="1">
        <v>2.0329999999999999</v>
      </c>
      <c r="K273" s="1">
        <v>9.0899999999999998E-4</v>
      </c>
      <c r="L273" s="1">
        <v>3.045E-3</v>
      </c>
      <c r="M273" s="1">
        <v>-0.29133900000000001</v>
      </c>
      <c r="N273" s="1">
        <v>0.95661499999999999</v>
      </c>
      <c r="O273">
        <v>1</v>
      </c>
      <c r="P273">
        <v>0</v>
      </c>
      <c r="Q273">
        <v>1</v>
      </c>
      <c r="R273">
        <v>1</v>
      </c>
      <c r="S273">
        <v>1</v>
      </c>
      <c r="T273" s="1">
        <f>SQRT(POWER(Plank[[#This Row],[angvel_X]],2) + POWER(Plank[[#This Row],[angvel_Y]],2) + POWER(Plank[[#This Row],[angvel_Z]],2))</f>
        <v>2.0330000024594197</v>
      </c>
      <c r="U273" s="1">
        <f>DEGREES(ASIN(MAX(-1,MIN(1,2 * (Plank[[#This Row],[quart_W]]*Plank[[#This Row],[quart_Y]] - Plank[[#This Row],[quart_Z]]*Plank[[#This Row],[quart_X]])))))</f>
        <v>0.3641423204203717</v>
      </c>
      <c r="V27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123.87646777989168</v>
      </c>
      <c r="W27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90.002012752002827</v>
      </c>
      <c r="X273" s="1">
        <f>IF(Plank[[#This Row],[Yaw]]&gt;V272,(360-ABS(Plank[[#This Row],[Yaw]])-ABS(V272)),ABS(Plank[[#This Row],[Yaw]]-V272))</f>
        <v>0.97059189887323782</v>
      </c>
      <c r="Y273" s="1">
        <f>Plank[[#This Row],[Degree change]]+Y272</f>
        <v>205.27401684552035</v>
      </c>
    </row>
    <row r="274" spans="1:25">
      <c r="A274">
        <v>273</v>
      </c>
      <c r="B274" s="1">
        <v>-1441.959961</v>
      </c>
      <c r="C274" s="1">
        <v>619.63000499999998</v>
      </c>
      <c r="D274" s="1">
        <v>18.639999</v>
      </c>
      <c r="E274" s="1">
        <v>1848.6400149999999</v>
      </c>
      <c r="F274" s="1">
        <v>-1368.369995</v>
      </c>
      <c r="G274" s="1">
        <v>8.1799990000000005</v>
      </c>
      <c r="H274" s="1">
        <v>1E-4</v>
      </c>
      <c r="I274" s="1">
        <v>0</v>
      </c>
      <c r="J274" s="1">
        <v>2.0329999999999999</v>
      </c>
      <c r="K274" s="1">
        <v>8.8199999999999997E-4</v>
      </c>
      <c r="L274" s="1">
        <v>3.0509999999999999E-3</v>
      </c>
      <c r="M274" s="1">
        <v>-0.283225</v>
      </c>
      <c r="N274" s="1">
        <v>0.95904800000000001</v>
      </c>
      <c r="O274">
        <v>1</v>
      </c>
      <c r="P274">
        <v>0</v>
      </c>
      <c r="Q274">
        <v>1</v>
      </c>
      <c r="R274">
        <v>1</v>
      </c>
      <c r="S274">
        <v>1</v>
      </c>
      <c r="T274" s="1">
        <f>SQRT(POWER(Plank[[#This Row],[angvel_X]],2) + POWER(Plank[[#This Row],[angvel_Y]],2) + POWER(Plank[[#This Row],[angvel_Z]],2))</f>
        <v>2.0330000024594197</v>
      </c>
      <c r="U274" s="1">
        <f>DEGREES(ASIN(MAX(-1,MIN(1,2 * (Plank[[#This Row],[quart_W]]*Plank[[#This Row],[quart_Y]] - Plank[[#This Row],[quart_Z]]*Plank[[#This Row],[quart_X]])))))</f>
        <v>0.36392918406919028</v>
      </c>
      <c r="V27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122.90572590306222</v>
      </c>
      <c r="W27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90.002090093535941</v>
      </c>
      <c r="X274" s="1">
        <f>IF(Plank[[#This Row],[Yaw]]&gt;V273,(360-ABS(Plank[[#This Row],[Yaw]])-ABS(V273)),ABS(Plank[[#This Row],[Yaw]]-V273))</f>
        <v>0.97074187682946445</v>
      </c>
      <c r="Y274" s="1">
        <f>Plank[[#This Row],[Degree change]]+Y273</f>
        <v>206.24475872234981</v>
      </c>
    </row>
    <row r="275" spans="1:25">
      <c r="A275">
        <v>274</v>
      </c>
      <c r="B275" s="1">
        <v>-1426.5</v>
      </c>
      <c r="C275" s="1">
        <v>608.19000200000005</v>
      </c>
      <c r="D275" s="1">
        <v>18.639999</v>
      </c>
      <c r="E275" s="1">
        <v>1871.549927</v>
      </c>
      <c r="F275" s="1">
        <v>-1336.8599850000001</v>
      </c>
      <c r="G275" s="1">
        <v>8.1799990000000005</v>
      </c>
      <c r="H275" s="1">
        <v>2.0000000000000001E-4</v>
      </c>
      <c r="I275" s="1">
        <v>0</v>
      </c>
      <c r="J275" s="1">
        <v>2.0329999999999999</v>
      </c>
      <c r="K275" s="1">
        <v>8.5499999999999997E-4</v>
      </c>
      <c r="L275" s="1">
        <v>3.0560000000000001E-3</v>
      </c>
      <c r="M275" s="1">
        <v>-0.27509</v>
      </c>
      <c r="N275" s="1">
        <v>0.96141299999999996</v>
      </c>
      <c r="O275">
        <v>1</v>
      </c>
      <c r="P275">
        <v>0</v>
      </c>
      <c r="Q275">
        <v>1</v>
      </c>
      <c r="R275">
        <v>1</v>
      </c>
      <c r="S275">
        <v>1</v>
      </c>
      <c r="T275" s="1">
        <f>SQRT(POWER(Plank[[#This Row],[angvel_X]],2) + POWER(Plank[[#This Row],[angvel_Y]],2) + POWER(Plank[[#This Row],[angvel_Z]],2))</f>
        <v>2.0330000098376781</v>
      </c>
      <c r="U275" s="1">
        <f>DEGREES(ASIN(MAX(-1,MIN(1,2 * (Plank[[#This Row],[quart_W]]*Plank[[#This Row],[quart_Y]] - Plank[[#This Row],[quart_Z]]*Plank[[#This Row],[quart_X]])))))</f>
        <v>0.3636335525146358</v>
      </c>
      <c r="V27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121.93492069807965</v>
      </c>
      <c r="W27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90.002139115119448</v>
      </c>
      <c r="X275" s="1">
        <f>IF(Plank[[#This Row],[Yaw]]&gt;V274,(360-ABS(Plank[[#This Row],[Yaw]])-ABS(V274)),ABS(Plank[[#This Row],[Yaw]]-V274))</f>
        <v>0.97080520498256817</v>
      </c>
      <c r="Y275" s="1">
        <f>Plank[[#This Row],[Degree change]]+Y274</f>
        <v>207.21556392733237</v>
      </c>
    </row>
    <row r="276" spans="1:25">
      <c r="A276">
        <v>275</v>
      </c>
      <c r="B276" s="1">
        <v>-1410.849976</v>
      </c>
      <c r="C276" s="1">
        <v>597.01000999999997</v>
      </c>
      <c r="D276" s="1">
        <v>18.639999</v>
      </c>
      <c r="E276" s="1">
        <v>1893.929932</v>
      </c>
      <c r="F276" s="1">
        <v>-1304.959961</v>
      </c>
      <c r="G276" s="1">
        <v>8.1799990000000005</v>
      </c>
      <c r="H276" s="1">
        <v>2.9999999999999997E-4</v>
      </c>
      <c r="I276" s="1">
        <v>0</v>
      </c>
      <c r="J276" s="1">
        <v>2.0329999999999999</v>
      </c>
      <c r="K276" s="1">
        <v>8.2799999999999996E-4</v>
      </c>
      <c r="L276" s="1">
        <v>3.0620000000000001E-3</v>
      </c>
      <c r="M276" s="1">
        <v>-0.26693800000000001</v>
      </c>
      <c r="N276" s="1">
        <v>0.96370800000000001</v>
      </c>
      <c r="O276">
        <v>1</v>
      </c>
      <c r="P276">
        <v>0</v>
      </c>
      <c r="Q276">
        <v>1</v>
      </c>
      <c r="R276">
        <v>1</v>
      </c>
      <c r="S276">
        <v>1</v>
      </c>
      <c r="T276" s="1">
        <f>SQRT(POWER(Plank[[#This Row],[angvel_X]],2) + POWER(Plank[[#This Row],[angvel_Y]],2) + POWER(Plank[[#This Row],[angvel_Z]],2))</f>
        <v>2.0330000221347762</v>
      </c>
      <c r="U276" s="1">
        <f>DEGREES(ASIN(MAX(-1,MIN(1,2 * (Plank[[#This Row],[quart_W]]*Plank[[#This Row],[quart_Y]] - Plank[[#This Row],[quart_Z]]*Plank[[#This Row],[quart_X]])))))</f>
        <v>0.36347523902620821</v>
      </c>
      <c r="V27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120.96443590396908</v>
      </c>
      <c r="W27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90.00222471750125</v>
      </c>
      <c r="X276" s="1">
        <f>IF(Plank[[#This Row],[Yaw]]&gt;V275,(360-ABS(Plank[[#This Row],[Yaw]])-ABS(V275)),ABS(Plank[[#This Row],[Yaw]]-V275))</f>
        <v>0.97048479411057542</v>
      </c>
      <c r="Y276" s="1">
        <f>Plank[[#This Row],[Degree change]]+Y275</f>
        <v>208.18604872144294</v>
      </c>
    </row>
    <row r="277" spans="1:25">
      <c r="A277">
        <v>276</v>
      </c>
      <c r="B277" s="1">
        <v>-1395.01001</v>
      </c>
      <c r="C277" s="1">
        <v>586.09997599999997</v>
      </c>
      <c r="D277" s="1">
        <v>18.639999</v>
      </c>
      <c r="E277" s="1">
        <v>1915.7698969999999</v>
      </c>
      <c r="F277" s="1">
        <v>-1272.6899410000001</v>
      </c>
      <c r="G277" s="1">
        <v>8.1799990000000005</v>
      </c>
      <c r="H277" s="1">
        <v>2.9999999999999997E-4</v>
      </c>
      <c r="I277" s="1">
        <v>0</v>
      </c>
      <c r="J277" s="1">
        <v>2.0329999999999999</v>
      </c>
      <c r="K277" s="1">
        <v>8.0099999999999995E-4</v>
      </c>
      <c r="L277" s="1">
        <v>3.0669999999999998E-3</v>
      </c>
      <c r="M277" s="1">
        <v>-0.25876500000000002</v>
      </c>
      <c r="N277" s="1">
        <v>0.96593499999999999</v>
      </c>
      <c r="O277">
        <v>1</v>
      </c>
      <c r="P277">
        <v>0</v>
      </c>
      <c r="Q277">
        <v>1</v>
      </c>
      <c r="R277">
        <v>1</v>
      </c>
      <c r="S277">
        <v>1</v>
      </c>
      <c r="T277" s="1">
        <f>SQRT(POWER(Plank[[#This Row],[angvel_X]],2) + POWER(Plank[[#This Row],[angvel_Y]],2) + POWER(Plank[[#This Row],[angvel_Z]],2))</f>
        <v>2.0330000221347762</v>
      </c>
      <c r="U277" s="1">
        <f>DEGREES(ASIN(MAX(-1,MIN(1,2 * (Plank[[#This Row],[quart_W]]*Plank[[#This Row],[quart_Y]] - Plank[[#This Row],[quart_Z]]*Plank[[#This Row],[quart_X]])))))</f>
        <v>0.36323400175474868</v>
      </c>
      <c r="V27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119.99374723838753</v>
      </c>
      <c r="W27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90.002282517210645</v>
      </c>
      <c r="X277" s="1">
        <f>IF(Plank[[#This Row],[Yaw]]&gt;V276,(360-ABS(Plank[[#This Row],[Yaw]])-ABS(V276)),ABS(Plank[[#This Row],[Yaw]]-V276))</f>
        <v>0.97068866558154809</v>
      </c>
      <c r="Y277" s="1">
        <f>Plank[[#This Row],[Degree change]]+Y276</f>
        <v>209.15673738702449</v>
      </c>
    </row>
    <row r="278" spans="1:25">
      <c r="A278">
        <v>277</v>
      </c>
      <c r="B278" s="1">
        <v>-1378.98999</v>
      </c>
      <c r="C278" s="1">
        <v>575.45996100000002</v>
      </c>
      <c r="D278" s="1">
        <v>18.639999</v>
      </c>
      <c r="E278" s="1">
        <v>1937.049927</v>
      </c>
      <c r="F278" s="1">
        <v>-1240.049927</v>
      </c>
      <c r="G278" s="1">
        <v>8.1799990000000005</v>
      </c>
      <c r="H278" s="1">
        <v>2.9999999999999997E-4</v>
      </c>
      <c r="I278" s="1">
        <v>0</v>
      </c>
      <c r="J278" s="1">
        <v>2.0329999999999999</v>
      </c>
      <c r="K278" s="1">
        <v>7.7399999999999995E-4</v>
      </c>
      <c r="L278" s="1">
        <v>3.0720000000000001E-3</v>
      </c>
      <c r="M278" s="1">
        <v>-0.25057600000000002</v>
      </c>
      <c r="N278" s="1">
        <v>0.96809199999999995</v>
      </c>
      <c r="O278">
        <v>1</v>
      </c>
      <c r="P278">
        <v>0</v>
      </c>
      <c r="Q278">
        <v>1</v>
      </c>
      <c r="R278">
        <v>1</v>
      </c>
      <c r="S278">
        <v>1</v>
      </c>
      <c r="T278" s="1">
        <f>SQRT(POWER(Plank[[#This Row],[angvel_X]],2) + POWER(Plank[[#This Row],[angvel_Y]],2) + POWER(Plank[[#This Row],[angvel_Z]],2))</f>
        <v>2.0330000221347762</v>
      </c>
      <c r="U278" s="1">
        <f>DEGREES(ASIN(MAX(-1,MIN(1,2 * (Plank[[#This Row],[quart_W]]*Plank[[#This Row],[quart_Y]] - Plank[[#This Row],[quart_Z]]*Plank[[#This Row],[quart_X]])))))</f>
        <v>0.36301983018408551</v>
      </c>
      <c r="V27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119.02336161678258</v>
      </c>
      <c r="W27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90.002345308174128</v>
      </c>
      <c r="X278" s="1">
        <f>IF(Plank[[#This Row],[Yaw]]&gt;V277,(360-ABS(Plank[[#This Row],[Yaw]])-ABS(V277)),ABS(Plank[[#This Row],[Yaw]]-V277))</f>
        <v>0.97038562160494735</v>
      </c>
      <c r="Y278" s="1">
        <f>Plank[[#This Row],[Degree change]]+Y277</f>
        <v>210.12712300862944</v>
      </c>
    </row>
    <row r="279" spans="1:25">
      <c r="A279">
        <v>278</v>
      </c>
      <c r="B279" s="1">
        <v>-1362.7899170000001</v>
      </c>
      <c r="C279" s="1">
        <v>565.089966</v>
      </c>
      <c r="D279" s="1">
        <v>18.639999</v>
      </c>
      <c r="E279" s="1">
        <v>1957.7799070000001</v>
      </c>
      <c r="F279" s="1">
        <v>-1207.059937</v>
      </c>
      <c r="G279" s="1">
        <v>8.1799990000000005</v>
      </c>
      <c r="H279" s="1">
        <v>4.0000000000000002E-4</v>
      </c>
      <c r="I279" s="1">
        <v>0</v>
      </c>
      <c r="J279" s="1">
        <v>2.0329999999999999</v>
      </c>
      <c r="K279" s="1">
        <v>7.4700000000000005E-4</v>
      </c>
      <c r="L279" s="1">
        <v>3.078E-3</v>
      </c>
      <c r="M279" s="1">
        <v>-0.242365</v>
      </c>
      <c r="N279" s="1">
        <v>0.97018000000000004</v>
      </c>
      <c r="O279">
        <v>1</v>
      </c>
      <c r="P279">
        <v>0</v>
      </c>
      <c r="Q279">
        <v>1</v>
      </c>
      <c r="R279">
        <v>1</v>
      </c>
      <c r="S279">
        <v>1</v>
      </c>
      <c r="T279" s="1">
        <f>SQRT(POWER(Plank[[#This Row],[angvel_X]],2) + POWER(Plank[[#This Row],[angvel_Y]],2) + POWER(Plank[[#This Row],[angvel_Z]],2))</f>
        <v>2.0330000393507128</v>
      </c>
      <c r="U279" s="1">
        <f>DEGREES(ASIN(MAX(-1,MIN(1,2 * (Plank[[#This Row],[quart_W]]*Plank[[#This Row],[quart_Y]] - Plank[[#This Row],[quart_Z]]*Plank[[#This Row],[quart_X]])))))</f>
        <v>0.36294376816663376</v>
      </c>
      <c r="V27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118.05248548753012</v>
      </c>
      <c r="W27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90.00243798547892</v>
      </c>
      <c r="X279" s="1">
        <f>IF(Plank[[#This Row],[Yaw]]&gt;V278,(360-ABS(Plank[[#This Row],[Yaw]])-ABS(V278)),ABS(Plank[[#This Row],[Yaw]]-V278))</f>
        <v>0.97087612925245992</v>
      </c>
      <c r="Y279" s="1">
        <f>Plank[[#This Row],[Degree change]]+Y278</f>
        <v>211.09799913788191</v>
      </c>
    </row>
    <row r="280" spans="1:25">
      <c r="A280">
        <v>279</v>
      </c>
      <c r="B280" s="1">
        <v>-1346.4099120000001</v>
      </c>
      <c r="C280" s="1">
        <v>555</v>
      </c>
      <c r="D280" s="1">
        <v>18.639999</v>
      </c>
      <c r="E280" s="1">
        <v>1977.9499510000001</v>
      </c>
      <c r="F280" s="1">
        <v>-1173.719971</v>
      </c>
      <c r="G280" s="1">
        <v>8.1799990000000005</v>
      </c>
      <c r="H280" s="1">
        <v>4.0000000000000002E-4</v>
      </c>
      <c r="I280" s="1">
        <v>0</v>
      </c>
      <c r="J280" s="1">
        <v>2.0329999999999999</v>
      </c>
      <c r="K280" s="1">
        <v>7.2000000000000005E-4</v>
      </c>
      <c r="L280" s="1">
        <v>3.0829999999999998E-3</v>
      </c>
      <c r="M280" s="1">
        <v>-0.23413800000000001</v>
      </c>
      <c r="N280" s="1">
        <v>0.97219800000000001</v>
      </c>
      <c r="O280">
        <v>1</v>
      </c>
      <c r="P280">
        <v>0</v>
      </c>
      <c r="Q280">
        <v>1</v>
      </c>
      <c r="R280">
        <v>1</v>
      </c>
      <c r="S280">
        <v>1</v>
      </c>
      <c r="T280" s="1">
        <f>SQRT(POWER(Plank[[#This Row],[angvel_X]],2) + POWER(Plank[[#This Row],[angvel_Y]],2) + POWER(Plank[[#This Row],[angvel_Z]],2))</f>
        <v>2.0330000393507128</v>
      </c>
      <c r="U280" s="1">
        <f>DEGREES(ASIN(MAX(-1,MIN(1,2 * (Plank[[#This Row],[quart_W]]*Plank[[#This Row],[quart_Y]] - Plank[[#This Row],[quart_Z]]*Plank[[#This Row],[quart_X]])))))</f>
        <v>0.36278392108071167</v>
      </c>
      <c r="V28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117.08177361549052</v>
      </c>
      <c r="W28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90.002505582518154</v>
      </c>
      <c r="X280" s="1">
        <f>IF(Plank[[#This Row],[Yaw]]&gt;V279,(360-ABS(Plank[[#This Row],[Yaw]])-ABS(V279)),ABS(Plank[[#This Row],[Yaw]]-V279))</f>
        <v>0.97071187203960108</v>
      </c>
      <c r="Y280" s="1">
        <f>Plank[[#This Row],[Degree change]]+Y279</f>
        <v>212.06871100992151</v>
      </c>
    </row>
    <row r="281" spans="1:25">
      <c r="A281">
        <v>280</v>
      </c>
      <c r="B281" s="1">
        <v>-1329.869995</v>
      </c>
      <c r="C281" s="1">
        <v>545.19000200000005</v>
      </c>
      <c r="D281" s="1">
        <v>18.639999</v>
      </c>
      <c r="E281" s="1">
        <v>1997.549927</v>
      </c>
      <c r="F281" s="1">
        <v>-1140.0399170000001</v>
      </c>
      <c r="G281" s="1">
        <v>8.1799990000000005</v>
      </c>
      <c r="H281" s="1">
        <v>4.0000000000000002E-4</v>
      </c>
      <c r="I281" s="1">
        <v>0</v>
      </c>
      <c r="J281" s="1">
        <v>2.0329999999999999</v>
      </c>
      <c r="K281" s="1">
        <v>6.9300000000000004E-4</v>
      </c>
      <c r="L281" s="1">
        <v>3.0890000000000002E-3</v>
      </c>
      <c r="M281" s="1">
        <v>-0.22589400000000001</v>
      </c>
      <c r="N281" s="1">
        <v>0.97414599999999996</v>
      </c>
      <c r="O281">
        <v>1</v>
      </c>
      <c r="P281">
        <v>0</v>
      </c>
      <c r="Q281">
        <v>1</v>
      </c>
      <c r="R281">
        <v>1</v>
      </c>
      <c r="S281">
        <v>1</v>
      </c>
      <c r="T281" s="1">
        <f>SQRT(POWER(Plank[[#This Row],[angvel_X]],2) + POWER(Plank[[#This Row],[angvel_Y]],2) + POWER(Plank[[#This Row],[angvel_Z]],2))</f>
        <v>2.0330000393507128</v>
      </c>
      <c r="U281" s="1">
        <f>DEGREES(ASIN(MAX(-1,MIN(1,2 * (Plank[[#This Row],[quart_W]]*Plank[[#This Row],[quart_Y]] - Plank[[#This Row],[quart_Z]]*Plank[[#This Row],[quart_X]])))))</f>
        <v>0.3627628062459935</v>
      </c>
      <c r="V28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116.11103237789673</v>
      </c>
      <c r="W28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90.002601668773039</v>
      </c>
      <c r="X281" s="1">
        <f>IF(Plank[[#This Row],[Yaw]]&gt;V280,(360-ABS(Plank[[#This Row],[Yaw]])-ABS(V280)),ABS(Plank[[#This Row],[Yaw]]-V280))</f>
        <v>0.97074123759378494</v>
      </c>
      <c r="Y281" s="1">
        <f>Plank[[#This Row],[Degree change]]+Y280</f>
        <v>213.0394522475153</v>
      </c>
    </row>
    <row r="282" spans="1:25">
      <c r="A282">
        <v>281</v>
      </c>
      <c r="B282" s="1">
        <v>-1313.1599120000001</v>
      </c>
      <c r="C282" s="1">
        <v>535.65997300000004</v>
      </c>
      <c r="D282" s="1">
        <v>18.639999</v>
      </c>
      <c r="E282" s="1">
        <v>2016.579956</v>
      </c>
      <c r="F282" s="1">
        <v>-1106.0399170000001</v>
      </c>
      <c r="G282" s="1">
        <v>8.1799990000000005</v>
      </c>
      <c r="H282" s="1">
        <v>4.0000000000000002E-4</v>
      </c>
      <c r="I282" s="1">
        <v>0</v>
      </c>
      <c r="J282" s="1">
        <v>2.0329999999999999</v>
      </c>
      <c r="K282" s="1">
        <v>6.6600000000000003E-4</v>
      </c>
      <c r="L282" s="1">
        <v>3.094E-3</v>
      </c>
      <c r="M282" s="1">
        <v>-0.217635</v>
      </c>
      <c r="N282" s="1">
        <v>0.97602500000000003</v>
      </c>
      <c r="O282">
        <v>1</v>
      </c>
      <c r="P282">
        <v>0</v>
      </c>
      <c r="Q282">
        <v>1</v>
      </c>
      <c r="R282">
        <v>1</v>
      </c>
      <c r="S282">
        <v>1</v>
      </c>
      <c r="T282" s="1">
        <f>SQRT(POWER(Plank[[#This Row],[angvel_X]],2) + POWER(Plank[[#This Row],[angvel_Y]],2) + POWER(Plank[[#This Row],[angvel_Z]],2))</f>
        <v>2.0330000393507128</v>
      </c>
      <c r="U282" s="1">
        <f>DEGREES(ASIN(MAX(-1,MIN(1,2 * (Plank[[#This Row],[quart_W]]*Plank[[#This Row],[quart_Y]] - Plank[[#This Row],[quart_Z]]*Plank[[#This Row],[quart_X]])))))</f>
        <v>0.36265792124058249</v>
      </c>
      <c r="V28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115.14046030607938</v>
      </c>
      <c r="W28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90.002673479211026</v>
      </c>
      <c r="X282" s="1">
        <f>IF(Plank[[#This Row],[Yaw]]&gt;V281,(360-ABS(Plank[[#This Row],[Yaw]])-ABS(V281)),ABS(Plank[[#This Row],[Yaw]]-V281))</f>
        <v>0.97057207181735805</v>
      </c>
      <c r="Y282" s="1">
        <f>Plank[[#This Row],[Degree change]]+Y281</f>
        <v>214.01002431933267</v>
      </c>
    </row>
    <row r="283" spans="1:25">
      <c r="A283">
        <v>282</v>
      </c>
      <c r="B283" s="1">
        <v>-1296.2899170000001</v>
      </c>
      <c r="C283" s="1">
        <v>526.40997300000004</v>
      </c>
      <c r="D283" s="1">
        <v>18.639999</v>
      </c>
      <c r="E283" s="1">
        <v>2035.0198969999999</v>
      </c>
      <c r="F283" s="1">
        <v>-1071.719971</v>
      </c>
      <c r="G283" s="1">
        <v>8.1799990000000005</v>
      </c>
      <c r="H283" s="1">
        <v>5.0000000000000001E-4</v>
      </c>
      <c r="I283" s="1">
        <v>1E-4</v>
      </c>
      <c r="J283" s="1">
        <v>2.0329999999999999</v>
      </c>
      <c r="K283" s="1">
        <v>6.3900000000000003E-4</v>
      </c>
      <c r="L283" s="1">
        <v>3.0990000000000002E-3</v>
      </c>
      <c r="M283" s="1">
        <v>-0.20935899999999999</v>
      </c>
      <c r="N283" s="1">
        <v>0.97783399999999998</v>
      </c>
      <c r="O283">
        <v>1</v>
      </c>
      <c r="P283">
        <v>0</v>
      </c>
      <c r="Q283">
        <v>1</v>
      </c>
      <c r="R283">
        <v>1</v>
      </c>
      <c r="S283">
        <v>1</v>
      </c>
      <c r="T283" s="1">
        <f>SQRT(POWER(Plank[[#This Row],[angvel_X]],2) + POWER(Plank[[#This Row],[angvel_Y]],2) + POWER(Plank[[#This Row],[angvel_Z]],2))</f>
        <v>2.033000063944908</v>
      </c>
      <c r="U283" s="1">
        <f>DEGREES(ASIN(MAX(-1,MIN(1,2 * (Plank[[#This Row],[quart_W]]*Plank[[#This Row],[quart_Y]] - Plank[[#This Row],[quart_Z]]*Plank[[#This Row],[quart_X]])))))</f>
        <v>0.36258019303154215</v>
      </c>
      <c r="V28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114.16971881898905</v>
      </c>
      <c r="W28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90.002746541364289</v>
      </c>
      <c r="X283" s="1">
        <f>IF(Plank[[#This Row],[Yaw]]&gt;V282,(360-ABS(Plank[[#This Row],[Yaw]])-ABS(V282)),ABS(Plank[[#This Row],[Yaw]]-V282))</f>
        <v>0.97074148709032215</v>
      </c>
      <c r="Y283" s="1">
        <f>Plank[[#This Row],[Degree change]]+Y282</f>
        <v>214.98076580642299</v>
      </c>
    </row>
    <row r="284" spans="1:25">
      <c r="A284">
        <v>283</v>
      </c>
      <c r="B284" s="1">
        <v>-1279.2700199999999</v>
      </c>
      <c r="C284" s="1">
        <v>517.45001200000002</v>
      </c>
      <c r="D284" s="1">
        <v>18.639999</v>
      </c>
      <c r="E284" s="1">
        <v>2052.889893</v>
      </c>
      <c r="F284" s="1">
        <v>-1037.089966</v>
      </c>
      <c r="G284" s="1">
        <v>8.1799990000000005</v>
      </c>
      <c r="H284" s="1">
        <v>5.0000000000000001E-4</v>
      </c>
      <c r="I284" s="1">
        <v>1E-4</v>
      </c>
      <c r="J284" s="1">
        <v>2.0329999999999999</v>
      </c>
      <c r="K284" s="1">
        <v>6.1200000000000002E-4</v>
      </c>
      <c r="L284" s="1">
        <v>3.1050000000000001E-3</v>
      </c>
      <c r="M284" s="1">
        <v>-0.201068</v>
      </c>
      <c r="N284" s="1">
        <v>0.979572</v>
      </c>
      <c r="O284">
        <v>1</v>
      </c>
      <c r="P284">
        <v>0</v>
      </c>
      <c r="Q284">
        <v>1</v>
      </c>
      <c r="R284">
        <v>1</v>
      </c>
      <c r="S284">
        <v>1</v>
      </c>
      <c r="T284" s="1">
        <f>SQRT(POWER(Plank[[#This Row],[angvel_X]],2) + POWER(Plank[[#This Row],[angvel_Y]],2) + POWER(Plank[[#This Row],[angvel_Z]],2))</f>
        <v>2.033000063944908</v>
      </c>
      <c r="U284" s="1">
        <f>DEGREES(ASIN(MAX(-1,MIN(1,2 * (Plank[[#This Row],[quart_W]]*Plank[[#This Row],[quart_Y]] - Plank[[#This Row],[quart_Z]]*Plank[[#This Row],[quart_X]])))))</f>
        <v>0.36264169658429651</v>
      </c>
      <c r="V28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113.19896252442402</v>
      </c>
      <c r="W28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90.002843998987075</v>
      </c>
      <c r="X284" s="1">
        <f>IF(Plank[[#This Row],[Yaw]]&gt;V283,(360-ABS(Plank[[#This Row],[Yaw]])-ABS(V283)),ABS(Plank[[#This Row],[Yaw]]-V283))</f>
        <v>0.9707562945650352</v>
      </c>
      <c r="Y284" s="1">
        <f>Plank[[#This Row],[Degree change]]+Y283</f>
        <v>215.95152210098803</v>
      </c>
    </row>
    <row r="285" spans="1:25">
      <c r="A285">
        <v>284</v>
      </c>
      <c r="B285" s="1">
        <v>-1262.099976</v>
      </c>
      <c r="C285" s="1">
        <v>508.77999899999998</v>
      </c>
      <c r="D285" s="1">
        <v>18.639999</v>
      </c>
      <c r="E285" s="1">
        <v>2070.1599120000001</v>
      </c>
      <c r="F285" s="1">
        <v>-1002.159973</v>
      </c>
      <c r="G285" s="1">
        <v>8.1799990000000005</v>
      </c>
      <c r="H285" s="1">
        <v>5.0000000000000001E-4</v>
      </c>
      <c r="I285" s="1">
        <v>1E-4</v>
      </c>
      <c r="J285" s="1">
        <v>2.0329999999999999</v>
      </c>
      <c r="K285" s="1">
        <v>5.8500000000000002E-4</v>
      </c>
      <c r="L285" s="1">
        <v>3.1099999999999999E-3</v>
      </c>
      <c r="M285" s="1">
        <v>-0.19276499999999999</v>
      </c>
      <c r="N285" s="1">
        <v>0.98124</v>
      </c>
      <c r="O285">
        <v>1</v>
      </c>
      <c r="P285">
        <v>0</v>
      </c>
      <c r="Q285">
        <v>1</v>
      </c>
      <c r="R285">
        <v>1</v>
      </c>
      <c r="S285">
        <v>1</v>
      </c>
      <c r="T285" s="1">
        <f>SQRT(POWER(Plank[[#This Row],[angvel_X]],2) + POWER(Plank[[#This Row],[angvel_Y]],2) + POWER(Plank[[#This Row],[angvel_Z]],2))</f>
        <v>2.033000063944908</v>
      </c>
      <c r="U285" s="1">
        <f>DEGREES(ASIN(MAX(-1,MIN(1,2 * (Plank[[#This Row],[quart_W]]*Plank[[#This Row],[quart_Y]] - Plank[[#This Row],[quart_Z]]*Plank[[#This Row],[quart_X]])))))</f>
        <v>0.36261869175347528</v>
      </c>
      <c r="V28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112.22850625120685</v>
      </c>
      <c r="W28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90.002919135190552</v>
      </c>
      <c r="X285" s="1">
        <f>IF(Plank[[#This Row],[Yaw]]&gt;V284,(360-ABS(Plank[[#This Row],[Yaw]])-ABS(V284)),ABS(Plank[[#This Row],[Yaw]]-V284))</f>
        <v>0.97045627321716665</v>
      </c>
      <c r="Y285" s="1">
        <f>Plank[[#This Row],[Degree change]]+Y284</f>
        <v>216.9219783742052</v>
      </c>
    </row>
    <row r="286" spans="1:25">
      <c r="A286">
        <v>285</v>
      </c>
      <c r="B286" s="1">
        <v>-1244.780029</v>
      </c>
      <c r="C286" s="1">
        <v>500.39999399999999</v>
      </c>
      <c r="D286" s="1">
        <v>18.639999</v>
      </c>
      <c r="E286" s="1">
        <v>2086.8398440000001</v>
      </c>
      <c r="F286" s="1">
        <v>-966.94995100000006</v>
      </c>
      <c r="G286" s="1">
        <v>8.1799990000000005</v>
      </c>
      <c r="H286" s="1">
        <v>5.0000000000000001E-4</v>
      </c>
      <c r="I286" s="1">
        <v>1E-4</v>
      </c>
      <c r="J286" s="1">
        <v>2.0329999999999999</v>
      </c>
      <c r="K286" s="1">
        <v>5.5800000000000001E-4</v>
      </c>
      <c r="L286" s="1">
        <v>3.1159999999999998E-3</v>
      </c>
      <c r="M286" s="1">
        <v>-0.184446</v>
      </c>
      <c r="N286" s="1">
        <v>0.98283699999999996</v>
      </c>
      <c r="O286">
        <v>1</v>
      </c>
      <c r="P286">
        <v>0</v>
      </c>
      <c r="Q286">
        <v>1</v>
      </c>
      <c r="R286">
        <v>1</v>
      </c>
      <c r="S286">
        <v>1</v>
      </c>
      <c r="T286" s="1">
        <f>SQRT(POWER(Plank[[#This Row],[angvel_X]],2) + POWER(Plank[[#This Row],[angvel_Y]],2) + POWER(Plank[[#This Row],[angvel_Z]],2))</f>
        <v>2.033000063944908</v>
      </c>
      <c r="U286" s="1">
        <f>DEGREES(ASIN(MAX(-1,MIN(1,2 * (Plank[[#This Row],[quart_W]]*Plank[[#This Row],[quart_Y]] - Plank[[#This Row],[quart_Z]]*Plank[[#This Row],[quart_X]])))))</f>
        <v>0.36273523771456739</v>
      </c>
      <c r="V28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111.25777585824571</v>
      </c>
      <c r="W28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90.003015043409789</v>
      </c>
      <c r="X286" s="1">
        <f>IF(Plank[[#This Row],[Yaw]]&gt;V285,(360-ABS(Plank[[#This Row],[Yaw]])-ABS(V285)),ABS(Plank[[#This Row],[Yaw]]-V285))</f>
        <v>0.97073039296114416</v>
      </c>
      <c r="Y286" s="1">
        <f>Plank[[#This Row],[Degree change]]+Y285</f>
        <v>217.89270876716634</v>
      </c>
    </row>
    <row r="287" spans="1:25">
      <c r="A287">
        <v>286</v>
      </c>
      <c r="B287" s="1">
        <v>-1227.329956</v>
      </c>
      <c r="C287" s="1">
        <v>492.31997699999999</v>
      </c>
      <c r="D287" s="1">
        <v>18.639999</v>
      </c>
      <c r="E287" s="1">
        <v>2102.919922</v>
      </c>
      <c r="F287" s="1">
        <v>-931.45996100000002</v>
      </c>
      <c r="G287" s="1">
        <v>8.1799990000000005</v>
      </c>
      <c r="H287" s="1">
        <v>5.0000000000000001E-4</v>
      </c>
      <c r="I287" s="1">
        <v>1E-4</v>
      </c>
      <c r="J287" s="1">
        <v>2.0329999999999999</v>
      </c>
      <c r="K287" s="1">
        <v>5.31E-4</v>
      </c>
      <c r="L287" s="1">
        <v>3.1210000000000001E-3</v>
      </c>
      <c r="M287" s="1">
        <v>-0.17611599999999999</v>
      </c>
      <c r="N287" s="1">
        <v>0.98436400000000002</v>
      </c>
      <c r="O287">
        <v>1</v>
      </c>
      <c r="P287">
        <v>0</v>
      </c>
      <c r="Q287">
        <v>1</v>
      </c>
      <c r="R287">
        <v>1</v>
      </c>
      <c r="S287">
        <v>1</v>
      </c>
      <c r="T287" s="1">
        <f>SQRT(POWER(Plank[[#This Row],[angvel_X]],2) + POWER(Plank[[#This Row],[angvel_Y]],2) + POWER(Plank[[#This Row],[angvel_Z]],2))</f>
        <v>2.033000063944908</v>
      </c>
      <c r="U287" s="1">
        <f>DEGREES(ASIN(MAX(-1,MIN(1,2 * (Plank[[#This Row],[quart_W]]*Plank[[#This Row],[quart_Y]] - Plank[[#This Row],[quart_Z]]*Plank[[#This Row],[quart_X]])))))</f>
        <v>0.36276694354256656</v>
      </c>
      <c r="V28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110.2873241913247</v>
      </c>
      <c r="W28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90.00308953653159</v>
      </c>
      <c r="X287" s="1">
        <f>IF(Plank[[#This Row],[Yaw]]&gt;V286,(360-ABS(Plank[[#This Row],[Yaw]])-ABS(V286)),ABS(Plank[[#This Row],[Yaw]]-V286))</f>
        <v>0.97045166692100793</v>
      </c>
      <c r="Y287" s="1">
        <f>Plank[[#This Row],[Degree change]]+Y286</f>
        <v>218.86316043408735</v>
      </c>
    </row>
    <row r="288" spans="1:25">
      <c r="A288">
        <v>287</v>
      </c>
      <c r="B288" s="1">
        <v>-1209.73999</v>
      </c>
      <c r="C288" s="1">
        <v>484.52999899999998</v>
      </c>
      <c r="D288" s="1">
        <v>18.639999</v>
      </c>
      <c r="E288" s="1">
        <v>2118.3999020000001</v>
      </c>
      <c r="F288" s="1">
        <v>-895.69995100000006</v>
      </c>
      <c r="G288" s="1">
        <v>8.1799990000000005</v>
      </c>
      <c r="H288" s="1">
        <v>5.0000000000000001E-4</v>
      </c>
      <c r="I288" s="1">
        <v>1E-4</v>
      </c>
      <c r="J288" s="1">
        <v>2.0329999999999999</v>
      </c>
      <c r="K288" s="1">
        <v>5.04E-4</v>
      </c>
      <c r="L288" s="1">
        <v>3.1259999999999999E-3</v>
      </c>
      <c r="M288" s="1">
        <v>-0.167771</v>
      </c>
      <c r="N288" s="1">
        <v>0.98582099999999995</v>
      </c>
      <c r="O288">
        <v>1</v>
      </c>
      <c r="P288">
        <v>0</v>
      </c>
      <c r="Q288">
        <v>1</v>
      </c>
      <c r="R288">
        <v>1</v>
      </c>
      <c r="S288">
        <v>1</v>
      </c>
      <c r="T288" s="1">
        <f>SQRT(POWER(Plank[[#This Row],[angvel_X]],2) + POWER(Plank[[#This Row],[angvel_Y]],2) + POWER(Plank[[#This Row],[angvel_Z]],2))</f>
        <v>2.033000063944908</v>
      </c>
      <c r="U288" s="1">
        <f>DEGREES(ASIN(MAX(-1,MIN(1,2 * (Plank[[#This Row],[quart_W]]*Plank[[#This Row],[quart_Y]] - Plank[[#This Row],[quart_Z]]*Plank[[#This Row],[quart_X]])))))</f>
        <v>0.36282600407015947</v>
      </c>
      <c r="V28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109.31660041230823</v>
      </c>
      <c r="W28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90.003162602740758</v>
      </c>
      <c r="X288" s="1">
        <f>IF(Plank[[#This Row],[Yaw]]&gt;V287,(360-ABS(Plank[[#This Row],[Yaw]])-ABS(V287)),ABS(Plank[[#This Row],[Yaw]]-V287))</f>
        <v>0.97072377901646689</v>
      </c>
      <c r="Y288" s="1">
        <f>Plank[[#This Row],[Degree change]]+Y287</f>
        <v>219.83388421310383</v>
      </c>
    </row>
    <row r="289" spans="1:25">
      <c r="A289">
        <v>288</v>
      </c>
      <c r="B289" s="1">
        <v>-1192.0200199999999</v>
      </c>
      <c r="C289" s="1">
        <v>477.03997800000002</v>
      </c>
      <c r="D289" s="1">
        <v>18.639999</v>
      </c>
      <c r="E289" s="1">
        <v>2133.2700199999999</v>
      </c>
      <c r="F289" s="1">
        <v>-859.69000200000005</v>
      </c>
      <c r="G289" s="1">
        <v>8.1799990000000005</v>
      </c>
      <c r="H289" s="1">
        <v>5.0000000000000001E-4</v>
      </c>
      <c r="I289" s="1">
        <v>1E-4</v>
      </c>
      <c r="J289" s="1">
        <v>2.0329999999999999</v>
      </c>
      <c r="K289" s="1">
        <v>4.7699999999999999E-4</v>
      </c>
      <c r="L289" s="1">
        <v>3.1319999999999998E-3</v>
      </c>
      <c r="M289" s="1">
        <v>-0.159414</v>
      </c>
      <c r="N289" s="1">
        <v>0.98720699999999995</v>
      </c>
      <c r="O289">
        <v>1</v>
      </c>
      <c r="P289">
        <v>0</v>
      </c>
      <c r="Q289">
        <v>1</v>
      </c>
      <c r="R289">
        <v>1</v>
      </c>
      <c r="S289">
        <v>1</v>
      </c>
      <c r="T289" s="1">
        <f>SQRT(POWER(Plank[[#This Row],[angvel_X]],2) + POWER(Plank[[#This Row],[angvel_Y]],2) + POWER(Plank[[#This Row],[angvel_Z]],2))</f>
        <v>2.033000063944908</v>
      </c>
      <c r="U289" s="1">
        <f>DEGREES(ASIN(MAX(-1,MIN(1,2 * (Plank[[#This Row],[quart_W]]*Plank[[#This Row],[quart_Y]] - Plank[[#This Row],[quart_Z]]*Plank[[#This Row],[quart_X]])))))</f>
        <v>0.36302537125555107</v>
      </c>
      <c r="V28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108.34587641213646</v>
      </c>
      <c r="W28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90.003252965454465</v>
      </c>
      <c r="X289" s="1">
        <f>IF(Plank[[#This Row],[Yaw]]&gt;V288,(360-ABS(Plank[[#This Row],[Yaw]])-ABS(V288)),ABS(Plank[[#This Row],[Yaw]]-V288))</f>
        <v>0.97072400017177074</v>
      </c>
      <c r="Y289" s="1">
        <f>Plank[[#This Row],[Degree change]]+Y288</f>
        <v>220.8046082132756</v>
      </c>
    </row>
    <row r="290" spans="1:25">
      <c r="A290">
        <v>289</v>
      </c>
      <c r="B290" s="1">
        <v>-1174.179932</v>
      </c>
      <c r="C290" s="1">
        <v>469.84997600000003</v>
      </c>
      <c r="D290" s="1">
        <v>18.639999</v>
      </c>
      <c r="E290" s="1">
        <v>2147.530029</v>
      </c>
      <c r="F290" s="1">
        <v>-823.42999299999997</v>
      </c>
      <c r="G290" s="1">
        <v>8.1799990000000005</v>
      </c>
      <c r="H290" s="1">
        <v>5.0000000000000001E-4</v>
      </c>
      <c r="I290" s="1">
        <v>1E-4</v>
      </c>
      <c r="J290" s="1">
        <v>2.0329999999999999</v>
      </c>
      <c r="K290" s="1">
        <v>4.4999999999999999E-4</v>
      </c>
      <c r="L290" s="1">
        <v>3.137E-3</v>
      </c>
      <c r="M290" s="1">
        <v>-0.15104699999999999</v>
      </c>
      <c r="N290" s="1">
        <v>0.98852200000000001</v>
      </c>
      <c r="O290">
        <v>1</v>
      </c>
      <c r="P290">
        <v>0</v>
      </c>
      <c r="Q290">
        <v>1</v>
      </c>
      <c r="R290">
        <v>1</v>
      </c>
      <c r="S290">
        <v>1</v>
      </c>
      <c r="T290" s="1">
        <f>SQRT(POWER(Plank[[#This Row],[angvel_X]],2) + POWER(Plank[[#This Row],[angvel_Y]],2) + POWER(Plank[[#This Row],[angvel_Z]],2))</f>
        <v>2.033000063944908</v>
      </c>
      <c r="U290" s="1">
        <f>DEGREES(ASIN(MAX(-1,MIN(1,2 * (Plank[[#This Row],[quart_W]]*Plank[[#This Row],[quart_Y]] - Plank[[#This Row],[quart_Z]]*Plank[[#This Row],[quart_X]])))))</f>
        <v>0.36313903255062846</v>
      </c>
      <c r="V29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107.37531989042742</v>
      </c>
      <c r="W29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90.003323169132273</v>
      </c>
      <c r="X290" s="1">
        <f>IF(Plank[[#This Row],[Yaw]]&gt;V289,(360-ABS(Plank[[#This Row],[Yaw]])-ABS(V289)),ABS(Plank[[#This Row],[Yaw]]-V289))</f>
        <v>0.97055652170904239</v>
      </c>
      <c r="Y290" s="1">
        <f>Plank[[#This Row],[Degree change]]+Y289</f>
        <v>221.77516473498463</v>
      </c>
    </row>
    <row r="291" spans="1:25">
      <c r="A291">
        <v>290</v>
      </c>
      <c r="B291" s="1">
        <v>-1156.219971</v>
      </c>
      <c r="C291" s="1">
        <v>462.97000100000002</v>
      </c>
      <c r="D291" s="1">
        <v>18.639999</v>
      </c>
      <c r="E291" s="1">
        <v>2161.169922</v>
      </c>
      <c r="F291" s="1">
        <v>-786.92999299999997</v>
      </c>
      <c r="G291" s="1">
        <v>8.1799990000000005</v>
      </c>
      <c r="H291" s="1">
        <v>5.0000000000000001E-4</v>
      </c>
      <c r="I291" s="1">
        <v>1E-4</v>
      </c>
      <c r="J291" s="1">
        <v>2.0329999999999999</v>
      </c>
      <c r="K291" s="1">
        <v>4.2299999999999998E-4</v>
      </c>
      <c r="L291" s="1">
        <v>3.1419999999999998E-3</v>
      </c>
      <c r="M291" s="1">
        <v>-0.14266899999999999</v>
      </c>
      <c r="N291" s="1">
        <v>0.98976500000000001</v>
      </c>
      <c r="O291">
        <v>1</v>
      </c>
      <c r="P291">
        <v>0</v>
      </c>
      <c r="Q291">
        <v>1</v>
      </c>
      <c r="R291">
        <v>1</v>
      </c>
      <c r="S291">
        <v>1</v>
      </c>
      <c r="T291" s="1">
        <f>SQRT(POWER(Plank[[#This Row],[angvel_X]],2) + POWER(Plank[[#This Row],[angvel_Y]],2) + POWER(Plank[[#This Row],[angvel_Z]],2))</f>
        <v>2.033000063944908</v>
      </c>
      <c r="U291" s="1">
        <f>DEGREES(ASIN(MAX(-1,MIN(1,2 * (Plank[[#This Row],[quart_W]]*Plank[[#This Row],[quart_Y]] - Plank[[#This Row],[quart_Z]]*Plank[[#This Row],[quart_X]])))))</f>
        <v>0.36327951923894064</v>
      </c>
      <c r="V29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106.40472651680548</v>
      </c>
      <c r="W29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90.003391451541404</v>
      </c>
      <c r="X291" s="1">
        <f>IF(Plank[[#This Row],[Yaw]]&gt;V290,(360-ABS(Plank[[#This Row],[Yaw]])-ABS(V290)),ABS(Plank[[#This Row],[Yaw]]-V290))</f>
        <v>0.97059337362193787</v>
      </c>
      <c r="Y291" s="1">
        <f>Plank[[#This Row],[Degree change]]+Y290</f>
        <v>222.74575810860657</v>
      </c>
    </row>
    <row r="292" spans="1:25">
      <c r="A292">
        <v>291</v>
      </c>
      <c r="B292" s="1">
        <v>-1138.1400149999999</v>
      </c>
      <c r="C292" s="1">
        <v>456.38998400000003</v>
      </c>
      <c r="D292" s="1">
        <v>18.639999</v>
      </c>
      <c r="E292" s="1">
        <v>2174.1899410000001</v>
      </c>
      <c r="F292" s="1">
        <v>-750.20996100000002</v>
      </c>
      <c r="G292" s="1">
        <v>8.1799990000000005</v>
      </c>
      <c r="H292" s="1">
        <v>5.0000000000000001E-4</v>
      </c>
      <c r="I292" s="1">
        <v>1E-4</v>
      </c>
      <c r="J292" s="1">
        <v>2.0329999999999999</v>
      </c>
      <c r="K292" s="1">
        <v>3.97E-4</v>
      </c>
      <c r="L292" s="1">
        <v>3.1480000000000002E-3</v>
      </c>
      <c r="M292" s="1">
        <v>-0.13428000000000001</v>
      </c>
      <c r="N292" s="1">
        <v>0.99093799999999999</v>
      </c>
      <c r="O292">
        <v>1</v>
      </c>
      <c r="P292">
        <v>0</v>
      </c>
      <c r="Q292">
        <v>1</v>
      </c>
      <c r="R292">
        <v>1</v>
      </c>
      <c r="S292">
        <v>1</v>
      </c>
      <c r="T292" s="1">
        <f>SQRT(POWER(Plank[[#This Row],[angvel_X]],2) + POWER(Plank[[#This Row],[angvel_Y]],2) + POWER(Plank[[#This Row],[angvel_Z]],2))</f>
        <v>2.033000063944908</v>
      </c>
      <c r="U292" s="1">
        <f>DEGREES(ASIN(MAX(-1,MIN(1,2 * (Plank[[#This Row],[quart_W]]*Plank[[#This Row],[quart_Y]] - Plank[[#This Row],[quart_Z]]*Plank[[#This Row],[quart_X]])))))</f>
        <v>0.36357647399727522</v>
      </c>
      <c r="V29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105.43405932427684</v>
      </c>
      <c r="W29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90.00335886700158</v>
      </c>
      <c r="X292" s="1">
        <f>IF(Plank[[#This Row],[Yaw]]&gt;V291,(360-ABS(Plank[[#This Row],[Yaw]])-ABS(V291)),ABS(Plank[[#This Row],[Yaw]]-V291))</f>
        <v>0.9706671925286372</v>
      </c>
      <c r="Y292" s="1">
        <f>Plank[[#This Row],[Degree change]]+Y291</f>
        <v>223.71642530113519</v>
      </c>
    </row>
    <row r="293" spans="1:25">
      <c r="A293">
        <v>292</v>
      </c>
      <c r="B293" s="1">
        <v>-1119.959961</v>
      </c>
      <c r="C293" s="1">
        <v>450.11999500000002</v>
      </c>
      <c r="D293" s="1">
        <v>18.639999</v>
      </c>
      <c r="E293" s="1">
        <v>2186.5798340000001</v>
      </c>
      <c r="F293" s="1">
        <v>-713.26995799999997</v>
      </c>
      <c r="G293" s="1">
        <v>8.1799990000000005</v>
      </c>
      <c r="H293" s="1">
        <v>5.0000000000000001E-4</v>
      </c>
      <c r="I293" s="1">
        <v>1E-4</v>
      </c>
      <c r="J293" s="1">
        <v>2.0329999999999999</v>
      </c>
      <c r="K293" s="1">
        <v>3.6999999999999999E-4</v>
      </c>
      <c r="L293" s="1">
        <v>3.153E-3</v>
      </c>
      <c r="M293" s="1">
        <v>-0.12587999999999999</v>
      </c>
      <c r="N293" s="1">
        <v>0.99204000000000003</v>
      </c>
      <c r="O293">
        <v>1</v>
      </c>
      <c r="P293">
        <v>0</v>
      </c>
      <c r="Q293">
        <v>1</v>
      </c>
      <c r="R293">
        <v>1</v>
      </c>
      <c r="S293">
        <v>1</v>
      </c>
      <c r="T293" s="1">
        <f>SQRT(POWER(Plank[[#This Row],[angvel_X]],2) + POWER(Plank[[#This Row],[angvel_Y]],2) + POWER(Plank[[#This Row],[angvel_Z]],2))</f>
        <v>2.033000063944908</v>
      </c>
      <c r="U293" s="1">
        <f>DEGREES(ASIN(MAX(-1,MIN(1,2 * (Plank[[#This Row],[quart_W]]*Plank[[#This Row],[quart_Y]] - Plank[[#This Row],[quart_Z]]*Plank[[#This Row],[quart_X]])))))</f>
        <v>0.36377079494362408</v>
      </c>
      <c r="V29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104.46323359645343</v>
      </c>
      <c r="W29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90.003420035676783</v>
      </c>
      <c r="X293" s="1">
        <f>IF(Plank[[#This Row],[Yaw]]&gt;V292,(360-ABS(Plank[[#This Row],[Yaw]])-ABS(V292)),ABS(Plank[[#This Row],[Yaw]]-V292))</f>
        <v>0.97082572782341003</v>
      </c>
      <c r="Y293" s="1">
        <f>Plank[[#This Row],[Degree change]]+Y292</f>
        <v>224.6872510289586</v>
      </c>
    </row>
    <row r="294" spans="1:25">
      <c r="A294">
        <v>293</v>
      </c>
      <c r="B294" s="1">
        <v>-1101.669922</v>
      </c>
      <c r="C294" s="1">
        <v>444.16000400000001</v>
      </c>
      <c r="D294" s="1">
        <v>18.639999</v>
      </c>
      <c r="E294" s="1">
        <v>2198.3498540000001</v>
      </c>
      <c r="F294" s="1">
        <v>-676.13000499999998</v>
      </c>
      <c r="G294" s="1">
        <v>8.1799990000000005</v>
      </c>
      <c r="H294" s="1">
        <v>5.0000000000000001E-4</v>
      </c>
      <c r="I294" s="1">
        <v>1E-4</v>
      </c>
      <c r="J294" s="1">
        <v>2.0329999999999999</v>
      </c>
      <c r="K294" s="1">
        <v>3.4299999999999999E-4</v>
      </c>
      <c r="L294" s="1">
        <v>3.1589999999999999E-3</v>
      </c>
      <c r="M294" s="1">
        <v>-0.117469</v>
      </c>
      <c r="N294" s="1">
        <v>0.99307100000000004</v>
      </c>
      <c r="O294">
        <v>1</v>
      </c>
      <c r="P294">
        <v>0</v>
      </c>
      <c r="Q294">
        <v>1</v>
      </c>
      <c r="R294">
        <v>1</v>
      </c>
      <c r="S294">
        <v>1</v>
      </c>
      <c r="T294" s="1">
        <f>SQRT(POWER(Plank[[#This Row],[angvel_X]],2) + POWER(Plank[[#This Row],[angvel_Y]],2) + POWER(Plank[[#This Row],[angvel_Z]],2))</f>
        <v>2.033000063944908</v>
      </c>
      <c r="U294" s="1">
        <f>DEGREES(ASIN(MAX(-1,MIN(1,2 * (Plank[[#This Row],[quart_W]]*Plank[[#This Row],[quart_Y]] - Plank[[#This Row],[quart_Z]]*Plank[[#This Row],[quart_X]])))))</f>
        <v>0.36410603197856622</v>
      </c>
      <c r="V29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103.49218097329251</v>
      </c>
      <c r="W29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90.003490668946213</v>
      </c>
      <c r="X294" s="1">
        <f>IF(Plank[[#This Row],[Yaw]]&gt;V293,(360-ABS(Plank[[#This Row],[Yaw]])-ABS(V293)),ABS(Plank[[#This Row],[Yaw]]-V293))</f>
        <v>0.97105262316092933</v>
      </c>
      <c r="Y294" s="1">
        <f>Plank[[#This Row],[Degree change]]+Y293</f>
        <v>225.65830365211951</v>
      </c>
    </row>
    <row r="295" spans="1:25">
      <c r="A295">
        <v>294</v>
      </c>
      <c r="B295" s="1">
        <v>-1083.280029</v>
      </c>
      <c r="C295" s="1">
        <v>438.50997899999999</v>
      </c>
      <c r="D295" s="1">
        <v>18.639999</v>
      </c>
      <c r="E295" s="1">
        <v>2209.48999</v>
      </c>
      <c r="F295" s="1">
        <v>-638.78997800000002</v>
      </c>
      <c r="G295" s="1">
        <v>8.1799990000000005</v>
      </c>
      <c r="H295" s="1">
        <v>5.0000000000000001E-4</v>
      </c>
      <c r="I295" s="1">
        <v>0</v>
      </c>
      <c r="J295" s="1">
        <v>2.0329999999999999</v>
      </c>
      <c r="K295" s="1">
        <v>3.1599999999999998E-4</v>
      </c>
      <c r="L295" s="1">
        <v>3.1640000000000001E-3</v>
      </c>
      <c r="M295" s="1">
        <v>-0.109054</v>
      </c>
      <c r="N295" s="1">
        <v>0.994031</v>
      </c>
      <c r="O295">
        <v>1</v>
      </c>
      <c r="P295">
        <v>0</v>
      </c>
      <c r="Q295">
        <v>1</v>
      </c>
      <c r="R295">
        <v>1</v>
      </c>
      <c r="S295">
        <v>1</v>
      </c>
      <c r="T295" s="1">
        <f>SQRT(POWER(Plank[[#This Row],[angvel_X]],2) + POWER(Plank[[#This Row],[angvel_Y]],2) + POWER(Plank[[#This Row],[angvel_Z]],2))</f>
        <v>2.0330000614854886</v>
      </c>
      <c r="U295" s="1">
        <f>DEGREES(ASIN(MAX(-1,MIN(1,2 * (Plank[[#This Row],[quart_W]]*Plank[[#This Row],[quart_Y]] - Plank[[#This Row],[quart_Z]]*Plank[[#This Row],[quart_X]])))))</f>
        <v>0.36435492895719912</v>
      </c>
      <c r="V29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102.52164938049503</v>
      </c>
      <c r="W29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90.00354473924628</v>
      </c>
      <c r="X295" s="1">
        <f>IF(Plank[[#This Row],[Yaw]]&gt;V294,(360-ABS(Plank[[#This Row],[Yaw]])-ABS(V294)),ABS(Plank[[#This Row],[Yaw]]-V294))</f>
        <v>0.97053159279747092</v>
      </c>
      <c r="Y295" s="1">
        <f>Plank[[#This Row],[Degree change]]+Y294</f>
        <v>226.62883524491698</v>
      </c>
    </row>
    <row r="296" spans="1:25">
      <c r="A296">
        <v>295</v>
      </c>
      <c r="B296" s="1">
        <v>-1064.799927</v>
      </c>
      <c r="C296" s="1">
        <v>433.169983</v>
      </c>
      <c r="D296" s="1">
        <v>18.639999</v>
      </c>
      <c r="E296" s="1">
        <v>2220</v>
      </c>
      <c r="F296" s="1">
        <v>-601.26995799999997</v>
      </c>
      <c r="G296" s="1">
        <v>8.1799990000000005</v>
      </c>
      <c r="H296" s="1">
        <v>5.0000000000000001E-4</v>
      </c>
      <c r="I296" s="1">
        <v>0</v>
      </c>
      <c r="J296" s="1">
        <v>2.0329999999999999</v>
      </c>
      <c r="K296" s="1">
        <v>2.8899999999999998E-4</v>
      </c>
      <c r="L296" s="1">
        <v>3.1689999999999999E-3</v>
      </c>
      <c r="M296" s="1">
        <v>-0.10062699999999999</v>
      </c>
      <c r="N296" s="1">
        <v>0.994919</v>
      </c>
      <c r="O296">
        <v>1</v>
      </c>
      <c r="P296">
        <v>0</v>
      </c>
      <c r="Q296">
        <v>1</v>
      </c>
      <c r="R296">
        <v>1</v>
      </c>
      <c r="S296">
        <v>1</v>
      </c>
      <c r="T296" s="1">
        <f>SQRT(POWER(Plank[[#This Row],[angvel_X]],2) + POWER(Plank[[#This Row],[angvel_Y]],2) + POWER(Plank[[#This Row],[angvel_Z]],2))</f>
        <v>2.0330000614854886</v>
      </c>
      <c r="U296" s="1">
        <f>DEGREES(ASIN(MAX(-1,MIN(1,2 * (Plank[[#This Row],[quart_W]]*Plank[[#This Row],[quart_Y]] - Plank[[#This Row],[quart_Z]]*Plank[[#This Row],[quart_X]])))))</f>
        <v>0.36463045458084048</v>
      </c>
      <c r="V29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101.55062272858382</v>
      </c>
      <c r="W29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90.003593133725346</v>
      </c>
      <c r="X296" s="1">
        <f>IF(Plank[[#This Row],[Yaw]]&gt;V295,(360-ABS(Plank[[#This Row],[Yaw]])-ABS(V295)),ABS(Plank[[#This Row],[Yaw]]-V295))</f>
        <v>0.97102665191121673</v>
      </c>
      <c r="Y296" s="1">
        <f>Plank[[#This Row],[Degree change]]+Y295</f>
        <v>227.5998618968282</v>
      </c>
    </row>
    <row r="297" spans="1:25">
      <c r="A297">
        <v>296</v>
      </c>
      <c r="B297" s="1">
        <v>-1046.2299800000001</v>
      </c>
      <c r="C297" s="1">
        <v>428.14999399999999</v>
      </c>
      <c r="D297" s="1">
        <v>18.639999</v>
      </c>
      <c r="E297" s="1">
        <v>2229.8598630000001</v>
      </c>
      <c r="F297" s="1">
        <v>-563.57000700000003</v>
      </c>
      <c r="G297" s="1">
        <v>8.1799990000000005</v>
      </c>
      <c r="H297" s="1">
        <v>5.0000000000000001E-4</v>
      </c>
      <c r="I297" s="1">
        <v>0</v>
      </c>
      <c r="J297" s="1">
        <v>2.0329999999999999</v>
      </c>
      <c r="K297" s="1">
        <v>2.6200000000000003E-4</v>
      </c>
      <c r="L297" s="1">
        <v>3.1689999999999999E-3</v>
      </c>
      <c r="M297" s="1">
        <v>-9.2194999999999999E-2</v>
      </c>
      <c r="N297" s="1">
        <v>0.99573599999999995</v>
      </c>
      <c r="O297">
        <v>1</v>
      </c>
      <c r="P297">
        <v>0</v>
      </c>
      <c r="Q297">
        <v>1</v>
      </c>
      <c r="R297">
        <v>1</v>
      </c>
      <c r="S297">
        <v>1</v>
      </c>
      <c r="T297" s="1">
        <f>SQRT(POWER(Plank[[#This Row],[angvel_X]],2) + POWER(Plank[[#This Row],[angvel_Y]],2) + POWER(Plank[[#This Row],[angvel_Z]],2))</f>
        <v>2.0330000614854886</v>
      </c>
      <c r="U297" s="1">
        <f>DEGREES(ASIN(MAX(-1,MIN(1,2 * (Plank[[#This Row],[quart_W]]*Plank[[#This Row],[quart_Y]] - Plank[[#This Row],[quart_Z]]*Plank[[#This Row],[quart_X]])))))</f>
        <v>0.36436264410450253</v>
      </c>
      <c r="V29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100.57985907269023</v>
      </c>
      <c r="W29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90.003584854325482</v>
      </c>
      <c r="X297" s="1">
        <f>IF(Plank[[#This Row],[Yaw]]&gt;V296,(360-ABS(Plank[[#This Row],[Yaw]])-ABS(V296)),ABS(Plank[[#This Row],[Yaw]]-V296))</f>
        <v>0.9707636558935917</v>
      </c>
      <c r="Y297" s="1">
        <f>Plank[[#This Row],[Degree change]]+Y296</f>
        <v>228.57062555272179</v>
      </c>
    </row>
    <row r="298" spans="1:25">
      <c r="A298">
        <v>297</v>
      </c>
      <c r="B298" s="1">
        <v>-1027.579956</v>
      </c>
      <c r="C298" s="1">
        <v>423.44000199999999</v>
      </c>
      <c r="D298" s="1">
        <v>18.639999</v>
      </c>
      <c r="E298" s="1">
        <v>2239.0898440000001</v>
      </c>
      <c r="F298" s="1">
        <v>-525.70996100000002</v>
      </c>
      <c r="G298" s="1">
        <v>8.1799990000000005</v>
      </c>
      <c r="H298" s="1">
        <v>5.0000000000000001E-4</v>
      </c>
      <c r="I298" s="1">
        <v>0</v>
      </c>
      <c r="J298" s="1">
        <v>2.0329999999999999</v>
      </c>
      <c r="K298" s="1">
        <v>2.3499999999999999E-4</v>
      </c>
      <c r="L298" s="1">
        <v>3.1689999999999999E-3</v>
      </c>
      <c r="M298" s="1">
        <v>-8.3756999999999998E-2</v>
      </c>
      <c r="N298" s="1">
        <v>0.99648099999999995</v>
      </c>
      <c r="O298">
        <v>1</v>
      </c>
      <c r="P298">
        <v>0</v>
      </c>
      <c r="Q298">
        <v>1</v>
      </c>
      <c r="R298">
        <v>1</v>
      </c>
      <c r="S298">
        <v>1</v>
      </c>
      <c r="T298" s="1">
        <f>SQRT(POWER(Plank[[#This Row],[angvel_X]],2) + POWER(Plank[[#This Row],[angvel_Y]],2) + POWER(Plank[[#This Row],[angvel_Z]],2))</f>
        <v>2.0330000614854886</v>
      </c>
      <c r="U298" s="1">
        <f>DEGREES(ASIN(MAX(-1,MIN(1,2 * (Plank[[#This Row],[quart_W]]*Plank[[#This Row],[quart_Y]] - Plank[[#This Row],[quart_Z]]*Plank[[#This Row],[quart_X]])))))</f>
        <v>0.36412070320293832</v>
      </c>
      <c r="V29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99.609161302667914</v>
      </c>
      <c r="W29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90.003581390629463</v>
      </c>
      <c r="X298" s="1">
        <f>IF(Plank[[#This Row],[Yaw]]&gt;V297,(360-ABS(Plank[[#This Row],[Yaw]])-ABS(V297)),ABS(Plank[[#This Row],[Yaw]]-V297))</f>
        <v>0.97069777002231206</v>
      </c>
      <c r="Y298" s="1">
        <f>Plank[[#This Row],[Degree change]]+Y297</f>
        <v>229.54132332274412</v>
      </c>
    </row>
    <row r="299" spans="1:25">
      <c r="A299">
        <v>298</v>
      </c>
      <c r="B299" s="1">
        <v>-1008.849976</v>
      </c>
      <c r="C299" s="1">
        <v>419.04998799999998</v>
      </c>
      <c r="D299" s="1">
        <v>18.639999</v>
      </c>
      <c r="E299" s="1">
        <v>2247.679932</v>
      </c>
      <c r="F299" s="1">
        <v>-487.69998199999998</v>
      </c>
      <c r="G299" s="1">
        <v>8.1799990000000005</v>
      </c>
      <c r="H299" s="1">
        <v>5.0000000000000001E-4</v>
      </c>
      <c r="I299" s="1">
        <v>0</v>
      </c>
      <c r="J299" s="1">
        <v>2.0329999999999999</v>
      </c>
      <c r="K299" s="1">
        <v>2.0799999999999999E-4</v>
      </c>
      <c r="L299" s="1">
        <v>3.1689999999999999E-3</v>
      </c>
      <c r="M299" s="1">
        <v>-7.5314000000000006E-2</v>
      </c>
      <c r="N299" s="1">
        <v>0.99715500000000001</v>
      </c>
      <c r="O299">
        <v>1</v>
      </c>
      <c r="P299">
        <v>0</v>
      </c>
      <c r="Q299">
        <v>1</v>
      </c>
      <c r="R299">
        <v>1</v>
      </c>
      <c r="S299">
        <v>1</v>
      </c>
      <c r="T299" s="1">
        <f>SQRT(POWER(Plank[[#This Row],[angvel_X]],2) + POWER(Plank[[#This Row],[angvel_Y]],2) + POWER(Plank[[#This Row],[angvel_Z]],2))</f>
        <v>2.0330000614854886</v>
      </c>
      <c r="U299" s="1">
        <f>DEGREES(ASIN(MAX(-1,MIN(1,2 * (Plank[[#This Row],[quart_W]]*Plank[[#This Row],[quart_Y]] - Plank[[#This Row],[quart_Z]]*Plank[[#This Row],[quart_X]])))))</f>
        <v>0.36390507455018117</v>
      </c>
      <c r="V29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98.638585056555272</v>
      </c>
      <c r="W29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90.003582413637872</v>
      </c>
      <c r="X299" s="1">
        <f>IF(Plank[[#This Row],[Yaw]]&gt;V298,(360-ABS(Plank[[#This Row],[Yaw]])-ABS(V298)),ABS(Plank[[#This Row],[Yaw]]-V298))</f>
        <v>0.97057624611264259</v>
      </c>
      <c r="Y299" s="1">
        <f>Plank[[#This Row],[Degree change]]+Y298</f>
        <v>230.51189956885676</v>
      </c>
    </row>
    <row r="300" spans="1:25">
      <c r="A300">
        <v>299</v>
      </c>
      <c r="B300" s="1">
        <v>-990.04998799999998</v>
      </c>
      <c r="C300" s="1">
        <v>414.97998000000001</v>
      </c>
      <c r="D300" s="1">
        <v>18.639999</v>
      </c>
      <c r="E300" s="1">
        <v>2255.6198730000001</v>
      </c>
      <c r="F300" s="1">
        <v>-449.54998799999998</v>
      </c>
      <c r="G300" s="1">
        <v>8.1799990000000005</v>
      </c>
      <c r="H300" s="1">
        <v>5.0000000000000001E-4</v>
      </c>
      <c r="I300" s="1">
        <v>0</v>
      </c>
      <c r="J300" s="1">
        <v>2.0329999999999999</v>
      </c>
      <c r="K300" s="1">
        <v>1.8100000000000001E-4</v>
      </c>
      <c r="L300" s="1">
        <v>3.1689999999999999E-3</v>
      </c>
      <c r="M300" s="1">
        <v>-6.6865999999999995E-2</v>
      </c>
      <c r="N300" s="1">
        <v>0.99775700000000001</v>
      </c>
      <c r="O300">
        <v>1</v>
      </c>
      <c r="P300">
        <v>0</v>
      </c>
      <c r="Q300">
        <v>1</v>
      </c>
      <c r="R300">
        <v>1</v>
      </c>
      <c r="S300">
        <v>1</v>
      </c>
      <c r="T300" s="1">
        <f>SQRT(POWER(Plank[[#This Row],[angvel_X]],2) + POWER(Plank[[#This Row],[angvel_Y]],2) + POWER(Plank[[#This Row],[angvel_Z]],2))</f>
        <v>2.0330000614854886</v>
      </c>
      <c r="U300" s="1">
        <f>DEGREES(ASIN(MAX(-1,MIN(1,2 * (Plank[[#This Row],[quart_W]]*Plank[[#This Row],[quart_Y]] - Plank[[#This Row],[quart_Z]]*Plank[[#This Row],[quart_X]])))))</f>
        <v>0.36371544140688972</v>
      </c>
      <c r="V30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97.668051172119775</v>
      </c>
      <c r="W30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90.003587285062522</v>
      </c>
      <c r="X300" s="1">
        <f>IF(Plank[[#This Row],[Yaw]]&gt;V299,(360-ABS(Plank[[#This Row],[Yaw]])-ABS(V299)),ABS(Plank[[#This Row],[Yaw]]-V299))</f>
        <v>0.97053388443549693</v>
      </c>
      <c r="Y300" s="1">
        <f>Plank[[#This Row],[Degree change]]+Y299</f>
        <v>231.48243345329226</v>
      </c>
    </row>
    <row r="301" spans="1:25">
      <c r="A301">
        <v>300</v>
      </c>
      <c r="B301" s="1">
        <v>-971.17999299999997</v>
      </c>
      <c r="C301" s="1">
        <v>411.22000100000002</v>
      </c>
      <c r="D301" s="1">
        <v>18.639999</v>
      </c>
      <c r="E301" s="1">
        <v>2262.9099120000001</v>
      </c>
      <c r="F301" s="1">
        <v>-411.26998900000001</v>
      </c>
      <c r="G301" s="1">
        <v>8.1799990000000005</v>
      </c>
      <c r="H301" s="1">
        <v>5.0000000000000001E-4</v>
      </c>
      <c r="I301" s="1">
        <v>0</v>
      </c>
      <c r="J301" s="1">
        <v>2.0329999999999999</v>
      </c>
      <c r="K301" s="1">
        <v>1.54E-4</v>
      </c>
      <c r="L301" s="1">
        <v>3.1689999999999999E-3</v>
      </c>
      <c r="M301" s="1">
        <v>-5.8411999999999999E-2</v>
      </c>
      <c r="N301" s="1">
        <v>0.99828700000000004</v>
      </c>
      <c r="O301">
        <v>1</v>
      </c>
      <c r="P301">
        <v>0</v>
      </c>
      <c r="Q301">
        <v>1</v>
      </c>
      <c r="R301">
        <v>1</v>
      </c>
      <c r="S301">
        <v>1</v>
      </c>
      <c r="T301" s="1">
        <f>SQRT(POWER(Plank[[#This Row],[angvel_X]],2) + POWER(Plank[[#This Row],[angvel_Y]],2) + POWER(Plank[[#This Row],[angvel_Z]],2))</f>
        <v>2.0330000614854886</v>
      </c>
      <c r="U301" s="1">
        <f>DEGREES(ASIN(MAX(-1,MIN(1,2 * (Plank[[#This Row],[quart_W]]*Plank[[#This Row],[quart_Y]] - Plank[[#This Row],[quart_Z]]*Plank[[#This Row],[quart_X]])))))</f>
        <v>0.36355183253448303</v>
      </c>
      <c r="V30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96.697376039934767</v>
      </c>
      <c r="W30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90.003594973443867</v>
      </c>
      <c r="X301" s="1">
        <f>IF(Plank[[#This Row],[Yaw]]&gt;V300,(360-ABS(Plank[[#This Row],[Yaw]])-ABS(V300)),ABS(Plank[[#This Row],[Yaw]]-V300))</f>
        <v>0.97067513218500778</v>
      </c>
      <c r="Y301" s="1">
        <f>Plank[[#This Row],[Degree change]]+Y300</f>
        <v>232.45310858547725</v>
      </c>
    </row>
    <row r="302" spans="1:25">
      <c r="A302">
        <v>301</v>
      </c>
      <c r="B302" s="1">
        <v>-952.25</v>
      </c>
      <c r="C302" s="1">
        <v>407.77999899999998</v>
      </c>
      <c r="D302" s="1">
        <v>18.639999</v>
      </c>
      <c r="E302" s="1">
        <v>2269.5500489999999</v>
      </c>
      <c r="F302" s="1">
        <v>-372.86999500000002</v>
      </c>
      <c r="G302" s="1">
        <v>8.1799990000000005</v>
      </c>
      <c r="H302" s="1">
        <v>5.0000000000000001E-4</v>
      </c>
      <c r="I302" s="1">
        <v>0</v>
      </c>
      <c r="J302" s="1">
        <v>2.0329999999999999</v>
      </c>
      <c r="K302" s="1">
        <v>1.27E-4</v>
      </c>
      <c r="L302" s="1">
        <v>3.1689999999999999E-3</v>
      </c>
      <c r="M302" s="1">
        <v>-4.9952999999999997E-2</v>
      </c>
      <c r="N302" s="1">
        <v>0.99874600000000002</v>
      </c>
      <c r="O302">
        <v>1</v>
      </c>
      <c r="P302">
        <v>0</v>
      </c>
      <c r="Q302">
        <v>1</v>
      </c>
      <c r="R302">
        <v>1</v>
      </c>
      <c r="S302">
        <v>1</v>
      </c>
      <c r="T302" s="1">
        <f>SQRT(POWER(Plank[[#This Row],[angvel_X]],2) + POWER(Plank[[#This Row],[angvel_Y]],2) + POWER(Plank[[#This Row],[angvel_Z]],2))</f>
        <v>2.0330000614854886</v>
      </c>
      <c r="U302" s="1">
        <f>DEGREES(ASIN(MAX(-1,MIN(1,2 * (Plank[[#This Row],[quart_W]]*Plank[[#This Row],[quart_Y]] - Plank[[#This Row],[quart_Z]]*Plank[[#This Row],[quart_X]])))))</f>
        <v>0.36341468132553895</v>
      </c>
      <c r="V30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95.726612640593061</v>
      </c>
      <c r="W30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90.003605159064904</v>
      </c>
      <c r="X302" s="1">
        <f>IF(Plank[[#This Row],[Yaw]]&gt;V301,(360-ABS(Plank[[#This Row],[Yaw]])-ABS(V301)),ABS(Plank[[#This Row],[Yaw]]-V301))</f>
        <v>0.97076339934170619</v>
      </c>
      <c r="Y302" s="1">
        <f>Plank[[#This Row],[Degree change]]+Y301</f>
        <v>233.42387198481896</v>
      </c>
    </row>
    <row r="303" spans="1:25">
      <c r="A303">
        <v>302</v>
      </c>
      <c r="B303" s="1">
        <v>-933.26995799999997</v>
      </c>
      <c r="C303" s="1">
        <v>404.669983</v>
      </c>
      <c r="D303" s="1">
        <v>18.639999</v>
      </c>
      <c r="E303" s="1">
        <v>2275.5500489999999</v>
      </c>
      <c r="F303" s="1">
        <v>-334.36999500000002</v>
      </c>
      <c r="G303" s="1">
        <v>8.1799990000000005</v>
      </c>
      <c r="H303" s="1">
        <v>5.0000000000000001E-4</v>
      </c>
      <c r="I303" s="1">
        <v>1E-4</v>
      </c>
      <c r="J303" s="1">
        <v>2.0329999999999999</v>
      </c>
      <c r="K303" s="1">
        <v>1E-4</v>
      </c>
      <c r="L303" s="1">
        <v>3.1689999999999999E-3</v>
      </c>
      <c r="M303" s="1">
        <v>-4.1488999999999998E-2</v>
      </c>
      <c r="N303" s="1">
        <v>0.99913399999999997</v>
      </c>
      <c r="O303">
        <v>1</v>
      </c>
      <c r="P303">
        <v>0</v>
      </c>
      <c r="Q303">
        <v>1</v>
      </c>
      <c r="R303">
        <v>1</v>
      </c>
      <c r="S303">
        <v>1</v>
      </c>
      <c r="T303" s="1">
        <f>SQRT(POWER(Plank[[#This Row],[angvel_X]],2) + POWER(Plank[[#This Row],[angvel_Y]],2) + POWER(Plank[[#This Row],[angvel_Z]],2))</f>
        <v>2.033000063944908</v>
      </c>
      <c r="U303" s="1">
        <f>DEGREES(ASIN(MAX(-1,MIN(1,2 * (Plank[[#This Row],[quart_W]]*Plank[[#This Row],[quart_Y]] - Plank[[#This Row],[quart_Z]]*Plank[[#This Row],[quart_X]])))))</f>
        <v>0.36330403418936563</v>
      </c>
      <c r="V30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94.75568992209331</v>
      </c>
      <c r="W30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90.003617182896321</v>
      </c>
      <c r="X303" s="1">
        <f>IF(Plank[[#This Row],[Yaw]]&gt;V302,(360-ABS(Plank[[#This Row],[Yaw]])-ABS(V302)),ABS(Plank[[#This Row],[Yaw]]-V302))</f>
        <v>0.9709227184997502</v>
      </c>
      <c r="Y303" s="1">
        <f>Plank[[#This Row],[Degree change]]+Y302</f>
        <v>234.39479470331872</v>
      </c>
    </row>
    <row r="304" spans="1:25">
      <c r="A304">
        <v>303</v>
      </c>
      <c r="B304" s="1">
        <v>-914.23999000000003</v>
      </c>
      <c r="C304" s="1">
        <v>401.88000499999998</v>
      </c>
      <c r="D304" s="1">
        <v>18.639999</v>
      </c>
      <c r="E304" s="1">
        <v>2280.8798830000001</v>
      </c>
      <c r="F304" s="1">
        <v>-295.76998900000001</v>
      </c>
      <c r="G304" s="1">
        <v>8.1799990000000005</v>
      </c>
      <c r="H304" s="1">
        <v>5.0000000000000001E-4</v>
      </c>
      <c r="I304" s="1">
        <v>1E-4</v>
      </c>
      <c r="J304" s="1">
        <v>2.0329999999999999</v>
      </c>
      <c r="K304" s="1">
        <v>7.2999999999999999E-5</v>
      </c>
      <c r="L304" s="1">
        <v>3.1689999999999999E-3</v>
      </c>
      <c r="M304" s="1">
        <v>-3.3023999999999998E-2</v>
      </c>
      <c r="N304" s="1">
        <v>0.99944900000000003</v>
      </c>
      <c r="O304">
        <v>1</v>
      </c>
      <c r="P304">
        <v>0</v>
      </c>
      <c r="Q304">
        <v>1</v>
      </c>
      <c r="R304">
        <v>1</v>
      </c>
      <c r="S304">
        <v>1</v>
      </c>
      <c r="T304" s="1">
        <f>SQRT(POWER(Plank[[#This Row],[angvel_X]],2) + POWER(Plank[[#This Row],[angvel_Y]],2) + POWER(Plank[[#This Row],[angvel_Z]],2))</f>
        <v>2.033000063944908</v>
      </c>
      <c r="U304" s="1">
        <f>DEGREES(ASIN(MAX(-1,MIN(1,2 * (Plank[[#This Row],[quart_W]]*Plank[[#This Row],[quart_Y]] - Plank[[#This Row],[quart_Z]]*Plank[[#This Row],[quart_X]])))))</f>
        <v>0.36321924470101546</v>
      </c>
      <c r="V30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93.784988352283079</v>
      </c>
      <c r="W30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90.003631855231347</v>
      </c>
      <c r="X304" s="1">
        <f>IF(Plank[[#This Row],[Yaw]]&gt;V303,(360-ABS(Plank[[#This Row],[Yaw]])-ABS(V303)),ABS(Plank[[#This Row],[Yaw]]-V303))</f>
        <v>0.97070156981023104</v>
      </c>
      <c r="Y304" s="1">
        <f>Plank[[#This Row],[Degree change]]+Y303</f>
        <v>235.36549627312894</v>
      </c>
    </row>
    <row r="305" spans="1:25">
      <c r="A305">
        <v>304</v>
      </c>
      <c r="B305" s="1">
        <v>-895.15997300000004</v>
      </c>
      <c r="C305" s="1">
        <v>399.41000400000001</v>
      </c>
      <c r="D305" s="1">
        <v>18.639999</v>
      </c>
      <c r="E305" s="1">
        <v>2285.570068</v>
      </c>
      <c r="F305" s="1">
        <v>-257.07998700000002</v>
      </c>
      <c r="G305" s="1">
        <v>8.1799990000000005</v>
      </c>
      <c r="H305" s="1">
        <v>5.0000000000000001E-4</v>
      </c>
      <c r="I305" s="1">
        <v>1E-4</v>
      </c>
      <c r="J305" s="1">
        <v>2.0329999999999999</v>
      </c>
      <c r="K305" s="1">
        <v>4.6E-5</v>
      </c>
      <c r="L305" s="1">
        <v>3.1689999999999999E-3</v>
      </c>
      <c r="M305" s="1">
        <v>-2.4555E-2</v>
      </c>
      <c r="N305" s="1">
        <v>0.99969300000000005</v>
      </c>
      <c r="O305">
        <v>1</v>
      </c>
      <c r="P305">
        <v>0</v>
      </c>
      <c r="Q305">
        <v>1</v>
      </c>
      <c r="R305">
        <v>1</v>
      </c>
      <c r="S305">
        <v>1</v>
      </c>
      <c r="T305" s="1">
        <f>SQRT(POWER(Plank[[#This Row],[angvel_X]],2) + POWER(Plank[[#This Row],[angvel_Y]],2) + POWER(Plank[[#This Row],[angvel_Z]],2))</f>
        <v>2.033000063944908</v>
      </c>
      <c r="U305" s="1">
        <f>DEGREES(ASIN(MAX(-1,MIN(1,2 * (Plank[[#This Row],[quart_W]]*Plank[[#This Row],[quart_Y]] - Plank[[#This Row],[quart_Z]]*Plank[[#This Row],[quart_X]])))))</f>
        <v>0.36316103262380056</v>
      </c>
      <c r="V30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92.81410298278972</v>
      </c>
      <c r="W30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90.003647398490102</v>
      </c>
      <c r="X305" s="1">
        <f>IF(Plank[[#This Row],[Yaw]]&gt;V304,(360-ABS(Plank[[#This Row],[Yaw]])-ABS(V304)),ABS(Plank[[#This Row],[Yaw]]-V304))</f>
        <v>0.97088536949335946</v>
      </c>
      <c r="Y305" s="1">
        <f>Plank[[#This Row],[Degree change]]+Y304</f>
        <v>236.33638164262231</v>
      </c>
    </row>
    <row r="306" spans="1:25">
      <c r="A306">
        <v>305</v>
      </c>
      <c r="B306" s="1">
        <v>-876.03997800000002</v>
      </c>
      <c r="C306" s="1">
        <v>397.25997899999999</v>
      </c>
      <c r="D306" s="1">
        <v>18.639999</v>
      </c>
      <c r="E306" s="1">
        <v>2289.5898440000001</v>
      </c>
      <c r="F306" s="1">
        <v>-218.31999200000001</v>
      </c>
      <c r="G306" s="1">
        <v>8.1799990000000005</v>
      </c>
      <c r="H306" s="1">
        <v>5.0000000000000001E-4</v>
      </c>
      <c r="I306" s="1">
        <v>2.0000000000000001E-4</v>
      </c>
      <c r="J306" s="1">
        <v>2.0329999999999999</v>
      </c>
      <c r="K306" s="1">
        <v>1.9000000000000001E-5</v>
      </c>
      <c r="L306" s="1">
        <v>3.1689999999999999E-3</v>
      </c>
      <c r="M306" s="1">
        <v>-1.6084999999999999E-2</v>
      </c>
      <c r="N306" s="1">
        <v>0.99986600000000003</v>
      </c>
      <c r="O306">
        <v>1</v>
      </c>
      <c r="P306">
        <v>0</v>
      </c>
      <c r="Q306">
        <v>1</v>
      </c>
      <c r="R306">
        <v>1</v>
      </c>
      <c r="S306">
        <v>1</v>
      </c>
      <c r="T306" s="1">
        <f>SQRT(POWER(Plank[[#This Row],[angvel_X]],2) + POWER(Plank[[#This Row],[angvel_Y]],2) + POWER(Plank[[#This Row],[angvel_Z]],2))</f>
        <v>2.0330000713231664</v>
      </c>
      <c r="U306" s="1">
        <f>DEGREES(ASIN(MAX(-1,MIN(1,2 * (Plank[[#This Row],[quart_W]]*Plank[[#This Row],[quart_Y]] - Plank[[#This Row],[quart_Z]]*Plank[[#This Row],[quart_X]])))))</f>
        <v>0.36312944161746818</v>
      </c>
      <c r="V30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91.843306311989323</v>
      </c>
      <c r="W30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90.003664243087186</v>
      </c>
      <c r="X306" s="1">
        <f>IF(Plank[[#This Row],[Yaw]]&gt;V305,(360-ABS(Plank[[#This Row],[Yaw]])-ABS(V305)),ABS(Plank[[#This Row],[Yaw]]-V305))</f>
        <v>0.97079667080039656</v>
      </c>
      <c r="Y306" s="1">
        <f>Plank[[#This Row],[Degree change]]+Y305</f>
        <v>237.3071783134227</v>
      </c>
    </row>
    <row r="307" spans="1:25">
      <c r="A307">
        <v>306</v>
      </c>
      <c r="B307" s="1">
        <v>-856.88995399999999</v>
      </c>
      <c r="C307" s="1">
        <v>395.44000199999999</v>
      </c>
      <c r="D307" s="1">
        <v>18.639999</v>
      </c>
      <c r="E307" s="1">
        <v>2292.969971</v>
      </c>
      <c r="F307" s="1">
        <v>-179.5</v>
      </c>
      <c r="G307" s="1">
        <v>8.1799990000000005</v>
      </c>
      <c r="H307" s="1">
        <v>5.0000000000000001E-4</v>
      </c>
      <c r="I307" s="1">
        <v>2.0000000000000001E-4</v>
      </c>
      <c r="J307" s="1">
        <v>2.0329999999999999</v>
      </c>
      <c r="K307" s="1">
        <v>-7.9999999999999996E-6</v>
      </c>
      <c r="L307" s="1">
        <v>3.1689999999999999E-3</v>
      </c>
      <c r="M307" s="1">
        <v>-7.6150000000000002E-3</v>
      </c>
      <c r="N307" s="1">
        <v>0.99996600000000002</v>
      </c>
      <c r="O307">
        <v>1</v>
      </c>
      <c r="P307">
        <v>0</v>
      </c>
      <c r="Q307">
        <v>1</v>
      </c>
      <c r="R307">
        <v>1</v>
      </c>
      <c r="S307">
        <v>1</v>
      </c>
      <c r="T307" s="1">
        <f>SQRT(POWER(Plank[[#This Row],[angvel_X]],2) + POWER(Plank[[#This Row],[angvel_Y]],2) + POWER(Plank[[#This Row],[angvel_Z]],2))</f>
        <v>2.0330000713231664</v>
      </c>
      <c r="U307" s="1">
        <f>DEGREES(ASIN(MAX(-1,MIN(1,2 * (Plank[[#This Row],[quart_W]]*Plank[[#This Row],[quart_Y]] - Plank[[#This Row],[quart_Z]]*Plank[[#This Row],[quart_X]])))))</f>
        <v>0.36312375375120365</v>
      </c>
      <c r="V30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90.87263921960556</v>
      </c>
      <c r="W30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90.003682091307923</v>
      </c>
      <c r="X307" s="1">
        <f>IF(Plank[[#This Row],[Yaw]]&gt;V306,(360-ABS(Plank[[#This Row],[Yaw]])-ABS(V306)),ABS(Plank[[#This Row],[Yaw]]-V306))</f>
        <v>0.97066709238376347</v>
      </c>
      <c r="Y307" s="1">
        <f>Plank[[#This Row],[Degree change]]+Y306</f>
        <v>238.27784540580646</v>
      </c>
    </row>
    <row r="308" spans="1:25">
      <c r="A308">
        <v>307</v>
      </c>
      <c r="B308" s="1">
        <v>-837.70996100000002</v>
      </c>
      <c r="C308" s="1">
        <v>393.94000199999999</v>
      </c>
      <c r="D308" s="1">
        <v>18.639999</v>
      </c>
      <c r="E308" s="1">
        <v>2295.679932</v>
      </c>
      <c r="F308" s="1">
        <v>-140.62998999999999</v>
      </c>
      <c r="G308" s="1">
        <v>8.1799990000000005</v>
      </c>
      <c r="H308" s="1">
        <v>5.0000000000000001E-4</v>
      </c>
      <c r="I308" s="1">
        <v>2.0000000000000001E-4</v>
      </c>
      <c r="J308" s="1">
        <v>2.0329999999999999</v>
      </c>
      <c r="K308" s="1">
        <v>-3.4999999999999997E-5</v>
      </c>
      <c r="L308" s="1">
        <v>3.1689999999999999E-3</v>
      </c>
      <c r="M308" s="1">
        <v>8.5499999999999997E-4</v>
      </c>
      <c r="N308" s="1">
        <v>0.99999499999999997</v>
      </c>
      <c r="O308">
        <v>1</v>
      </c>
      <c r="P308">
        <v>0</v>
      </c>
      <c r="Q308">
        <v>1</v>
      </c>
      <c r="R308">
        <v>1</v>
      </c>
      <c r="S308">
        <v>1</v>
      </c>
      <c r="T308" s="1">
        <f>SQRT(POWER(Plank[[#This Row],[angvel_X]],2) + POWER(Plank[[#This Row],[angvel_Y]],2) + POWER(Plank[[#This Row],[angvel_Z]],2))</f>
        <v>2.0330000713231664</v>
      </c>
      <c r="U308" s="1">
        <f>DEGREES(ASIN(MAX(-1,MIN(1,2 * (Plank[[#This Row],[quart_W]]*Plank[[#This Row],[quart_Y]] - Plank[[#This Row],[quart_Z]]*Plank[[#This Row],[quart_X]])))))</f>
        <v>0.36314469532084714</v>
      </c>
      <c r="V30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89.902035401436606</v>
      </c>
      <c r="W30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90.003700273580534</v>
      </c>
      <c r="X308" s="1">
        <f>IF(Plank[[#This Row],[Yaw]]&gt;V307,(360-ABS(Plank[[#This Row],[Yaw]])-ABS(V307)),ABS(Plank[[#This Row],[Yaw]]-V307))</f>
        <v>0.97060381816895358</v>
      </c>
      <c r="Y308" s="1">
        <f>Plank[[#This Row],[Degree change]]+Y307</f>
        <v>239.2484492239754</v>
      </c>
    </row>
    <row r="309" spans="1:25">
      <c r="A309">
        <v>308</v>
      </c>
      <c r="B309" s="1">
        <v>-818.51000999999997</v>
      </c>
      <c r="C309" s="1">
        <v>392.76998900000001</v>
      </c>
      <c r="D309" s="1">
        <v>18.639999</v>
      </c>
      <c r="E309" s="1">
        <v>2297.7299800000001</v>
      </c>
      <c r="F309" s="1">
        <v>-101.720001</v>
      </c>
      <c r="G309" s="1">
        <v>8.1799990000000005</v>
      </c>
      <c r="H309" s="1">
        <v>5.0000000000000001E-4</v>
      </c>
      <c r="I309" s="1">
        <v>2.0000000000000001E-4</v>
      </c>
      <c r="J309" s="1">
        <v>2.0329999999999999</v>
      </c>
      <c r="K309" s="1">
        <v>-6.2000000000000003E-5</v>
      </c>
      <c r="L309" s="1">
        <v>3.1689999999999999E-3</v>
      </c>
      <c r="M309" s="1">
        <v>9.325E-3</v>
      </c>
      <c r="N309" s="1">
        <v>0.99995100000000003</v>
      </c>
      <c r="O309">
        <v>1</v>
      </c>
      <c r="P309">
        <v>0</v>
      </c>
      <c r="Q309">
        <v>1</v>
      </c>
      <c r="R309">
        <v>1</v>
      </c>
      <c r="S309">
        <v>1</v>
      </c>
      <c r="T309" s="1">
        <f>SQRT(POWER(Plank[[#This Row],[angvel_X]],2) + POWER(Plank[[#This Row],[angvel_Y]],2) + POWER(Plank[[#This Row],[angvel_Z]],2))</f>
        <v>2.0330000713231664</v>
      </c>
      <c r="U309" s="1">
        <f>DEGREES(ASIN(MAX(-1,MIN(1,2 * (Plank[[#This Row],[quart_W]]*Plank[[#This Row],[quart_Y]] - Plank[[#This Row],[quart_Z]]*Plank[[#This Row],[quart_X]])))))</f>
        <v>0.36319154003069082</v>
      </c>
      <c r="V30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88.931425173547368</v>
      </c>
      <c r="W30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90.003718116666235</v>
      </c>
      <c r="X309" s="1">
        <f>IF(Plank[[#This Row],[Yaw]]&gt;V308,(360-ABS(Plank[[#This Row],[Yaw]])-ABS(V308)),ABS(Plank[[#This Row],[Yaw]]-V308))</f>
        <v>0.97061022788923879</v>
      </c>
      <c r="Y309" s="1">
        <f>Plank[[#This Row],[Degree change]]+Y308</f>
        <v>240.21905945186464</v>
      </c>
    </row>
    <row r="310" spans="1:25">
      <c r="A310">
        <v>309</v>
      </c>
      <c r="B310" s="1">
        <v>-799.28997800000002</v>
      </c>
      <c r="C310" s="1">
        <v>391.919983</v>
      </c>
      <c r="D310" s="1">
        <v>18.639999</v>
      </c>
      <c r="E310" s="1">
        <v>2299.1198730000001</v>
      </c>
      <c r="F310" s="1">
        <v>-62.779998999999997</v>
      </c>
      <c r="G310" s="1">
        <v>8.1799990000000005</v>
      </c>
      <c r="H310" s="1">
        <v>5.0000000000000001E-4</v>
      </c>
      <c r="I310" s="1">
        <v>2.0000000000000001E-4</v>
      </c>
      <c r="J310" s="1">
        <v>2.0329999999999999</v>
      </c>
      <c r="K310" s="1">
        <v>-8.8999999999999995E-5</v>
      </c>
      <c r="L310" s="1">
        <v>3.1689999999999999E-3</v>
      </c>
      <c r="M310" s="1">
        <v>1.7794999999999998E-2</v>
      </c>
      <c r="N310" s="1">
        <v>0.99983699999999998</v>
      </c>
      <c r="O310">
        <v>1</v>
      </c>
      <c r="P310">
        <v>0</v>
      </c>
      <c r="Q310">
        <v>1</v>
      </c>
      <c r="R310">
        <v>1</v>
      </c>
      <c r="S310">
        <v>1</v>
      </c>
      <c r="T310" s="1">
        <f>SQRT(POWER(Plank[[#This Row],[angvel_X]],2) + POWER(Plank[[#This Row],[angvel_Y]],2) + POWER(Plank[[#This Row],[angvel_Z]],2))</f>
        <v>2.0330000713231664</v>
      </c>
      <c r="U310" s="1">
        <f>DEGREES(ASIN(MAX(-1,MIN(1,2 * (Plank[[#This Row],[quart_W]]*Plank[[#This Row],[quart_Y]] - Plank[[#This Row],[quart_Z]]*Plank[[#This Row],[quart_X]])))))</f>
        <v>0.36326537732498554</v>
      </c>
      <c r="V31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87.960736409262978</v>
      </c>
      <c r="W31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90.003734973568257</v>
      </c>
      <c r="X310" s="1">
        <f>IF(Plank[[#This Row],[Yaw]]&gt;V309,(360-ABS(Plank[[#This Row],[Yaw]])-ABS(V309)),ABS(Plank[[#This Row],[Yaw]]-V309))</f>
        <v>0.97068876428438955</v>
      </c>
      <c r="Y310" s="1">
        <f>Plank[[#This Row],[Degree change]]+Y309</f>
        <v>241.18974821614904</v>
      </c>
    </row>
    <row r="311" spans="1:25">
      <c r="A311">
        <v>310</v>
      </c>
      <c r="B311" s="1">
        <v>-780.05999799999995</v>
      </c>
      <c r="C311" s="1">
        <v>391.39999399999999</v>
      </c>
      <c r="D311" s="1">
        <v>18.639999</v>
      </c>
      <c r="E311" s="1">
        <v>2299.8598630000001</v>
      </c>
      <c r="F311" s="1">
        <v>-23.82</v>
      </c>
      <c r="G311" s="1">
        <v>8.1799990000000005</v>
      </c>
      <c r="H311" s="1">
        <v>5.0000000000000001E-4</v>
      </c>
      <c r="I311" s="1">
        <v>2.0000000000000001E-4</v>
      </c>
      <c r="J311" s="1">
        <v>2.0329999999999999</v>
      </c>
      <c r="K311" s="1">
        <v>-1.16E-4</v>
      </c>
      <c r="L311" s="1">
        <v>3.1689999999999999E-3</v>
      </c>
      <c r="M311" s="1">
        <v>2.6265E-2</v>
      </c>
      <c r="N311" s="1">
        <v>0.99965000000000004</v>
      </c>
      <c r="O311">
        <v>1</v>
      </c>
      <c r="P311">
        <v>0</v>
      </c>
      <c r="Q311">
        <v>1</v>
      </c>
      <c r="R311">
        <v>1</v>
      </c>
      <c r="S311">
        <v>1</v>
      </c>
      <c r="T311" s="1">
        <f>SQRT(POWER(Plank[[#This Row],[angvel_X]],2) + POWER(Plank[[#This Row],[angvel_Y]],2) + POWER(Plank[[#This Row],[angvel_Z]],2))</f>
        <v>2.0330000713231664</v>
      </c>
      <c r="U311" s="1">
        <f>DEGREES(ASIN(MAX(-1,MIN(1,2 * (Plank[[#This Row],[quart_W]]*Plank[[#This Row],[quart_Y]] - Plank[[#This Row],[quart_Z]]*Plank[[#This Row],[quart_X]])))))</f>
        <v>0.36336511776053276</v>
      </c>
      <c r="V31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86.989903258945446</v>
      </c>
      <c r="W31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90.003750154660807</v>
      </c>
      <c r="X311" s="1">
        <f>IF(Plank[[#This Row],[Yaw]]&gt;V310,(360-ABS(Plank[[#This Row],[Yaw]])-ABS(V310)),ABS(Plank[[#This Row],[Yaw]]-V310))</f>
        <v>0.97083315031753159</v>
      </c>
      <c r="Y311" s="1">
        <f>Plank[[#This Row],[Degree change]]+Y310</f>
        <v>242.16058136646657</v>
      </c>
    </row>
    <row r="312" spans="1:25">
      <c r="A312">
        <v>311</v>
      </c>
      <c r="B312" s="1">
        <v>-760.82995600000004</v>
      </c>
      <c r="C312" s="1">
        <v>391.209991</v>
      </c>
      <c r="D312" s="1">
        <v>18.639999</v>
      </c>
      <c r="E312" s="1">
        <v>2299.929932</v>
      </c>
      <c r="F312" s="1">
        <v>15.139999</v>
      </c>
      <c r="G312" s="1">
        <v>8.1799990000000005</v>
      </c>
      <c r="H312" s="1">
        <v>5.0000000000000001E-4</v>
      </c>
      <c r="I312" s="1">
        <v>2.0000000000000001E-4</v>
      </c>
      <c r="J312" s="1">
        <v>2.0329999999999999</v>
      </c>
      <c r="K312" s="1">
        <v>-1.4300000000000001E-4</v>
      </c>
      <c r="L312" s="1">
        <v>3.1689999999999999E-3</v>
      </c>
      <c r="M312" s="1">
        <v>3.4729000000000003E-2</v>
      </c>
      <c r="N312" s="1">
        <v>0.99939199999999995</v>
      </c>
      <c r="O312">
        <v>1</v>
      </c>
      <c r="P312">
        <v>0</v>
      </c>
      <c r="Q312">
        <v>1</v>
      </c>
      <c r="R312">
        <v>1</v>
      </c>
      <c r="S312">
        <v>1</v>
      </c>
      <c r="T312" s="1">
        <f>SQRT(POWER(Plank[[#This Row],[angvel_X]],2) + POWER(Plank[[#This Row],[angvel_Y]],2) + POWER(Plank[[#This Row],[angvel_Z]],2))</f>
        <v>2.0330000713231664</v>
      </c>
      <c r="U312" s="1">
        <f>DEGREES(ASIN(MAX(-1,MIN(1,2 * (Plank[[#This Row],[quart_W]]*Plank[[#This Row],[quart_Y]] - Plank[[#This Row],[quart_Z]]*Plank[[#This Row],[quart_X]])))))</f>
        <v>0.36349138931257136</v>
      </c>
      <c r="V31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86.019540176480831</v>
      </c>
      <c r="W31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90.00376519401209</v>
      </c>
      <c r="X312" s="1">
        <f>IF(Plank[[#This Row],[Yaw]]&gt;V311,(360-ABS(Plank[[#This Row],[Yaw]])-ABS(V311)),ABS(Plank[[#This Row],[Yaw]]-V311))</f>
        <v>0.97036308246461545</v>
      </c>
      <c r="Y312" s="1">
        <f>Plank[[#This Row],[Degree change]]+Y311</f>
        <v>243.13094444893119</v>
      </c>
    </row>
    <row r="313" spans="1:25">
      <c r="A313">
        <v>312</v>
      </c>
      <c r="B313" s="1">
        <v>-741.59997599999997</v>
      </c>
      <c r="C313" s="1">
        <v>391.33999599999999</v>
      </c>
      <c r="D313" s="1">
        <v>18.639999</v>
      </c>
      <c r="E313" s="1">
        <v>2299.3398440000001</v>
      </c>
      <c r="F313" s="1">
        <v>54.09</v>
      </c>
      <c r="G313" s="1">
        <v>8.1799990000000005</v>
      </c>
      <c r="H313" s="1">
        <v>5.0000000000000001E-4</v>
      </c>
      <c r="I313" s="1">
        <v>2.0000000000000001E-4</v>
      </c>
      <c r="J313" s="1">
        <v>2.0329999999999999</v>
      </c>
      <c r="K313" s="1">
        <v>-1.7000000000000001E-4</v>
      </c>
      <c r="L313" s="1">
        <v>3.1689999999999999E-3</v>
      </c>
      <c r="M313" s="1">
        <v>4.3194000000000003E-2</v>
      </c>
      <c r="N313" s="1">
        <v>0.99906200000000001</v>
      </c>
      <c r="O313">
        <v>1</v>
      </c>
      <c r="P313">
        <v>0</v>
      </c>
      <c r="Q313">
        <v>1</v>
      </c>
      <c r="R313">
        <v>1</v>
      </c>
      <c r="S313">
        <v>1</v>
      </c>
      <c r="T313" s="1">
        <f>SQRT(POWER(Plank[[#This Row],[angvel_X]],2) + POWER(Plank[[#This Row],[angvel_Y]],2) + POWER(Plank[[#This Row],[angvel_Z]],2))</f>
        <v>2.0330000713231664</v>
      </c>
      <c r="U313" s="1">
        <f>DEGREES(ASIN(MAX(-1,MIN(1,2 * (Plank[[#This Row],[quart_W]]*Plank[[#This Row],[quart_Y]] - Plank[[#This Row],[quart_Z]]*Plank[[#This Row],[quart_X]])))))</f>
        <v>0.36364390950833236</v>
      </c>
      <c r="V31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85.048777164778755</v>
      </c>
      <c r="W31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90.00377687107617</v>
      </c>
      <c r="X313" s="1">
        <f>IF(Plank[[#This Row],[Yaw]]&gt;V312,(360-ABS(Plank[[#This Row],[Yaw]])-ABS(V312)),ABS(Plank[[#This Row],[Yaw]]-V312))</f>
        <v>0.97076301170207557</v>
      </c>
      <c r="Y313" s="1">
        <f>Plank[[#This Row],[Degree change]]+Y312</f>
        <v>244.10170746063326</v>
      </c>
    </row>
    <row r="314" spans="1:25">
      <c r="A314">
        <v>313</v>
      </c>
      <c r="B314" s="1">
        <v>-722.36999500000002</v>
      </c>
      <c r="C314" s="1">
        <v>391.79998799999998</v>
      </c>
      <c r="D314" s="1">
        <v>18.639999</v>
      </c>
      <c r="E314" s="1">
        <v>2298.0998540000001</v>
      </c>
      <c r="F314" s="1">
        <v>93.029999000000004</v>
      </c>
      <c r="G314" s="1">
        <v>8.1799990000000005</v>
      </c>
      <c r="H314" s="1">
        <v>5.0000000000000001E-4</v>
      </c>
      <c r="I314" s="1">
        <v>2.0000000000000001E-4</v>
      </c>
      <c r="J314" s="1">
        <v>2.0329999999999999</v>
      </c>
      <c r="K314" s="1">
        <v>-1.9699999999999999E-4</v>
      </c>
      <c r="L314" s="1">
        <v>3.1689999999999999E-3</v>
      </c>
      <c r="M314" s="1">
        <v>5.1652999999999998E-2</v>
      </c>
      <c r="N314" s="1">
        <v>0.99865999999999999</v>
      </c>
      <c r="O314">
        <v>1</v>
      </c>
      <c r="P314">
        <v>0</v>
      </c>
      <c r="Q314">
        <v>1</v>
      </c>
      <c r="R314">
        <v>1</v>
      </c>
      <c r="S314">
        <v>1</v>
      </c>
      <c r="T314" s="1">
        <f>SQRT(POWER(Plank[[#This Row],[angvel_X]],2) + POWER(Plank[[#This Row],[angvel_Y]],2) + POWER(Plank[[#This Row],[angvel_Z]],2))</f>
        <v>2.0330000713231664</v>
      </c>
      <c r="U314" s="1">
        <f>DEGREES(ASIN(MAX(-1,MIN(1,2 * (Plank[[#This Row],[quart_W]]*Plank[[#This Row],[quart_Y]] - Plank[[#This Row],[quart_Z]]*Plank[[#This Row],[quart_X]])))))</f>
        <v>0.36382252960630479</v>
      </c>
      <c r="V31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84.078349438553388</v>
      </c>
      <c r="W31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90.00378705957732</v>
      </c>
      <c r="X314" s="1">
        <f>IF(Plank[[#This Row],[Yaw]]&gt;V313,(360-ABS(Plank[[#This Row],[Yaw]])-ABS(V313)),ABS(Plank[[#This Row],[Yaw]]-V313))</f>
        <v>0.97042772622536688</v>
      </c>
      <c r="Y314" s="1">
        <f>Plank[[#This Row],[Degree change]]+Y313</f>
        <v>245.07213518685865</v>
      </c>
    </row>
    <row r="315" spans="1:25">
      <c r="A315">
        <v>314</v>
      </c>
      <c r="B315" s="1">
        <v>-703.14996299999996</v>
      </c>
      <c r="C315" s="1">
        <v>392.57998700000002</v>
      </c>
      <c r="D315" s="1">
        <v>18.639999</v>
      </c>
      <c r="E315" s="1">
        <v>2296.1899410000001</v>
      </c>
      <c r="F315" s="1">
        <v>131.94000199999999</v>
      </c>
      <c r="G315" s="1">
        <v>8.1799990000000005</v>
      </c>
      <c r="H315" s="1">
        <v>5.0000000000000001E-4</v>
      </c>
      <c r="I315" s="1">
        <v>2.0000000000000001E-4</v>
      </c>
      <c r="J315" s="1">
        <v>2.0329999999999999</v>
      </c>
      <c r="K315" s="1">
        <v>-2.24E-4</v>
      </c>
      <c r="L315" s="1">
        <v>3.1689999999999999E-3</v>
      </c>
      <c r="M315" s="1">
        <v>6.0111999999999999E-2</v>
      </c>
      <c r="N315" s="1">
        <v>0.99818700000000005</v>
      </c>
      <c r="O315">
        <v>1</v>
      </c>
      <c r="P315">
        <v>0</v>
      </c>
      <c r="Q315">
        <v>1</v>
      </c>
      <c r="R315">
        <v>1</v>
      </c>
      <c r="S315">
        <v>1</v>
      </c>
      <c r="T315" s="1">
        <f>SQRT(POWER(Plank[[#This Row],[angvel_X]],2) + POWER(Plank[[#This Row],[angvel_Y]],2) + POWER(Plank[[#This Row],[angvel_Z]],2))</f>
        <v>2.0330000713231664</v>
      </c>
      <c r="U315" s="1">
        <f>DEGREES(ASIN(MAX(-1,MIN(1,2 * (Plank[[#This Row],[quart_W]]*Plank[[#This Row],[quart_Y]] - Plank[[#This Row],[quart_Z]]*Plank[[#This Row],[quart_X]])))))</f>
        <v>0.36402771107756204</v>
      </c>
      <c r="V31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83.107491376741805</v>
      </c>
      <c r="W31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90.003792937985253</v>
      </c>
      <c r="X315" s="1">
        <f>IF(Plank[[#This Row],[Yaw]]&gt;V314,(360-ABS(Plank[[#This Row],[Yaw]])-ABS(V314)),ABS(Plank[[#This Row],[Yaw]]-V314))</f>
        <v>0.97085806181158318</v>
      </c>
      <c r="Y315" s="1">
        <f>Plank[[#This Row],[Degree change]]+Y314</f>
        <v>246.04299324867023</v>
      </c>
    </row>
    <row r="316" spans="1:25">
      <c r="A316">
        <v>315</v>
      </c>
      <c r="B316" s="1">
        <v>-683.95001200000002</v>
      </c>
      <c r="C316" s="1">
        <v>393.69000199999999</v>
      </c>
      <c r="D316" s="1">
        <v>18.639999</v>
      </c>
      <c r="E316" s="1">
        <v>2293.6298830000001</v>
      </c>
      <c r="F316" s="1">
        <v>170.81999200000001</v>
      </c>
      <c r="G316" s="1">
        <v>8.1799990000000005</v>
      </c>
      <c r="H316" s="1">
        <v>5.0000000000000001E-4</v>
      </c>
      <c r="I316" s="1">
        <v>2.0000000000000001E-4</v>
      </c>
      <c r="J316" s="1">
        <v>2.0329999999999999</v>
      </c>
      <c r="K316" s="1">
        <v>-2.5099999999999998E-4</v>
      </c>
      <c r="L316" s="1">
        <v>3.1689999999999999E-3</v>
      </c>
      <c r="M316" s="1">
        <v>6.8565000000000001E-2</v>
      </c>
      <c r="N316" s="1">
        <v>0.99764200000000003</v>
      </c>
      <c r="O316">
        <v>1</v>
      </c>
      <c r="P316">
        <v>0</v>
      </c>
      <c r="Q316">
        <v>1</v>
      </c>
      <c r="R316">
        <v>1</v>
      </c>
      <c r="S316">
        <v>1</v>
      </c>
      <c r="T316" s="1">
        <f>SQRT(POWER(Plank[[#This Row],[angvel_X]],2) + POWER(Plank[[#This Row],[angvel_Y]],2) + POWER(Plank[[#This Row],[angvel_Z]],2))</f>
        <v>2.0330000713231664</v>
      </c>
      <c r="U316" s="1">
        <f>DEGREES(ASIN(MAX(-1,MIN(1,2 * (Plank[[#This Row],[quart_W]]*Plank[[#This Row],[quart_Y]] - Plank[[#This Row],[quart_Z]]*Plank[[#This Row],[quart_X]])))))</f>
        <v>0.36425891819755468</v>
      </c>
      <c r="V31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82.136829605730412</v>
      </c>
      <c r="W31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90.003795997395216</v>
      </c>
      <c r="X316" s="1">
        <f>IF(Plank[[#This Row],[Yaw]]&gt;V315,(360-ABS(Plank[[#This Row],[Yaw]])-ABS(V315)),ABS(Plank[[#This Row],[Yaw]]-V315))</f>
        <v>0.97066177101139317</v>
      </c>
      <c r="Y316" s="1">
        <f>Plank[[#This Row],[Degree change]]+Y315</f>
        <v>247.01365501968161</v>
      </c>
    </row>
    <row r="317" spans="1:25">
      <c r="A317">
        <v>316</v>
      </c>
      <c r="B317" s="1">
        <v>-664.76995799999997</v>
      </c>
      <c r="C317" s="1">
        <v>395.11999500000002</v>
      </c>
      <c r="D317" s="1">
        <v>18.639999</v>
      </c>
      <c r="E317" s="1">
        <v>2290.4099120000001</v>
      </c>
      <c r="F317" s="1">
        <v>209.64999399999999</v>
      </c>
      <c r="G317" s="1">
        <v>8.1799990000000005</v>
      </c>
      <c r="H317" s="1">
        <v>5.0000000000000001E-4</v>
      </c>
      <c r="I317" s="1">
        <v>2.0000000000000001E-4</v>
      </c>
      <c r="J317" s="1">
        <v>2.0329999999999999</v>
      </c>
      <c r="K317" s="1">
        <v>-2.7799999999999998E-4</v>
      </c>
      <c r="L317" s="1">
        <v>3.1689999999999999E-3</v>
      </c>
      <c r="M317" s="1">
        <v>7.7013999999999999E-2</v>
      </c>
      <c r="N317" s="1">
        <v>0.99702500000000005</v>
      </c>
      <c r="O317">
        <v>1</v>
      </c>
      <c r="P317">
        <v>0</v>
      </c>
      <c r="Q317">
        <v>1</v>
      </c>
      <c r="R317">
        <v>1</v>
      </c>
      <c r="S317">
        <v>1</v>
      </c>
      <c r="T317" s="1">
        <f>SQRT(POWER(Plank[[#This Row],[angvel_X]],2) + POWER(Plank[[#This Row],[angvel_Y]],2) + POWER(Plank[[#This Row],[angvel_Z]],2))</f>
        <v>2.0330000713231664</v>
      </c>
      <c r="U317" s="1">
        <f>DEGREES(ASIN(MAX(-1,MIN(1,2 * (Plank[[#This Row],[quart_W]]*Plank[[#This Row],[quart_Y]] - Plank[[#This Row],[quart_Z]]*Plank[[#This Row],[quart_X]])))))</f>
        <v>0.36451615898986023</v>
      </c>
      <c r="V31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81.16606514110974</v>
      </c>
      <c r="W31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90.003794843199529</v>
      </c>
      <c r="X317" s="1">
        <f>IF(Plank[[#This Row],[Yaw]]&gt;V316,(360-ABS(Plank[[#This Row],[Yaw]])-ABS(V316)),ABS(Plank[[#This Row],[Yaw]]-V316))</f>
        <v>0.97076446462067167</v>
      </c>
      <c r="Y317" s="1">
        <f>Plank[[#This Row],[Degree change]]+Y316</f>
        <v>247.98441948430229</v>
      </c>
    </row>
    <row r="318" spans="1:25">
      <c r="A318">
        <v>317</v>
      </c>
      <c r="B318" s="1">
        <v>-645.61999500000002</v>
      </c>
      <c r="C318" s="1">
        <v>396.88000499999998</v>
      </c>
      <c r="D318" s="1">
        <v>18.639999</v>
      </c>
      <c r="E318" s="1">
        <v>2286.5200199999999</v>
      </c>
      <c r="F318" s="1">
        <v>248.41999799999999</v>
      </c>
      <c r="G318" s="1">
        <v>8.1799990000000005</v>
      </c>
      <c r="H318" s="1">
        <v>5.0000000000000001E-4</v>
      </c>
      <c r="I318" s="1">
        <v>2.0000000000000001E-4</v>
      </c>
      <c r="J318" s="1">
        <v>2.0329999999999999</v>
      </c>
      <c r="K318" s="1">
        <v>-3.0499999999999999E-4</v>
      </c>
      <c r="L318" s="1">
        <v>3.1689999999999999E-3</v>
      </c>
      <c r="M318" s="1">
        <v>8.5457000000000005E-2</v>
      </c>
      <c r="N318" s="1">
        <v>0.99633700000000003</v>
      </c>
      <c r="O318">
        <v>1</v>
      </c>
      <c r="P318">
        <v>0</v>
      </c>
      <c r="Q318">
        <v>1</v>
      </c>
      <c r="R318">
        <v>1</v>
      </c>
      <c r="S318">
        <v>1</v>
      </c>
      <c r="T318" s="1">
        <f>SQRT(POWER(Plank[[#This Row],[angvel_X]],2) + POWER(Plank[[#This Row],[angvel_Y]],2) + POWER(Plank[[#This Row],[angvel_Z]],2))</f>
        <v>2.0330000713231664</v>
      </c>
      <c r="U318" s="1">
        <f>DEGREES(ASIN(MAX(-1,MIN(1,2 * (Plank[[#This Row],[quart_W]]*Plank[[#This Row],[quart_Y]] - Plank[[#This Row],[quart_Z]]*Plank[[#This Row],[quart_X]])))))</f>
        <v>0.36479968957403974</v>
      </c>
      <c r="V31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80.195350741604386</v>
      </c>
      <c r="W31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90.003789568333431</v>
      </c>
      <c r="X318" s="1">
        <f>IF(Plank[[#This Row],[Yaw]]&gt;V317,(360-ABS(Plank[[#This Row],[Yaw]])-ABS(V317)),ABS(Plank[[#This Row],[Yaw]]-V317))</f>
        <v>0.97071439950535421</v>
      </c>
      <c r="Y318" s="1">
        <f>Plank[[#This Row],[Degree change]]+Y317</f>
        <v>248.95513388380766</v>
      </c>
    </row>
    <row r="319" spans="1:25">
      <c r="A319">
        <v>318</v>
      </c>
      <c r="B319" s="1">
        <v>-626.5</v>
      </c>
      <c r="C319" s="1">
        <v>398.959991</v>
      </c>
      <c r="D319" s="1">
        <v>18.639999</v>
      </c>
      <c r="E319" s="1">
        <v>2281.98999</v>
      </c>
      <c r="F319" s="1">
        <v>287.11999500000002</v>
      </c>
      <c r="G319" s="1">
        <v>8.1799990000000005</v>
      </c>
      <c r="H319" s="1">
        <v>5.0000000000000001E-4</v>
      </c>
      <c r="I319" s="1">
        <v>1E-4</v>
      </c>
      <c r="J319" s="1">
        <v>2.0329999999999999</v>
      </c>
      <c r="K319" s="1">
        <v>-3.3199999999999999E-4</v>
      </c>
      <c r="L319" s="1">
        <v>3.1689999999999999E-3</v>
      </c>
      <c r="M319" s="1">
        <v>9.3894000000000005E-2</v>
      </c>
      <c r="N319" s="1">
        <v>0.99557700000000005</v>
      </c>
      <c r="O319">
        <v>1</v>
      </c>
      <c r="P319">
        <v>0</v>
      </c>
      <c r="Q319">
        <v>1</v>
      </c>
      <c r="R319">
        <v>1</v>
      </c>
      <c r="S319">
        <v>1</v>
      </c>
      <c r="T319" s="1">
        <f>SQRT(POWER(Plank[[#This Row],[angvel_X]],2) + POWER(Plank[[#This Row],[angvel_Y]],2) + POWER(Plank[[#This Row],[angvel_Z]],2))</f>
        <v>2.033000063944908</v>
      </c>
      <c r="U319" s="1">
        <f>DEGREES(ASIN(MAX(-1,MIN(1,2 * (Plank[[#This Row],[quart_W]]*Plank[[#This Row],[quart_Y]] - Plank[[#This Row],[quart_Z]]*Plank[[#This Row],[quart_X]])))))</f>
        <v>0.36510909111193218</v>
      </c>
      <c r="V31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79.224625971220021</v>
      </c>
      <c r="W31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90.003779475721927</v>
      </c>
      <c r="X319" s="1">
        <f>IF(Plank[[#This Row],[Yaw]]&gt;V318,(360-ABS(Plank[[#This Row],[Yaw]])-ABS(V318)),ABS(Plank[[#This Row],[Yaw]]-V318))</f>
        <v>0.97072477038436489</v>
      </c>
      <c r="Y319" s="1">
        <f>Plank[[#This Row],[Degree change]]+Y318</f>
        <v>249.92585865419204</v>
      </c>
    </row>
    <row r="320" spans="1:25">
      <c r="A320">
        <v>319</v>
      </c>
      <c r="B320" s="1">
        <v>-607.419983</v>
      </c>
      <c r="C320" s="1">
        <v>401.36999500000002</v>
      </c>
      <c r="D320" s="1">
        <v>18.639999</v>
      </c>
      <c r="E320" s="1">
        <v>2276.8000489999999</v>
      </c>
      <c r="F320" s="1">
        <v>325.73998999999998</v>
      </c>
      <c r="G320" s="1">
        <v>8.1799990000000005</v>
      </c>
      <c r="H320" s="1">
        <v>5.0000000000000001E-4</v>
      </c>
      <c r="I320" s="1">
        <v>1E-4</v>
      </c>
      <c r="J320" s="1">
        <v>2.0329999999999999</v>
      </c>
      <c r="K320" s="1">
        <v>-3.59E-4</v>
      </c>
      <c r="L320" s="1">
        <v>3.1689999999999999E-3</v>
      </c>
      <c r="M320" s="1">
        <v>0.102326</v>
      </c>
      <c r="N320" s="1">
        <v>0.99474600000000002</v>
      </c>
      <c r="O320">
        <v>1</v>
      </c>
      <c r="P320">
        <v>0</v>
      </c>
      <c r="Q320">
        <v>1</v>
      </c>
      <c r="R320">
        <v>1</v>
      </c>
      <c r="S320">
        <v>1</v>
      </c>
      <c r="T320" s="1">
        <f>SQRT(POWER(Plank[[#This Row],[angvel_X]],2) + POWER(Plank[[#This Row],[angvel_Y]],2) + POWER(Plank[[#This Row],[angvel_Z]],2))</f>
        <v>2.033000063944908</v>
      </c>
      <c r="U320" s="1">
        <f>DEGREES(ASIN(MAX(-1,MIN(1,2 * (Plank[[#This Row],[quart_W]]*Plank[[#This Row],[quart_Y]] - Plank[[#This Row],[quart_Z]]*Plank[[#This Row],[quart_X]])))))</f>
        <v>0.36544471220082947</v>
      </c>
      <c r="V32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78.253694404024742</v>
      </c>
      <c r="W32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90.003763575044019</v>
      </c>
      <c r="X320" s="1">
        <f>IF(Plank[[#This Row],[Yaw]]&gt;V319,(360-ABS(Plank[[#This Row],[Yaw]])-ABS(V319)),ABS(Plank[[#This Row],[Yaw]]-V319))</f>
        <v>0.9709315671952794</v>
      </c>
      <c r="Y320" s="1">
        <f>Plank[[#This Row],[Degree change]]+Y319</f>
        <v>250.89679022138733</v>
      </c>
    </row>
    <row r="321" spans="1:25">
      <c r="A321">
        <v>320</v>
      </c>
      <c r="B321" s="1">
        <v>-588.38000499999998</v>
      </c>
      <c r="C321" s="1">
        <v>404.10000600000001</v>
      </c>
      <c r="D321" s="1">
        <v>18.639999</v>
      </c>
      <c r="E321" s="1">
        <v>2270.9499510000001</v>
      </c>
      <c r="F321" s="1">
        <v>364.25997899999999</v>
      </c>
      <c r="G321" s="1">
        <v>8.1799990000000005</v>
      </c>
      <c r="H321" s="1">
        <v>5.0000000000000001E-4</v>
      </c>
      <c r="I321" s="1">
        <v>0</v>
      </c>
      <c r="J321" s="1">
        <v>2.0329999999999999</v>
      </c>
      <c r="K321" s="1">
        <v>-3.86E-4</v>
      </c>
      <c r="L321" s="1">
        <v>3.1640000000000001E-3</v>
      </c>
      <c r="M321" s="1">
        <v>0.110747</v>
      </c>
      <c r="N321" s="1">
        <v>0.99384300000000003</v>
      </c>
      <c r="O321">
        <v>1</v>
      </c>
      <c r="P321">
        <v>0</v>
      </c>
      <c r="Q321">
        <v>1</v>
      </c>
      <c r="R321">
        <v>1</v>
      </c>
      <c r="S321">
        <v>1</v>
      </c>
      <c r="T321" s="1">
        <f>SQRT(POWER(Plank[[#This Row],[angvel_X]],2) + POWER(Plank[[#This Row],[angvel_Y]],2) + POWER(Plank[[#This Row],[angvel_Z]],2))</f>
        <v>2.0330000614854886</v>
      </c>
      <c r="U321" s="1">
        <f>DEGREES(ASIN(MAX(-1,MIN(1,2 * (Plank[[#This Row],[quart_W]]*Plank[[#This Row],[quart_Y]] - Plank[[#This Row],[quart_Z]]*Plank[[#This Row],[quart_X]])))))</f>
        <v>0.36523643620394491</v>
      </c>
      <c r="V32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77.283196452116215</v>
      </c>
      <c r="W32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90.00380679633345</v>
      </c>
      <c r="X321" s="1">
        <f>IF(Plank[[#This Row],[Yaw]]&gt;V320,(360-ABS(Plank[[#This Row],[Yaw]])-ABS(V320)),ABS(Plank[[#This Row],[Yaw]]-V320))</f>
        <v>0.97049795190852706</v>
      </c>
      <c r="Y321" s="1">
        <f>Plank[[#This Row],[Degree change]]+Y320</f>
        <v>251.86728817329586</v>
      </c>
    </row>
    <row r="322" spans="1:25">
      <c r="A322">
        <v>321</v>
      </c>
      <c r="B322" s="1">
        <v>-569.39001499999995</v>
      </c>
      <c r="C322" s="1">
        <v>407.14999399999999</v>
      </c>
      <c r="D322" s="1">
        <v>18.639999</v>
      </c>
      <c r="E322" s="1">
        <v>2264.4499510000001</v>
      </c>
      <c r="F322" s="1">
        <v>402.67999300000002</v>
      </c>
      <c r="G322" s="1">
        <v>8.1799990000000005</v>
      </c>
      <c r="H322" s="1">
        <v>5.0000000000000001E-4</v>
      </c>
      <c r="I322" s="1">
        <v>0</v>
      </c>
      <c r="J322" s="1">
        <v>2.0329999999999999</v>
      </c>
      <c r="K322" s="1">
        <v>-4.1300000000000001E-4</v>
      </c>
      <c r="L322" s="1">
        <v>3.1589999999999999E-3</v>
      </c>
      <c r="M322" s="1">
        <v>0.11916300000000001</v>
      </c>
      <c r="N322" s="1">
        <v>0.992869</v>
      </c>
      <c r="O322">
        <v>1</v>
      </c>
      <c r="P322">
        <v>0</v>
      </c>
      <c r="Q322">
        <v>1</v>
      </c>
      <c r="R322">
        <v>1</v>
      </c>
      <c r="S322">
        <v>1</v>
      </c>
      <c r="T322" s="1">
        <f>SQRT(POWER(Plank[[#This Row],[angvel_X]],2) + POWER(Plank[[#This Row],[angvel_Y]],2) + POWER(Plank[[#This Row],[angvel_Z]],2))</f>
        <v>2.0330000614854886</v>
      </c>
      <c r="U322" s="1">
        <f>DEGREES(ASIN(MAX(-1,MIN(1,2 * (Plank[[#This Row],[quart_W]]*Plank[[#This Row],[quart_Y]] - Plank[[#This Row],[quart_Z]]*Plank[[#This Row],[quart_X]])))))</f>
        <v>0.3650553659460799</v>
      </c>
      <c r="V32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76.312351539232097</v>
      </c>
      <c r="W32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90.003852529530448</v>
      </c>
      <c r="X322" s="1">
        <f>IF(Plank[[#This Row],[Yaw]]&gt;V321,(360-ABS(Plank[[#This Row],[Yaw]])-ABS(V321)),ABS(Plank[[#This Row],[Yaw]]-V321))</f>
        <v>0.97084491288411812</v>
      </c>
      <c r="Y322" s="1">
        <f>Plank[[#This Row],[Degree change]]+Y321</f>
        <v>252.83813308617999</v>
      </c>
    </row>
    <row r="323" spans="1:25">
      <c r="A323">
        <v>322</v>
      </c>
      <c r="B323" s="1">
        <v>-550.45001200000002</v>
      </c>
      <c r="C323" s="1">
        <v>410.51998900000001</v>
      </c>
      <c r="D323" s="1">
        <v>18.639999</v>
      </c>
      <c r="E323" s="1">
        <v>2257.3100589999999</v>
      </c>
      <c r="F323" s="1">
        <v>440.98998999999998</v>
      </c>
      <c r="G323" s="1">
        <v>8.1799990000000005</v>
      </c>
      <c r="H323" s="1">
        <v>5.0000000000000001E-4</v>
      </c>
      <c r="I323" s="1">
        <v>0</v>
      </c>
      <c r="J323" s="1">
        <v>2.0329999999999999</v>
      </c>
      <c r="K323" s="1">
        <v>-4.4000000000000002E-4</v>
      </c>
      <c r="L323" s="1">
        <v>3.153E-3</v>
      </c>
      <c r="M323" s="1">
        <v>0.12756899999999999</v>
      </c>
      <c r="N323" s="1">
        <v>0.99182499999999996</v>
      </c>
      <c r="O323">
        <v>1</v>
      </c>
      <c r="P323">
        <v>0</v>
      </c>
      <c r="Q323">
        <v>1</v>
      </c>
      <c r="R323">
        <v>1</v>
      </c>
      <c r="S323">
        <v>1</v>
      </c>
      <c r="T323" s="1">
        <f>SQRT(POWER(Plank[[#This Row],[angvel_X]],2) + POWER(Plank[[#This Row],[angvel_Y]],2) + POWER(Plank[[#This Row],[angvel_Z]],2))</f>
        <v>2.0330000614854886</v>
      </c>
      <c r="U323" s="1">
        <f>DEGREES(ASIN(MAX(-1,MIN(1,2 * (Plank[[#This Row],[quart_W]]*Plank[[#This Row],[quart_Y]] - Plank[[#This Row],[quart_Z]]*Plank[[#This Row],[quart_X]])))))</f>
        <v>0.3647880293027998</v>
      </c>
      <c r="V32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75.341658746315531</v>
      </c>
      <c r="W32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90.003916583155785</v>
      </c>
      <c r="X323" s="1">
        <f>IF(Plank[[#This Row],[Yaw]]&gt;V322,(360-ABS(Plank[[#This Row],[Yaw]])-ABS(V322)),ABS(Plank[[#This Row],[Yaw]]-V322))</f>
        <v>0.97069279291656585</v>
      </c>
      <c r="Y323" s="1">
        <f>Plank[[#This Row],[Degree change]]+Y322</f>
        <v>253.80882587909656</v>
      </c>
    </row>
    <row r="324" spans="1:25">
      <c r="A324">
        <v>323</v>
      </c>
      <c r="B324" s="1">
        <v>-531.57000700000003</v>
      </c>
      <c r="C324" s="1">
        <v>414.209991</v>
      </c>
      <c r="D324" s="1">
        <v>18.639999</v>
      </c>
      <c r="E324" s="1">
        <v>2249.51001</v>
      </c>
      <c r="F324" s="1">
        <v>479.169983</v>
      </c>
      <c r="G324" s="1">
        <v>8.1799990000000005</v>
      </c>
      <c r="H324" s="1">
        <v>5.0000000000000001E-4</v>
      </c>
      <c r="I324" s="1">
        <v>0</v>
      </c>
      <c r="J324" s="1">
        <v>2.0329999999999999</v>
      </c>
      <c r="K324" s="1">
        <v>-4.6700000000000002E-4</v>
      </c>
      <c r="L324" s="1">
        <v>3.1480000000000002E-3</v>
      </c>
      <c r="M324" s="1">
        <v>0.135963</v>
      </c>
      <c r="N324" s="1">
        <v>0.99070899999999995</v>
      </c>
      <c r="O324">
        <v>1</v>
      </c>
      <c r="P324">
        <v>0</v>
      </c>
      <c r="Q324">
        <v>1</v>
      </c>
      <c r="R324">
        <v>1</v>
      </c>
      <c r="S324">
        <v>1</v>
      </c>
      <c r="T324" s="1">
        <f>SQRT(POWER(Plank[[#This Row],[angvel_X]],2) + POWER(Plank[[#This Row],[angvel_Y]],2) + POWER(Plank[[#This Row],[angvel_Z]],2))</f>
        <v>2.0330000614854886</v>
      </c>
      <c r="U324" s="1">
        <f>DEGREES(ASIN(MAX(-1,MIN(1,2 * (Plank[[#This Row],[quart_W]]*Plank[[#This Row],[quart_Y]] - Plank[[#This Row],[quart_Z]]*Plank[[#This Row],[quart_X]])))))</f>
        <v>0.36466106707528817</v>
      </c>
      <c r="V32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74.371311681267429</v>
      </c>
      <c r="W32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90.003970629699865</v>
      </c>
      <c r="X324" s="1">
        <f>IF(Plank[[#This Row],[Yaw]]&gt;V323,(360-ABS(Plank[[#This Row],[Yaw]])-ABS(V323)),ABS(Plank[[#This Row],[Yaw]]-V323))</f>
        <v>0.97034706504810231</v>
      </c>
      <c r="Y324" s="1">
        <f>Plank[[#This Row],[Degree change]]+Y323</f>
        <v>254.77917294414465</v>
      </c>
    </row>
    <row r="325" spans="1:25">
      <c r="A325">
        <v>324</v>
      </c>
      <c r="B325" s="1">
        <v>-512.76000999999997</v>
      </c>
      <c r="C325" s="1">
        <v>418.22000100000002</v>
      </c>
      <c r="D325" s="1">
        <v>18.639999</v>
      </c>
      <c r="E325" s="1">
        <v>2241.070068</v>
      </c>
      <c r="F325" s="1">
        <v>517.20996100000002</v>
      </c>
      <c r="G325" s="1">
        <v>8.1799990000000005</v>
      </c>
      <c r="H325" s="1">
        <v>5.0000000000000001E-4</v>
      </c>
      <c r="I325" s="1">
        <v>1E-4</v>
      </c>
      <c r="J325" s="1">
        <v>2.0329999999999999</v>
      </c>
      <c r="K325" s="1">
        <v>-4.9399999999999997E-4</v>
      </c>
      <c r="L325" s="1">
        <v>3.1419999999999998E-3</v>
      </c>
      <c r="M325" s="1">
        <v>0.14435200000000001</v>
      </c>
      <c r="N325" s="1">
        <v>0.98952099999999998</v>
      </c>
      <c r="O325">
        <v>1</v>
      </c>
      <c r="P325">
        <v>0</v>
      </c>
      <c r="Q325">
        <v>1</v>
      </c>
      <c r="R325">
        <v>1</v>
      </c>
      <c r="S325">
        <v>1</v>
      </c>
      <c r="T325" s="1">
        <f>SQRT(POWER(Plank[[#This Row],[angvel_X]],2) + POWER(Plank[[#This Row],[angvel_Y]],2) + POWER(Plank[[#This Row],[angvel_Z]],2))</f>
        <v>2.033000063944908</v>
      </c>
      <c r="U325" s="1">
        <f>DEGREES(ASIN(MAX(-1,MIN(1,2 * (Plank[[#This Row],[quart_W]]*Plank[[#This Row],[quart_Y]] - Plank[[#This Row],[quart_Z]]*Plank[[#This Row],[quart_X]])))))</f>
        <v>0.36444771814019489</v>
      </c>
      <c r="V32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73.400419395542286</v>
      </c>
      <c r="W32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90.004041656151699</v>
      </c>
      <c r="X325" s="1">
        <f>IF(Plank[[#This Row],[Yaw]]&gt;V324,(360-ABS(Plank[[#This Row],[Yaw]])-ABS(V324)),ABS(Plank[[#This Row],[Yaw]]-V324))</f>
        <v>0.9708922857251423</v>
      </c>
      <c r="Y325" s="1">
        <f>Plank[[#This Row],[Degree change]]+Y324</f>
        <v>255.75006522986979</v>
      </c>
    </row>
    <row r="326" spans="1:25">
      <c r="A326">
        <v>325</v>
      </c>
      <c r="B326" s="1">
        <v>-494.01998900000001</v>
      </c>
      <c r="C326" s="1">
        <v>422.54998799999998</v>
      </c>
      <c r="D326" s="1">
        <v>18.639999</v>
      </c>
      <c r="E326" s="1">
        <v>2231.98999</v>
      </c>
      <c r="F326" s="1">
        <v>555.09997599999997</v>
      </c>
      <c r="G326" s="1">
        <v>8.1799990000000005</v>
      </c>
      <c r="H326" s="1">
        <v>5.0000000000000001E-4</v>
      </c>
      <c r="I326" s="1">
        <v>1E-4</v>
      </c>
      <c r="J326" s="1">
        <v>2.0329999999999999</v>
      </c>
      <c r="K326" s="1">
        <v>-5.2099999999999998E-4</v>
      </c>
      <c r="L326" s="1">
        <v>3.137E-3</v>
      </c>
      <c r="M326" s="1">
        <v>0.15273</v>
      </c>
      <c r="N326" s="1">
        <v>0.988263</v>
      </c>
      <c r="O326">
        <v>1</v>
      </c>
      <c r="P326">
        <v>0</v>
      </c>
      <c r="Q326">
        <v>1</v>
      </c>
      <c r="R326">
        <v>1</v>
      </c>
      <c r="S326">
        <v>1</v>
      </c>
      <c r="T326" s="1">
        <f>SQRT(POWER(Plank[[#This Row],[angvel_X]],2) + POWER(Plank[[#This Row],[angvel_Y]],2) + POWER(Plank[[#This Row],[angvel_Z]],2))</f>
        <v>2.033000063944908</v>
      </c>
      <c r="U326" s="1">
        <f>DEGREES(ASIN(MAX(-1,MIN(1,2 * (Plank[[#This Row],[quart_W]]*Plank[[#This Row],[quart_Y]] - Plank[[#This Row],[quart_Z]]*Plank[[#This Row],[quart_X]])))))</f>
        <v>0.36437535107565799</v>
      </c>
      <c r="V32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72.429586072920983</v>
      </c>
      <c r="W32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90.004099139043333</v>
      </c>
      <c r="X326" s="1">
        <f>IF(Plank[[#This Row],[Yaw]]&gt;V325,(360-ABS(Plank[[#This Row],[Yaw]])-ABS(V325)),ABS(Plank[[#This Row],[Yaw]]-V325))</f>
        <v>0.97083332262130284</v>
      </c>
      <c r="Y326" s="1">
        <f>Plank[[#This Row],[Degree change]]+Y325</f>
        <v>256.72089855249112</v>
      </c>
    </row>
    <row r="327" spans="1:25">
      <c r="A327">
        <v>326</v>
      </c>
      <c r="B327" s="1">
        <v>-475.34997600000003</v>
      </c>
      <c r="C327" s="1">
        <v>427.19998199999998</v>
      </c>
      <c r="D327" s="1">
        <v>18.639999</v>
      </c>
      <c r="E327" s="1">
        <v>2222.26001</v>
      </c>
      <c r="F327" s="1">
        <v>592.830017</v>
      </c>
      <c r="G327" s="1">
        <v>8.1799990000000005</v>
      </c>
      <c r="H327" s="1">
        <v>5.0000000000000001E-4</v>
      </c>
      <c r="I327" s="1">
        <v>2.0000000000000001E-4</v>
      </c>
      <c r="J327" s="1">
        <v>2.0329999999999999</v>
      </c>
      <c r="K327" s="1">
        <v>-5.4799999999999998E-4</v>
      </c>
      <c r="L327" s="1">
        <v>3.1319999999999998E-3</v>
      </c>
      <c r="M327" s="1">
        <v>0.16109699999999999</v>
      </c>
      <c r="N327" s="1">
        <v>0.98693299999999995</v>
      </c>
      <c r="O327">
        <v>1</v>
      </c>
      <c r="P327">
        <v>0</v>
      </c>
      <c r="Q327">
        <v>1</v>
      </c>
      <c r="R327">
        <v>1</v>
      </c>
      <c r="S327">
        <v>1</v>
      </c>
      <c r="T327" s="1">
        <f>SQRT(POWER(Plank[[#This Row],[angvel_X]],2) + POWER(Plank[[#This Row],[angvel_Y]],2) + POWER(Plank[[#This Row],[angvel_Z]],2))</f>
        <v>2.0330000713231664</v>
      </c>
      <c r="U327" s="1">
        <f>DEGREES(ASIN(MAX(-1,MIN(1,2 * (Plank[[#This Row],[quart_W]]*Plank[[#This Row],[quart_Y]] - Plank[[#This Row],[quart_Z]]*Plank[[#This Row],[quart_X]])))))</f>
        <v>0.36432973709789479</v>
      </c>
      <c r="V32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71.458775155397049</v>
      </c>
      <c r="W32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90.004157864602561</v>
      </c>
      <c r="X327" s="1">
        <f>IF(Plank[[#This Row],[Yaw]]&gt;V326,(360-ABS(Plank[[#This Row],[Yaw]])-ABS(V326)),ABS(Plank[[#This Row],[Yaw]]-V326))</f>
        <v>0.97081091752393434</v>
      </c>
      <c r="Y327" s="1">
        <f>Plank[[#This Row],[Degree change]]+Y326</f>
        <v>257.69170947001504</v>
      </c>
    </row>
    <row r="328" spans="1:25">
      <c r="A328">
        <v>327</v>
      </c>
      <c r="B328" s="1">
        <v>-456.76998900000001</v>
      </c>
      <c r="C328" s="1">
        <v>432.16000400000001</v>
      </c>
      <c r="D328" s="1">
        <v>18.639999</v>
      </c>
      <c r="E328" s="1">
        <v>2211.8999020000001</v>
      </c>
      <c r="F328" s="1">
        <v>630.39001499999995</v>
      </c>
      <c r="G328" s="1">
        <v>8.1799990000000005</v>
      </c>
      <c r="H328" s="1">
        <v>5.0000000000000001E-4</v>
      </c>
      <c r="I328" s="1">
        <v>2.0000000000000001E-4</v>
      </c>
      <c r="J328" s="1">
        <v>2.0329999999999999</v>
      </c>
      <c r="K328" s="1">
        <v>-5.7499999999999999E-4</v>
      </c>
      <c r="L328" s="1">
        <v>3.1259999999999999E-3</v>
      </c>
      <c r="M328" s="1">
        <v>0.16945399999999999</v>
      </c>
      <c r="N328" s="1">
        <v>0.98553299999999999</v>
      </c>
      <c r="O328">
        <v>1</v>
      </c>
      <c r="P328">
        <v>0</v>
      </c>
      <c r="Q328">
        <v>1</v>
      </c>
      <c r="R328">
        <v>1</v>
      </c>
      <c r="S328">
        <v>1</v>
      </c>
      <c r="T328" s="1">
        <f>SQRT(POWER(Plank[[#This Row],[angvel_X]],2) + POWER(Plank[[#This Row],[angvel_Y]],2) + POWER(Plank[[#This Row],[angvel_Z]],2))</f>
        <v>2.0330000713231664</v>
      </c>
      <c r="U328" s="1">
        <f>DEGREES(ASIN(MAX(-1,MIN(1,2 * (Plank[[#This Row],[quart_W]]*Plank[[#This Row],[quart_Y]] - Plank[[#This Row],[quart_Z]]*Plank[[#This Row],[quart_X]])))))</f>
        <v>0.36419874438110367</v>
      </c>
      <c r="V32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70.48776345132157</v>
      </c>
      <c r="W32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90.004236337395866</v>
      </c>
      <c r="X328" s="1">
        <f>IF(Plank[[#This Row],[Yaw]]&gt;V327,(360-ABS(Plank[[#This Row],[Yaw]])-ABS(V327)),ABS(Plank[[#This Row],[Yaw]]-V327))</f>
        <v>0.97101170407547954</v>
      </c>
      <c r="Y328" s="1">
        <f>Plank[[#This Row],[Degree change]]+Y327</f>
        <v>258.66272117409051</v>
      </c>
    </row>
    <row r="329" spans="1:25">
      <c r="A329">
        <v>328</v>
      </c>
      <c r="B329" s="1">
        <v>-438.26998900000001</v>
      </c>
      <c r="C329" s="1">
        <v>437.44000199999999</v>
      </c>
      <c r="D329" s="1">
        <v>18.639999</v>
      </c>
      <c r="E329" s="1">
        <v>2200.8999020000001</v>
      </c>
      <c r="F329" s="1">
        <v>667.76995799999997</v>
      </c>
      <c r="G329" s="1">
        <v>8.1799990000000005</v>
      </c>
      <c r="H329" s="1">
        <v>5.0000000000000001E-4</v>
      </c>
      <c r="I329" s="1">
        <v>2.0000000000000001E-4</v>
      </c>
      <c r="J329" s="1">
        <v>2.0329999999999999</v>
      </c>
      <c r="K329" s="1">
        <v>-5.9599999999999996E-4</v>
      </c>
      <c r="L329" s="1">
        <v>3.1210000000000001E-3</v>
      </c>
      <c r="M329" s="1">
        <v>0.17779400000000001</v>
      </c>
      <c r="N329" s="1">
        <v>0.98406199999999999</v>
      </c>
      <c r="O329">
        <v>1</v>
      </c>
      <c r="P329">
        <v>0</v>
      </c>
      <c r="Q329">
        <v>1</v>
      </c>
      <c r="R329">
        <v>1</v>
      </c>
      <c r="S329">
        <v>1</v>
      </c>
      <c r="T329" s="1">
        <f>SQRT(POWER(Plank[[#This Row],[angvel_X]],2) + POWER(Plank[[#This Row],[angvel_Y]],2) + POWER(Plank[[#This Row],[angvel_Z]],2))</f>
        <v>2.0330000713231664</v>
      </c>
      <c r="U329" s="1">
        <f>DEGREES(ASIN(MAX(-1,MIN(1,2 * (Plank[[#This Row],[quart_W]]*Plank[[#This Row],[quart_Y]] - Plank[[#This Row],[quart_Z]]*Plank[[#This Row],[quart_X]])))))</f>
        <v>0.36408535580610185</v>
      </c>
      <c r="V32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69.517332753451583</v>
      </c>
      <c r="W32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90.003621839960744</v>
      </c>
      <c r="X329" s="1">
        <f>IF(Plank[[#This Row],[Yaw]]&gt;V328,(360-ABS(Plank[[#This Row],[Yaw]])-ABS(V328)),ABS(Plank[[#This Row],[Yaw]]-V328))</f>
        <v>0.97043069786998615</v>
      </c>
      <c r="Y329" s="1">
        <f>Plank[[#This Row],[Degree change]]+Y328</f>
        <v>259.63315187196048</v>
      </c>
    </row>
    <row r="330" spans="1:25">
      <c r="A330">
        <v>329</v>
      </c>
      <c r="B330" s="1">
        <v>-419.85998499999999</v>
      </c>
      <c r="C330" s="1">
        <v>443.02999899999998</v>
      </c>
      <c r="D330" s="1">
        <v>18.639999</v>
      </c>
      <c r="E330" s="1">
        <v>2189.280029</v>
      </c>
      <c r="F330" s="1">
        <v>704.95996100000002</v>
      </c>
      <c r="G330" s="1">
        <v>8.1799990000000005</v>
      </c>
      <c r="H330" s="1">
        <v>5.0000000000000001E-4</v>
      </c>
      <c r="I330" s="1">
        <v>2.0000000000000001E-4</v>
      </c>
      <c r="J330" s="1">
        <v>2.0329999999999999</v>
      </c>
      <c r="K330" s="1">
        <v>-6.1799999999999995E-4</v>
      </c>
      <c r="L330" s="1">
        <v>3.1159999999999998E-3</v>
      </c>
      <c r="M330" s="1">
        <v>0.18612400000000001</v>
      </c>
      <c r="N330" s="1">
        <v>0.98252099999999998</v>
      </c>
      <c r="O330">
        <v>1</v>
      </c>
      <c r="P330">
        <v>0</v>
      </c>
      <c r="Q330">
        <v>1</v>
      </c>
      <c r="R330">
        <v>1</v>
      </c>
      <c r="S330">
        <v>1</v>
      </c>
      <c r="T330" s="1">
        <f>SQRT(POWER(Plank[[#This Row],[angvel_X]],2) + POWER(Plank[[#This Row],[angvel_Y]],2) + POWER(Plank[[#This Row],[angvel_Z]],2))</f>
        <v>2.0330000713231664</v>
      </c>
      <c r="U330" s="1">
        <f>DEGREES(ASIN(MAX(-1,MIN(1,2 * (Plank[[#This Row],[quart_W]]*Plank[[#This Row],[quart_Y]] - Plank[[#This Row],[quart_Z]]*Plank[[#This Row],[quart_X]])))))</f>
        <v>0.36400941925996494</v>
      </c>
      <c r="V33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68.54656071273746</v>
      </c>
      <c r="W33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90.003121032165424</v>
      </c>
      <c r="X330" s="1">
        <f>IF(Plank[[#This Row],[Yaw]]&gt;V329,(360-ABS(Plank[[#This Row],[Yaw]])-ABS(V329)),ABS(Plank[[#This Row],[Yaw]]-V329))</f>
        <v>0.97077204071412382</v>
      </c>
      <c r="Y330" s="1">
        <f>Plank[[#This Row],[Degree change]]+Y329</f>
        <v>260.60392391267459</v>
      </c>
    </row>
    <row r="331" spans="1:25">
      <c r="A331">
        <v>330</v>
      </c>
      <c r="B331" s="1">
        <v>-401.54998799999998</v>
      </c>
      <c r="C331" s="1">
        <v>448.92999300000002</v>
      </c>
      <c r="D331" s="1">
        <v>18.639999</v>
      </c>
      <c r="E331" s="1">
        <v>2177.0200199999999</v>
      </c>
      <c r="F331" s="1">
        <v>741.95001200000002</v>
      </c>
      <c r="G331" s="1">
        <v>8.1799990000000005</v>
      </c>
      <c r="H331" s="1">
        <v>4.0000000000000002E-4</v>
      </c>
      <c r="I331" s="1">
        <v>2.0000000000000001E-4</v>
      </c>
      <c r="J331" s="1">
        <v>2.0329999999999999</v>
      </c>
      <c r="K331" s="1">
        <v>-6.3900000000000003E-4</v>
      </c>
      <c r="L331" s="1">
        <v>3.1099999999999999E-3</v>
      </c>
      <c r="M331" s="1">
        <v>0.194437</v>
      </c>
      <c r="N331" s="1">
        <v>0.98090999999999995</v>
      </c>
      <c r="O331">
        <v>1</v>
      </c>
      <c r="P331">
        <v>0</v>
      </c>
      <c r="Q331">
        <v>1</v>
      </c>
      <c r="R331">
        <v>1</v>
      </c>
      <c r="S331">
        <v>1</v>
      </c>
      <c r="T331" s="1">
        <f>SQRT(POWER(Plank[[#This Row],[angvel_X]],2) + POWER(Plank[[#This Row],[angvel_Y]],2) + POWER(Plank[[#This Row],[angvel_Z]],2))</f>
        <v>2.0330000491883911</v>
      </c>
      <c r="U331" s="1">
        <f>DEGREES(ASIN(MAX(-1,MIN(1,2 * (Plank[[#This Row],[quart_W]]*Plank[[#This Row],[quart_Y]] - Plank[[#This Row],[quart_Z]]*Plank[[#This Row],[quart_X]])))))</f>
        <v>0.36381636010157142</v>
      </c>
      <c r="V33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67.576217706584544</v>
      </c>
      <c r="W33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90.002532801827826</v>
      </c>
      <c r="X331" s="1">
        <f>IF(Plank[[#This Row],[Yaw]]&gt;V330,(360-ABS(Plank[[#This Row],[Yaw]])-ABS(V330)),ABS(Plank[[#This Row],[Yaw]]-V330))</f>
        <v>0.97034300615291613</v>
      </c>
      <c r="Y331" s="1">
        <f>Plank[[#This Row],[Degree change]]+Y330</f>
        <v>261.5742669188275</v>
      </c>
    </row>
    <row r="332" spans="1:25">
      <c r="A332">
        <v>331</v>
      </c>
      <c r="B332" s="1">
        <v>-383.33999599999999</v>
      </c>
      <c r="C332" s="1">
        <v>455.13998400000003</v>
      </c>
      <c r="D332" s="1">
        <v>18.639999</v>
      </c>
      <c r="E332" s="1">
        <v>2164.139893</v>
      </c>
      <c r="F332" s="1">
        <v>778.71997099999999</v>
      </c>
      <c r="G332" s="1">
        <v>8.1799990000000005</v>
      </c>
      <c r="H332" s="1">
        <v>2.9999999999999997E-4</v>
      </c>
      <c r="I332" s="1">
        <v>2.0000000000000001E-4</v>
      </c>
      <c r="J332" s="1">
        <v>2.0329999999999999</v>
      </c>
      <c r="K332" s="1">
        <v>-6.6600000000000003E-4</v>
      </c>
      <c r="L332" s="1">
        <v>3.1050000000000001E-3</v>
      </c>
      <c r="M332" s="1">
        <v>0.20274</v>
      </c>
      <c r="N332" s="1">
        <v>0.97922699999999996</v>
      </c>
      <c r="O332">
        <v>1</v>
      </c>
      <c r="P332">
        <v>0</v>
      </c>
      <c r="Q332">
        <v>1</v>
      </c>
      <c r="R332">
        <v>1</v>
      </c>
      <c r="S332">
        <v>1</v>
      </c>
      <c r="T332" s="1">
        <f>SQRT(POWER(Plank[[#This Row],[angvel_X]],2) + POWER(Plank[[#This Row],[angvel_Y]],2) + POWER(Plank[[#This Row],[angvel_Z]],2))</f>
        <v>2.0330000319724544</v>
      </c>
      <c r="U332" s="1">
        <f>DEGREES(ASIN(MAX(-1,MIN(1,2 * (Plank[[#This Row],[quart_W]]*Plank[[#This Row],[quart_Y]] - Plank[[#This Row],[quart_Z]]*Plank[[#This Row],[quart_X]])))))</f>
        <v>0.36389076956816896</v>
      </c>
      <c r="V33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66.605432924298839</v>
      </c>
      <c r="W33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90.002596408551597</v>
      </c>
      <c r="X332" s="1">
        <f>IF(Plank[[#This Row],[Yaw]]&gt;V331,(360-ABS(Plank[[#This Row],[Yaw]])-ABS(V331)),ABS(Plank[[#This Row],[Yaw]]-V331))</f>
        <v>0.97078478228570475</v>
      </c>
      <c r="Y332" s="1">
        <f>Plank[[#This Row],[Degree change]]+Y331</f>
        <v>262.54505170111321</v>
      </c>
    </row>
    <row r="333" spans="1:25">
      <c r="A333">
        <v>332</v>
      </c>
      <c r="B333" s="1">
        <v>-365.23998999999998</v>
      </c>
      <c r="C333" s="1">
        <v>461.66000400000001</v>
      </c>
      <c r="D333" s="1">
        <v>18.639999</v>
      </c>
      <c r="E333" s="1">
        <v>2150.639893</v>
      </c>
      <c r="F333" s="1">
        <v>815.26995799999997</v>
      </c>
      <c r="G333" s="1">
        <v>8.1799990000000005</v>
      </c>
      <c r="H333" s="1">
        <v>2.9999999999999997E-4</v>
      </c>
      <c r="I333" s="1">
        <v>2.0000000000000001E-4</v>
      </c>
      <c r="J333" s="1">
        <v>2.0329999999999999</v>
      </c>
      <c r="K333" s="1">
        <v>-6.9300000000000004E-4</v>
      </c>
      <c r="L333" s="1">
        <v>3.0990000000000002E-3</v>
      </c>
      <c r="M333" s="1">
        <v>0.21102599999999999</v>
      </c>
      <c r="N333" s="1">
        <v>0.97747499999999998</v>
      </c>
      <c r="O333">
        <v>1</v>
      </c>
      <c r="P333">
        <v>0</v>
      </c>
      <c r="Q333">
        <v>1</v>
      </c>
      <c r="R333">
        <v>1</v>
      </c>
      <c r="S333">
        <v>1</v>
      </c>
      <c r="T333" s="1">
        <f>SQRT(POWER(Plank[[#This Row],[angvel_X]],2) + POWER(Plank[[#This Row],[angvel_Y]],2) + POWER(Plank[[#This Row],[angvel_Z]],2))</f>
        <v>2.0330000319724544</v>
      </c>
      <c r="U333" s="1">
        <f>DEGREES(ASIN(MAX(-1,MIN(1,2 * (Plank[[#This Row],[quart_W]]*Plank[[#This Row],[quart_Y]] - Plank[[#This Row],[quart_Z]]*Plank[[#This Row],[quart_X]])))))</f>
        <v>0.36388061288427387</v>
      </c>
      <c r="V33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65.634919715108467</v>
      </c>
      <c r="W33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90.002683857308256</v>
      </c>
      <c r="X333" s="1">
        <f>IF(Plank[[#This Row],[Yaw]]&gt;V332,(360-ABS(Plank[[#This Row],[Yaw]])-ABS(V332)),ABS(Plank[[#This Row],[Yaw]]-V332))</f>
        <v>0.97051320919037209</v>
      </c>
      <c r="Y333" s="1">
        <f>Plank[[#This Row],[Degree change]]+Y332</f>
        <v>263.51556491030357</v>
      </c>
    </row>
    <row r="334" spans="1:25">
      <c r="A334">
        <v>333</v>
      </c>
      <c r="B334" s="1">
        <v>-347.25997899999999</v>
      </c>
      <c r="C334" s="1">
        <v>468.47998000000001</v>
      </c>
      <c r="D334" s="1">
        <v>18.639999</v>
      </c>
      <c r="E334" s="1">
        <v>2136.5200199999999</v>
      </c>
      <c r="F334" s="1">
        <v>851.589966</v>
      </c>
      <c r="G334" s="1">
        <v>8.1799990000000005</v>
      </c>
      <c r="H334" s="1">
        <v>2.9999999999999997E-4</v>
      </c>
      <c r="I334" s="1">
        <v>2.0000000000000001E-4</v>
      </c>
      <c r="J334" s="1">
        <v>2.0329999999999999</v>
      </c>
      <c r="K334" s="1">
        <v>-7.2000000000000005E-4</v>
      </c>
      <c r="L334" s="1">
        <v>3.094E-3</v>
      </c>
      <c r="M334" s="1">
        <v>0.21929699999999999</v>
      </c>
      <c r="N334" s="1">
        <v>0.97565299999999999</v>
      </c>
      <c r="O334">
        <v>1</v>
      </c>
      <c r="P334">
        <v>0</v>
      </c>
      <c r="Q334">
        <v>1</v>
      </c>
      <c r="R334">
        <v>1</v>
      </c>
      <c r="S334">
        <v>1</v>
      </c>
      <c r="T334" s="1">
        <f>SQRT(POWER(Plank[[#This Row],[angvel_X]],2) + POWER(Plank[[#This Row],[angvel_Y]],2) + POWER(Plank[[#This Row],[angvel_Z]],2))</f>
        <v>2.0330000319724544</v>
      </c>
      <c r="U334" s="1">
        <f>DEGREES(ASIN(MAX(-1,MIN(1,2 * (Plank[[#This Row],[quart_W]]*Plank[[#This Row],[quart_Y]] - Plank[[#This Row],[quart_Z]]*Plank[[#This Row],[quart_X]])))))</f>
        <v>0.36400989528290784</v>
      </c>
      <c r="V33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64.664386700422469</v>
      </c>
      <c r="W33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90.002746269867629</v>
      </c>
      <c r="X334" s="1">
        <f>IF(Plank[[#This Row],[Yaw]]&gt;V333,(360-ABS(Plank[[#This Row],[Yaw]])-ABS(V333)),ABS(Plank[[#This Row],[Yaw]]-V333))</f>
        <v>0.97053301468599784</v>
      </c>
      <c r="Y334" s="1">
        <f>Plank[[#This Row],[Degree change]]+Y333</f>
        <v>264.48609792498956</v>
      </c>
    </row>
    <row r="335" spans="1:25">
      <c r="A335">
        <v>334</v>
      </c>
      <c r="B335" s="1">
        <v>-329.38998400000003</v>
      </c>
      <c r="C335" s="1">
        <v>475.60998499999999</v>
      </c>
      <c r="D335" s="1">
        <v>18.639999</v>
      </c>
      <c r="E335" s="1">
        <v>2121.780029</v>
      </c>
      <c r="F335" s="1">
        <v>887.65997300000004</v>
      </c>
      <c r="G335" s="1">
        <v>8.1799990000000005</v>
      </c>
      <c r="H335" s="1">
        <v>2.9999999999999997E-4</v>
      </c>
      <c r="I335" s="1">
        <v>2.0000000000000001E-4</v>
      </c>
      <c r="J335" s="1">
        <v>2.0329999999999999</v>
      </c>
      <c r="K335" s="1">
        <v>-7.4700000000000005E-4</v>
      </c>
      <c r="L335" s="1">
        <v>3.0890000000000002E-3</v>
      </c>
      <c r="M335" s="1">
        <v>0.227551</v>
      </c>
      <c r="N335" s="1">
        <v>0.97376099999999999</v>
      </c>
      <c r="O335">
        <v>1</v>
      </c>
      <c r="P335">
        <v>0</v>
      </c>
      <c r="Q335">
        <v>1</v>
      </c>
      <c r="R335">
        <v>1</v>
      </c>
      <c r="S335">
        <v>1</v>
      </c>
      <c r="T335" s="1">
        <f>SQRT(POWER(Plank[[#This Row],[angvel_X]],2) + POWER(Plank[[#This Row],[angvel_Y]],2) + POWER(Plank[[#This Row],[angvel_Z]],2))</f>
        <v>2.0330000319724544</v>
      </c>
      <c r="U335" s="1">
        <f>DEGREES(ASIN(MAX(-1,MIN(1,2 * (Plank[[#This Row],[quart_W]]*Plank[[#This Row],[quart_Y]] - Plank[[#This Row],[quart_Z]]*Plank[[#This Row],[quart_X]])))))</f>
        <v>0.36416621324300008</v>
      </c>
      <c r="V33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63.694009919455418</v>
      </c>
      <c r="W33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90.00280691138893</v>
      </c>
      <c r="X335" s="1">
        <f>IF(Plank[[#This Row],[Yaw]]&gt;V334,(360-ABS(Plank[[#This Row],[Yaw]])-ABS(V334)),ABS(Plank[[#This Row],[Yaw]]-V334))</f>
        <v>0.97037678096705093</v>
      </c>
      <c r="Y335" s="1">
        <f>Plank[[#This Row],[Degree change]]+Y334</f>
        <v>265.45647470595662</v>
      </c>
    </row>
    <row r="336" spans="1:25">
      <c r="A336">
        <v>335</v>
      </c>
      <c r="B336" s="1">
        <v>-311.64999399999999</v>
      </c>
      <c r="C336" s="1">
        <v>483.03997800000002</v>
      </c>
      <c r="D336" s="1">
        <v>18.639999</v>
      </c>
      <c r="E336" s="1">
        <v>2106.4399410000001</v>
      </c>
      <c r="F336" s="1">
        <v>923.47997999999995</v>
      </c>
      <c r="G336" s="1">
        <v>8.1799990000000005</v>
      </c>
      <c r="H336" s="1">
        <v>2.9999999999999997E-4</v>
      </c>
      <c r="I336" s="1">
        <v>2.0000000000000001E-4</v>
      </c>
      <c r="J336" s="1">
        <v>2.0329999999999999</v>
      </c>
      <c r="K336" s="1">
        <v>-7.7399999999999995E-4</v>
      </c>
      <c r="L336" s="1">
        <v>3.0829999999999998E-3</v>
      </c>
      <c r="M336" s="1">
        <v>0.235789</v>
      </c>
      <c r="N336" s="1">
        <v>0.97179899999999997</v>
      </c>
      <c r="O336">
        <v>1</v>
      </c>
      <c r="P336">
        <v>0</v>
      </c>
      <c r="Q336">
        <v>1</v>
      </c>
      <c r="R336">
        <v>1</v>
      </c>
      <c r="S336">
        <v>1</v>
      </c>
      <c r="T336" s="1">
        <f>SQRT(POWER(Plank[[#This Row],[angvel_X]],2) + POWER(Plank[[#This Row],[angvel_Y]],2) + POWER(Plank[[#This Row],[angvel_Z]],2))</f>
        <v>2.0330000319724544</v>
      </c>
      <c r="U336" s="1">
        <f>DEGREES(ASIN(MAX(-1,MIN(1,2 * (Plank[[#This Row],[quart_W]]*Plank[[#This Row],[quart_Y]] - Plank[[#This Row],[quart_Z]]*Plank[[#This Row],[quart_X]])))))</f>
        <v>0.36423825577600449</v>
      </c>
      <c r="V33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62.72359819358126</v>
      </c>
      <c r="W33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90.002891769436161</v>
      </c>
      <c r="X336" s="1">
        <f>IF(Plank[[#This Row],[Yaw]]&gt;V335,(360-ABS(Plank[[#This Row],[Yaw]])-ABS(V335)),ABS(Plank[[#This Row],[Yaw]]-V335))</f>
        <v>0.97041172587415758</v>
      </c>
      <c r="Y336" s="1">
        <f>Plank[[#This Row],[Degree change]]+Y335</f>
        <v>266.42688643183078</v>
      </c>
    </row>
    <row r="337" spans="1:25">
      <c r="A337">
        <v>336</v>
      </c>
      <c r="B337" s="1">
        <v>-294.040009</v>
      </c>
      <c r="C337" s="1">
        <v>490.76998900000001</v>
      </c>
      <c r="D337" s="1">
        <v>18.639999</v>
      </c>
      <c r="E337" s="1">
        <v>2090.48999</v>
      </c>
      <c r="F337" s="1">
        <v>959.02996800000005</v>
      </c>
      <c r="G337" s="1">
        <v>8.1799990000000005</v>
      </c>
      <c r="H337" s="1">
        <v>2.9999999999999997E-4</v>
      </c>
      <c r="I337" s="1">
        <v>2.0000000000000001E-4</v>
      </c>
      <c r="J337" s="1">
        <v>2.0329999999999999</v>
      </c>
      <c r="K337" s="1">
        <v>-8.0099999999999995E-4</v>
      </c>
      <c r="L337" s="1">
        <v>3.078E-3</v>
      </c>
      <c r="M337" s="1">
        <v>0.24401</v>
      </c>
      <c r="N337" s="1">
        <v>0.96976700000000005</v>
      </c>
      <c r="O337">
        <v>1</v>
      </c>
      <c r="P337">
        <v>0</v>
      </c>
      <c r="Q337">
        <v>1</v>
      </c>
      <c r="R337">
        <v>1</v>
      </c>
      <c r="S337">
        <v>1</v>
      </c>
      <c r="T337" s="1">
        <f>SQRT(POWER(Plank[[#This Row],[angvel_X]],2) + POWER(Plank[[#This Row],[angvel_Y]],2) + POWER(Plank[[#This Row],[angvel_Z]],2))</f>
        <v>2.0330000319724544</v>
      </c>
      <c r="U337" s="1">
        <f>DEGREES(ASIN(MAX(-1,MIN(1,2 * (Plank[[#This Row],[quart_W]]*Plank[[#This Row],[quart_Y]] - Plank[[#This Row],[quart_Z]]*Plank[[#This Row],[quart_X]])))))</f>
        <v>0.36444886018277561</v>
      </c>
      <c r="V33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61.753205131548441</v>
      </c>
      <c r="W33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90.002947421791177</v>
      </c>
      <c r="X337" s="1">
        <f>IF(Plank[[#This Row],[Yaw]]&gt;V336,(360-ABS(Plank[[#This Row],[Yaw]])-ABS(V336)),ABS(Plank[[#This Row],[Yaw]]-V336))</f>
        <v>0.97039306203281939</v>
      </c>
      <c r="Y337" s="1">
        <f>Plank[[#This Row],[Degree change]]+Y336</f>
        <v>267.39727949386361</v>
      </c>
    </row>
    <row r="338" spans="1:25">
      <c r="A338">
        <v>337</v>
      </c>
      <c r="B338" s="1">
        <v>-276.55999800000001</v>
      </c>
      <c r="C338" s="1">
        <v>498.78997800000002</v>
      </c>
      <c r="D338" s="1">
        <v>18.639999</v>
      </c>
      <c r="E338" s="1">
        <v>2073.9499510000001</v>
      </c>
      <c r="F338" s="1">
        <v>994.29998799999998</v>
      </c>
      <c r="G338" s="1">
        <v>8.1799990000000005</v>
      </c>
      <c r="H338" s="1">
        <v>2.9999999999999997E-4</v>
      </c>
      <c r="I338" s="1">
        <v>2.0000000000000001E-4</v>
      </c>
      <c r="J338" s="1">
        <v>2.0329999999999999</v>
      </c>
      <c r="K338" s="1">
        <v>-8.2799999999999996E-4</v>
      </c>
      <c r="L338" s="1">
        <v>3.0720000000000001E-3</v>
      </c>
      <c r="M338" s="1">
        <v>0.252216</v>
      </c>
      <c r="N338" s="1">
        <v>0.96766600000000003</v>
      </c>
      <c r="O338">
        <v>1</v>
      </c>
      <c r="P338">
        <v>0</v>
      </c>
      <c r="Q338">
        <v>1</v>
      </c>
      <c r="R338">
        <v>1</v>
      </c>
      <c r="S338">
        <v>1</v>
      </c>
      <c r="T338" s="1">
        <f>SQRT(POWER(Plank[[#This Row],[angvel_X]],2) + POWER(Plank[[#This Row],[angvel_Y]],2) + POWER(Plank[[#This Row],[angvel_Z]],2))</f>
        <v>2.0330000319724544</v>
      </c>
      <c r="U338" s="1">
        <f>DEGREES(ASIN(MAX(-1,MIN(1,2 * (Plank[[#This Row],[quart_W]]*Plank[[#This Row],[quart_Y]] - Plank[[#This Row],[quart_Z]]*Plank[[#This Row],[quart_X]])))))</f>
        <v>0.36457605526205666</v>
      </c>
      <c r="V33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60.782486701620954</v>
      </c>
      <c r="W33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90.003027558363669</v>
      </c>
      <c r="X338" s="1">
        <f>IF(Plank[[#This Row],[Yaw]]&gt;V337,(360-ABS(Plank[[#This Row],[Yaw]])-ABS(V337)),ABS(Plank[[#This Row],[Yaw]]-V337))</f>
        <v>0.97071842992748714</v>
      </c>
      <c r="Y338" s="1">
        <f>Plank[[#This Row],[Degree change]]+Y337</f>
        <v>268.36799792379111</v>
      </c>
    </row>
    <row r="339" spans="1:25">
      <c r="A339">
        <v>338</v>
      </c>
      <c r="B339" s="1">
        <v>-259.22000100000002</v>
      </c>
      <c r="C339" s="1">
        <v>507.10998499999999</v>
      </c>
      <c r="D339" s="1">
        <v>18.639999</v>
      </c>
      <c r="E339" s="1">
        <v>2056.8100589999999</v>
      </c>
      <c r="F339" s="1">
        <v>1029.2899170000001</v>
      </c>
      <c r="G339" s="1">
        <v>8.1799990000000005</v>
      </c>
      <c r="H339" s="1">
        <v>2.9999999999999997E-4</v>
      </c>
      <c r="I339" s="1">
        <v>2.0000000000000001E-4</v>
      </c>
      <c r="J339" s="1">
        <v>2.0329999999999999</v>
      </c>
      <c r="K339" s="1">
        <v>-8.5499999999999997E-4</v>
      </c>
      <c r="L339" s="1">
        <v>3.0669999999999998E-3</v>
      </c>
      <c r="M339" s="1">
        <v>0.260405</v>
      </c>
      <c r="N339" s="1">
        <v>0.96549399999999996</v>
      </c>
      <c r="O339">
        <v>1</v>
      </c>
      <c r="P339">
        <v>0</v>
      </c>
      <c r="Q339">
        <v>1</v>
      </c>
      <c r="R339">
        <v>1</v>
      </c>
      <c r="S339">
        <v>1</v>
      </c>
      <c r="T339" s="1">
        <f>SQRT(POWER(Plank[[#This Row],[angvel_X]],2) + POWER(Plank[[#This Row],[angvel_Y]],2) + POWER(Plank[[#This Row],[angvel_Z]],2))</f>
        <v>2.0330000319724544</v>
      </c>
      <c r="U339" s="1">
        <f>DEGREES(ASIN(MAX(-1,MIN(1,2 * (Plank[[#This Row],[quart_W]]*Plank[[#This Row],[quart_Y]] - Plank[[#This Row],[quart_Z]]*Plank[[#This Row],[quart_X]])))))</f>
        <v>0.36484094738234252</v>
      </c>
      <c r="V33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59.81166941171989</v>
      </c>
      <c r="W33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90.003075153761358</v>
      </c>
      <c r="X339" s="1">
        <f>IF(Plank[[#This Row],[Yaw]]&gt;V338,(360-ABS(Plank[[#This Row],[Yaw]])-ABS(V338)),ABS(Plank[[#This Row],[Yaw]]-V338))</f>
        <v>0.97081728990106342</v>
      </c>
      <c r="Y339" s="1">
        <f>Plank[[#This Row],[Degree change]]+Y338</f>
        <v>269.33881521369216</v>
      </c>
    </row>
    <row r="340" spans="1:25">
      <c r="A340">
        <v>339</v>
      </c>
      <c r="B340" s="1">
        <v>-242.01998900000001</v>
      </c>
      <c r="C340" s="1">
        <v>515.71997099999999</v>
      </c>
      <c r="D340" s="1">
        <v>18.639999</v>
      </c>
      <c r="E340" s="1">
        <v>2039.079956</v>
      </c>
      <c r="F340" s="1">
        <v>1063.9799800000001</v>
      </c>
      <c r="G340" s="1">
        <v>8.1799990000000005</v>
      </c>
      <c r="H340" s="1">
        <v>2.9999999999999997E-4</v>
      </c>
      <c r="I340" s="1">
        <v>2.0000000000000001E-4</v>
      </c>
      <c r="J340" s="1">
        <v>2.0329999999999999</v>
      </c>
      <c r="K340" s="1">
        <v>-8.8199999999999997E-4</v>
      </c>
      <c r="L340" s="1">
        <v>3.0620000000000001E-3</v>
      </c>
      <c r="M340" s="1">
        <v>0.26857300000000001</v>
      </c>
      <c r="N340" s="1">
        <v>0.96325400000000005</v>
      </c>
      <c r="O340">
        <v>1</v>
      </c>
      <c r="P340">
        <v>0</v>
      </c>
      <c r="Q340">
        <v>1</v>
      </c>
      <c r="R340">
        <v>1</v>
      </c>
      <c r="S340">
        <v>1</v>
      </c>
      <c r="T340" s="1">
        <f>SQRT(POWER(Plank[[#This Row],[angvel_X]],2) + POWER(Plank[[#This Row],[angvel_Y]],2) + POWER(Plank[[#This Row],[angvel_Z]],2))</f>
        <v>2.0330000319724544</v>
      </c>
      <c r="U340" s="1">
        <f>DEGREES(ASIN(MAX(-1,MIN(1,2 * (Plank[[#This Row],[quart_W]]*Plank[[#This Row],[quart_Y]] - Plank[[#This Row],[quart_Z]]*Plank[[#This Row],[quart_X]])))))</f>
        <v>0.36513301980501262</v>
      </c>
      <c r="V34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58.841110045268216</v>
      </c>
      <c r="W34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90.003119188510041</v>
      </c>
      <c r="X340" s="1">
        <f>IF(Plank[[#This Row],[Yaw]]&gt;V339,(360-ABS(Plank[[#This Row],[Yaw]])-ABS(V339)),ABS(Plank[[#This Row],[Yaw]]-V339))</f>
        <v>0.97055936645167407</v>
      </c>
      <c r="Y340" s="1">
        <f>Plank[[#This Row],[Degree change]]+Y339</f>
        <v>270.30937458014381</v>
      </c>
    </row>
    <row r="341" spans="1:25">
      <c r="A341">
        <v>340</v>
      </c>
      <c r="B341" s="1">
        <v>-224.970001</v>
      </c>
      <c r="C341" s="1">
        <v>524.61999500000002</v>
      </c>
      <c r="D341" s="1">
        <v>18.639999</v>
      </c>
      <c r="E341" s="1">
        <v>2020.76001</v>
      </c>
      <c r="F341" s="1">
        <v>1098.369995</v>
      </c>
      <c r="G341" s="1">
        <v>8.1799990000000005</v>
      </c>
      <c r="H341" s="1">
        <v>2.9999999999999997E-4</v>
      </c>
      <c r="I341" s="1">
        <v>2.0000000000000001E-4</v>
      </c>
      <c r="J341" s="1">
        <v>2.0329999999999999</v>
      </c>
      <c r="K341" s="1">
        <v>-9.0899999999999998E-4</v>
      </c>
      <c r="L341" s="1">
        <v>3.0560000000000001E-3</v>
      </c>
      <c r="M341" s="1">
        <v>0.27672400000000003</v>
      </c>
      <c r="N341" s="1">
        <v>0.96094400000000002</v>
      </c>
      <c r="O341">
        <v>1</v>
      </c>
      <c r="P341">
        <v>0</v>
      </c>
      <c r="Q341">
        <v>1</v>
      </c>
      <c r="R341">
        <v>1</v>
      </c>
      <c r="S341">
        <v>1</v>
      </c>
      <c r="T341" s="1">
        <f>SQRT(POWER(Plank[[#This Row],[angvel_X]],2) + POWER(Plank[[#This Row],[angvel_Y]],2) + POWER(Plank[[#This Row],[angvel_Z]],2))</f>
        <v>2.0330000319724544</v>
      </c>
      <c r="U341" s="1">
        <f>DEGREES(ASIN(MAX(-1,MIN(1,2 * (Plank[[#This Row],[quart_W]]*Plank[[#This Row],[quart_Y]] - Plank[[#This Row],[quart_Z]]*Plank[[#This Row],[quart_X]])))))</f>
        <v>0.36534179222022595</v>
      </c>
      <c r="V34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57.870287136517362</v>
      </c>
      <c r="W34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90.003189096584379</v>
      </c>
      <c r="X341" s="1">
        <f>IF(Plank[[#This Row],[Yaw]]&gt;V340,(360-ABS(Plank[[#This Row],[Yaw]])-ABS(V340)),ABS(Plank[[#This Row],[Yaw]]-V340))</f>
        <v>0.9708229087508542</v>
      </c>
      <c r="Y341" s="1">
        <f>Plank[[#This Row],[Degree change]]+Y340</f>
        <v>271.28019748889466</v>
      </c>
    </row>
    <row r="342" spans="1:25">
      <c r="A342">
        <v>341</v>
      </c>
      <c r="B342" s="1">
        <v>-208.06999200000001</v>
      </c>
      <c r="C342" s="1">
        <v>533.80999799999995</v>
      </c>
      <c r="D342" s="1">
        <v>18.639999</v>
      </c>
      <c r="E342" s="1">
        <v>2001.869995</v>
      </c>
      <c r="F342" s="1">
        <v>1132.4499510000001</v>
      </c>
      <c r="G342" s="1">
        <v>8.1799990000000005</v>
      </c>
      <c r="H342" s="1">
        <v>2.9999999999999997E-4</v>
      </c>
      <c r="I342" s="1">
        <v>2.0000000000000001E-4</v>
      </c>
      <c r="J342" s="1">
        <v>2.0329999999999999</v>
      </c>
      <c r="K342" s="1">
        <v>-9.3599999999999998E-4</v>
      </c>
      <c r="L342" s="1">
        <v>3.0509999999999999E-3</v>
      </c>
      <c r="M342" s="1">
        <v>0.284854</v>
      </c>
      <c r="N342" s="1">
        <v>0.958565</v>
      </c>
      <c r="O342">
        <v>1</v>
      </c>
      <c r="P342">
        <v>0</v>
      </c>
      <c r="Q342">
        <v>1</v>
      </c>
      <c r="R342">
        <v>1</v>
      </c>
      <c r="S342">
        <v>1</v>
      </c>
      <c r="T342" s="1">
        <f>SQRT(POWER(Plank[[#This Row],[angvel_X]],2) + POWER(Plank[[#This Row],[angvel_Y]],2) + POWER(Plank[[#This Row],[angvel_Z]],2))</f>
        <v>2.0330000319724544</v>
      </c>
      <c r="U342" s="1">
        <f>DEGREES(ASIN(MAX(-1,MIN(1,2 * (Plank[[#This Row],[quart_W]]*Plank[[#This Row],[quart_Y]] - Plank[[#This Row],[quart_Z]]*Plank[[#This Row],[quart_X]])))))</f>
        <v>0.36568765709509798</v>
      </c>
      <c r="V34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56.899610018137373</v>
      </c>
      <c r="W34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90.003223215205452</v>
      </c>
      <c r="X342" s="1">
        <f>IF(Plank[[#This Row],[Yaw]]&gt;V341,(360-ABS(Plank[[#This Row],[Yaw]])-ABS(V341)),ABS(Plank[[#This Row],[Yaw]]-V341))</f>
        <v>0.97067711837998871</v>
      </c>
      <c r="Y342" s="1">
        <f>Plank[[#This Row],[Degree change]]+Y341</f>
        <v>272.25087460727462</v>
      </c>
    </row>
    <row r="343" spans="1:25">
      <c r="A343">
        <v>342</v>
      </c>
      <c r="B343" s="1">
        <v>-191.33000200000001</v>
      </c>
      <c r="C343" s="1">
        <v>543.27996800000005</v>
      </c>
      <c r="D343" s="1">
        <v>18.639999</v>
      </c>
      <c r="E343" s="1">
        <v>1982.3900149999999</v>
      </c>
      <c r="F343" s="1">
        <v>1166.1999510000001</v>
      </c>
      <c r="G343" s="1">
        <v>8.1799990000000005</v>
      </c>
      <c r="H343" s="1">
        <v>2.9999999999999997E-4</v>
      </c>
      <c r="I343" s="1">
        <v>2.0000000000000001E-4</v>
      </c>
      <c r="J343" s="1">
        <v>2.0329999999999999</v>
      </c>
      <c r="K343" s="1">
        <v>-9.6299999999999999E-4</v>
      </c>
      <c r="L343" s="1">
        <v>3.045E-3</v>
      </c>
      <c r="M343" s="1">
        <v>0.29296299999999997</v>
      </c>
      <c r="N343" s="1">
        <v>0.95611800000000002</v>
      </c>
      <c r="O343">
        <v>1</v>
      </c>
      <c r="P343">
        <v>0</v>
      </c>
      <c r="Q343">
        <v>1</v>
      </c>
      <c r="R343">
        <v>1</v>
      </c>
      <c r="S343">
        <v>1</v>
      </c>
      <c r="T343" s="1">
        <f>SQRT(POWER(Plank[[#This Row],[angvel_X]],2) + POWER(Plank[[#This Row],[angvel_Y]],2) + POWER(Plank[[#This Row],[angvel_Z]],2))</f>
        <v>2.0330000319724544</v>
      </c>
      <c r="U343" s="1">
        <f>DEGREES(ASIN(MAX(-1,MIN(1,2 * (Plank[[#This Row],[quart_W]]*Plank[[#This Row],[quart_Y]] - Plank[[#This Row],[quart_Z]]*Plank[[#This Row],[quart_X]])))))</f>
        <v>0.36595093886012064</v>
      </c>
      <c r="V34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55.928983704890669</v>
      </c>
      <c r="W34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90.003285326681677</v>
      </c>
      <c r="X343" s="1">
        <f>IF(Plank[[#This Row],[Yaw]]&gt;V342,(360-ABS(Plank[[#This Row],[Yaw]])-ABS(V342)),ABS(Plank[[#This Row],[Yaw]]-V342))</f>
        <v>0.97062631324670434</v>
      </c>
      <c r="Y343" s="1">
        <f>Plank[[#This Row],[Degree change]]+Y342</f>
        <v>273.22150092052135</v>
      </c>
    </row>
    <row r="344" spans="1:25">
      <c r="A344">
        <v>343</v>
      </c>
      <c r="B344" s="1">
        <v>-174.75</v>
      </c>
      <c r="C344" s="1">
        <v>553.03997800000002</v>
      </c>
      <c r="D344" s="1">
        <v>18.639999</v>
      </c>
      <c r="E344" s="1">
        <v>1962.349976</v>
      </c>
      <c r="F344" s="1">
        <v>1199.619995</v>
      </c>
      <c r="G344" s="1">
        <v>8.1799990000000005</v>
      </c>
      <c r="H344" s="1">
        <v>4.0000000000000002E-4</v>
      </c>
      <c r="I344" s="1">
        <v>1E-4</v>
      </c>
      <c r="J344" s="1">
        <v>2.0329999999999999</v>
      </c>
      <c r="K344" s="1">
        <v>-9.8999999999999999E-4</v>
      </c>
      <c r="L344" s="1">
        <v>3.0400000000000002E-3</v>
      </c>
      <c r="M344" s="1">
        <v>0.30104999999999998</v>
      </c>
      <c r="N344" s="1">
        <v>0.95360299999999998</v>
      </c>
      <c r="O344">
        <v>1</v>
      </c>
      <c r="P344">
        <v>0</v>
      </c>
      <c r="Q344">
        <v>1</v>
      </c>
      <c r="R344">
        <v>1</v>
      </c>
      <c r="S344">
        <v>1</v>
      </c>
      <c r="T344" s="1">
        <f>SQRT(POWER(Plank[[#This Row],[angvel_X]],2) + POWER(Plank[[#This Row],[angvel_Y]],2) + POWER(Plank[[#This Row],[angvel_Z]],2))</f>
        <v>2.0330000418101322</v>
      </c>
      <c r="U344" s="1">
        <f>DEGREES(ASIN(MAX(-1,MIN(1,2 * (Plank[[#This Row],[quart_W]]*Plank[[#This Row],[quart_Y]] - Plank[[#This Row],[quart_Z]]*Plank[[#This Row],[quart_X]])))))</f>
        <v>0.36635086480647822</v>
      </c>
      <c r="V34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54.958466666475793</v>
      </c>
      <c r="W34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90.003308895470525</v>
      </c>
      <c r="X344" s="1">
        <f>IF(Plank[[#This Row],[Yaw]]&gt;V343,(360-ABS(Plank[[#This Row],[Yaw]])-ABS(V343)),ABS(Plank[[#This Row],[Yaw]]-V343))</f>
        <v>0.9705170384148758</v>
      </c>
      <c r="Y344" s="1">
        <f>Plank[[#This Row],[Degree change]]+Y343</f>
        <v>274.19201795893622</v>
      </c>
    </row>
    <row r="345" spans="1:25">
      <c r="A345">
        <v>344</v>
      </c>
      <c r="B345" s="1">
        <v>-158.33999600000001</v>
      </c>
      <c r="C345" s="1">
        <v>563.080017</v>
      </c>
      <c r="D345" s="1">
        <v>18.639999</v>
      </c>
      <c r="E345" s="1">
        <v>1941.75</v>
      </c>
      <c r="F345" s="1">
        <v>1232.6899410000001</v>
      </c>
      <c r="G345" s="1">
        <v>8.1799990000000005</v>
      </c>
      <c r="H345" s="1">
        <v>4.0000000000000002E-4</v>
      </c>
      <c r="I345" s="1">
        <v>1E-4</v>
      </c>
      <c r="J345" s="1">
        <v>2.0331000000000001</v>
      </c>
      <c r="K345" s="1">
        <v>-1.0120000000000001E-3</v>
      </c>
      <c r="L345" s="1">
        <v>3.029E-3</v>
      </c>
      <c r="M345" s="1">
        <v>0.30911499999999997</v>
      </c>
      <c r="N345" s="1">
        <v>0.95101899999999995</v>
      </c>
      <c r="O345">
        <v>1</v>
      </c>
      <c r="P345">
        <v>0</v>
      </c>
      <c r="Q345">
        <v>1</v>
      </c>
      <c r="R345">
        <v>1</v>
      </c>
      <c r="S345">
        <v>1</v>
      </c>
      <c r="T345" s="1">
        <f>SQRT(POWER(Plank[[#This Row],[angvel_X]],2) + POWER(Plank[[#This Row],[angvel_Y]],2) + POWER(Plank[[#This Row],[angvel_Z]],2))</f>
        <v>2.0331000418080762</v>
      </c>
      <c r="U345" s="1">
        <f>DEGREES(ASIN(MAX(-1,MIN(1,2 * (Plank[[#This Row],[quart_W]]*Plank[[#This Row],[quart_Y]] - Plank[[#This Row],[quart_Z]]*Plank[[#This Row],[quart_X]])))))</f>
        <v>0.36594615479413445</v>
      </c>
      <c r="V34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53.988019582940879</v>
      </c>
      <c r="W34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90.002993409500334</v>
      </c>
      <c r="X345" s="1">
        <f>IF(Plank[[#This Row],[Yaw]]&gt;V344,(360-ABS(Plank[[#This Row],[Yaw]])-ABS(V344)),ABS(Plank[[#This Row],[Yaw]]-V344))</f>
        <v>0.97044708353491416</v>
      </c>
      <c r="Y345" s="1">
        <f>Plank[[#This Row],[Degree change]]+Y344</f>
        <v>275.16246504247113</v>
      </c>
    </row>
    <row r="346" spans="1:25">
      <c r="A346">
        <v>345</v>
      </c>
      <c r="B346" s="1">
        <v>-142.09999099999999</v>
      </c>
      <c r="C346" s="1">
        <v>573.39001499999995</v>
      </c>
      <c r="D346" s="1">
        <v>18.639999</v>
      </c>
      <c r="E346" s="1">
        <v>1920.589966</v>
      </c>
      <c r="F346" s="1">
        <v>1265.400024</v>
      </c>
      <c r="G346" s="1">
        <v>8.1799990000000005</v>
      </c>
      <c r="H346" s="1">
        <v>4.0000000000000002E-4</v>
      </c>
      <c r="I346" s="1">
        <v>1E-4</v>
      </c>
      <c r="J346" s="1">
        <v>2.0331000000000001</v>
      </c>
      <c r="K346" s="1">
        <v>-1.0330000000000001E-3</v>
      </c>
      <c r="L346" s="1">
        <v>3.0179999999999998E-3</v>
      </c>
      <c r="M346" s="1">
        <v>0.31715900000000002</v>
      </c>
      <c r="N346" s="1">
        <v>0.94836699999999996</v>
      </c>
      <c r="O346">
        <v>1</v>
      </c>
      <c r="P346">
        <v>0</v>
      </c>
      <c r="Q346">
        <v>1</v>
      </c>
      <c r="R346">
        <v>1</v>
      </c>
      <c r="S346">
        <v>1</v>
      </c>
      <c r="T346" s="1">
        <f>SQRT(POWER(Plank[[#This Row],[angvel_X]],2) + POWER(Plank[[#This Row],[angvel_Y]],2) + POWER(Plank[[#This Row],[angvel_Z]],2))</f>
        <v>2.0331000418080762</v>
      </c>
      <c r="U346" s="1">
        <f>DEGREES(ASIN(MAX(-1,MIN(1,2 * (Plank[[#This Row],[quart_W]]*Plank[[#This Row],[quart_Y]] - Plank[[#This Row],[quart_Z]]*Plank[[#This Row],[quart_X]])))))</f>
        <v>0.36552627382940234</v>
      </c>
      <c r="V34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53.017413723032099</v>
      </c>
      <c r="W34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90.002575755422541</v>
      </c>
      <c r="X346" s="1">
        <f>IF(Plank[[#This Row],[Yaw]]&gt;V345,(360-ABS(Plank[[#This Row],[Yaw]])-ABS(V345)),ABS(Plank[[#This Row],[Yaw]]-V345))</f>
        <v>0.97060585990877968</v>
      </c>
      <c r="Y346" s="1">
        <f>Plank[[#This Row],[Degree change]]+Y345</f>
        <v>276.13307090237993</v>
      </c>
    </row>
    <row r="347" spans="1:25">
      <c r="A347">
        <v>346</v>
      </c>
      <c r="B347" s="1">
        <v>-126.040001</v>
      </c>
      <c r="C347" s="1">
        <v>583.97997999999995</v>
      </c>
      <c r="D347" s="1">
        <v>18.639999</v>
      </c>
      <c r="E347" s="1">
        <v>1898.880005</v>
      </c>
      <c r="F347" s="1">
        <v>1297.75</v>
      </c>
      <c r="G347" s="1">
        <v>8.1799990000000005</v>
      </c>
      <c r="H347" s="1">
        <v>4.0000000000000002E-4</v>
      </c>
      <c r="I347" s="1">
        <v>1E-4</v>
      </c>
      <c r="J347" s="1">
        <v>2.0331000000000001</v>
      </c>
      <c r="K347" s="1">
        <v>-1.0549999999999999E-3</v>
      </c>
      <c r="L347" s="1">
        <v>3.0079999999999998E-3</v>
      </c>
      <c r="M347" s="1">
        <v>0.325181</v>
      </c>
      <c r="N347" s="1">
        <v>0.94564599999999999</v>
      </c>
      <c r="O347">
        <v>1</v>
      </c>
      <c r="P347">
        <v>0</v>
      </c>
      <c r="Q347">
        <v>1</v>
      </c>
      <c r="R347">
        <v>1</v>
      </c>
      <c r="S347">
        <v>1</v>
      </c>
      <c r="T347" s="1">
        <f>SQRT(POWER(Plank[[#This Row],[angvel_X]],2) + POWER(Plank[[#This Row],[angvel_Y]],2) + POWER(Plank[[#This Row],[angvel_Z]],2))</f>
        <v>2.0331000418080762</v>
      </c>
      <c r="U347" s="1">
        <f>DEGREES(ASIN(MAX(-1,MIN(1,2 * (Plank[[#This Row],[quart_W]]*Plank[[#This Row],[quart_Y]] - Plank[[#This Row],[quart_Z]]*Plank[[#This Row],[quart_X]])))))</f>
        <v>0.36527098958425314</v>
      </c>
      <c r="V34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52.046736987205946</v>
      </c>
      <c r="W34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90.002235965334776</v>
      </c>
      <c r="X347" s="1">
        <f>IF(Plank[[#This Row],[Yaw]]&gt;V346,(360-ABS(Plank[[#This Row],[Yaw]])-ABS(V346)),ABS(Plank[[#This Row],[Yaw]]-V346))</f>
        <v>0.97067673582615299</v>
      </c>
      <c r="Y347" s="1">
        <f>Plank[[#This Row],[Degree change]]+Y346</f>
        <v>277.10374763820607</v>
      </c>
    </row>
    <row r="348" spans="1:25">
      <c r="A348">
        <v>347</v>
      </c>
      <c r="B348" s="1">
        <v>-110.15999600000001</v>
      </c>
      <c r="C348" s="1">
        <v>594.839966</v>
      </c>
      <c r="D348" s="1">
        <v>18.639999</v>
      </c>
      <c r="E348" s="1">
        <v>1876.619995</v>
      </c>
      <c r="F348" s="1">
        <v>1329.7299800000001</v>
      </c>
      <c r="G348" s="1">
        <v>8.1799990000000005</v>
      </c>
      <c r="H348" s="1">
        <v>2.9999999999999997E-4</v>
      </c>
      <c r="I348" s="1">
        <v>1E-4</v>
      </c>
      <c r="J348" s="1">
        <v>2.0331000000000001</v>
      </c>
      <c r="K348" s="1">
        <v>-1.0759999999999999E-3</v>
      </c>
      <c r="L348" s="1">
        <v>2.9970000000000001E-3</v>
      </c>
      <c r="M348" s="1">
        <v>0.333181</v>
      </c>
      <c r="N348" s="1">
        <v>0.94285699999999995</v>
      </c>
      <c r="O348">
        <v>1</v>
      </c>
      <c r="P348">
        <v>0</v>
      </c>
      <c r="Q348">
        <v>1</v>
      </c>
      <c r="R348">
        <v>1</v>
      </c>
      <c r="S348">
        <v>1</v>
      </c>
      <c r="T348" s="1">
        <f>SQRT(POWER(Plank[[#This Row],[angvel_X]],2) + POWER(Plank[[#This Row],[angvel_Y]],2) + POWER(Plank[[#This Row],[angvel_Z]],2))</f>
        <v>2.033100024592986</v>
      </c>
      <c r="U348" s="1">
        <f>DEGREES(ASIN(MAX(-1,MIN(1,2 * (Plank[[#This Row],[quart_W]]*Plank[[#This Row],[quart_Y]] - Plank[[#This Row],[quart_Z]]*Plank[[#This Row],[quart_X]])))))</f>
        <v>0.36489008661431399</v>
      </c>
      <c r="V34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51.075888842542739</v>
      </c>
      <c r="W34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90.001830141660804</v>
      </c>
      <c r="X348" s="1">
        <f>IF(Plank[[#This Row],[Yaw]]&gt;V347,(360-ABS(Plank[[#This Row],[Yaw]])-ABS(V347)),ABS(Plank[[#This Row],[Yaw]]-V347))</f>
        <v>0.97084814466320779</v>
      </c>
      <c r="Y348" s="1">
        <f>Plank[[#This Row],[Degree change]]+Y347</f>
        <v>278.07459578286927</v>
      </c>
    </row>
    <row r="349" spans="1:25">
      <c r="A349">
        <v>348</v>
      </c>
      <c r="B349" s="1">
        <v>-94.470000999999996</v>
      </c>
      <c r="C349" s="1">
        <v>605.95996100000002</v>
      </c>
      <c r="D349" s="1">
        <v>18.639999</v>
      </c>
      <c r="E349" s="1">
        <v>1853.829956</v>
      </c>
      <c r="F349" s="1">
        <v>1361.329956</v>
      </c>
      <c r="G349" s="1">
        <v>8.1799990000000005</v>
      </c>
      <c r="H349" s="1">
        <v>2.0000000000000001E-4</v>
      </c>
      <c r="I349" s="1">
        <v>1E-4</v>
      </c>
      <c r="J349" s="1">
        <v>2.0331000000000001</v>
      </c>
      <c r="K349" s="1">
        <v>-1.098E-3</v>
      </c>
      <c r="L349" s="1">
        <v>2.9859999999999999E-3</v>
      </c>
      <c r="M349" s="1">
        <v>0.34115499999999999</v>
      </c>
      <c r="N349" s="1">
        <v>0.940002</v>
      </c>
      <c r="O349">
        <v>1</v>
      </c>
      <c r="P349">
        <v>0</v>
      </c>
      <c r="Q349">
        <v>1</v>
      </c>
      <c r="R349">
        <v>1</v>
      </c>
      <c r="S349">
        <v>1</v>
      </c>
      <c r="T349" s="1">
        <f>SQRT(POWER(Plank[[#This Row],[angvel_X]],2) + POWER(Plank[[#This Row],[angvel_Y]],2) + POWER(Plank[[#This Row],[angvel_Z]],2))</f>
        <v>2.0331000122964933</v>
      </c>
      <c r="U349" s="1">
        <f>DEGREES(ASIN(MAX(-1,MIN(1,2 * (Plank[[#This Row],[quart_W]]*Plank[[#This Row],[quart_Y]] - Plank[[#This Row],[quart_Z]]*Plank[[#This Row],[quart_X]])))))</f>
        <v>0.36456796057964386</v>
      </c>
      <c r="V34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50.105267526138533</v>
      </c>
      <c r="W34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90.001539381515158</v>
      </c>
      <c r="X349" s="1">
        <f>IF(Plank[[#This Row],[Yaw]]&gt;V348,(360-ABS(Plank[[#This Row],[Yaw]])-ABS(V348)),ABS(Plank[[#This Row],[Yaw]]-V348))</f>
        <v>0.97062131640420546</v>
      </c>
      <c r="Y349" s="1">
        <f>Plank[[#This Row],[Degree change]]+Y348</f>
        <v>279.04521709927349</v>
      </c>
    </row>
    <row r="350" spans="1:25">
      <c r="A350">
        <v>349</v>
      </c>
      <c r="B350" s="1">
        <v>-78.970000999999996</v>
      </c>
      <c r="C350" s="1">
        <v>617.34997599999997</v>
      </c>
      <c r="D350" s="1">
        <v>18.639999</v>
      </c>
      <c r="E350" s="1">
        <v>1830.5</v>
      </c>
      <c r="F350" s="1">
        <v>1392.5399170000001</v>
      </c>
      <c r="G350" s="1">
        <v>8.1799990000000005</v>
      </c>
      <c r="H350" s="1">
        <v>1E-4</v>
      </c>
      <c r="I350" s="1">
        <v>1E-4</v>
      </c>
      <c r="J350" s="1">
        <v>2.0331000000000001</v>
      </c>
      <c r="K350" s="1">
        <v>-1.1249999999999999E-3</v>
      </c>
      <c r="L350" s="1">
        <v>2.9750000000000002E-3</v>
      </c>
      <c r="M350" s="1">
        <v>0.349107</v>
      </c>
      <c r="N350" s="1">
        <v>0.93707799999999997</v>
      </c>
      <c r="O350">
        <v>1</v>
      </c>
      <c r="P350">
        <v>0</v>
      </c>
      <c r="Q350">
        <v>1</v>
      </c>
      <c r="R350">
        <v>1</v>
      </c>
      <c r="S350">
        <v>1</v>
      </c>
      <c r="T350" s="1">
        <f>SQRT(POWER(Plank[[#This Row],[angvel_X]],2) + POWER(Plank[[#This Row],[angvel_Y]],2) + POWER(Plank[[#This Row],[angvel_Z]],2))</f>
        <v>2.0331000049185972</v>
      </c>
      <c r="U350" s="1">
        <f>DEGREES(ASIN(MAX(-1,MIN(1,2 * (Plank[[#This Row],[quart_W]]*Plank[[#This Row],[quart_Y]] - Plank[[#This Row],[quart_Z]]*Plank[[#This Row],[quart_X]])))))</f>
        <v>0.36446691891731786</v>
      </c>
      <c r="V35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49.134363791836222</v>
      </c>
      <c r="W35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90.001789890475209</v>
      </c>
      <c r="X350" s="1">
        <f>IF(Plank[[#This Row],[Yaw]]&gt;V349,(360-ABS(Plank[[#This Row],[Yaw]])-ABS(V349)),ABS(Plank[[#This Row],[Yaw]]-V349))</f>
        <v>0.97090373430231125</v>
      </c>
      <c r="Y350" s="1">
        <f>Plank[[#This Row],[Degree change]]+Y349</f>
        <v>280.01612083357577</v>
      </c>
    </row>
    <row r="351" spans="1:25">
      <c r="A351">
        <v>350</v>
      </c>
      <c r="B351" s="1">
        <v>-63.66</v>
      </c>
      <c r="C351" s="1">
        <v>629</v>
      </c>
      <c r="D351" s="1">
        <v>18.639999</v>
      </c>
      <c r="E351" s="1">
        <v>1806.6499020000001</v>
      </c>
      <c r="F351" s="1">
        <v>1423.349976</v>
      </c>
      <c r="G351" s="1">
        <v>8.1799990000000005</v>
      </c>
      <c r="H351" s="1">
        <v>1E-4</v>
      </c>
      <c r="I351" s="1">
        <v>1E-4</v>
      </c>
      <c r="J351" s="1">
        <v>2.0331000000000001</v>
      </c>
      <c r="K351" s="1">
        <v>-1.152E-3</v>
      </c>
      <c r="L351" s="1">
        <v>2.9640000000000001E-3</v>
      </c>
      <c r="M351" s="1">
        <v>0.35703200000000002</v>
      </c>
      <c r="N351" s="1">
        <v>0.934087</v>
      </c>
      <c r="O351">
        <v>1</v>
      </c>
      <c r="P351">
        <v>0</v>
      </c>
      <c r="Q351">
        <v>1</v>
      </c>
      <c r="R351">
        <v>1</v>
      </c>
      <c r="S351">
        <v>1</v>
      </c>
      <c r="T351" s="1">
        <f>SQRT(POWER(Plank[[#This Row],[angvel_X]],2) + POWER(Plank[[#This Row],[angvel_Y]],2) + POWER(Plank[[#This Row],[angvel_Z]],2))</f>
        <v>2.0331000049185972</v>
      </c>
      <c r="U351" s="1">
        <f>DEGREES(ASIN(MAX(-1,MIN(1,2 * (Plank[[#This Row],[quart_W]]*Plank[[#This Row],[quart_Y]] - Plank[[#This Row],[quart_Z]]*Plank[[#This Row],[quart_X]])))))</f>
        <v>0.36439613508162549</v>
      </c>
      <c r="V35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48.163712188018906</v>
      </c>
      <c r="W35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90.002042678937968</v>
      </c>
      <c r="X351" s="1">
        <f>IF(Plank[[#This Row],[Yaw]]&gt;V350,(360-ABS(Plank[[#This Row],[Yaw]])-ABS(V350)),ABS(Plank[[#This Row],[Yaw]]-V350))</f>
        <v>0.9706516038173163</v>
      </c>
      <c r="Y351" s="1">
        <f>Plank[[#This Row],[Degree change]]+Y350</f>
        <v>280.98677243739309</v>
      </c>
    </row>
    <row r="352" spans="1:25">
      <c r="A352">
        <v>351</v>
      </c>
      <c r="B352" s="1">
        <v>-48.549999</v>
      </c>
      <c r="C352" s="1">
        <v>640.90997300000004</v>
      </c>
      <c r="D352" s="1">
        <v>18.639999</v>
      </c>
      <c r="E352" s="1">
        <v>1782.2799070000001</v>
      </c>
      <c r="F352" s="1">
        <v>1453.75</v>
      </c>
      <c r="G352" s="1">
        <v>8.1799990000000005</v>
      </c>
      <c r="H352" s="1">
        <v>1E-4</v>
      </c>
      <c r="I352" s="1">
        <v>1E-4</v>
      </c>
      <c r="J352" s="1">
        <v>2.0331000000000001</v>
      </c>
      <c r="K352" s="1">
        <v>-1.1789999999999999E-3</v>
      </c>
      <c r="L352" s="1">
        <v>2.954E-3</v>
      </c>
      <c r="M352" s="1">
        <v>0.36492999999999998</v>
      </c>
      <c r="N352" s="1">
        <v>0.931029</v>
      </c>
      <c r="O352">
        <v>1</v>
      </c>
      <c r="P352">
        <v>0</v>
      </c>
      <c r="Q352">
        <v>1</v>
      </c>
      <c r="R352">
        <v>1</v>
      </c>
      <c r="S352">
        <v>1</v>
      </c>
      <c r="T352" s="1">
        <f>SQRT(POWER(Plank[[#This Row],[angvel_X]],2) + POWER(Plank[[#This Row],[angvel_Y]],2) + POWER(Plank[[#This Row],[angvel_Z]],2))</f>
        <v>2.0331000049185972</v>
      </c>
      <c r="U352" s="1">
        <f>DEGREES(ASIN(MAX(-1,MIN(1,2 * (Plank[[#This Row],[quart_W]]*Plank[[#This Row],[quart_Y]] - Plank[[#This Row],[quart_Z]]*Plank[[#This Row],[quart_X]])))))</f>
        <v>0.36446230204458868</v>
      </c>
      <c r="V35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47.193246436218629</v>
      </c>
      <c r="W35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90.002255204185317</v>
      </c>
      <c r="X352" s="1">
        <f>IF(Plank[[#This Row],[Yaw]]&gt;V351,(360-ABS(Plank[[#This Row],[Yaw]])-ABS(V351)),ABS(Plank[[#This Row],[Yaw]]-V351))</f>
        <v>0.97046575180027617</v>
      </c>
      <c r="Y352" s="1">
        <f>Plank[[#This Row],[Degree change]]+Y351</f>
        <v>281.95723818919339</v>
      </c>
    </row>
    <row r="353" spans="1:25">
      <c r="A353">
        <v>352</v>
      </c>
      <c r="B353" s="1">
        <v>-33.649997999999997</v>
      </c>
      <c r="C353" s="1">
        <v>653.07000700000003</v>
      </c>
      <c r="D353" s="1">
        <v>18.639999</v>
      </c>
      <c r="E353" s="1">
        <v>1757.3900149999999</v>
      </c>
      <c r="F353" s="1">
        <v>1483.7299800000001</v>
      </c>
      <c r="G353" s="1">
        <v>8.1799990000000005</v>
      </c>
      <c r="H353" s="1">
        <v>1E-4</v>
      </c>
      <c r="I353" s="1">
        <v>1E-4</v>
      </c>
      <c r="J353" s="1">
        <v>2.0331000000000001</v>
      </c>
      <c r="K353" s="1">
        <v>-1.206E-3</v>
      </c>
      <c r="L353" s="1">
        <v>2.9429999999999999E-3</v>
      </c>
      <c r="M353" s="1">
        <v>0.37280600000000003</v>
      </c>
      <c r="N353" s="1">
        <v>0.92790399999999995</v>
      </c>
      <c r="O353">
        <v>1</v>
      </c>
      <c r="P353">
        <v>0</v>
      </c>
      <c r="Q353">
        <v>1</v>
      </c>
      <c r="R353">
        <v>1</v>
      </c>
      <c r="S353">
        <v>1</v>
      </c>
      <c r="T353" s="1">
        <f>SQRT(POWER(Plank[[#This Row],[angvel_X]],2) + POWER(Plank[[#This Row],[angvel_Y]],2) + POWER(Plank[[#This Row],[angvel_Z]],2))</f>
        <v>2.0331000049185972</v>
      </c>
      <c r="U353" s="1">
        <f>DEGREES(ASIN(MAX(-1,MIN(1,2 * (Plank[[#This Row],[quart_W]]*Plank[[#This Row],[quart_Y]] - Plank[[#This Row],[quart_Z]]*Plank[[#This Row],[quart_X]])))))</f>
        <v>0.36445237500617972</v>
      </c>
      <c r="V35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46.222220755193952</v>
      </c>
      <c r="W35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90.002507791434383</v>
      </c>
      <c r="X353" s="1">
        <f>IF(Plank[[#This Row],[Yaw]]&gt;V352,(360-ABS(Plank[[#This Row],[Yaw]])-ABS(V352)),ABS(Plank[[#This Row],[Yaw]]-V352))</f>
        <v>0.97102568102467757</v>
      </c>
      <c r="Y353" s="1">
        <f>Plank[[#This Row],[Degree change]]+Y352</f>
        <v>282.92826387021807</v>
      </c>
    </row>
    <row r="354" spans="1:25">
      <c r="A354">
        <v>353</v>
      </c>
      <c r="B354" s="1">
        <v>-18.959999</v>
      </c>
      <c r="C354" s="1">
        <v>665.47997999999995</v>
      </c>
      <c r="D354" s="1">
        <v>18.639999</v>
      </c>
      <c r="E354" s="1">
        <v>1732</v>
      </c>
      <c r="F354" s="1">
        <v>1513.299927</v>
      </c>
      <c r="G354" s="1">
        <v>8.1799990000000005</v>
      </c>
      <c r="H354" s="1">
        <v>1E-4</v>
      </c>
      <c r="I354" s="1">
        <v>2.0000000000000001E-4</v>
      </c>
      <c r="J354" s="1">
        <v>2.0331000000000001</v>
      </c>
      <c r="K354" s="1">
        <v>-1.2329999999999999E-3</v>
      </c>
      <c r="L354" s="1">
        <v>2.9320000000000001E-3</v>
      </c>
      <c r="M354" s="1">
        <v>0.38065599999999999</v>
      </c>
      <c r="N354" s="1">
        <v>0.92471099999999995</v>
      </c>
      <c r="O354">
        <v>1</v>
      </c>
      <c r="P354">
        <v>0</v>
      </c>
      <c r="Q354">
        <v>1</v>
      </c>
      <c r="R354">
        <v>1</v>
      </c>
      <c r="S354">
        <v>1</v>
      </c>
      <c r="T354" s="1">
        <f>SQRT(POWER(Plank[[#This Row],[angvel_X]],2) + POWER(Plank[[#This Row],[angvel_Y]],2) + POWER(Plank[[#This Row],[angvel_Z]],2))</f>
        <v>2.0331000122964933</v>
      </c>
      <c r="U354" s="1">
        <f>DEGREES(ASIN(MAX(-1,MIN(1,2 * (Plank[[#This Row],[quart_W]]*Plank[[#This Row],[quart_Y]] - Plank[[#This Row],[quart_Z]]*Plank[[#This Row],[quart_X]])))))</f>
        <v>0.36447254261185758</v>
      </c>
      <c r="V35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45.25113240927476</v>
      </c>
      <c r="W35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90.00276002459718</v>
      </c>
      <c r="X354" s="1">
        <f>IF(Plank[[#This Row],[Yaw]]&gt;V353,(360-ABS(Plank[[#This Row],[Yaw]])-ABS(V353)),ABS(Plank[[#This Row],[Yaw]]-V353))</f>
        <v>0.97108834591919191</v>
      </c>
      <c r="Y354" s="1">
        <f>Plank[[#This Row],[Degree change]]+Y353</f>
        <v>283.89935221613729</v>
      </c>
    </row>
    <row r="355" spans="1:25">
      <c r="A355">
        <v>354</v>
      </c>
      <c r="B355" s="1">
        <v>-4.4800000000000004</v>
      </c>
      <c r="C355" s="1">
        <v>678.14001499999995</v>
      </c>
      <c r="D355" s="1">
        <v>18.639999</v>
      </c>
      <c r="E355" s="1">
        <v>1706.1099850000001</v>
      </c>
      <c r="F355" s="1">
        <v>1542.429932</v>
      </c>
      <c r="G355" s="1">
        <v>8.1799990000000005</v>
      </c>
      <c r="H355" s="1">
        <v>1E-4</v>
      </c>
      <c r="I355" s="1">
        <v>2.0000000000000001E-4</v>
      </c>
      <c r="J355" s="1">
        <v>2.0331000000000001</v>
      </c>
      <c r="K355" s="1">
        <v>-1.2539999999999999E-3</v>
      </c>
      <c r="L355" s="1">
        <v>2.921E-3</v>
      </c>
      <c r="M355" s="1">
        <v>0.38847300000000001</v>
      </c>
      <c r="N355" s="1">
        <v>0.92145500000000002</v>
      </c>
      <c r="O355">
        <v>1</v>
      </c>
      <c r="P355">
        <v>0</v>
      </c>
      <c r="Q355">
        <v>1</v>
      </c>
      <c r="R355">
        <v>1</v>
      </c>
      <c r="S355">
        <v>1</v>
      </c>
      <c r="T355" s="1">
        <f>SQRT(POWER(Plank[[#This Row],[angvel_X]],2) + POWER(Plank[[#This Row],[angvel_Y]],2) + POWER(Plank[[#This Row],[angvel_Z]],2))</f>
        <v>2.0331000122964933</v>
      </c>
      <c r="U355" s="1">
        <f>DEGREES(ASIN(MAX(-1,MIN(1,2 * (Plank[[#This Row],[quart_W]]*Plank[[#This Row],[quart_Y]] - Plank[[#This Row],[quart_Z]]*Plank[[#This Row],[quart_X]])))))</f>
        <v>0.36425638383941894</v>
      </c>
      <c r="V35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44.280715151683289</v>
      </c>
      <c r="W35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90.002380680530521</v>
      </c>
      <c r="X355" s="1">
        <f>IF(Plank[[#This Row],[Yaw]]&gt;V354,(360-ABS(Plank[[#This Row],[Yaw]])-ABS(V354)),ABS(Plank[[#This Row],[Yaw]]-V354))</f>
        <v>0.97041725759147113</v>
      </c>
      <c r="Y355" s="1">
        <f>Plank[[#This Row],[Degree change]]+Y354</f>
        <v>284.86976947372875</v>
      </c>
    </row>
    <row r="356" spans="1:25">
      <c r="A356">
        <v>355</v>
      </c>
      <c r="B356" s="1">
        <v>9.7899999999999991</v>
      </c>
      <c r="C356" s="1">
        <v>691.03997800000002</v>
      </c>
      <c r="D356" s="1">
        <v>18.639999</v>
      </c>
      <c r="E356" s="1">
        <v>1679.7299800000001</v>
      </c>
      <c r="F356" s="1">
        <v>1571.1099850000001</v>
      </c>
      <c r="G356" s="1">
        <v>8.1799990000000005</v>
      </c>
      <c r="H356" s="1">
        <v>1E-4</v>
      </c>
      <c r="I356" s="1">
        <v>2.0000000000000001E-4</v>
      </c>
      <c r="J356" s="1">
        <v>2.0331000000000001</v>
      </c>
      <c r="K356" s="1">
        <v>-1.276E-3</v>
      </c>
      <c r="L356" s="1">
        <v>2.911E-3</v>
      </c>
      <c r="M356" s="1">
        <v>0.39626299999999998</v>
      </c>
      <c r="N356" s="1">
        <v>0.91813199999999995</v>
      </c>
      <c r="O356">
        <v>1</v>
      </c>
      <c r="P356">
        <v>0</v>
      </c>
      <c r="Q356">
        <v>1</v>
      </c>
      <c r="R356">
        <v>1</v>
      </c>
      <c r="S356">
        <v>1</v>
      </c>
      <c r="T356" s="1">
        <f>SQRT(POWER(Plank[[#This Row],[angvel_X]],2) + POWER(Plank[[#This Row],[angvel_Y]],2) + POWER(Plank[[#This Row],[angvel_Z]],2))</f>
        <v>2.0331000122964933</v>
      </c>
      <c r="U356" s="1">
        <f>DEGREES(ASIN(MAX(-1,MIN(1,2 * (Plank[[#This Row],[quart_W]]*Plank[[#This Row],[quart_Y]] - Plank[[#This Row],[quart_Z]]*Plank[[#This Row],[quart_X]])))))</f>
        <v>0.36421039078572198</v>
      </c>
      <c r="V35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43.310207668193833</v>
      </c>
      <c r="W35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90.002064390195059</v>
      </c>
      <c r="X356" s="1">
        <f>IF(Plank[[#This Row],[Yaw]]&gt;V355,(360-ABS(Plank[[#This Row],[Yaw]])-ABS(V355)),ABS(Plank[[#This Row],[Yaw]]-V355))</f>
        <v>0.97050748348945604</v>
      </c>
      <c r="Y356" s="1">
        <f>Plank[[#This Row],[Degree change]]+Y355</f>
        <v>285.84027695721818</v>
      </c>
    </row>
    <row r="357" spans="1:25">
      <c r="A357">
        <v>356</v>
      </c>
      <c r="B357" s="1">
        <v>23.83</v>
      </c>
      <c r="C357" s="1">
        <v>704.17999299999997</v>
      </c>
      <c r="D357" s="1">
        <v>18.639999</v>
      </c>
      <c r="E357" s="1">
        <v>1652.880005</v>
      </c>
      <c r="F357" s="1">
        <v>1599.339966</v>
      </c>
      <c r="G357" s="1">
        <v>8.1799990000000005</v>
      </c>
      <c r="H357" s="1">
        <v>0</v>
      </c>
      <c r="I357" s="1">
        <v>2.0000000000000001E-4</v>
      </c>
      <c r="J357" s="1">
        <v>2.0331000000000001</v>
      </c>
      <c r="K357" s="1">
        <v>-1.297E-3</v>
      </c>
      <c r="L357" s="1">
        <v>2.8999999999999998E-3</v>
      </c>
      <c r="M357" s="1">
        <v>0.404026</v>
      </c>
      <c r="N357" s="1">
        <v>0.91474200000000006</v>
      </c>
      <c r="O357">
        <v>1</v>
      </c>
      <c r="P357">
        <v>0</v>
      </c>
      <c r="Q357">
        <v>1</v>
      </c>
      <c r="R357">
        <v>1</v>
      </c>
      <c r="S357">
        <v>1</v>
      </c>
      <c r="T357" s="1">
        <f>SQRT(POWER(Plank[[#This Row],[angvel_X]],2) + POWER(Plank[[#This Row],[angvel_Y]],2) + POWER(Plank[[#This Row],[angvel_Z]],2))</f>
        <v>2.0331000098371943</v>
      </c>
      <c r="U357" s="1">
        <f>DEGREES(ASIN(MAX(-1,MIN(1,2 * (Plank[[#This Row],[quart_W]]*Plank[[#This Row],[quart_Y]] - Plank[[#This Row],[quart_Z]]*Plank[[#This Row],[quart_X]])))))</f>
        <v>0.3640338797802829</v>
      </c>
      <c r="V35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42.339538139516371</v>
      </c>
      <c r="W35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90.001689683663244</v>
      </c>
      <c r="X357" s="1">
        <f>IF(Plank[[#This Row],[Yaw]]&gt;V356,(360-ABS(Plank[[#This Row],[Yaw]])-ABS(V356)),ABS(Plank[[#This Row],[Yaw]]-V356))</f>
        <v>0.97066952867746181</v>
      </c>
      <c r="Y357" s="1">
        <f>Plank[[#This Row],[Degree change]]+Y356</f>
        <v>286.81094648589567</v>
      </c>
    </row>
    <row r="358" spans="1:25">
      <c r="A358">
        <v>357</v>
      </c>
      <c r="B358" s="1">
        <v>37.649997999999997</v>
      </c>
      <c r="C358" s="1">
        <v>717.55999799999995</v>
      </c>
      <c r="D358" s="1">
        <v>18.639999</v>
      </c>
      <c r="E358" s="1">
        <v>1625.549927</v>
      </c>
      <c r="F358" s="1">
        <v>1627.1099850000001</v>
      </c>
      <c r="G358" s="1">
        <v>8.1799990000000005</v>
      </c>
      <c r="H358" s="1">
        <v>0</v>
      </c>
      <c r="I358" s="1">
        <v>2.0000000000000001E-4</v>
      </c>
      <c r="J358" s="1">
        <v>2.0331000000000001</v>
      </c>
      <c r="K358" s="1">
        <v>-1.3190000000000001E-3</v>
      </c>
      <c r="L358" s="1">
        <v>2.8890000000000001E-3</v>
      </c>
      <c r="M358" s="1">
        <v>0.41176200000000002</v>
      </c>
      <c r="N358" s="1">
        <v>0.91128600000000004</v>
      </c>
      <c r="O358">
        <v>1</v>
      </c>
      <c r="P358">
        <v>0</v>
      </c>
      <c r="Q358">
        <v>1</v>
      </c>
      <c r="R358">
        <v>1</v>
      </c>
      <c r="S358">
        <v>1</v>
      </c>
      <c r="T358" s="1">
        <f>SQRT(POWER(Plank[[#This Row],[angvel_X]],2) + POWER(Plank[[#This Row],[angvel_Y]],2) + POWER(Plank[[#This Row],[angvel_Z]],2))</f>
        <v>2.0331000098371943</v>
      </c>
      <c r="U358" s="1">
        <f>DEGREES(ASIN(MAX(-1,MIN(1,2 * (Plank[[#This Row],[quart_W]]*Plank[[#This Row],[quart_Y]] - Plank[[#This Row],[quart_Z]]*Plank[[#This Row],[quart_X]])))))</f>
        <v>0.36392453545423448</v>
      </c>
      <c r="V35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41.368601809573512</v>
      </c>
      <c r="W35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90.001421630473502</v>
      </c>
      <c r="X358" s="1">
        <f>IF(Plank[[#This Row],[Yaw]]&gt;V357,(360-ABS(Plank[[#This Row],[Yaw]])-ABS(V357)),ABS(Plank[[#This Row],[Yaw]]-V357))</f>
        <v>0.97093632994285883</v>
      </c>
      <c r="Y358" s="1">
        <f>Plank[[#This Row],[Degree change]]+Y357</f>
        <v>287.78188281583851</v>
      </c>
    </row>
    <row r="359" spans="1:25">
      <c r="A359">
        <v>358</v>
      </c>
      <c r="B359" s="1">
        <v>51.239998</v>
      </c>
      <c r="C359" s="1">
        <v>731.169983</v>
      </c>
      <c r="D359" s="1">
        <v>18.639999</v>
      </c>
      <c r="E359" s="1">
        <v>1597.75</v>
      </c>
      <c r="F359" s="1">
        <v>1654.419922</v>
      </c>
      <c r="G359" s="1">
        <v>8.1799990000000005</v>
      </c>
      <c r="H359" s="1">
        <v>0</v>
      </c>
      <c r="I359" s="1">
        <v>2.0000000000000001E-4</v>
      </c>
      <c r="J359" s="1">
        <v>2.0331000000000001</v>
      </c>
      <c r="K359" s="1">
        <v>-1.341E-3</v>
      </c>
      <c r="L359" s="1">
        <v>2.8779999999999999E-3</v>
      </c>
      <c r="M359" s="1">
        <v>0.41946600000000001</v>
      </c>
      <c r="N359" s="1">
        <v>0.90776599999999996</v>
      </c>
      <c r="O359">
        <v>1</v>
      </c>
      <c r="P359">
        <v>0</v>
      </c>
      <c r="Q359">
        <v>1</v>
      </c>
      <c r="R359">
        <v>1</v>
      </c>
      <c r="S359">
        <v>1</v>
      </c>
      <c r="T359" s="1">
        <f>SQRT(POWER(Plank[[#This Row],[angvel_X]],2) + POWER(Plank[[#This Row],[angvel_Y]],2) + POWER(Plank[[#This Row],[angvel_Z]],2))</f>
        <v>2.0331000098371943</v>
      </c>
      <c r="U359" s="1">
        <f>DEGREES(ASIN(MAX(-1,MIN(1,2 * (Plank[[#This Row],[quart_W]]*Plank[[#This Row],[quart_Y]] - Plank[[#This Row],[quart_Z]]*Plank[[#This Row],[quart_X]])))))</f>
        <v>0.36383688512410522</v>
      </c>
      <c r="V35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40.397964167766624</v>
      </c>
      <c r="W35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90.001156373383452</v>
      </c>
      <c r="X359" s="1">
        <f>IF(Plank[[#This Row],[Yaw]]&gt;V358,(360-ABS(Plank[[#This Row],[Yaw]])-ABS(V358)),ABS(Plank[[#This Row],[Yaw]]-V358))</f>
        <v>0.9706376418068885</v>
      </c>
      <c r="Y359" s="1">
        <f>Plank[[#This Row],[Degree change]]+Y358</f>
        <v>288.7525204576454</v>
      </c>
    </row>
    <row r="360" spans="1:25">
      <c r="A360">
        <v>359</v>
      </c>
      <c r="B360" s="1">
        <v>64.599997999999999</v>
      </c>
      <c r="C360" s="1">
        <v>745.01000999999997</v>
      </c>
      <c r="D360" s="1">
        <v>18.639999</v>
      </c>
      <c r="E360" s="1">
        <v>1569.48999</v>
      </c>
      <c r="F360" s="1">
        <v>1681.25</v>
      </c>
      <c r="G360" s="1">
        <v>8.1799990000000005</v>
      </c>
      <c r="H360" s="1">
        <v>0</v>
      </c>
      <c r="I360" s="1">
        <v>2.0000000000000001E-4</v>
      </c>
      <c r="J360" s="1">
        <v>2.0331000000000001</v>
      </c>
      <c r="K360" s="1">
        <v>-1.3619999999999999E-3</v>
      </c>
      <c r="L360" s="1">
        <v>2.8670000000000002E-3</v>
      </c>
      <c r="M360" s="1">
        <v>0.42714299999999999</v>
      </c>
      <c r="N360" s="1">
        <v>0.90417899999999995</v>
      </c>
      <c r="O360">
        <v>1</v>
      </c>
      <c r="P360">
        <v>0</v>
      </c>
      <c r="Q360">
        <v>1</v>
      </c>
      <c r="R360">
        <v>1</v>
      </c>
      <c r="S360">
        <v>1</v>
      </c>
      <c r="T360" s="1">
        <f>SQRT(POWER(Plank[[#This Row],[angvel_X]],2) + POWER(Plank[[#This Row],[angvel_Y]],2) + POWER(Plank[[#This Row],[angvel_Z]],2))</f>
        <v>2.0331000098371943</v>
      </c>
      <c r="U360" s="1">
        <f>DEGREES(ASIN(MAX(-1,MIN(1,2 * (Plank[[#This Row],[quart_W]]*Plank[[#This Row],[quart_Y]] - Plank[[#This Row],[quart_Z]]*Plank[[#This Row],[quart_X]])))))</f>
        <v>0.36372177615591172</v>
      </c>
      <c r="V36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39.426946846749878</v>
      </c>
      <c r="W36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90.000787582684254</v>
      </c>
      <c r="X360" s="1">
        <f>IF(Plank[[#This Row],[Yaw]]&gt;V359,(360-ABS(Plank[[#This Row],[Yaw]])-ABS(V359)),ABS(Plank[[#This Row],[Yaw]]-V359))</f>
        <v>0.97101732101674543</v>
      </c>
      <c r="Y360" s="1">
        <f>Plank[[#This Row],[Degree change]]+Y359</f>
        <v>289.72353777866215</v>
      </c>
    </row>
    <row r="361" spans="1:25">
      <c r="A361">
        <v>360</v>
      </c>
      <c r="B361" s="1">
        <v>77.720000999999996</v>
      </c>
      <c r="C361" s="1">
        <v>759.07000700000003</v>
      </c>
      <c r="D361" s="1">
        <v>18.639999</v>
      </c>
      <c r="E361" s="1">
        <v>1540.7799070000001</v>
      </c>
      <c r="F361" s="1">
        <v>1707.599976</v>
      </c>
      <c r="G361" s="1">
        <v>8.1799990000000005</v>
      </c>
      <c r="H361" s="1">
        <v>0</v>
      </c>
      <c r="I361" s="1">
        <v>2.0000000000000001E-4</v>
      </c>
      <c r="J361" s="1">
        <v>2.0331000000000001</v>
      </c>
      <c r="K361" s="1">
        <v>-1.384E-3</v>
      </c>
      <c r="L361" s="1">
        <v>2.8570000000000002E-3</v>
      </c>
      <c r="M361" s="1">
        <v>0.43478699999999998</v>
      </c>
      <c r="N361" s="1">
        <v>0.900528</v>
      </c>
      <c r="O361">
        <v>1</v>
      </c>
      <c r="P361">
        <v>0</v>
      </c>
      <c r="Q361">
        <v>1</v>
      </c>
      <c r="R361">
        <v>1</v>
      </c>
      <c r="S361">
        <v>1</v>
      </c>
      <c r="T361" s="1">
        <f>SQRT(POWER(Plank[[#This Row],[angvel_X]],2) + POWER(Plank[[#This Row],[angvel_Y]],2) + POWER(Plank[[#This Row],[angvel_Z]],2))</f>
        <v>2.0331000098371943</v>
      </c>
      <c r="U361" s="1">
        <f>DEGREES(ASIN(MAX(-1,MIN(1,2 * (Plank[[#This Row],[quart_W]]*Plank[[#This Row],[quart_Y]] - Plank[[#This Row],[quart_Z]]*Plank[[#This Row],[quart_X]])))))</f>
        <v>0.3637795022441434</v>
      </c>
      <c r="V36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38.456231986892057</v>
      </c>
      <c r="W36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90.00047491056813</v>
      </c>
      <c r="X361" s="1">
        <f>IF(Plank[[#This Row],[Yaw]]&gt;V360,(360-ABS(Plank[[#This Row],[Yaw]])-ABS(V360)),ABS(Plank[[#This Row],[Yaw]]-V360))</f>
        <v>0.97071485985782147</v>
      </c>
      <c r="Y361" s="1">
        <f>Plank[[#This Row],[Degree change]]+Y360</f>
        <v>290.69425263851997</v>
      </c>
    </row>
    <row r="362" spans="1:25">
      <c r="A362">
        <v>361</v>
      </c>
      <c r="B362" s="1">
        <v>90.599997999999999</v>
      </c>
      <c r="C362" s="1">
        <v>773.34997599999997</v>
      </c>
      <c r="D362" s="1">
        <v>18.639999</v>
      </c>
      <c r="E362" s="1">
        <v>1511.630005</v>
      </c>
      <c r="F362" s="1">
        <v>1733.459961</v>
      </c>
      <c r="G362" s="1">
        <v>8.1799990000000005</v>
      </c>
      <c r="H362" s="1">
        <v>0</v>
      </c>
      <c r="I362" s="1">
        <v>2.0000000000000001E-4</v>
      </c>
      <c r="J362" s="1">
        <v>2.0331000000000001</v>
      </c>
      <c r="K362" s="1">
        <v>-1.405E-3</v>
      </c>
      <c r="L362" s="1">
        <v>2.846E-3</v>
      </c>
      <c r="M362" s="1">
        <v>0.44239899999999999</v>
      </c>
      <c r="N362" s="1">
        <v>0.89681200000000005</v>
      </c>
      <c r="O362">
        <v>1</v>
      </c>
      <c r="P362">
        <v>0</v>
      </c>
      <c r="Q362">
        <v>1</v>
      </c>
      <c r="R362">
        <v>1</v>
      </c>
      <c r="S362">
        <v>1</v>
      </c>
      <c r="T362" s="1">
        <f>SQRT(POWER(Plank[[#This Row],[angvel_X]],2) + POWER(Plank[[#This Row],[angvel_Y]],2) + POWER(Plank[[#This Row],[angvel_Z]],2))</f>
        <v>2.0331000098371943</v>
      </c>
      <c r="U362" s="1">
        <f>DEGREES(ASIN(MAX(-1,MIN(1,2 * (Plank[[#This Row],[quart_W]]*Plank[[#This Row],[quart_Y]] - Plank[[#This Row],[quart_Z]]*Plank[[#This Row],[quart_X]])))))</f>
        <v>0.36370431067531561</v>
      </c>
      <c r="V36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37.48564329310161</v>
      </c>
      <c r="W36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90.00010924302174</v>
      </c>
      <c r="X362" s="1">
        <f>IF(Plank[[#This Row],[Yaw]]&gt;V361,(360-ABS(Plank[[#This Row],[Yaw]])-ABS(V361)),ABS(Plank[[#This Row],[Yaw]]-V361))</f>
        <v>0.97058869379044665</v>
      </c>
      <c r="Y362" s="1">
        <f>Plank[[#This Row],[Degree change]]+Y361</f>
        <v>291.6648413323104</v>
      </c>
    </row>
    <row r="363" spans="1:25">
      <c r="A363">
        <v>362</v>
      </c>
      <c r="B363" s="1">
        <v>103.239998</v>
      </c>
      <c r="C363" s="1">
        <v>787.84997599999997</v>
      </c>
      <c r="D363" s="1">
        <v>18.639999</v>
      </c>
      <c r="E363" s="1">
        <v>1482.0399170000001</v>
      </c>
      <c r="F363" s="1">
        <v>1758.8199460000001</v>
      </c>
      <c r="G363" s="1">
        <v>8.1799990000000005</v>
      </c>
      <c r="H363" s="1">
        <v>0</v>
      </c>
      <c r="I363" s="1">
        <v>2.0000000000000001E-4</v>
      </c>
      <c r="J363" s="1">
        <v>2.0331000000000001</v>
      </c>
      <c r="K363" s="1">
        <v>-1.4270000000000001E-3</v>
      </c>
      <c r="L363" s="1">
        <v>2.8349999999999998E-3</v>
      </c>
      <c r="M363" s="1">
        <v>0.44997900000000002</v>
      </c>
      <c r="N363" s="1">
        <v>0.89303299999999997</v>
      </c>
      <c r="O363">
        <v>1</v>
      </c>
      <c r="P363">
        <v>0</v>
      </c>
      <c r="Q363">
        <v>1</v>
      </c>
      <c r="R363">
        <v>1</v>
      </c>
      <c r="S363">
        <v>1</v>
      </c>
      <c r="T363" s="1">
        <f>SQRT(POWER(Plank[[#This Row],[angvel_X]],2) + POWER(Plank[[#This Row],[angvel_Y]],2) + POWER(Plank[[#This Row],[angvel_Z]],2))</f>
        <v>2.0331000098371943</v>
      </c>
      <c r="U363" s="1">
        <f>DEGREES(ASIN(MAX(-1,MIN(1,2 * (Plank[[#This Row],[quart_W]]*Plank[[#This Row],[quart_Y]] - Plank[[#This Row],[quart_Z]]*Plank[[#This Row],[quart_X]])))))</f>
        <v>0.36370099215149854</v>
      </c>
      <c r="V36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36.515050687072325</v>
      </c>
      <c r="W36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89.999847318110042</v>
      </c>
      <c r="X363" s="1">
        <f>IF(Plank[[#This Row],[Yaw]]&gt;V362,(360-ABS(Plank[[#This Row],[Yaw]])-ABS(V362)),ABS(Plank[[#This Row],[Yaw]]-V362))</f>
        <v>0.97059260602928532</v>
      </c>
      <c r="Y363" s="1">
        <f>Plank[[#This Row],[Degree change]]+Y362</f>
        <v>292.6354339383397</v>
      </c>
    </row>
    <row r="364" spans="1:25">
      <c r="A364">
        <v>363</v>
      </c>
      <c r="B364" s="1">
        <v>115.629997</v>
      </c>
      <c r="C364" s="1">
        <v>802.55999799999995</v>
      </c>
      <c r="D364" s="1">
        <v>18.639999</v>
      </c>
      <c r="E364" s="1">
        <v>1452.0299070000001</v>
      </c>
      <c r="F364" s="1">
        <v>1783.679932</v>
      </c>
      <c r="G364" s="1">
        <v>8.1799990000000005</v>
      </c>
      <c r="H364" s="1">
        <v>0</v>
      </c>
      <c r="I364" s="1">
        <v>2.0000000000000001E-4</v>
      </c>
      <c r="J364" s="1">
        <v>2.0331000000000001</v>
      </c>
      <c r="K364" s="1">
        <v>-1.449E-3</v>
      </c>
      <c r="L364" s="1">
        <v>2.8240000000000001E-3</v>
      </c>
      <c r="M364" s="1">
        <v>0.45752599999999999</v>
      </c>
      <c r="N364" s="1">
        <v>0.88919000000000004</v>
      </c>
      <c r="O364">
        <v>1</v>
      </c>
      <c r="P364">
        <v>0</v>
      </c>
      <c r="Q364">
        <v>1</v>
      </c>
      <c r="R364">
        <v>1</v>
      </c>
      <c r="S364">
        <v>1</v>
      </c>
      <c r="T364" s="1">
        <f>SQRT(POWER(Plank[[#This Row],[angvel_X]],2) + POWER(Plank[[#This Row],[angvel_Y]],2) + POWER(Plank[[#This Row],[angvel_Z]],2))</f>
        <v>2.0331000098371943</v>
      </c>
      <c r="U364" s="1">
        <f>DEGREES(ASIN(MAX(-1,MIN(1,2 * (Plank[[#This Row],[quart_W]]*Plank[[#This Row],[quart_Y]] - Plank[[#This Row],[quart_Z]]*Plank[[#This Row],[quart_X]])))))</f>
        <v>0.36371922930719536</v>
      </c>
      <c r="V36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35.544559969108128</v>
      </c>
      <c r="W36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89.999585500915771</v>
      </c>
      <c r="X364" s="1">
        <f>IF(Plank[[#This Row],[Yaw]]&gt;V363,(360-ABS(Plank[[#This Row],[Yaw]])-ABS(V363)),ABS(Plank[[#This Row],[Yaw]]-V363))</f>
        <v>0.97049071796419639</v>
      </c>
      <c r="Y364" s="1">
        <f>Plank[[#This Row],[Degree change]]+Y363</f>
        <v>293.6059246563039</v>
      </c>
    </row>
    <row r="365" spans="1:25">
      <c r="A365">
        <v>364</v>
      </c>
      <c r="B365" s="1">
        <v>127.769997</v>
      </c>
      <c r="C365" s="1">
        <v>817.47997999999995</v>
      </c>
      <c r="D365" s="1">
        <v>18.639999</v>
      </c>
      <c r="E365" s="1">
        <v>1421.599976</v>
      </c>
      <c r="F365" s="1">
        <v>1808.0200199999999</v>
      </c>
      <c r="G365" s="1">
        <v>8.1799990000000005</v>
      </c>
      <c r="H365" s="1">
        <v>0</v>
      </c>
      <c r="I365" s="1">
        <v>1E-4</v>
      </c>
      <c r="J365" s="1">
        <v>2.0331000000000001</v>
      </c>
      <c r="K365" s="1">
        <v>-1.47E-3</v>
      </c>
      <c r="L365" s="1">
        <v>2.813E-3</v>
      </c>
      <c r="M365" s="1">
        <v>0.46504099999999998</v>
      </c>
      <c r="N365" s="1">
        <v>0.88528300000000004</v>
      </c>
      <c r="O365">
        <v>1</v>
      </c>
      <c r="P365">
        <v>0</v>
      </c>
      <c r="Q365">
        <v>1</v>
      </c>
      <c r="R365">
        <v>1</v>
      </c>
      <c r="S365">
        <v>1</v>
      </c>
      <c r="T365" s="1">
        <f>SQRT(POWER(Plank[[#This Row],[angvel_X]],2) + POWER(Plank[[#This Row],[angvel_Y]],2) + POWER(Plank[[#This Row],[angvel_Z]],2))</f>
        <v>2.0331000024592987</v>
      </c>
      <c r="U365" s="1">
        <f>DEGREES(ASIN(MAX(-1,MIN(1,2 * (Plank[[#This Row],[quart_W]]*Plank[[#This Row],[quart_Y]] - Plank[[#This Row],[quart_Z]]*Plank[[#This Row],[quart_X]])))))</f>
        <v>0.36370589229987915</v>
      </c>
      <c r="V36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34.573957006230273</v>
      </c>
      <c r="W36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89.999221412248161</v>
      </c>
      <c r="X365" s="1">
        <f>IF(Plank[[#This Row],[Yaw]]&gt;V364,(360-ABS(Plank[[#This Row],[Yaw]])-ABS(V364)),ABS(Plank[[#This Row],[Yaw]]-V364))</f>
        <v>0.97060296287785519</v>
      </c>
      <c r="Y365" s="1">
        <f>Plank[[#This Row],[Degree change]]+Y364</f>
        <v>294.57652761918177</v>
      </c>
    </row>
    <row r="366" spans="1:25">
      <c r="A366">
        <v>365</v>
      </c>
      <c r="B366" s="1">
        <v>139.66000399999999</v>
      </c>
      <c r="C366" s="1">
        <v>832.59997599999997</v>
      </c>
      <c r="D366" s="1">
        <v>18.639999</v>
      </c>
      <c r="E366" s="1">
        <v>1390.7700199999999</v>
      </c>
      <c r="F366" s="1">
        <v>1831.849976</v>
      </c>
      <c r="G366" s="1">
        <v>8.1799990000000005</v>
      </c>
      <c r="H366" s="1">
        <v>-1E-4</v>
      </c>
      <c r="I366" s="1">
        <v>0</v>
      </c>
      <c r="J366" s="1">
        <v>2.0331000000000001</v>
      </c>
      <c r="K366" s="1">
        <v>-1.4920000000000001E-3</v>
      </c>
      <c r="L366" s="1">
        <v>2.8029999999999999E-3</v>
      </c>
      <c r="M366" s="1">
        <v>0.472524</v>
      </c>
      <c r="N366" s="1">
        <v>0.88131199999999998</v>
      </c>
      <c r="O366">
        <v>1</v>
      </c>
      <c r="P366">
        <v>0</v>
      </c>
      <c r="Q366">
        <v>1</v>
      </c>
      <c r="R366">
        <v>1</v>
      </c>
      <c r="S366">
        <v>1</v>
      </c>
      <c r="T366" s="1">
        <f>SQRT(POWER(Plank[[#This Row],[angvel_X]],2) + POWER(Plank[[#This Row],[angvel_Y]],2) + POWER(Plank[[#This Row],[angvel_Z]],2))</f>
        <v>2.0331000024592987</v>
      </c>
      <c r="U366" s="1">
        <f>DEGREES(ASIN(MAX(-1,MIN(1,2 * (Plank[[#This Row],[quart_W]]*Plank[[#This Row],[quart_Y]] - Plank[[#This Row],[quart_Z]]*Plank[[#This Row],[quart_X]])))))</f>
        <v>0.36386769826972354</v>
      </c>
      <c r="V36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33.603169320388496</v>
      </c>
      <c r="W36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89.998903649735666</v>
      </c>
      <c r="X366" s="1">
        <f>IF(Plank[[#This Row],[Yaw]]&gt;V365,(360-ABS(Plank[[#This Row],[Yaw]])-ABS(V365)),ABS(Plank[[#This Row],[Yaw]]-V365))</f>
        <v>0.97078768584177766</v>
      </c>
      <c r="Y366" s="1">
        <f>Plank[[#This Row],[Degree change]]+Y365</f>
        <v>295.54731530502357</v>
      </c>
    </row>
    <row r="367" spans="1:25">
      <c r="A367">
        <v>366</v>
      </c>
      <c r="B367" s="1">
        <v>151.28999300000001</v>
      </c>
      <c r="C367" s="1">
        <v>847.919983</v>
      </c>
      <c r="D367" s="1">
        <v>18.639999</v>
      </c>
      <c r="E367" s="1">
        <v>1359.5399170000001</v>
      </c>
      <c r="F367" s="1">
        <v>1855.1499020000001</v>
      </c>
      <c r="G367" s="1">
        <v>8.1799990000000005</v>
      </c>
      <c r="H367" s="1">
        <v>-1E-4</v>
      </c>
      <c r="I367" s="1">
        <v>0</v>
      </c>
      <c r="J367" s="1">
        <v>2.0331000000000001</v>
      </c>
      <c r="K367" s="1">
        <v>-1.513E-3</v>
      </c>
      <c r="L367" s="1">
        <v>2.7920000000000002E-3</v>
      </c>
      <c r="M367" s="1">
        <v>0.47997400000000001</v>
      </c>
      <c r="N367" s="1">
        <v>0.87727699999999997</v>
      </c>
      <c r="O367">
        <v>1</v>
      </c>
      <c r="P367">
        <v>0</v>
      </c>
      <c r="Q367">
        <v>1</v>
      </c>
      <c r="R367">
        <v>1</v>
      </c>
      <c r="S367">
        <v>1</v>
      </c>
      <c r="T367" s="1">
        <f>SQRT(POWER(Plank[[#This Row],[angvel_X]],2) + POWER(Plank[[#This Row],[angvel_Y]],2) + POWER(Plank[[#This Row],[angvel_Z]],2))</f>
        <v>2.0331000024592987</v>
      </c>
      <c r="U367" s="1">
        <f>DEGREES(ASIN(MAX(-1,MIN(1,2 * (Plank[[#This Row],[quart_W]]*Plank[[#This Row],[quart_Y]] - Plank[[#This Row],[quart_Z]]*Plank[[#This Row],[quart_X]])))))</f>
        <v>0.36389459368021115</v>
      </c>
      <c r="V36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32.632270365261853</v>
      </c>
      <c r="W36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89.998536944878452</v>
      </c>
      <c r="X367" s="1">
        <f>IF(Plank[[#This Row],[Yaw]]&gt;V366,(360-ABS(Plank[[#This Row],[Yaw]])-ABS(V366)),ABS(Plank[[#This Row],[Yaw]]-V366))</f>
        <v>0.9708989551266427</v>
      </c>
      <c r="Y367" s="1">
        <f>Plank[[#This Row],[Degree change]]+Y366</f>
        <v>296.51821426015022</v>
      </c>
    </row>
    <row r="368" spans="1:25">
      <c r="A368">
        <v>367</v>
      </c>
      <c r="B368" s="1">
        <v>162.66000399999999</v>
      </c>
      <c r="C368" s="1">
        <v>863.44000200000005</v>
      </c>
      <c r="D368" s="1">
        <v>18.639999</v>
      </c>
      <c r="E368" s="1">
        <v>1327.9099120000001</v>
      </c>
      <c r="F368" s="1">
        <v>1877.9099120000001</v>
      </c>
      <c r="G368" s="1">
        <v>8.1799990000000005</v>
      </c>
      <c r="H368" s="1">
        <v>-1E-4</v>
      </c>
      <c r="I368" s="1">
        <v>0</v>
      </c>
      <c r="J368" s="1">
        <v>2.0331000000000001</v>
      </c>
      <c r="K368" s="1">
        <v>-1.5349999999999999E-3</v>
      </c>
      <c r="L368" s="1">
        <v>2.7810000000000001E-3</v>
      </c>
      <c r="M368" s="1">
        <v>0.48738700000000001</v>
      </c>
      <c r="N368" s="1">
        <v>0.87317999999999996</v>
      </c>
      <c r="O368">
        <v>1</v>
      </c>
      <c r="P368">
        <v>0</v>
      </c>
      <c r="Q368">
        <v>1</v>
      </c>
      <c r="R368">
        <v>1</v>
      </c>
      <c r="S368">
        <v>1</v>
      </c>
      <c r="T368" s="1">
        <f>SQRT(POWER(Plank[[#This Row],[angvel_X]],2) + POWER(Plank[[#This Row],[angvel_Y]],2) + POWER(Plank[[#This Row],[angvel_Z]],2))</f>
        <v>2.0331000024592987</v>
      </c>
      <c r="U368" s="1">
        <f>DEGREES(ASIN(MAX(-1,MIN(1,2 * (Plank[[#This Row],[quart_W]]*Plank[[#This Row],[quart_Y]] - Plank[[#This Row],[quart_Z]]*Plank[[#This Row],[quart_X]])))))</f>
        <v>0.36399710695061882</v>
      </c>
      <c r="V36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31.661718616226601</v>
      </c>
      <c r="W36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89.998270555364229</v>
      </c>
      <c r="X368" s="1">
        <f>IF(Plank[[#This Row],[Yaw]]&gt;V367,(360-ABS(Plank[[#This Row],[Yaw]])-ABS(V367)),ABS(Plank[[#This Row],[Yaw]]-V367))</f>
        <v>0.97055174903525199</v>
      </c>
      <c r="Y368" s="1">
        <f>Plank[[#This Row],[Degree change]]+Y367</f>
        <v>297.4887660091855</v>
      </c>
    </row>
    <row r="369" spans="1:25">
      <c r="A369">
        <v>368</v>
      </c>
      <c r="B369" s="1">
        <v>173.759995</v>
      </c>
      <c r="C369" s="1">
        <v>879.14996299999996</v>
      </c>
      <c r="D369" s="1">
        <v>18.639999</v>
      </c>
      <c r="E369" s="1">
        <v>1295.9099120000001</v>
      </c>
      <c r="F369" s="1">
        <v>1900.1400149999999</v>
      </c>
      <c r="G369" s="1">
        <v>8.1799990000000005</v>
      </c>
      <c r="H369" s="1">
        <v>-1E-4</v>
      </c>
      <c r="I369" s="1">
        <v>0</v>
      </c>
      <c r="J369" s="1">
        <v>2.0331000000000001</v>
      </c>
      <c r="K369" s="1">
        <v>-1.5560000000000001E-3</v>
      </c>
      <c r="L369" s="1">
        <v>2.7699999999999999E-3</v>
      </c>
      <c r="M369" s="1">
        <v>0.49476700000000001</v>
      </c>
      <c r="N369" s="1">
        <v>0.86902000000000001</v>
      </c>
      <c r="O369">
        <v>1</v>
      </c>
      <c r="P369">
        <v>0</v>
      </c>
      <c r="Q369">
        <v>1</v>
      </c>
      <c r="R369">
        <v>1</v>
      </c>
      <c r="S369">
        <v>1</v>
      </c>
      <c r="T369" s="1">
        <f>SQRT(POWER(Plank[[#This Row],[angvel_X]],2) + POWER(Plank[[#This Row],[angvel_Y]],2) + POWER(Plank[[#This Row],[angvel_Z]],2))</f>
        <v>2.0331000024592987</v>
      </c>
      <c r="U369" s="1">
        <f>DEGREES(ASIN(MAX(-1,MIN(1,2 * (Plank[[#This Row],[quart_W]]*Plank[[#This Row],[quart_Y]] - Plank[[#This Row],[quart_Z]]*Plank[[#This Row],[quart_X]])))))</f>
        <v>0.36406474334787803</v>
      </c>
      <c r="V36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30.690885626409163</v>
      </c>
      <c r="W36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89.997901846931029</v>
      </c>
      <c r="X369" s="1">
        <f>IF(Plank[[#This Row],[Yaw]]&gt;V368,(360-ABS(Plank[[#This Row],[Yaw]])-ABS(V368)),ABS(Plank[[#This Row],[Yaw]]-V368))</f>
        <v>0.97083298981743837</v>
      </c>
      <c r="Y369" s="1">
        <f>Plank[[#This Row],[Degree change]]+Y368</f>
        <v>298.45959899900294</v>
      </c>
    </row>
    <row r="370" spans="1:25">
      <c r="A370">
        <v>369</v>
      </c>
      <c r="B370" s="1">
        <v>184.58999600000001</v>
      </c>
      <c r="C370" s="1">
        <v>895.03997800000002</v>
      </c>
      <c r="D370" s="1">
        <v>18.639999</v>
      </c>
      <c r="E370" s="1">
        <v>1263.530029</v>
      </c>
      <c r="F370" s="1">
        <v>1921.8199460000001</v>
      </c>
      <c r="G370" s="1">
        <v>8.1799990000000005</v>
      </c>
      <c r="H370" s="1">
        <v>-1E-4</v>
      </c>
      <c r="I370" s="1">
        <v>0</v>
      </c>
      <c r="J370" s="1">
        <v>2.0331000000000001</v>
      </c>
      <c r="K370" s="1">
        <v>-1.578E-3</v>
      </c>
      <c r="L370" s="1">
        <v>2.7590000000000002E-3</v>
      </c>
      <c r="M370" s="1">
        <v>0.50210900000000003</v>
      </c>
      <c r="N370" s="1">
        <v>0.86479799999999996</v>
      </c>
      <c r="O370">
        <v>1</v>
      </c>
      <c r="P370">
        <v>0</v>
      </c>
      <c r="Q370">
        <v>1</v>
      </c>
      <c r="R370">
        <v>1</v>
      </c>
      <c r="S370">
        <v>1</v>
      </c>
      <c r="T370" s="1">
        <f>SQRT(POWER(Plank[[#This Row],[angvel_X]],2) + POWER(Plank[[#This Row],[angvel_Y]],2) + POWER(Plank[[#This Row],[angvel_Z]],2))</f>
        <v>2.0331000024592987</v>
      </c>
      <c r="U370" s="1">
        <f>DEGREES(ASIN(MAX(-1,MIN(1,2 * (Plank[[#This Row],[quart_W]]*Plank[[#This Row],[quart_Y]] - Plank[[#This Row],[quart_Z]]*Plank[[#This Row],[quart_X]])))))</f>
        <v>0.36420945615808381</v>
      </c>
      <c r="V37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29.720413377990649</v>
      </c>
      <c r="W37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89.997631632593595</v>
      </c>
      <c r="X370" s="1">
        <f>IF(Plank[[#This Row],[Yaw]]&gt;V369,(360-ABS(Plank[[#This Row],[Yaw]])-ABS(V369)),ABS(Plank[[#This Row],[Yaw]]-V369))</f>
        <v>0.97047224841851332</v>
      </c>
      <c r="Y370" s="1">
        <f>Plank[[#This Row],[Degree change]]+Y369</f>
        <v>299.43007124742144</v>
      </c>
    </row>
    <row r="371" spans="1:25">
      <c r="A371">
        <v>370</v>
      </c>
      <c r="B371" s="1">
        <v>195.14999399999999</v>
      </c>
      <c r="C371" s="1">
        <v>911.10998500000005</v>
      </c>
      <c r="D371" s="1">
        <v>18.639999</v>
      </c>
      <c r="E371" s="1">
        <v>1230.7899170000001</v>
      </c>
      <c r="F371" s="1">
        <v>1942.9499510000001</v>
      </c>
      <c r="G371" s="1">
        <v>8.1799990000000005</v>
      </c>
      <c r="H371" s="1">
        <v>-1E-4</v>
      </c>
      <c r="I371" s="1">
        <v>0</v>
      </c>
      <c r="J371" s="1">
        <v>2.0331000000000001</v>
      </c>
      <c r="K371" s="1">
        <v>-1.6000000000000001E-3</v>
      </c>
      <c r="L371" s="1">
        <v>2.7490000000000001E-3</v>
      </c>
      <c r="M371" s="1">
        <v>0.50941899999999996</v>
      </c>
      <c r="N371" s="1">
        <v>0.86051299999999997</v>
      </c>
      <c r="O371">
        <v>1</v>
      </c>
      <c r="P371">
        <v>0</v>
      </c>
      <c r="Q371">
        <v>1</v>
      </c>
      <c r="R371">
        <v>1</v>
      </c>
      <c r="S371">
        <v>1</v>
      </c>
      <c r="T371" s="1">
        <f>SQRT(POWER(Plank[[#This Row],[angvel_X]],2) + POWER(Plank[[#This Row],[angvel_Y]],2) + POWER(Plank[[#This Row],[angvel_Z]],2))</f>
        <v>2.0331000024592987</v>
      </c>
      <c r="U371" s="1">
        <f>DEGREES(ASIN(MAX(-1,MIN(1,2 * (Plank[[#This Row],[quart_W]]*Plank[[#This Row],[quart_Y]] - Plank[[#This Row],[quart_Z]]*Plank[[#This Row],[quart_X]])))))</f>
        <v>0.36447473559489274</v>
      </c>
      <c r="V37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28.74936604163636</v>
      </c>
      <c r="W37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89.997298789563999</v>
      </c>
      <c r="X371" s="1">
        <f>IF(Plank[[#This Row],[Yaw]]&gt;V370,(360-ABS(Plank[[#This Row],[Yaw]])-ABS(V370)),ABS(Plank[[#This Row],[Yaw]]-V370))</f>
        <v>0.97104733635428886</v>
      </c>
      <c r="Y371" s="1">
        <f>Plank[[#This Row],[Degree change]]+Y370</f>
        <v>300.40111858377571</v>
      </c>
    </row>
    <row r="372" spans="1:25">
      <c r="A372">
        <v>371</v>
      </c>
      <c r="B372" s="1">
        <v>205.44000199999999</v>
      </c>
      <c r="C372" s="1">
        <v>927.35998500000005</v>
      </c>
      <c r="D372" s="1">
        <v>18.639999</v>
      </c>
      <c r="E372" s="1">
        <v>1197.6999510000001</v>
      </c>
      <c r="F372" s="1">
        <v>1963.5198969999999</v>
      </c>
      <c r="G372" s="1">
        <v>8.1799990000000005</v>
      </c>
      <c r="H372" s="1">
        <v>-1E-4</v>
      </c>
      <c r="I372" s="1">
        <v>-1E-4</v>
      </c>
      <c r="J372" s="1">
        <v>2.0331000000000001</v>
      </c>
      <c r="K372" s="1">
        <v>-1.621E-3</v>
      </c>
      <c r="L372" s="1">
        <v>2.738E-3</v>
      </c>
      <c r="M372" s="1">
        <v>0.51669100000000001</v>
      </c>
      <c r="N372" s="1">
        <v>0.85616599999999998</v>
      </c>
      <c r="O372">
        <v>1</v>
      </c>
      <c r="P372">
        <v>0</v>
      </c>
      <c r="Q372">
        <v>1</v>
      </c>
      <c r="R372">
        <v>1</v>
      </c>
      <c r="S372">
        <v>1</v>
      </c>
      <c r="T372" s="1">
        <f>SQRT(POWER(Plank[[#This Row],[angvel_X]],2) + POWER(Plank[[#This Row],[angvel_Y]],2) + POWER(Plank[[#This Row],[angvel_Z]],2))</f>
        <v>2.0331000049185972</v>
      </c>
      <c r="U372" s="1">
        <f>DEGREES(ASIN(MAX(-1,MIN(1,2 * (Plank[[#This Row],[quart_W]]*Plank[[#This Row],[quart_Y]] - Plank[[#This Row],[quart_Z]]*Plank[[#This Row],[quart_X]])))))</f>
        <v>0.36460284948826271</v>
      </c>
      <c r="V37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27.778539399143312</v>
      </c>
      <c r="W37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89.996922596040008</v>
      </c>
      <c r="X372" s="1">
        <f>IF(Plank[[#This Row],[Yaw]]&gt;V371,(360-ABS(Plank[[#This Row],[Yaw]])-ABS(V371)),ABS(Plank[[#This Row],[Yaw]]-V371))</f>
        <v>0.97082664249304784</v>
      </c>
      <c r="Y372" s="1">
        <f>Plank[[#This Row],[Degree change]]+Y371</f>
        <v>301.37194522626874</v>
      </c>
    </row>
    <row r="373" spans="1:25">
      <c r="A373">
        <v>372</v>
      </c>
      <c r="B373" s="1">
        <v>215.449997</v>
      </c>
      <c r="C373" s="1">
        <v>943.77996800000005</v>
      </c>
      <c r="D373" s="1">
        <v>18.639999</v>
      </c>
      <c r="E373" s="1">
        <v>1164.26001</v>
      </c>
      <c r="F373" s="1">
        <v>1983.5299070000001</v>
      </c>
      <c r="G373" s="1">
        <v>8.1799990000000005</v>
      </c>
      <c r="H373" s="1">
        <v>-1E-4</v>
      </c>
      <c r="I373" s="1">
        <v>-2.0000000000000001E-4</v>
      </c>
      <c r="J373" s="1">
        <v>2.0331000000000001</v>
      </c>
      <c r="K373" s="1">
        <v>-1.6429999999999999E-3</v>
      </c>
      <c r="L373" s="1">
        <v>2.722E-3</v>
      </c>
      <c r="M373" s="1">
        <v>0.523926</v>
      </c>
      <c r="N373" s="1">
        <v>0.85175800000000002</v>
      </c>
      <c r="O373">
        <v>1</v>
      </c>
      <c r="P373">
        <v>0</v>
      </c>
      <c r="Q373">
        <v>1</v>
      </c>
      <c r="R373">
        <v>1</v>
      </c>
      <c r="S373">
        <v>1</v>
      </c>
      <c r="T373" s="1">
        <f>SQRT(POWER(Plank[[#This Row],[angvel_X]],2) + POWER(Plank[[#This Row],[angvel_Y]],2) + POWER(Plank[[#This Row],[angvel_Z]],2))</f>
        <v>2.0331000122964933</v>
      </c>
      <c r="U373" s="1">
        <f>DEGREES(ASIN(MAX(-1,MIN(1,2 * (Plank[[#This Row],[quart_W]]*Plank[[#This Row],[quart_Y]] - Plank[[#This Row],[quart_Z]]*Plank[[#This Row],[quart_X]])))))</f>
        <v>0.36432290524021316</v>
      </c>
      <c r="V37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26.807689583329864</v>
      </c>
      <c r="W37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89.996941698247213</v>
      </c>
      <c r="X373" s="1">
        <f>IF(Plank[[#This Row],[Yaw]]&gt;V372,(360-ABS(Plank[[#This Row],[Yaw]])-ABS(V372)),ABS(Plank[[#This Row],[Yaw]]-V372))</f>
        <v>0.9708498158134482</v>
      </c>
      <c r="Y373" s="1">
        <f>Plank[[#This Row],[Degree change]]+Y372</f>
        <v>302.34279504208217</v>
      </c>
    </row>
    <row r="374" spans="1:25">
      <c r="A374">
        <v>373</v>
      </c>
      <c r="B374" s="1">
        <v>225.179993</v>
      </c>
      <c r="C374" s="1">
        <v>960.36999500000002</v>
      </c>
      <c r="D374" s="1">
        <v>18.639999</v>
      </c>
      <c r="E374" s="1">
        <v>1130.48999</v>
      </c>
      <c r="F374" s="1">
        <v>2002.969971</v>
      </c>
      <c r="G374" s="1">
        <v>8.1799990000000005</v>
      </c>
      <c r="H374" s="1">
        <v>-2.0000000000000001E-4</v>
      </c>
      <c r="I374" s="1">
        <v>-2.0000000000000001E-4</v>
      </c>
      <c r="J374" s="1">
        <v>2.0331000000000001</v>
      </c>
      <c r="K374" s="1">
        <v>-1.6639999999999999E-3</v>
      </c>
      <c r="L374" s="1">
        <v>2.7060000000000001E-3</v>
      </c>
      <c r="M374" s="1">
        <v>0.53112199999999998</v>
      </c>
      <c r="N374" s="1">
        <v>0.84728899999999996</v>
      </c>
      <c r="O374">
        <v>1</v>
      </c>
      <c r="P374">
        <v>0</v>
      </c>
      <c r="Q374">
        <v>1</v>
      </c>
      <c r="R374">
        <v>1</v>
      </c>
      <c r="S374">
        <v>1</v>
      </c>
      <c r="T374" s="1">
        <f>SQRT(POWER(Plank[[#This Row],[angvel_X]],2) + POWER(Plank[[#This Row],[angvel_Y]],2) + POWER(Plank[[#This Row],[angvel_Z]],2))</f>
        <v>2.0331000196743889</v>
      </c>
      <c r="U374" s="1">
        <f>DEGREES(ASIN(MAX(-1,MIN(1,2 * (Plank[[#This Row],[quart_W]]*Plank[[#This Row],[quart_Y]] - Plank[[#This Row],[quart_Z]]*Plank[[#This Row],[quart_X]])))))</f>
        <v>0.36400838493567927</v>
      </c>
      <c r="V37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25.837047793310344</v>
      </c>
      <c r="W37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89.996868466223304</v>
      </c>
      <c r="X374" s="1">
        <f>IF(Plank[[#This Row],[Yaw]]&gt;V373,(360-ABS(Plank[[#This Row],[Yaw]])-ABS(V373)),ABS(Plank[[#This Row],[Yaw]]-V373))</f>
        <v>0.97064179001952056</v>
      </c>
      <c r="Y374" s="1">
        <f>Plank[[#This Row],[Degree change]]+Y373</f>
        <v>303.31343683210167</v>
      </c>
    </row>
    <row r="375" spans="1:25">
      <c r="A375">
        <v>374</v>
      </c>
      <c r="B375" s="1">
        <v>234.62998999999999</v>
      </c>
      <c r="C375" s="1">
        <v>977.11999500000002</v>
      </c>
      <c r="D375" s="1">
        <v>18.639999</v>
      </c>
      <c r="E375" s="1">
        <v>1096.3900149999999</v>
      </c>
      <c r="F375" s="1">
        <v>2021.839966</v>
      </c>
      <c r="G375" s="1">
        <v>8.1799990000000005</v>
      </c>
      <c r="H375" s="1">
        <v>-2.0000000000000001E-4</v>
      </c>
      <c r="I375" s="1">
        <v>-2.0000000000000001E-4</v>
      </c>
      <c r="J375" s="1">
        <v>2.0331000000000001</v>
      </c>
      <c r="K375" s="1">
        <v>-1.686E-3</v>
      </c>
      <c r="L375" s="1">
        <v>2.689E-3</v>
      </c>
      <c r="M375" s="1">
        <v>0.53828100000000001</v>
      </c>
      <c r="N375" s="1">
        <v>0.84275900000000004</v>
      </c>
      <c r="O375">
        <v>1</v>
      </c>
      <c r="P375">
        <v>0</v>
      </c>
      <c r="Q375">
        <v>1</v>
      </c>
      <c r="R375">
        <v>1</v>
      </c>
      <c r="S375">
        <v>1</v>
      </c>
      <c r="T375" s="1">
        <f>SQRT(POWER(Plank[[#This Row],[angvel_X]],2) + POWER(Plank[[#This Row],[angvel_Y]],2) + POWER(Plank[[#This Row],[angvel_Z]],2))</f>
        <v>2.0331000196743889</v>
      </c>
      <c r="U375" s="1">
        <f>DEGREES(ASIN(MAX(-1,MIN(1,2 * (Plank[[#This Row],[quart_W]]*Plank[[#This Row],[quart_Y]] - Plank[[#This Row],[quart_Z]]*Plank[[#This Row],[quart_X]])))))</f>
        <v>0.3636840470416951</v>
      </c>
      <c r="V37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24.866242264904688</v>
      </c>
      <c r="W37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89.996957998639317</v>
      </c>
      <c r="X375" s="1">
        <f>IF(Plank[[#This Row],[Yaw]]&gt;V374,(360-ABS(Plank[[#This Row],[Yaw]])-ABS(V374)),ABS(Plank[[#This Row],[Yaw]]-V374))</f>
        <v>0.97080552840565559</v>
      </c>
      <c r="Y375" s="1">
        <f>Plank[[#This Row],[Degree change]]+Y374</f>
        <v>304.28424236050733</v>
      </c>
    </row>
    <row r="376" spans="1:25">
      <c r="A376">
        <v>375</v>
      </c>
      <c r="B376" s="1">
        <v>243.79998800000001</v>
      </c>
      <c r="C376" s="1">
        <v>994.02996800000005</v>
      </c>
      <c r="D376" s="1">
        <v>18.639999</v>
      </c>
      <c r="E376" s="1">
        <v>1061.9799800000001</v>
      </c>
      <c r="F376" s="1">
        <v>2040.119995</v>
      </c>
      <c r="G376" s="1">
        <v>8.1799990000000005</v>
      </c>
      <c r="H376" s="1">
        <v>-2.9999999999999997E-4</v>
      </c>
      <c r="I376" s="1">
        <v>-2.0000000000000001E-4</v>
      </c>
      <c r="J376" s="1">
        <v>2.0331000000000001</v>
      </c>
      <c r="K376" s="1">
        <v>-1.707E-3</v>
      </c>
      <c r="L376" s="1">
        <v>2.673E-3</v>
      </c>
      <c r="M376" s="1">
        <v>0.54540299999999997</v>
      </c>
      <c r="N376" s="1">
        <v>0.83816800000000002</v>
      </c>
      <c r="O376">
        <v>1</v>
      </c>
      <c r="P376">
        <v>0</v>
      </c>
      <c r="Q376">
        <v>1</v>
      </c>
      <c r="R376">
        <v>1</v>
      </c>
      <c r="S376">
        <v>1</v>
      </c>
      <c r="T376" s="1">
        <f>SQRT(POWER(Plank[[#This Row],[angvel_X]],2) + POWER(Plank[[#This Row],[angvel_Y]],2) + POWER(Plank[[#This Row],[angvel_Z]],2))</f>
        <v>2.0331000319708816</v>
      </c>
      <c r="U376" s="1">
        <f>DEGREES(ASIN(MAX(-1,MIN(1,2 * (Plank[[#This Row],[quart_W]]*Plank[[#This Row],[quart_Y]] - Plank[[#This Row],[quart_Z]]*Plank[[#This Row],[quart_X]])))))</f>
        <v>0.36342108483066854</v>
      </c>
      <c r="V37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23.895198720522341</v>
      </c>
      <c r="W37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89.996893424168633</v>
      </c>
      <c r="X376" s="1">
        <f>IF(Plank[[#This Row],[Yaw]]&gt;V375,(360-ABS(Plank[[#This Row],[Yaw]])-ABS(V375)),ABS(Plank[[#This Row],[Yaw]]-V375))</f>
        <v>0.97104354438234708</v>
      </c>
      <c r="Y376" s="1">
        <f>Plank[[#This Row],[Degree change]]+Y375</f>
        <v>305.25528590488966</v>
      </c>
    </row>
    <row r="377" spans="1:25">
      <c r="A377">
        <v>376</v>
      </c>
      <c r="B377" s="1">
        <v>252.679993</v>
      </c>
      <c r="C377" s="1">
        <v>1011.089966</v>
      </c>
      <c r="D377" s="1">
        <v>18.639999</v>
      </c>
      <c r="E377" s="1">
        <v>1027.26001</v>
      </c>
      <c r="F377" s="1">
        <v>2057.820068</v>
      </c>
      <c r="G377" s="1">
        <v>8.1799990000000005</v>
      </c>
      <c r="H377" s="1">
        <v>-2.9999999999999997E-4</v>
      </c>
      <c r="I377" s="1">
        <v>-2.0000000000000001E-4</v>
      </c>
      <c r="J377" s="1">
        <v>2.0331000000000001</v>
      </c>
      <c r="K377" s="1">
        <v>-1.7290000000000001E-3</v>
      </c>
      <c r="L377" s="1">
        <v>2.6570000000000001E-3</v>
      </c>
      <c r="M377" s="1">
        <v>0.55247999999999997</v>
      </c>
      <c r="N377" s="1">
        <v>0.83352000000000004</v>
      </c>
      <c r="O377">
        <v>1</v>
      </c>
      <c r="P377">
        <v>0</v>
      </c>
      <c r="Q377">
        <v>1</v>
      </c>
      <c r="R377">
        <v>1</v>
      </c>
      <c r="S377">
        <v>1</v>
      </c>
      <c r="T377" s="1">
        <f>SQRT(POWER(Plank[[#This Row],[angvel_X]],2) + POWER(Plank[[#This Row],[angvel_Y]],2) + POWER(Plank[[#This Row],[angvel_Z]],2))</f>
        <v>2.0331000319708816</v>
      </c>
      <c r="U377" s="1">
        <f>DEGREES(ASIN(MAX(-1,MIN(1,2 * (Plank[[#This Row],[quart_W]]*Plank[[#This Row],[quart_Y]] - Plank[[#This Row],[quart_Z]]*Plank[[#This Row],[quart_X]])))))</f>
        <v>0.3632462804870526</v>
      </c>
      <c r="V37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22.924975241600535</v>
      </c>
      <c r="W37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89.996930800506576</v>
      </c>
      <c r="X377" s="1">
        <f>IF(Plank[[#This Row],[Yaw]]&gt;V376,(360-ABS(Plank[[#This Row],[Yaw]])-ABS(V376)),ABS(Plank[[#This Row],[Yaw]]-V376))</f>
        <v>0.97022347892180605</v>
      </c>
      <c r="Y377" s="1">
        <f>Plank[[#This Row],[Degree change]]+Y376</f>
        <v>306.22550938381147</v>
      </c>
    </row>
    <row r="378" spans="1:25">
      <c r="A378">
        <v>377</v>
      </c>
      <c r="B378" s="1">
        <v>261.26998900000001</v>
      </c>
      <c r="C378" s="1">
        <v>1028.299927</v>
      </c>
      <c r="D378" s="1">
        <v>18.639999</v>
      </c>
      <c r="E378" s="1">
        <v>992.25</v>
      </c>
      <c r="F378" s="1">
        <v>2074.929932</v>
      </c>
      <c r="G378" s="1">
        <v>8.1799990000000005</v>
      </c>
      <c r="H378" s="1">
        <v>-4.0000000000000002E-4</v>
      </c>
      <c r="I378" s="1">
        <v>-2.0000000000000001E-4</v>
      </c>
      <c r="J378" s="1">
        <v>2.0331000000000001</v>
      </c>
      <c r="K378" s="1">
        <v>-1.751E-3</v>
      </c>
      <c r="L378" s="1">
        <v>2.6410000000000001E-3</v>
      </c>
      <c r="M378" s="1">
        <v>0.55952100000000005</v>
      </c>
      <c r="N378" s="1">
        <v>0.82881000000000005</v>
      </c>
      <c r="O378">
        <v>1</v>
      </c>
      <c r="P378">
        <v>0</v>
      </c>
      <c r="Q378">
        <v>1</v>
      </c>
      <c r="R378">
        <v>1</v>
      </c>
      <c r="S378">
        <v>1</v>
      </c>
      <c r="T378" s="1">
        <f>SQRT(POWER(Plank[[#This Row],[angvel_X]],2) + POWER(Plank[[#This Row],[angvel_Y]],2) + POWER(Plank[[#This Row],[angvel_Z]],2))</f>
        <v>2.0331000491859714</v>
      </c>
      <c r="U378" s="1">
        <f>DEGREES(ASIN(MAX(-1,MIN(1,2 * (Plank[[#This Row],[quart_W]]*Plank[[#This Row],[quart_Y]] - Plank[[#This Row],[quart_Z]]*Plank[[#This Row],[quart_X]])))))</f>
        <v>0.36309821616566001</v>
      </c>
      <c r="V37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21.954248472285965</v>
      </c>
      <c r="W37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89.99696914698572</v>
      </c>
      <c r="X378" s="1">
        <f>IF(Plank[[#This Row],[Yaw]]&gt;V377,(360-ABS(Plank[[#This Row],[Yaw]])-ABS(V377)),ABS(Plank[[#This Row],[Yaw]]-V377))</f>
        <v>0.97072676931457025</v>
      </c>
      <c r="Y378" s="1">
        <f>Plank[[#This Row],[Degree change]]+Y377</f>
        <v>307.19623615312605</v>
      </c>
    </row>
    <row r="379" spans="1:25">
      <c r="A379">
        <v>378</v>
      </c>
      <c r="B379" s="1">
        <v>269.55999800000001</v>
      </c>
      <c r="C379" s="1">
        <v>1045.650024</v>
      </c>
      <c r="D379" s="1">
        <v>18.639999</v>
      </c>
      <c r="E379" s="1">
        <v>956.94995100000006</v>
      </c>
      <c r="F379" s="1">
        <v>2091.4399410000001</v>
      </c>
      <c r="G379" s="1">
        <v>8.1799990000000005</v>
      </c>
      <c r="H379" s="1">
        <v>-4.0000000000000002E-4</v>
      </c>
      <c r="I379" s="1">
        <v>-2.0000000000000001E-4</v>
      </c>
      <c r="J379" s="1">
        <v>2.0331000000000001</v>
      </c>
      <c r="K379" s="1">
        <v>-1.7719999999999999E-3</v>
      </c>
      <c r="L379" s="1">
        <v>2.6250000000000002E-3</v>
      </c>
      <c r="M379" s="1">
        <v>0.566523</v>
      </c>
      <c r="N379" s="1">
        <v>0.82403999999999999</v>
      </c>
      <c r="O379">
        <v>1</v>
      </c>
      <c r="P379">
        <v>0</v>
      </c>
      <c r="Q379">
        <v>1</v>
      </c>
      <c r="R379">
        <v>1</v>
      </c>
      <c r="S379">
        <v>1</v>
      </c>
      <c r="T379" s="1">
        <f>SQRT(POWER(Plank[[#This Row],[angvel_X]],2) + POWER(Plank[[#This Row],[angvel_Y]],2) + POWER(Plank[[#This Row],[angvel_Z]],2))</f>
        <v>2.0331000491859714</v>
      </c>
      <c r="U379" s="1">
        <f>DEGREES(ASIN(MAX(-1,MIN(1,2 * (Plank[[#This Row],[quart_W]]*Plank[[#This Row],[quart_Y]] - Plank[[#This Row],[quart_Z]]*Plank[[#This Row],[quart_X]])))))</f>
        <v>0.36291203265820587</v>
      </c>
      <c r="V37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20.983355180332374</v>
      </c>
      <c r="W37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89.996914675545355</v>
      </c>
      <c r="X379" s="1">
        <f>IF(Plank[[#This Row],[Yaw]]&gt;V378,(360-ABS(Plank[[#This Row],[Yaw]])-ABS(V378)),ABS(Plank[[#This Row],[Yaw]]-V378))</f>
        <v>0.97089329195359042</v>
      </c>
      <c r="Y379" s="1">
        <f>Plank[[#This Row],[Degree change]]+Y378</f>
        <v>308.16712944507964</v>
      </c>
    </row>
    <row r="380" spans="1:25">
      <c r="A380">
        <v>379</v>
      </c>
      <c r="B380" s="1">
        <v>277.55999800000001</v>
      </c>
      <c r="C380" s="1">
        <v>1063.1400149999999</v>
      </c>
      <c r="D380" s="1">
        <v>18.639999</v>
      </c>
      <c r="E380" s="1">
        <v>921.38000499999998</v>
      </c>
      <c r="F380" s="1">
        <v>2107.3598630000001</v>
      </c>
      <c r="G380" s="1">
        <v>8.1799990000000005</v>
      </c>
      <c r="H380" s="1">
        <v>-4.0000000000000002E-4</v>
      </c>
      <c r="I380" s="1">
        <v>-2.0000000000000001E-4</v>
      </c>
      <c r="J380" s="1">
        <v>2.0331000000000001</v>
      </c>
      <c r="K380" s="1">
        <v>-1.794E-3</v>
      </c>
      <c r="L380" s="1">
        <v>2.6080000000000001E-3</v>
      </c>
      <c r="M380" s="1">
        <v>0.57348299999999997</v>
      </c>
      <c r="N380" s="1">
        <v>0.81921200000000005</v>
      </c>
      <c r="O380">
        <v>1</v>
      </c>
      <c r="P380">
        <v>0</v>
      </c>
      <c r="Q380">
        <v>1</v>
      </c>
      <c r="R380">
        <v>1</v>
      </c>
      <c r="S380">
        <v>1</v>
      </c>
      <c r="T380" s="1">
        <f>SQRT(POWER(Plank[[#This Row],[angvel_X]],2) + POWER(Plank[[#This Row],[angvel_Y]],2) + POWER(Plank[[#This Row],[angvel_Z]],2))</f>
        <v>2.0331000491859714</v>
      </c>
      <c r="U380" s="1">
        <f>DEGREES(ASIN(MAX(-1,MIN(1,2 * (Plank[[#This Row],[quart_W]]*Plank[[#This Row],[quart_Y]] - Plank[[#This Row],[quart_Z]]*Plank[[#This Row],[quart_X]])))))</f>
        <v>0.36272291177028904</v>
      </c>
      <c r="V38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20.012644287879752</v>
      </c>
      <c r="W38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89.997023156914565</v>
      </c>
      <c r="X380" s="1">
        <f>IF(Plank[[#This Row],[Yaw]]&gt;V379,(360-ABS(Plank[[#This Row],[Yaw]])-ABS(V379)),ABS(Plank[[#This Row],[Yaw]]-V379))</f>
        <v>0.97071089245262243</v>
      </c>
      <c r="Y380" s="1">
        <f>Plank[[#This Row],[Degree change]]+Y379</f>
        <v>309.13784033753228</v>
      </c>
    </row>
    <row r="381" spans="1:25">
      <c r="A381">
        <v>380</v>
      </c>
      <c r="B381" s="1">
        <v>285.25997899999999</v>
      </c>
      <c r="C381" s="1">
        <v>1080.7700199999999</v>
      </c>
      <c r="D381" s="1">
        <v>18.639999</v>
      </c>
      <c r="E381" s="1">
        <v>885.53997800000002</v>
      </c>
      <c r="F381" s="1">
        <v>2122.669922</v>
      </c>
      <c r="G381" s="1">
        <v>8.1799990000000005</v>
      </c>
      <c r="H381" s="1">
        <v>-5.0000000000000001E-4</v>
      </c>
      <c r="I381" s="1">
        <v>-2.0000000000000001E-4</v>
      </c>
      <c r="J381" s="1">
        <v>2.0331000000000001</v>
      </c>
      <c r="K381" s="1">
        <v>-1.815E-3</v>
      </c>
      <c r="L381" s="1">
        <v>2.5920000000000001E-3</v>
      </c>
      <c r="M381" s="1">
        <v>0.58040400000000003</v>
      </c>
      <c r="N381" s="1">
        <v>0.81432199999999999</v>
      </c>
      <c r="O381">
        <v>1</v>
      </c>
      <c r="P381">
        <v>0</v>
      </c>
      <c r="Q381">
        <v>1</v>
      </c>
      <c r="R381">
        <v>1</v>
      </c>
      <c r="S381">
        <v>1</v>
      </c>
      <c r="T381" s="1">
        <f>SQRT(POWER(Plank[[#This Row],[angvel_X]],2) + POWER(Plank[[#This Row],[angvel_Y]],2) + POWER(Plank[[#This Row],[angvel_Z]],2))</f>
        <v>2.0331000713196588</v>
      </c>
      <c r="U381" s="1">
        <f>DEGREES(ASIN(MAX(-1,MIN(1,2 * (Plank[[#This Row],[quart_W]]*Plank[[#This Row],[quart_Y]] - Plank[[#This Row],[quart_Z]]*Plank[[#This Row],[quart_X]])))))</f>
        <v>0.36258797590229713</v>
      </c>
      <c r="V38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19.041667319271603</v>
      </c>
      <c r="W38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89.996973262565675</v>
      </c>
      <c r="X381" s="1">
        <f>IF(Plank[[#This Row],[Yaw]]&gt;V380,(360-ABS(Plank[[#This Row],[Yaw]])-ABS(V380)),ABS(Plank[[#This Row],[Yaw]]-V380))</f>
        <v>0.97097696860814864</v>
      </c>
      <c r="Y381" s="1">
        <f>Plank[[#This Row],[Degree change]]+Y380</f>
        <v>310.10881730614045</v>
      </c>
    </row>
    <row r="382" spans="1:25">
      <c r="A382">
        <v>381</v>
      </c>
      <c r="B382" s="1">
        <v>292.66000400000001</v>
      </c>
      <c r="C382" s="1">
        <v>1098.5200199999999</v>
      </c>
      <c r="D382" s="1">
        <v>18.639999</v>
      </c>
      <c r="E382" s="1">
        <v>849.44995100000006</v>
      </c>
      <c r="F382" s="1">
        <v>2137.3698730000001</v>
      </c>
      <c r="G382" s="1">
        <v>8.1799990000000005</v>
      </c>
      <c r="H382" s="1">
        <v>-5.0000000000000001E-4</v>
      </c>
      <c r="I382" s="1">
        <v>-2.0000000000000001E-4</v>
      </c>
      <c r="J382" s="1">
        <v>2.0331000000000001</v>
      </c>
      <c r="K382" s="1">
        <v>-1.8370000000000001E-3</v>
      </c>
      <c r="L382" s="1">
        <v>2.5760000000000002E-3</v>
      </c>
      <c r="M382" s="1">
        <v>0.58728199999999997</v>
      </c>
      <c r="N382" s="1">
        <v>0.80937599999999998</v>
      </c>
      <c r="O382">
        <v>1</v>
      </c>
      <c r="P382">
        <v>0</v>
      </c>
      <c r="Q382">
        <v>1</v>
      </c>
      <c r="R382">
        <v>1</v>
      </c>
      <c r="S382">
        <v>1</v>
      </c>
      <c r="T382" s="1">
        <f>SQRT(POWER(Plank[[#This Row],[angvel_X]],2) + POWER(Plank[[#This Row],[angvel_Y]],2) + POWER(Plank[[#This Row],[angvel_Z]],2))</f>
        <v>2.0331000713196588</v>
      </c>
      <c r="U382" s="1">
        <f>DEGREES(ASIN(MAX(-1,MIN(1,2 * (Plank[[#This Row],[quart_W]]*Plank[[#This Row],[quart_Y]] - Plank[[#This Row],[quart_Z]]*Plank[[#This Row],[quart_X]])))))</f>
        <v>0.36254600315324276</v>
      </c>
      <c r="V38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18.070844738411576</v>
      </c>
      <c r="W38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89.997018872996037</v>
      </c>
      <c r="X382" s="1">
        <f>IF(Plank[[#This Row],[Yaw]]&gt;V381,(360-ABS(Plank[[#This Row],[Yaw]])-ABS(V381)),ABS(Plank[[#This Row],[Yaw]]-V381))</f>
        <v>0.97082258086002682</v>
      </c>
      <c r="Y382" s="1">
        <f>Plank[[#This Row],[Degree change]]+Y381</f>
        <v>311.0796398870005</v>
      </c>
    </row>
    <row r="383" spans="1:25">
      <c r="A383">
        <v>382</v>
      </c>
      <c r="B383" s="1">
        <v>299.75997899999999</v>
      </c>
      <c r="C383" s="1">
        <v>1116.400024</v>
      </c>
      <c r="D383" s="1">
        <v>18.639999</v>
      </c>
      <c r="E383" s="1">
        <v>813.10998500000005</v>
      </c>
      <c r="F383" s="1">
        <v>2151.4499510000001</v>
      </c>
      <c r="G383" s="1">
        <v>8.1799990000000005</v>
      </c>
      <c r="H383" s="1">
        <v>-5.0000000000000001E-4</v>
      </c>
      <c r="I383" s="1">
        <v>-2.0000000000000001E-4</v>
      </c>
      <c r="J383" s="1">
        <v>2.0331000000000001</v>
      </c>
      <c r="K383" s="1">
        <v>-1.859E-3</v>
      </c>
      <c r="L383" s="1">
        <v>2.5600000000000002E-3</v>
      </c>
      <c r="M383" s="1">
        <v>0.59411800000000003</v>
      </c>
      <c r="N383" s="1">
        <v>0.80437199999999998</v>
      </c>
      <c r="O383">
        <v>1</v>
      </c>
      <c r="P383">
        <v>0</v>
      </c>
      <c r="Q383">
        <v>1</v>
      </c>
      <c r="R383">
        <v>1</v>
      </c>
      <c r="S383">
        <v>1</v>
      </c>
      <c r="T383" s="1">
        <f>SQRT(POWER(Plank[[#This Row],[angvel_X]],2) + POWER(Plank[[#This Row],[angvel_Y]],2) + POWER(Plank[[#This Row],[angvel_Z]],2))</f>
        <v>2.0331000713196588</v>
      </c>
      <c r="U383" s="1">
        <f>DEGREES(ASIN(MAX(-1,MIN(1,2 * (Plank[[#This Row],[quart_W]]*Plank[[#This Row],[quart_Y]] - Plank[[#This Row],[quart_Z]]*Plank[[#This Row],[quart_X]])))))</f>
        <v>0.36253088501540121</v>
      </c>
      <c r="V38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17.099996966844191</v>
      </c>
      <c r="W38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89.997064732085946</v>
      </c>
      <c r="X383" s="1">
        <f>IF(Plank[[#This Row],[Yaw]]&gt;V382,(360-ABS(Plank[[#This Row],[Yaw]])-ABS(V382)),ABS(Plank[[#This Row],[Yaw]]-V382))</f>
        <v>0.97084777156738511</v>
      </c>
      <c r="Y383" s="1">
        <f>Plank[[#This Row],[Degree change]]+Y382</f>
        <v>312.05048765856787</v>
      </c>
    </row>
    <row r="384" spans="1:25">
      <c r="A384">
        <v>383</v>
      </c>
      <c r="B384" s="1">
        <v>306.55999800000001</v>
      </c>
      <c r="C384" s="1">
        <v>1134.3900149999999</v>
      </c>
      <c r="D384" s="1">
        <v>18.639999</v>
      </c>
      <c r="E384" s="1">
        <v>776.53997800000002</v>
      </c>
      <c r="F384" s="1">
        <v>2164.919922</v>
      </c>
      <c r="G384" s="1">
        <v>8.1799990000000005</v>
      </c>
      <c r="H384" s="1">
        <v>-5.0000000000000001E-4</v>
      </c>
      <c r="I384" s="1">
        <v>-2.0000000000000001E-4</v>
      </c>
      <c r="J384" s="1">
        <v>2.0331000000000001</v>
      </c>
      <c r="K384" s="1">
        <v>-1.8799999999999999E-3</v>
      </c>
      <c r="L384" s="1">
        <v>2.5439999999999998E-3</v>
      </c>
      <c r="M384" s="1">
        <v>0.60091000000000006</v>
      </c>
      <c r="N384" s="1">
        <v>0.79931099999999999</v>
      </c>
      <c r="O384">
        <v>1</v>
      </c>
      <c r="P384">
        <v>0</v>
      </c>
      <c r="Q384">
        <v>1</v>
      </c>
      <c r="R384">
        <v>1</v>
      </c>
      <c r="S384">
        <v>1</v>
      </c>
      <c r="T384" s="1">
        <f>SQRT(POWER(Plank[[#This Row],[angvel_X]],2) + POWER(Plank[[#This Row],[angvel_Y]],2) + POWER(Plank[[#This Row],[angvel_Z]],2))</f>
        <v>2.0331000713196588</v>
      </c>
      <c r="U384" s="1">
        <f>DEGREES(ASIN(MAX(-1,MIN(1,2 * (Plank[[#This Row],[quart_W]]*Plank[[#This Row],[quart_Y]] - Plank[[#This Row],[quart_Z]]*Plank[[#This Row],[quart_X]])))))</f>
        <v>0.36247362269646233</v>
      </c>
      <c r="V38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16.129349809869922</v>
      </c>
      <c r="W38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89.997019372649149</v>
      </c>
      <c r="X384" s="1">
        <f>IF(Plank[[#This Row],[Yaw]]&gt;V383,(360-ABS(Plank[[#This Row],[Yaw]])-ABS(V383)),ABS(Plank[[#This Row],[Yaw]]-V383))</f>
        <v>0.97064715697426962</v>
      </c>
      <c r="Y384" s="1">
        <f>Plank[[#This Row],[Degree change]]+Y383</f>
        <v>313.02113481554215</v>
      </c>
    </row>
    <row r="385" spans="1:25">
      <c r="A385">
        <v>384</v>
      </c>
      <c r="B385" s="1">
        <v>313.04998799999998</v>
      </c>
      <c r="C385" s="1">
        <v>1152.5</v>
      </c>
      <c r="D385" s="1">
        <v>18.639999</v>
      </c>
      <c r="E385" s="1">
        <v>739.75</v>
      </c>
      <c r="F385" s="1">
        <v>2177.7700199999999</v>
      </c>
      <c r="G385" s="1">
        <v>8.1799990000000005</v>
      </c>
      <c r="H385" s="1">
        <v>-5.0000000000000001E-4</v>
      </c>
      <c r="I385" s="1">
        <v>-2.0000000000000001E-4</v>
      </c>
      <c r="J385" s="1">
        <v>2.0331000000000001</v>
      </c>
      <c r="K385" s="1">
        <v>-1.902E-3</v>
      </c>
      <c r="L385" s="1">
        <v>2.5270000000000002E-3</v>
      </c>
      <c r="M385" s="1">
        <v>0.60765899999999995</v>
      </c>
      <c r="N385" s="1">
        <v>0.79419200000000001</v>
      </c>
      <c r="O385">
        <v>1</v>
      </c>
      <c r="P385">
        <v>0</v>
      </c>
      <c r="Q385">
        <v>1</v>
      </c>
      <c r="R385">
        <v>1</v>
      </c>
      <c r="S385">
        <v>1</v>
      </c>
      <c r="T385" s="1">
        <f>SQRT(POWER(Plank[[#This Row],[angvel_X]],2) + POWER(Plank[[#This Row],[angvel_Y]],2) + POWER(Plank[[#This Row],[angvel_Z]],2))</f>
        <v>2.0331000713196588</v>
      </c>
      <c r="U385" s="1">
        <f>DEGREES(ASIN(MAX(-1,MIN(1,2 * (Plank[[#This Row],[quart_W]]*Plank[[#This Row],[quart_Y]] - Plank[[#This Row],[quart_Z]]*Plank[[#This Row],[quart_X]])))))</f>
        <v>0.36242006359279066</v>
      </c>
      <c r="V38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15.158697402914989</v>
      </c>
      <c r="W38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89.99713502662614</v>
      </c>
      <c r="X385" s="1">
        <f>IF(Plank[[#This Row],[Yaw]]&gt;V384,(360-ABS(Plank[[#This Row],[Yaw]])-ABS(V384)),ABS(Plank[[#This Row],[Yaw]]-V384))</f>
        <v>0.97065240695493316</v>
      </c>
      <c r="Y385" s="1">
        <f>Plank[[#This Row],[Degree change]]+Y384</f>
        <v>313.99178722249707</v>
      </c>
    </row>
    <row r="386" spans="1:25">
      <c r="A386">
        <v>385</v>
      </c>
      <c r="B386" s="1">
        <v>319.22998000000001</v>
      </c>
      <c r="C386" s="1">
        <v>1170.709961</v>
      </c>
      <c r="D386" s="1">
        <v>18.639999</v>
      </c>
      <c r="E386" s="1">
        <v>702.75</v>
      </c>
      <c r="F386" s="1">
        <v>2189.98999</v>
      </c>
      <c r="G386" s="1">
        <v>8.1799990000000005</v>
      </c>
      <c r="H386" s="1">
        <v>-5.0000000000000001E-4</v>
      </c>
      <c r="I386" s="1">
        <v>-2.0000000000000001E-4</v>
      </c>
      <c r="J386" s="1">
        <v>2.0331000000000001</v>
      </c>
      <c r="K386" s="1">
        <v>-1.923E-3</v>
      </c>
      <c r="L386" s="1">
        <v>2.5110000000000002E-3</v>
      </c>
      <c r="M386" s="1">
        <v>0.61436400000000002</v>
      </c>
      <c r="N386" s="1">
        <v>0.78901600000000005</v>
      </c>
      <c r="O386">
        <v>1</v>
      </c>
      <c r="P386">
        <v>0</v>
      </c>
      <c r="Q386">
        <v>1</v>
      </c>
      <c r="R386">
        <v>1</v>
      </c>
      <c r="S386">
        <v>1</v>
      </c>
      <c r="T386" s="1">
        <f>SQRT(POWER(Plank[[#This Row],[angvel_X]],2) + POWER(Plank[[#This Row],[angvel_Y]],2) + POWER(Plank[[#This Row],[angvel_Z]],2))</f>
        <v>2.0331000713196588</v>
      </c>
      <c r="U386" s="1">
        <f>DEGREES(ASIN(MAX(-1,MIN(1,2 * (Plank[[#This Row],[quart_W]]*Plank[[#This Row],[quart_Y]] - Plank[[#This Row],[quart_Z]]*Plank[[#This Row],[quart_X]])))))</f>
        <v>0.36241439646845913</v>
      </c>
      <c r="V38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14.188107513297689</v>
      </c>
      <c r="W38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89.99709043506617</v>
      </c>
      <c r="X386" s="1">
        <f>IF(Plank[[#This Row],[Yaw]]&gt;V385,(360-ABS(Plank[[#This Row],[Yaw]])-ABS(V385)),ABS(Plank[[#This Row],[Yaw]]-V385))</f>
        <v>0.97058988961729931</v>
      </c>
      <c r="Y386" s="1">
        <f>Plank[[#This Row],[Degree change]]+Y385</f>
        <v>314.96237711211438</v>
      </c>
    </row>
    <row r="387" spans="1:25">
      <c r="A387">
        <v>386</v>
      </c>
      <c r="B387" s="1">
        <v>325.10000600000001</v>
      </c>
      <c r="C387" s="1">
        <v>1189.030029</v>
      </c>
      <c r="D387" s="1">
        <v>18.639999</v>
      </c>
      <c r="E387" s="1">
        <v>665.54998799999998</v>
      </c>
      <c r="F387" s="1">
        <v>2201.5798340000001</v>
      </c>
      <c r="G387" s="1">
        <v>8.1799990000000005</v>
      </c>
      <c r="H387" s="1">
        <v>-5.0000000000000001E-4</v>
      </c>
      <c r="I387" s="1">
        <v>-2.0000000000000001E-4</v>
      </c>
      <c r="J387" s="1">
        <v>2.0331000000000001</v>
      </c>
      <c r="K387" s="1">
        <v>-1.9449999999999999E-3</v>
      </c>
      <c r="L387" s="1">
        <v>2.4949999999999998E-3</v>
      </c>
      <c r="M387" s="1">
        <v>0.621027</v>
      </c>
      <c r="N387" s="1">
        <v>0.78378300000000001</v>
      </c>
      <c r="O387">
        <v>1</v>
      </c>
      <c r="P387">
        <v>0</v>
      </c>
      <c r="Q387">
        <v>1</v>
      </c>
      <c r="R387">
        <v>1</v>
      </c>
      <c r="S387">
        <v>1</v>
      </c>
      <c r="T387" s="1">
        <f>SQRT(POWER(Plank[[#This Row],[angvel_X]],2) + POWER(Plank[[#This Row],[angvel_Y]],2) + POWER(Plank[[#This Row],[angvel_Z]],2))</f>
        <v>2.0331000713196588</v>
      </c>
      <c r="U387" s="1">
        <f>DEGREES(ASIN(MAX(-1,MIN(1,2 * (Plank[[#This Row],[quart_W]]*Plank[[#This Row],[quart_Y]] - Plank[[#This Row],[quart_Z]]*Plank[[#This Row],[quart_X]])))))</f>
        <v>0.36250549308031754</v>
      </c>
      <c r="V38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13.217192521933265</v>
      </c>
      <c r="W38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89.997134646032919</v>
      </c>
      <c r="X387" s="1">
        <f>IF(Plank[[#This Row],[Yaw]]&gt;V386,(360-ABS(Plank[[#This Row],[Yaw]])-ABS(V386)),ABS(Plank[[#This Row],[Yaw]]-V386))</f>
        <v>0.97091499136442394</v>
      </c>
      <c r="Y387" s="1">
        <f>Plank[[#This Row],[Degree change]]+Y386</f>
        <v>315.93329210347883</v>
      </c>
    </row>
    <row r="388" spans="1:25">
      <c r="A388">
        <v>387</v>
      </c>
      <c r="B388" s="1">
        <v>330.66000400000001</v>
      </c>
      <c r="C388" s="1">
        <v>1207.4399410000001</v>
      </c>
      <c r="D388" s="1">
        <v>18.639999</v>
      </c>
      <c r="E388" s="1">
        <v>628.14996299999996</v>
      </c>
      <c r="F388" s="1">
        <v>2212.540039</v>
      </c>
      <c r="G388" s="1">
        <v>8.1799990000000005</v>
      </c>
      <c r="H388" s="1">
        <v>-5.0000000000000001E-4</v>
      </c>
      <c r="I388" s="1">
        <v>-2.0000000000000001E-4</v>
      </c>
      <c r="J388" s="1">
        <v>2.0331000000000001</v>
      </c>
      <c r="K388" s="1">
        <v>-1.9659999999999999E-3</v>
      </c>
      <c r="L388" s="1">
        <v>2.4789999999999999E-3</v>
      </c>
      <c r="M388" s="1">
        <v>0.62764600000000004</v>
      </c>
      <c r="N388" s="1">
        <v>0.77849199999999996</v>
      </c>
      <c r="O388">
        <v>1</v>
      </c>
      <c r="P388">
        <v>0</v>
      </c>
      <c r="Q388">
        <v>1</v>
      </c>
      <c r="R388">
        <v>1</v>
      </c>
      <c r="S388">
        <v>1</v>
      </c>
      <c r="T388" s="1">
        <f>SQRT(POWER(Plank[[#This Row],[angvel_X]],2) + POWER(Plank[[#This Row],[angvel_Y]],2) + POWER(Plank[[#This Row],[angvel_Z]],2))</f>
        <v>2.0331000713196588</v>
      </c>
      <c r="U388" s="1">
        <f>DEGREES(ASIN(MAX(-1,MIN(1,2 * (Plank[[#This Row],[quart_W]]*Plank[[#This Row],[quart_Y]] - Plank[[#This Row],[quart_Z]]*Plank[[#This Row],[quart_X]])))))</f>
        <v>0.36255105605460353</v>
      </c>
      <c r="V38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12.246212293883396</v>
      </c>
      <c r="W38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89.997087120280469</v>
      </c>
      <c r="X388" s="1">
        <f>IF(Plank[[#This Row],[Yaw]]&gt;V387,(360-ABS(Plank[[#This Row],[Yaw]])-ABS(V387)),ABS(Plank[[#This Row],[Yaw]]-V387))</f>
        <v>0.97098022804986961</v>
      </c>
      <c r="Y388" s="1">
        <f>Plank[[#This Row],[Degree change]]+Y387</f>
        <v>316.90427233152872</v>
      </c>
    </row>
    <row r="389" spans="1:25">
      <c r="A389">
        <v>388</v>
      </c>
      <c r="B389" s="1">
        <v>335.91000400000001</v>
      </c>
      <c r="C389" s="1">
        <v>1225.9399410000001</v>
      </c>
      <c r="D389" s="1">
        <v>18.639999</v>
      </c>
      <c r="E389" s="1">
        <v>590.57000700000003</v>
      </c>
      <c r="F389" s="1">
        <v>2222.8598630000001</v>
      </c>
      <c r="G389" s="1">
        <v>8.1799990000000005</v>
      </c>
      <c r="H389" s="1">
        <v>-5.0000000000000001E-4</v>
      </c>
      <c r="I389" s="1">
        <v>-2.0000000000000001E-4</v>
      </c>
      <c r="J389" s="1">
        <v>2.0331000000000001</v>
      </c>
      <c r="K389" s="1">
        <v>-1.9880000000000002E-3</v>
      </c>
      <c r="L389" s="1">
        <v>2.4629999999999999E-3</v>
      </c>
      <c r="M389" s="1">
        <v>0.63421700000000003</v>
      </c>
      <c r="N389" s="1">
        <v>0.77314799999999995</v>
      </c>
      <c r="O389">
        <v>1</v>
      </c>
      <c r="P389">
        <v>0</v>
      </c>
      <c r="Q389">
        <v>1</v>
      </c>
      <c r="R389">
        <v>1</v>
      </c>
      <c r="S389">
        <v>1</v>
      </c>
      <c r="T389" s="1">
        <f>SQRT(POWER(Plank[[#This Row],[angvel_X]],2) + POWER(Plank[[#This Row],[angvel_Y]],2) + POWER(Plank[[#This Row],[angvel_Z]],2))</f>
        <v>2.0331000713196588</v>
      </c>
      <c r="U389" s="1">
        <f>DEGREES(ASIN(MAX(-1,MIN(1,2 * (Plank[[#This Row],[quart_W]]*Plank[[#This Row],[quart_Y]] - Plank[[#This Row],[quart_Z]]*Plank[[#This Row],[quart_X]])))))</f>
        <v>0.36269466690605218</v>
      </c>
      <c r="V38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11.27565878962089</v>
      </c>
      <c r="W38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89.997128478875482</v>
      </c>
      <c r="X389" s="1">
        <f>IF(Plank[[#This Row],[Yaw]]&gt;V388,(360-ABS(Plank[[#This Row],[Yaw]])-ABS(V388)),ABS(Plank[[#This Row],[Yaw]]-V388))</f>
        <v>0.97055350426250619</v>
      </c>
      <c r="Y389" s="1">
        <f>Plank[[#This Row],[Degree change]]+Y388</f>
        <v>317.87482583579123</v>
      </c>
    </row>
    <row r="390" spans="1:25">
      <c r="A390">
        <v>389</v>
      </c>
      <c r="B390" s="1">
        <v>340.83999599999999</v>
      </c>
      <c r="C390" s="1">
        <v>1244.530029</v>
      </c>
      <c r="D390" s="1">
        <v>18.639999</v>
      </c>
      <c r="E390" s="1">
        <v>552.830017</v>
      </c>
      <c r="F390" s="1">
        <v>2232.5500489999999</v>
      </c>
      <c r="G390" s="1">
        <v>8.1799990000000005</v>
      </c>
      <c r="H390" s="1">
        <v>-5.0000000000000001E-4</v>
      </c>
      <c r="I390" s="1">
        <v>-2.0000000000000001E-4</v>
      </c>
      <c r="J390" s="1">
        <v>2.0331000000000001</v>
      </c>
      <c r="K390" s="1">
        <v>-2.0100000000000001E-3</v>
      </c>
      <c r="L390" s="1">
        <v>2.447E-3</v>
      </c>
      <c r="M390" s="1">
        <v>0.64074500000000001</v>
      </c>
      <c r="N390" s="1">
        <v>0.76774699999999996</v>
      </c>
      <c r="O390">
        <v>1</v>
      </c>
      <c r="P390">
        <v>0</v>
      </c>
      <c r="Q390">
        <v>1</v>
      </c>
      <c r="R390">
        <v>1</v>
      </c>
      <c r="S390">
        <v>1</v>
      </c>
      <c r="T390" s="1">
        <f>SQRT(POWER(Plank[[#This Row],[angvel_X]],2) + POWER(Plank[[#This Row],[angvel_Y]],2) + POWER(Plank[[#This Row],[angvel_Z]],2))</f>
        <v>2.0331000713196588</v>
      </c>
      <c r="U390" s="1">
        <f>DEGREES(ASIN(MAX(-1,MIN(1,2 * (Plank[[#This Row],[quart_W]]*Plank[[#This Row],[quart_Y]] - Plank[[#This Row],[quart_Z]]*Plank[[#This Row],[quart_X]])))))</f>
        <v>0.36286511827674506</v>
      </c>
      <c r="V39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10.304725141672595</v>
      </c>
      <c r="W39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89.997165916863793</v>
      </c>
      <c r="X390" s="1">
        <f>IF(Plank[[#This Row],[Yaw]]&gt;V389,(360-ABS(Plank[[#This Row],[Yaw]])-ABS(V389)),ABS(Plank[[#This Row],[Yaw]]-V389))</f>
        <v>0.97093364794829462</v>
      </c>
      <c r="Y390" s="1">
        <f>Plank[[#This Row],[Degree change]]+Y389</f>
        <v>318.84575948373953</v>
      </c>
    </row>
    <row r="391" spans="1:25">
      <c r="A391">
        <v>390</v>
      </c>
      <c r="B391" s="1">
        <v>345.459991</v>
      </c>
      <c r="C391" s="1">
        <v>1263.1999510000001</v>
      </c>
      <c r="D391" s="1">
        <v>18.639999</v>
      </c>
      <c r="E391" s="1">
        <v>514.92999299999997</v>
      </c>
      <c r="F391" s="1">
        <v>2241.5998540000001</v>
      </c>
      <c r="G391" s="1">
        <v>8.1799990000000005</v>
      </c>
      <c r="H391" s="1">
        <v>-5.0000000000000001E-4</v>
      </c>
      <c r="I391" s="1">
        <v>-2.0000000000000001E-4</v>
      </c>
      <c r="J391" s="1">
        <v>2.0331000000000001</v>
      </c>
      <c r="K391" s="1">
        <v>-2.0309999999999998E-3</v>
      </c>
      <c r="L391" s="1">
        <v>2.4299999999999999E-3</v>
      </c>
      <c r="M391" s="1">
        <v>0.64722400000000002</v>
      </c>
      <c r="N391" s="1">
        <v>0.762293</v>
      </c>
      <c r="O391">
        <v>1</v>
      </c>
      <c r="P391">
        <v>0</v>
      </c>
      <c r="Q391">
        <v>1</v>
      </c>
      <c r="R391">
        <v>1</v>
      </c>
      <c r="S391">
        <v>1</v>
      </c>
      <c r="T391" s="1">
        <f>SQRT(POWER(Plank[[#This Row],[angvel_X]],2) + POWER(Plank[[#This Row],[angvel_Y]],2) + POWER(Plank[[#This Row],[angvel_Z]],2))</f>
        <v>2.0331000713196588</v>
      </c>
      <c r="U391" s="1">
        <f>DEGREES(ASIN(MAX(-1,MIN(1,2 * (Plank[[#This Row],[quart_W]]*Plank[[#This Row],[quart_Y]] - Plank[[#This Row],[quart_Z]]*Plank[[#This Row],[quart_X]])))))</f>
        <v>0.36290059367014449</v>
      </c>
      <c r="V39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9.3342489373081072</v>
      </c>
      <c r="W39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89.997188183355973</v>
      </c>
      <c r="X391" s="1">
        <f>IF(Plank[[#This Row],[Yaw]]&gt;V390,(360-ABS(Plank[[#This Row],[Yaw]])-ABS(V390)),ABS(Plank[[#This Row],[Yaw]]-V390))</f>
        <v>0.97047620436448767</v>
      </c>
      <c r="Y391" s="1">
        <f>Plank[[#This Row],[Degree change]]+Y390</f>
        <v>319.81623568810403</v>
      </c>
    </row>
    <row r="392" spans="1:25">
      <c r="A392">
        <v>391</v>
      </c>
      <c r="B392" s="1">
        <v>349.75997899999999</v>
      </c>
      <c r="C392" s="1">
        <v>1281.9499510000001</v>
      </c>
      <c r="D392" s="1">
        <v>18.639999</v>
      </c>
      <c r="E392" s="1">
        <v>476.879974</v>
      </c>
      <c r="F392" s="1">
        <v>2250</v>
      </c>
      <c r="G392" s="1">
        <v>8.1799990000000005</v>
      </c>
      <c r="H392" s="1">
        <v>-5.0000000000000001E-4</v>
      </c>
      <c r="I392" s="1">
        <v>-2.0000000000000001E-4</v>
      </c>
      <c r="J392" s="1">
        <v>2.0331000000000001</v>
      </c>
      <c r="K392" s="1">
        <v>-2.0530000000000001E-3</v>
      </c>
      <c r="L392" s="1">
        <v>2.4139999999999999E-3</v>
      </c>
      <c r="M392" s="1">
        <v>0.65366000000000002</v>
      </c>
      <c r="N392" s="1">
        <v>0.75678100000000004</v>
      </c>
      <c r="O392">
        <v>1</v>
      </c>
      <c r="P392">
        <v>0</v>
      </c>
      <c r="Q392">
        <v>1</v>
      </c>
      <c r="R392">
        <v>1</v>
      </c>
      <c r="S392">
        <v>1</v>
      </c>
      <c r="T392" s="1">
        <f>SQRT(POWER(Plank[[#This Row],[angvel_X]],2) + POWER(Plank[[#This Row],[angvel_Y]],2) + POWER(Plank[[#This Row],[angvel_Z]],2))</f>
        <v>2.0331000713196588</v>
      </c>
      <c r="U392" s="1">
        <f>DEGREES(ASIN(MAX(-1,MIN(1,2 * (Plank[[#This Row],[quart_W]]*Plank[[#This Row],[quart_Y]] - Plank[[#This Row],[quart_Z]]*Plank[[#This Row],[quart_X]])))))</f>
        <v>0.36312398064704732</v>
      </c>
      <c r="V39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8.3632580195540136</v>
      </c>
      <c r="W39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89.997219512102021</v>
      </c>
      <c r="X392" s="1">
        <f>IF(Plank[[#This Row],[Yaw]]&gt;V391,(360-ABS(Plank[[#This Row],[Yaw]])-ABS(V391)),ABS(Plank[[#This Row],[Yaw]]-V391))</f>
        <v>0.97099091775409363</v>
      </c>
      <c r="Y392" s="1">
        <f>Plank[[#This Row],[Degree change]]+Y391</f>
        <v>320.78722660585811</v>
      </c>
    </row>
    <row r="393" spans="1:25">
      <c r="A393">
        <v>392</v>
      </c>
      <c r="B393" s="1">
        <v>353.73998999999998</v>
      </c>
      <c r="C393" s="1">
        <v>1300.7700199999999</v>
      </c>
      <c r="D393" s="1">
        <v>18.639999</v>
      </c>
      <c r="E393" s="1">
        <v>438.69000199999999</v>
      </c>
      <c r="F393" s="1">
        <v>2257.76001</v>
      </c>
      <c r="G393" s="1">
        <v>8.1799990000000005</v>
      </c>
      <c r="H393" s="1">
        <v>-5.0000000000000001E-4</v>
      </c>
      <c r="I393" s="1">
        <v>-2.0000000000000001E-4</v>
      </c>
      <c r="J393" s="1">
        <v>2.0331000000000001</v>
      </c>
      <c r="K393" s="1">
        <v>-2.0739999999999999E-3</v>
      </c>
      <c r="L393" s="1">
        <v>2.398E-3</v>
      </c>
      <c r="M393" s="1">
        <v>0.66004799999999997</v>
      </c>
      <c r="N393" s="1">
        <v>0.75121700000000002</v>
      </c>
      <c r="O393">
        <v>1</v>
      </c>
      <c r="P393">
        <v>0</v>
      </c>
      <c r="Q393">
        <v>1</v>
      </c>
      <c r="R393">
        <v>1</v>
      </c>
      <c r="S393">
        <v>1</v>
      </c>
      <c r="T393" s="1">
        <f>SQRT(POWER(Plank[[#This Row],[angvel_X]],2) + POWER(Plank[[#This Row],[angvel_Y]],2) + POWER(Plank[[#This Row],[angvel_Z]],2))</f>
        <v>2.0331000713196588</v>
      </c>
      <c r="U393" s="1">
        <f>DEGREES(ASIN(MAX(-1,MIN(1,2 * (Plank[[#This Row],[quart_W]]*Plank[[#This Row],[quart_Y]] - Plank[[#This Row],[quart_Z]]*Plank[[#This Row],[quart_X]])))))</f>
        <v>0.36329869090673617</v>
      </c>
      <c r="V39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7.3924151112019159</v>
      </c>
      <c r="W39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89.997161390155753</v>
      </c>
      <c r="X393" s="1">
        <f>IF(Plank[[#This Row],[Yaw]]&gt;V392,(360-ABS(Plank[[#This Row],[Yaw]])-ABS(V392)),ABS(Plank[[#This Row],[Yaw]]-V392))</f>
        <v>0.97084290835209774</v>
      </c>
      <c r="Y393" s="1">
        <f>Plank[[#This Row],[Degree change]]+Y392</f>
        <v>321.75806951421021</v>
      </c>
    </row>
    <row r="394" spans="1:25">
      <c r="A394">
        <v>393</v>
      </c>
      <c r="B394" s="1">
        <v>357.39999399999999</v>
      </c>
      <c r="C394" s="1">
        <v>1319.650024</v>
      </c>
      <c r="D394" s="1">
        <v>18.639999</v>
      </c>
      <c r="E394" s="1">
        <v>400.36999500000002</v>
      </c>
      <c r="F394" s="1">
        <v>2264.8598630000001</v>
      </c>
      <c r="G394" s="1">
        <v>8.1799990000000005</v>
      </c>
      <c r="H394" s="1">
        <v>-4.0000000000000002E-4</v>
      </c>
      <c r="I394" s="1">
        <v>-2.0000000000000001E-4</v>
      </c>
      <c r="J394" s="1">
        <v>2.0331000000000001</v>
      </c>
      <c r="K394" s="1">
        <v>-2.0960000000000002E-3</v>
      </c>
      <c r="L394" s="1">
        <v>2.382E-3</v>
      </c>
      <c r="M394" s="1">
        <v>0.66638699999999995</v>
      </c>
      <c r="N394" s="1">
        <v>0.74560000000000004</v>
      </c>
      <c r="O394">
        <v>1</v>
      </c>
      <c r="P394">
        <v>0</v>
      </c>
      <c r="Q394">
        <v>1</v>
      </c>
      <c r="R394">
        <v>1</v>
      </c>
      <c r="S394">
        <v>1</v>
      </c>
      <c r="T394" s="1">
        <f>SQRT(POWER(Plank[[#This Row],[angvel_X]],2) + POWER(Plank[[#This Row],[angvel_Y]],2) + POWER(Plank[[#This Row],[angvel_Z]],2))</f>
        <v>2.0331000491859714</v>
      </c>
      <c r="U394" s="1">
        <f>DEGREES(ASIN(MAX(-1,MIN(1,2 * (Plank[[#This Row],[quart_W]]*Plank[[#This Row],[quart_Y]] - Plank[[#This Row],[quart_Z]]*Plank[[#This Row],[quart_X]])))))</f>
        <v>0.36357468266595921</v>
      </c>
      <c r="V39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6.4218286182126372</v>
      </c>
      <c r="W39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89.997186006206647</v>
      </c>
      <c r="X394" s="1">
        <f>IF(Plank[[#This Row],[Yaw]]&gt;V393,(360-ABS(Plank[[#This Row],[Yaw]])-ABS(V393)),ABS(Plank[[#This Row],[Yaw]]-V393))</f>
        <v>0.97058649298927868</v>
      </c>
      <c r="Y394" s="1">
        <f>Plank[[#This Row],[Degree change]]+Y393</f>
        <v>322.7286560071995</v>
      </c>
    </row>
    <row r="395" spans="1:25">
      <c r="A395">
        <v>394</v>
      </c>
      <c r="B395" s="1">
        <v>360.73998999999998</v>
      </c>
      <c r="C395" s="1">
        <v>1338.589966</v>
      </c>
      <c r="D395" s="1">
        <v>18.639999</v>
      </c>
      <c r="E395" s="1">
        <v>361.94000199999999</v>
      </c>
      <c r="F395" s="1">
        <v>2271.320068</v>
      </c>
      <c r="G395" s="1">
        <v>8.1799990000000005</v>
      </c>
      <c r="H395" s="1">
        <v>-2.9999999999999997E-4</v>
      </c>
      <c r="I395" s="1">
        <v>-2.0000000000000001E-4</v>
      </c>
      <c r="J395" s="1">
        <v>2.0331000000000001</v>
      </c>
      <c r="K395" s="1">
        <v>-2.117E-3</v>
      </c>
      <c r="L395" s="1">
        <v>2.366E-3</v>
      </c>
      <c r="M395" s="1">
        <v>0.67267699999999997</v>
      </c>
      <c r="N395" s="1">
        <v>0.73992899999999995</v>
      </c>
      <c r="O395">
        <v>1</v>
      </c>
      <c r="P395">
        <v>0</v>
      </c>
      <c r="Q395">
        <v>1</v>
      </c>
      <c r="R395">
        <v>1</v>
      </c>
      <c r="S395">
        <v>1</v>
      </c>
      <c r="T395" s="1">
        <f>SQRT(POWER(Plank[[#This Row],[angvel_X]],2) + POWER(Plank[[#This Row],[angvel_Y]],2) + POWER(Plank[[#This Row],[angvel_Z]],2))</f>
        <v>2.0331000319708816</v>
      </c>
      <c r="U395" s="1">
        <f>DEGREES(ASIN(MAX(-1,MIN(1,2 * (Plank[[#This Row],[quart_W]]*Plank[[#This Row],[quart_Y]] - Plank[[#This Row],[quart_Z]]*Plank[[#This Row],[quart_X]])))))</f>
        <v>0.36379961564541596</v>
      </c>
      <c r="V39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5.4514396604509487</v>
      </c>
      <c r="W39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89.997120933434857</v>
      </c>
      <c r="X395" s="1">
        <f>IF(Plank[[#This Row],[Yaw]]&gt;V394,(360-ABS(Plank[[#This Row],[Yaw]])-ABS(V394)),ABS(Plank[[#This Row],[Yaw]]-V394))</f>
        <v>0.97038895776168843</v>
      </c>
      <c r="Y395" s="1">
        <f>Plank[[#This Row],[Degree change]]+Y394</f>
        <v>323.69904496496122</v>
      </c>
    </row>
    <row r="396" spans="1:25">
      <c r="A396">
        <v>395</v>
      </c>
      <c r="B396" s="1">
        <v>363.75997899999999</v>
      </c>
      <c r="C396" s="1">
        <v>1357.589966</v>
      </c>
      <c r="D396" s="1">
        <v>18.639999</v>
      </c>
      <c r="E396" s="1">
        <v>323.41000400000001</v>
      </c>
      <c r="F396" s="1">
        <v>2277.1298830000001</v>
      </c>
      <c r="G396" s="1">
        <v>8.1799990000000005</v>
      </c>
      <c r="H396" s="1">
        <v>-2.9999999999999997E-4</v>
      </c>
      <c r="I396" s="1">
        <v>-2.0000000000000001E-4</v>
      </c>
      <c r="J396" s="1">
        <v>2.0331000000000001</v>
      </c>
      <c r="K396" s="1">
        <v>-2.1389999999999998E-3</v>
      </c>
      <c r="L396" s="1">
        <v>2.349E-3</v>
      </c>
      <c r="M396" s="1">
        <v>0.67891900000000005</v>
      </c>
      <c r="N396" s="1">
        <v>0.73420600000000003</v>
      </c>
      <c r="O396">
        <v>1</v>
      </c>
      <c r="P396">
        <v>0</v>
      </c>
      <c r="Q396">
        <v>1</v>
      </c>
      <c r="R396">
        <v>1</v>
      </c>
      <c r="S396">
        <v>1</v>
      </c>
      <c r="T396" s="1">
        <f>SQRT(POWER(Plank[[#This Row],[angvel_X]],2) + POWER(Plank[[#This Row],[angvel_Y]],2) + POWER(Plank[[#This Row],[angvel_Z]],2))</f>
        <v>2.0331000319708816</v>
      </c>
      <c r="U396" s="1">
        <f>DEGREES(ASIN(MAX(-1,MIN(1,2 * (Plank[[#This Row],[quart_W]]*Plank[[#This Row],[quart_Y]] - Plank[[#This Row],[quart_Z]]*Plank[[#This Row],[quart_X]])))))</f>
        <v>0.36404351861464246</v>
      </c>
      <c r="V39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4.481003186861912</v>
      </c>
      <c r="W39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89.9972137534768</v>
      </c>
      <c r="X396" s="1">
        <f>IF(Plank[[#This Row],[Yaw]]&gt;V395,(360-ABS(Plank[[#This Row],[Yaw]])-ABS(V395)),ABS(Plank[[#This Row],[Yaw]]-V395))</f>
        <v>0.97043647358903673</v>
      </c>
      <c r="Y396" s="1">
        <f>Plank[[#This Row],[Degree change]]+Y395</f>
        <v>324.66948143855024</v>
      </c>
    </row>
    <row r="397" spans="1:25">
      <c r="A397">
        <v>396</v>
      </c>
      <c r="B397" s="1">
        <v>366.459991</v>
      </c>
      <c r="C397" s="1">
        <v>1376.630005</v>
      </c>
      <c r="D397" s="1">
        <v>18.639999</v>
      </c>
      <c r="E397" s="1">
        <v>284.790009</v>
      </c>
      <c r="F397" s="1">
        <v>2282.280029</v>
      </c>
      <c r="G397" s="1">
        <v>8.1799990000000005</v>
      </c>
      <c r="H397" s="1">
        <v>-2.0000000000000001E-4</v>
      </c>
      <c r="I397" s="1">
        <v>-2.9999999999999997E-4</v>
      </c>
      <c r="J397" s="1">
        <v>2.0331000000000001</v>
      </c>
      <c r="K397" s="1">
        <v>-2.1610000000000002E-3</v>
      </c>
      <c r="L397" s="1">
        <v>2.333E-3</v>
      </c>
      <c r="M397" s="1">
        <v>0.68511200000000005</v>
      </c>
      <c r="N397" s="1">
        <v>0.72843100000000005</v>
      </c>
      <c r="O397">
        <v>1</v>
      </c>
      <c r="P397">
        <v>0</v>
      </c>
      <c r="Q397">
        <v>1</v>
      </c>
      <c r="R397">
        <v>1</v>
      </c>
      <c r="S397">
        <v>1</v>
      </c>
      <c r="T397" s="1">
        <f>SQRT(POWER(Plank[[#This Row],[angvel_X]],2) + POWER(Plank[[#This Row],[angvel_Y]],2) + POWER(Plank[[#This Row],[angvel_Z]],2))</f>
        <v>2.0331000319708816</v>
      </c>
      <c r="U397" s="1">
        <f>DEGREES(ASIN(MAX(-1,MIN(1,2 * (Plank[[#This Row],[quart_W]]*Plank[[#This Row],[quart_Y]] - Plank[[#This Row],[quart_Z]]*Plank[[#This Row],[quart_X]])))))</f>
        <v>0.36439863586379484</v>
      </c>
      <c r="V39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3.5106133591375563</v>
      </c>
      <c r="W39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89.997223745036365</v>
      </c>
      <c r="X397" s="1">
        <f>IF(Plank[[#This Row],[Yaw]]&gt;V396,(360-ABS(Plank[[#This Row],[Yaw]])-ABS(V396)),ABS(Plank[[#This Row],[Yaw]]-V396))</f>
        <v>0.97038982772435567</v>
      </c>
      <c r="Y397" s="1">
        <f>Plank[[#This Row],[Degree change]]+Y396</f>
        <v>325.63987126627461</v>
      </c>
    </row>
    <row r="398" spans="1:25">
      <c r="A398">
        <v>397</v>
      </c>
      <c r="B398" s="1">
        <v>368.83999599999999</v>
      </c>
      <c r="C398" s="1">
        <v>1395.719971</v>
      </c>
      <c r="D398" s="1">
        <v>18.639999</v>
      </c>
      <c r="E398" s="1">
        <v>246.08999600000001</v>
      </c>
      <c r="F398" s="1">
        <v>2286.780029</v>
      </c>
      <c r="G398" s="1">
        <v>8.1799990000000005</v>
      </c>
      <c r="H398" s="1">
        <v>-1E-4</v>
      </c>
      <c r="I398" s="1">
        <v>-2.9999999999999997E-4</v>
      </c>
      <c r="J398" s="1">
        <v>2.0331000000000001</v>
      </c>
      <c r="K398" s="1">
        <v>-2.1819999999999999E-3</v>
      </c>
      <c r="L398" s="1">
        <v>2.317E-3</v>
      </c>
      <c r="M398" s="1">
        <v>0.69125700000000001</v>
      </c>
      <c r="N398" s="1">
        <v>0.72260199999999997</v>
      </c>
      <c r="O398">
        <v>1</v>
      </c>
      <c r="P398">
        <v>0</v>
      </c>
      <c r="Q398">
        <v>1</v>
      </c>
      <c r="R398">
        <v>1</v>
      </c>
      <c r="S398">
        <v>1</v>
      </c>
      <c r="T398" s="1">
        <f>SQRT(POWER(Plank[[#This Row],[angvel_X]],2) + POWER(Plank[[#This Row],[angvel_Y]],2) + POWER(Plank[[#This Row],[angvel_Z]],2))</f>
        <v>2.033100024592986</v>
      </c>
      <c r="U398" s="1">
        <f>DEGREES(ASIN(MAX(-1,MIN(1,2 * (Plank[[#This Row],[quart_W]]*Plank[[#This Row],[quart_Y]] - Plank[[#This Row],[quart_Z]]*Plank[[#This Row],[quart_X]])))))</f>
        <v>0.36470059680723788</v>
      </c>
      <c r="V39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2.540047943393247</v>
      </c>
      <c r="W39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89.997143758414595</v>
      </c>
      <c r="X398" s="1">
        <f>IF(Plank[[#This Row],[Yaw]]&gt;V397,(360-ABS(Plank[[#This Row],[Yaw]])-ABS(V397)),ABS(Plank[[#This Row],[Yaw]]-V397))</f>
        <v>0.97056541574430932</v>
      </c>
      <c r="Y398" s="1">
        <f>Plank[[#This Row],[Degree change]]+Y397</f>
        <v>326.61043668201893</v>
      </c>
    </row>
    <row r="399" spans="1:25">
      <c r="A399">
        <v>398</v>
      </c>
      <c r="B399" s="1">
        <v>370.88998400000003</v>
      </c>
      <c r="C399" s="1">
        <v>1414.849976</v>
      </c>
      <c r="D399" s="1">
        <v>18.639999</v>
      </c>
      <c r="E399" s="1">
        <v>207.31999200000001</v>
      </c>
      <c r="F399" s="1">
        <v>2290.6198730000001</v>
      </c>
      <c r="G399" s="1">
        <v>8.1799990000000005</v>
      </c>
      <c r="H399" s="1">
        <v>0</v>
      </c>
      <c r="I399" s="1">
        <v>-2.9999999999999997E-4</v>
      </c>
      <c r="J399" s="1">
        <v>2.0331000000000001</v>
      </c>
      <c r="K399" s="1">
        <v>-2.2039999999999998E-3</v>
      </c>
      <c r="L399" s="1">
        <v>2.2950000000000002E-3</v>
      </c>
      <c r="M399" s="1">
        <v>0.697353</v>
      </c>
      <c r="N399" s="1">
        <v>0.71672100000000005</v>
      </c>
      <c r="O399">
        <v>1</v>
      </c>
      <c r="P399">
        <v>0</v>
      </c>
      <c r="Q399">
        <v>1</v>
      </c>
      <c r="R399">
        <v>1</v>
      </c>
      <c r="S399">
        <v>1</v>
      </c>
      <c r="T399" s="1">
        <f>SQRT(POWER(Plank[[#This Row],[angvel_X]],2) + POWER(Plank[[#This Row],[angvel_Y]],2) + POWER(Plank[[#This Row],[angvel_Z]],2))</f>
        <v>2.0331000221336875</v>
      </c>
      <c r="U399" s="1">
        <f>DEGREES(ASIN(MAX(-1,MIN(1,2 * (Plank[[#This Row],[quart_W]]*Plank[[#This Row],[quart_Y]] - Plank[[#This Row],[quart_Z]]*Plank[[#This Row],[quart_X]])))))</f>
        <v>0.36461454814821254</v>
      </c>
      <c r="V39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1.5693900519732642</v>
      </c>
      <c r="W39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89.99761965009273</v>
      </c>
      <c r="X399" s="1">
        <f>IF(Plank[[#This Row],[Yaw]]&gt;V398,(360-ABS(Plank[[#This Row],[Yaw]])-ABS(V398)),ABS(Plank[[#This Row],[Yaw]]-V398))</f>
        <v>0.97065789141998282</v>
      </c>
      <c r="Y399" s="1">
        <f>Plank[[#This Row],[Degree change]]+Y398</f>
        <v>327.58109457343892</v>
      </c>
    </row>
    <row r="400" spans="1:25">
      <c r="A400">
        <v>399</v>
      </c>
      <c r="B400" s="1">
        <v>372.61999500000002</v>
      </c>
      <c r="C400" s="1">
        <v>1434.01001</v>
      </c>
      <c r="D400" s="1">
        <v>18.639999</v>
      </c>
      <c r="E400" s="1">
        <v>168.48999000000001</v>
      </c>
      <c r="F400" s="1">
        <v>2293.8000489999999</v>
      </c>
      <c r="G400" s="1">
        <v>8.1799990000000005</v>
      </c>
      <c r="H400" s="1">
        <v>0</v>
      </c>
      <c r="I400" s="1">
        <v>-2.9999999999999997E-4</v>
      </c>
      <c r="J400" s="1">
        <v>2.0331000000000001</v>
      </c>
      <c r="K400" s="1">
        <v>-2.225E-3</v>
      </c>
      <c r="L400" s="1">
        <v>2.274E-3</v>
      </c>
      <c r="M400" s="1">
        <v>0.70340000000000003</v>
      </c>
      <c r="N400" s="1">
        <v>0.71078699999999995</v>
      </c>
      <c r="O400">
        <v>1</v>
      </c>
      <c r="P400">
        <v>0</v>
      </c>
      <c r="Q400">
        <v>1</v>
      </c>
      <c r="R400">
        <v>1</v>
      </c>
      <c r="S400">
        <v>1</v>
      </c>
      <c r="T400" s="1">
        <f>SQRT(POWER(Plank[[#This Row],[angvel_X]],2) + POWER(Plank[[#This Row],[angvel_Y]],2) + POWER(Plank[[#This Row],[angvel_Z]],2))</f>
        <v>2.0331000221336875</v>
      </c>
      <c r="U400" s="1">
        <f>DEGREES(ASIN(MAX(-1,MIN(1,2 * (Plank[[#This Row],[quart_W]]*Plank[[#This Row],[quart_Y]] - Plank[[#This Row],[quart_Z]]*Plank[[#This Row],[quart_X]])))))</f>
        <v>0.36456343137118002</v>
      </c>
      <c r="V40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0.59856562745091968</v>
      </c>
      <c r="W40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89.997933812204408</v>
      </c>
      <c r="X400" s="1">
        <f>IF(Plank[[#This Row],[Yaw]]&gt;V399,(360-ABS(Plank[[#This Row],[Yaw]])-ABS(V399)),ABS(Plank[[#This Row],[Yaw]]-V399))</f>
        <v>0.97082442452234452</v>
      </c>
      <c r="Y400" s="1">
        <f>Plank[[#This Row],[Degree change]]+Y399</f>
        <v>328.55191899796125</v>
      </c>
    </row>
    <row r="401" spans="1:25">
      <c r="A401">
        <v>400</v>
      </c>
      <c r="B401" s="1">
        <v>374.01998900000001</v>
      </c>
      <c r="C401" s="1">
        <v>1453.1899410000001</v>
      </c>
      <c r="D401" s="1">
        <v>18.639999</v>
      </c>
      <c r="E401" s="1">
        <v>129.61000100000001</v>
      </c>
      <c r="F401" s="1">
        <v>2296.3298340000001</v>
      </c>
      <c r="G401" s="1">
        <v>8.1799990000000005</v>
      </c>
      <c r="H401" s="1">
        <v>0</v>
      </c>
      <c r="I401" s="1">
        <v>-2.9999999999999997E-4</v>
      </c>
      <c r="J401" s="1">
        <v>2.0331000000000001</v>
      </c>
      <c r="K401" s="1">
        <v>-2.2469999999999999E-3</v>
      </c>
      <c r="L401" s="1">
        <v>2.2520000000000001E-3</v>
      </c>
      <c r="M401" s="1">
        <v>0.70939600000000003</v>
      </c>
      <c r="N401" s="1">
        <v>0.70480299999999996</v>
      </c>
      <c r="O401">
        <v>1</v>
      </c>
      <c r="P401">
        <v>0</v>
      </c>
      <c r="Q401">
        <v>1</v>
      </c>
      <c r="R401">
        <v>1</v>
      </c>
      <c r="S401">
        <v>1</v>
      </c>
      <c r="T401" s="1">
        <f>SQRT(POWER(Plank[[#This Row],[angvel_X]],2) + POWER(Plank[[#This Row],[angvel_Y]],2) + POWER(Plank[[#This Row],[angvel_Z]],2))</f>
        <v>2.0331000221336875</v>
      </c>
      <c r="U401" s="1">
        <f>DEGREES(ASIN(MAX(-1,MIN(1,2 * (Plank[[#This Row],[quart_W]]*Plank[[#This Row],[quart_Y]] - Plank[[#This Row],[quart_Z]]*Plank[[#This Row],[quart_X]])))))</f>
        <v>0.36454446952208808</v>
      </c>
      <c r="V40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-0.37217558254997907</v>
      </c>
      <c r="W40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89.998410875005078</v>
      </c>
      <c r="X401" s="1">
        <f>IF(Plank[[#This Row],[Yaw]]&gt;V400,(360-ABS(Plank[[#This Row],[Yaw]])-ABS(V400)),ABS(Plank[[#This Row],[Yaw]]-V400))</f>
        <v>0.97074121000089875</v>
      </c>
      <c r="Y401" s="1">
        <f>Plank[[#This Row],[Degree change]]+Y400</f>
        <v>329.52266020796213</v>
      </c>
    </row>
    <row r="402" spans="1:25">
      <c r="A402">
        <v>401</v>
      </c>
      <c r="B402" s="1">
        <v>375.10000600000001</v>
      </c>
      <c r="C402" s="1">
        <v>1472.3900149999999</v>
      </c>
      <c r="D402" s="1">
        <v>18.639999</v>
      </c>
      <c r="E402" s="1">
        <v>90.689994999999996</v>
      </c>
      <c r="F402" s="1">
        <v>2298.1899410000001</v>
      </c>
      <c r="G402" s="1">
        <v>8.1799990000000005</v>
      </c>
      <c r="H402" s="1">
        <v>0</v>
      </c>
      <c r="I402" s="1">
        <v>-2.9999999999999997E-4</v>
      </c>
      <c r="J402" s="1">
        <v>2.0331000000000001</v>
      </c>
      <c r="K402" s="1">
        <v>-2.2690000000000002E-3</v>
      </c>
      <c r="L402" s="1">
        <v>2.2309999999999999E-3</v>
      </c>
      <c r="M402" s="1">
        <v>0.71534299999999995</v>
      </c>
      <c r="N402" s="1">
        <v>0.698766</v>
      </c>
      <c r="O402">
        <v>1</v>
      </c>
      <c r="P402">
        <v>0</v>
      </c>
      <c r="Q402">
        <v>1</v>
      </c>
      <c r="R402">
        <v>1</v>
      </c>
      <c r="S402">
        <v>1</v>
      </c>
      <c r="T402" s="1">
        <f>SQRT(POWER(Plank[[#This Row],[angvel_X]],2) + POWER(Plank[[#This Row],[angvel_Y]],2) + POWER(Plank[[#This Row],[angvel_Z]],2))</f>
        <v>2.0331000221336875</v>
      </c>
      <c r="U402" s="1">
        <f>DEGREES(ASIN(MAX(-1,MIN(1,2 * (Plank[[#This Row],[quart_W]]*Plank[[#This Row],[quart_Y]] - Plank[[#This Row],[quart_Z]]*Plank[[#This Row],[quart_X]])))))</f>
        <v>0.3646397021923331</v>
      </c>
      <c r="V40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-1.3432308204585062</v>
      </c>
      <c r="W40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89.998804765322404</v>
      </c>
      <c r="X402" s="1">
        <f>IF(Plank[[#This Row],[Yaw]]&gt;V401,(360-ABS(Plank[[#This Row],[Yaw]])-ABS(V401)),ABS(Plank[[#This Row],[Yaw]]-V401))</f>
        <v>0.9710552379085271</v>
      </c>
      <c r="Y402" s="1">
        <f>Plank[[#This Row],[Degree change]]+Y401</f>
        <v>330.49371544587063</v>
      </c>
    </row>
    <row r="403" spans="1:25">
      <c r="A403">
        <v>402</v>
      </c>
      <c r="B403" s="1">
        <v>375.85000600000001</v>
      </c>
      <c r="C403" s="1">
        <v>1491.6099850000001</v>
      </c>
      <c r="D403" s="1">
        <v>18.639999</v>
      </c>
      <c r="E403" s="1">
        <v>51.739998</v>
      </c>
      <c r="F403" s="1">
        <v>2299.3999020000001</v>
      </c>
      <c r="G403" s="1">
        <v>8.1799990000000005</v>
      </c>
      <c r="H403" s="1">
        <v>0</v>
      </c>
      <c r="I403" s="1">
        <v>-2.0000000000000001E-4</v>
      </c>
      <c r="J403" s="1">
        <v>2.0331000000000001</v>
      </c>
      <c r="K403" s="1">
        <v>-2.2899999999999999E-3</v>
      </c>
      <c r="L403" s="1">
        <v>2.209E-3</v>
      </c>
      <c r="M403" s="1">
        <v>0.72123700000000002</v>
      </c>
      <c r="N403" s="1">
        <v>0.69268099999999999</v>
      </c>
      <c r="O403">
        <v>1</v>
      </c>
      <c r="P403">
        <v>0</v>
      </c>
      <c r="Q403">
        <v>1</v>
      </c>
      <c r="R403">
        <v>1</v>
      </c>
      <c r="S403">
        <v>1</v>
      </c>
      <c r="T403" s="1">
        <f>SQRT(POWER(Plank[[#This Row],[angvel_X]],2) + POWER(Plank[[#This Row],[angvel_Y]],2) + POWER(Plank[[#This Row],[angvel_Z]],2))</f>
        <v>2.0331000098371943</v>
      </c>
      <c r="U403" s="1">
        <f>DEGREES(ASIN(MAX(-1,MIN(1,2 * (Plank[[#This Row],[quart_W]]*Plank[[#This Row],[quart_Y]] - Plank[[#This Row],[quart_Z]]*Plank[[#This Row],[quart_X]])))))</f>
        <v>0.36460587935042987</v>
      </c>
      <c r="V40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-2.3140149528422707</v>
      </c>
      <c r="W40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89.999200931952345</v>
      </c>
      <c r="X403" s="1">
        <f>IF(Plank[[#This Row],[Yaw]]&gt;V402,(360-ABS(Plank[[#This Row],[Yaw]])-ABS(V402)),ABS(Plank[[#This Row],[Yaw]]-V402))</f>
        <v>0.97078413238376449</v>
      </c>
      <c r="Y403" s="1">
        <f>Plank[[#This Row],[Degree change]]+Y402</f>
        <v>331.46449957825439</v>
      </c>
    </row>
    <row r="404" spans="1:25">
      <c r="A404">
        <v>403</v>
      </c>
      <c r="B404" s="1">
        <v>376.27999899999998</v>
      </c>
      <c r="C404" s="1">
        <v>1510.839966</v>
      </c>
      <c r="D404" s="1">
        <v>18.639999</v>
      </c>
      <c r="E404" s="1">
        <v>12.78</v>
      </c>
      <c r="F404" s="1">
        <v>2299.9499510000001</v>
      </c>
      <c r="G404" s="1">
        <v>8.1799990000000005</v>
      </c>
      <c r="H404" s="1">
        <v>0</v>
      </c>
      <c r="I404" s="1">
        <v>-1E-4</v>
      </c>
      <c r="J404" s="1">
        <v>2.0331000000000001</v>
      </c>
      <c r="K404" s="1">
        <v>-2.3119999999999998E-3</v>
      </c>
      <c r="L404" s="1">
        <v>2.1879999999999998E-3</v>
      </c>
      <c r="M404" s="1">
        <v>0.727078</v>
      </c>
      <c r="N404" s="1">
        <v>0.68654700000000002</v>
      </c>
      <c r="O404">
        <v>1</v>
      </c>
      <c r="P404">
        <v>0</v>
      </c>
      <c r="Q404">
        <v>1</v>
      </c>
      <c r="R404">
        <v>1</v>
      </c>
      <c r="S404">
        <v>1</v>
      </c>
      <c r="T404" s="1">
        <f>SQRT(POWER(Plank[[#This Row],[angvel_X]],2) + POWER(Plank[[#This Row],[angvel_Y]],2) + POWER(Plank[[#This Row],[angvel_Z]],2))</f>
        <v>2.0331000024592987</v>
      </c>
      <c r="U404" s="1">
        <f>DEGREES(ASIN(MAX(-1,MIN(1,2 * (Plank[[#This Row],[quart_W]]*Plank[[#This Row],[quart_Y]] - Plank[[#This Row],[quart_Z]]*Plank[[#This Row],[quart_X]])))))</f>
        <v>0.36476678210745933</v>
      </c>
      <c r="V40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-3.2845955494970034</v>
      </c>
      <c r="W40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89.999593191721345</v>
      </c>
      <c r="X404" s="1">
        <f>IF(Plank[[#This Row],[Yaw]]&gt;V403,(360-ABS(Plank[[#This Row],[Yaw]])-ABS(V403)),ABS(Plank[[#This Row],[Yaw]]-V403))</f>
        <v>0.97058059665473273</v>
      </c>
      <c r="Y404" s="1">
        <f>Plank[[#This Row],[Degree change]]+Y403</f>
        <v>332.4350801749091</v>
      </c>
    </row>
    <row r="405" spans="1:25">
      <c r="A405">
        <v>404</v>
      </c>
      <c r="B405" s="1">
        <v>376.38000499999998</v>
      </c>
      <c r="C405" s="1">
        <v>1530.079956</v>
      </c>
      <c r="D405" s="1">
        <v>18.639999</v>
      </c>
      <c r="E405" s="1">
        <v>-26.18</v>
      </c>
      <c r="F405" s="1">
        <v>2299.8298340000001</v>
      </c>
      <c r="G405" s="1">
        <v>8.1799990000000005</v>
      </c>
      <c r="H405" s="1">
        <v>0</v>
      </c>
      <c r="I405" s="1">
        <v>0</v>
      </c>
      <c r="J405" s="1">
        <v>2.0331000000000001</v>
      </c>
      <c r="K405" s="1">
        <v>-2.3280000000000002E-3</v>
      </c>
      <c r="L405" s="1">
        <v>2.166E-3</v>
      </c>
      <c r="M405" s="1">
        <v>0.73286700000000005</v>
      </c>
      <c r="N405" s="1">
        <v>0.680365</v>
      </c>
      <c r="O405">
        <v>1</v>
      </c>
      <c r="P405">
        <v>0</v>
      </c>
      <c r="Q405">
        <v>1</v>
      </c>
      <c r="R405">
        <v>1</v>
      </c>
      <c r="S405">
        <v>1</v>
      </c>
      <c r="T405" s="1">
        <f>SQRT(POWER(Plank[[#This Row],[angvel_X]],2) + POWER(Plank[[#This Row],[angvel_Y]],2) + POWER(Plank[[#This Row],[angvel_Z]],2))</f>
        <v>2.0331000000000001</v>
      </c>
      <c r="U405" s="1">
        <f>DEGREES(ASIN(MAX(-1,MIN(1,2 * (Plank[[#This Row],[quart_W]]*Plank[[#This Row],[quart_Y]] - Plank[[#This Row],[quart_Z]]*Plank[[#This Row],[quart_X]])))))</f>
        <v>0.36437897281512011</v>
      </c>
      <c r="V40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-4.2551948860811484</v>
      </c>
      <c r="W40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89.999598898284731</v>
      </c>
      <c r="X405" s="1">
        <f>IF(Plank[[#This Row],[Yaw]]&gt;V404,(360-ABS(Plank[[#This Row],[Yaw]])-ABS(V404)),ABS(Plank[[#This Row],[Yaw]]-V404))</f>
        <v>0.97059933658414499</v>
      </c>
      <c r="Y405" s="1">
        <f>Plank[[#This Row],[Degree change]]+Y404</f>
        <v>333.40567951149325</v>
      </c>
    </row>
    <row r="406" spans="1:25">
      <c r="A406">
        <v>405</v>
      </c>
      <c r="B406" s="1">
        <v>376.16000400000001</v>
      </c>
      <c r="C406" s="1">
        <v>1549.309937</v>
      </c>
      <c r="D406" s="1">
        <v>18.639999</v>
      </c>
      <c r="E406" s="1">
        <v>-65.129997000000003</v>
      </c>
      <c r="F406" s="1">
        <v>2299.0600589999999</v>
      </c>
      <c r="G406" s="1">
        <v>8.1799990000000005</v>
      </c>
      <c r="H406" s="1">
        <v>0</v>
      </c>
      <c r="I406" s="1">
        <v>0</v>
      </c>
      <c r="J406" s="1">
        <v>2.0331000000000001</v>
      </c>
      <c r="K406" s="1">
        <v>-2.3440000000000002E-3</v>
      </c>
      <c r="L406" s="1">
        <v>2.1440000000000001E-3</v>
      </c>
      <c r="M406" s="1">
        <v>0.73860300000000001</v>
      </c>
      <c r="N406" s="1">
        <v>0.67413400000000001</v>
      </c>
      <c r="O406">
        <v>1</v>
      </c>
      <c r="P406">
        <v>0</v>
      </c>
      <c r="Q406">
        <v>1</v>
      </c>
      <c r="R406">
        <v>1</v>
      </c>
      <c r="S406">
        <v>1</v>
      </c>
      <c r="T406" s="1">
        <f>SQRT(POWER(Plank[[#This Row],[angvel_X]],2) + POWER(Plank[[#This Row],[angvel_Y]],2) + POWER(Plank[[#This Row],[angvel_Z]],2))</f>
        <v>2.0331000000000001</v>
      </c>
      <c r="U406" s="1">
        <f>DEGREES(ASIN(MAX(-1,MIN(1,2 * (Plank[[#This Row],[quart_W]]*Plank[[#This Row],[quart_Y]] - Plank[[#This Row],[quart_Z]]*Plank[[#This Row],[quart_X]])))))</f>
        <v>0.36401728727519778</v>
      </c>
      <c r="V40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-5.2257246067594041</v>
      </c>
      <c r="W40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89.999610984058108</v>
      </c>
      <c r="X406" s="1">
        <f>IF(Plank[[#This Row],[Yaw]]&gt;V405,(360-ABS(Plank[[#This Row],[Yaw]])-ABS(V405)),ABS(Plank[[#This Row],[Yaw]]-V405))</f>
        <v>0.97052972067825571</v>
      </c>
      <c r="Y406" s="1">
        <f>Plank[[#This Row],[Degree change]]+Y405</f>
        <v>334.3762092321715</v>
      </c>
    </row>
    <row r="407" spans="1:25">
      <c r="A407">
        <v>406</v>
      </c>
      <c r="B407" s="1">
        <v>375.60998499999999</v>
      </c>
      <c r="C407" s="1">
        <v>1568.5399170000001</v>
      </c>
      <c r="D407" s="1">
        <v>18.639999</v>
      </c>
      <c r="E407" s="1">
        <v>-104.05999799999999</v>
      </c>
      <c r="F407" s="1">
        <v>2297.6198730000001</v>
      </c>
      <c r="G407" s="1">
        <v>8.1799990000000005</v>
      </c>
      <c r="H407" s="1">
        <v>0</v>
      </c>
      <c r="I407" s="1">
        <v>0</v>
      </c>
      <c r="J407" s="1">
        <v>2.0331000000000001</v>
      </c>
      <c r="K407" s="1">
        <v>-2.3600000000000001E-3</v>
      </c>
      <c r="L407" s="1">
        <v>2.1229999999999999E-3</v>
      </c>
      <c r="M407" s="1">
        <v>0.74428499999999997</v>
      </c>
      <c r="N407" s="1">
        <v>0.66785399999999995</v>
      </c>
      <c r="O407">
        <v>1</v>
      </c>
      <c r="P407">
        <v>0</v>
      </c>
      <c r="Q407">
        <v>1</v>
      </c>
      <c r="R407">
        <v>1</v>
      </c>
      <c r="S407">
        <v>1</v>
      </c>
      <c r="T407" s="1">
        <f>SQRT(POWER(Plank[[#This Row],[angvel_X]],2) + POWER(Plank[[#This Row],[angvel_Y]],2) + POWER(Plank[[#This Row],[angvel_Z]],2))</f>
        <v>2.0331000000000001</v>
      </c>
      <c r="U407" s="1">
        <f>DEGREES(ASIN(MAX(-1,MIN(1,2 * (Plank[[#This Row],[quart_W]]*Plank[[#This Row],[quart_Y]] - Plank[[#This Row],[quart_Z]]*Plank[[#This Row],[quart_X]])))))</f>
        <v>0.36375806608589162</v>
      </c>
      <c r="V40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-6.1960954716488352</v>
      </c>
      <c r="W40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89.999543731334327</v>
      </c>
      <c r="X407" s="1">
        <f>IF(Plank[[#This Row],[Yaw]]&gt;V406,(360-ABS(Plank[[#This Row],[Yaw]])-ABS(V406)),ABS(Plank[[#This Row],[Yaw]]-V406))</f>
        <v>0.97037086488943114</v>
      </c>
      <c r="Y407" s="1">
        <f>Plank[[#This Row],[Degree change]]+Y406</f>
        <v>335.34658009706095</v>
      </c>
    </row>
    <row r="408" spans="1:25">
      <c r="A408">
        <v>407</v>
      </c>
      <c r="B408" s="1">
        <v>374.73998999999998</v>
      </c>
      <c r="C408" s="1">
        <v>1587.76001</v>
      </c>
      <c r="D408" s="1">
        <v>18.639999</v>
      </c>
      <c r="E408" s="1">
        <v>-142.959991</v>
      </c>
      <c r="F408" s="1">
        <v>2295.530029</v>
      </c>
      <c r="G408" s="1">
        <v>8.1799990000000005</v>
      </c>
      <c r="H408" s="1">
        <v>0</v>
      </c>
      <c r="I408" s="1">
        <v>0</v>
      </c>
      <c r="J408" s="1">
        <v>2.0331000000000001</v>
      </c>
      <c r="K408" s="1">
        <v>-2.3760000000000001E-3</v>
      </c>
      <c r="L408" s="1">
        <v>2.101E-3</v>
      </c>
      <c r="M408" s="1">
        <v>0.749915</v>
      </c>
      <c r="N408" s="1">
        <v>0.66152599999999995</v>
      </c>
      <c r="O408">
        <v>1</v>
      </c>
      <c r="P408">
        <v>0</v>
      </c>
      <c r="Q408">
        <v>1</v>
      </c>
      <c r="R408">
        <v>1</v>
      </c>
      <c r="S408">
        <v>1</v>
      </c>
      <c r="T408" s="1">
        <f>SQRT(POWER(Plank[[#This Row],[angvel_X]],2) + POWER(Plank[[#This Row],[angvel_Y]],2) + POWER(Plank[[#This Row],[angvel_Z]],2))</f>
        <v>2.0331000000000001</v>
      </c>
      <c r="U408" s="1">
        <f>DEGREES(ASIN(MAX(-1,MIN(1,2 * (Plank[[#This Row],[quart_W]]*Plank[[#This Row],[quart_Y]] - Plank[[#This Row],[quart_Z]]*Plank[[#This Row],[quart_X]])))))</f>
        <v>0.36344837891188031</v>
      </c>
      <c r="V40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-7.1666920451502358</v>
      </c>
      <c r="W40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89.999566188997193</v>
      </c>
      <c r="X408" s="1">
        <f>IF(Plank[[#This Row],[Yaw]]&gt;V407,(360-ABS(Plank[[#This Row],[Yaw]])-ABS(V407)),ABS(Plank[[#This Row],[Yaw]]-V407))</f>
        <v>0.97059657350140061</v>
      </c>
      <c r="Y408" s="1">
        <f>Plank[[#This Row],[Degree change]]+Y407</f>
        <v>336.31717667056233</v>
      </c>
    </row>
    <row r="409" spans="1:25">
      <c r="A409">
        <v>408</v>
      </c>
      <c r="B409" s="1">
        <v>373.53997800000002</v>
      </c>
      <c r="C409" s="1">
        <v>1606.959961</v>
      </c>
      <c r="D409" s="1">
        <v>18.639999</v>
      </c>
      <c r="E409" s="1">
        <v>-181.81999200000001</v>
      </c>
      <c r="F409" s="1">
        <v>2292.780029</v>
      </c>
      <c r="G409" s="1">
        <v>8.1799990000000005</v>
      </c>
      <c r="H409" s="1">
        <v>-1E-4</v>
      </c>
      <c r="I409" s="1">
        <v>0</v>
      </c>
      <c r="J409" s="1">
        <v>2.0331000000000001</v>
      </c>
      <c r="K409" s="1">
        <v>-2.3930000000000002E-3</v>
      </c>
      <c r="L409" s="1">
        <v>2.0799999999999998E-3</v>
      </c>
      <c r="M409" s="1">
        <v>0.75549299999999997</v>
      </c>
      <c r="N409" s="1">
        <v>0.65514899999999998</v>
      </c>
      <c r="O409">
        <v>1</v>
      </c>
      <c r="P409">
        <v>0</v>
      </c>
      <c r="Q409">
        <v>1</v>
      </c>
      <c r="R409">
        <v>1</v>
      </c>
      <c r="S409">
        <v>1</v>
      </c>
      <c r="T409" s="1">
        <f>SQRT(POWER(Plank[[#This Row],[angvel_X]],2) + POWER(Plank[[#This Row],[angvel_Y]],2) + POWER(Plank[[#This Row],[angvel_Z]],2))</f>
        <v>2.0331000024592987</v>
      </c>
      <c r="U409" s="1">
        <f>DEGREES(ASIN(MAX(-1,MIN(1,2 * (Plank[[#This Row],[quart_W]]*Plank[[#This Row],[quart_Y]] - Plank[[#This Row],[quart_Z]]*Plank[[#This Row],[quart_X]])))))</f>
        <v>0.3633269670569842</v>
      </c>
      <c r="V40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-8.137597478718483</v>
      </c>
      <c r="W40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89.999581287432022</v>
      </c>
      <c r="X409" s="1">
        <f>IF(Plank[[#This Row],[Yaw]]&gt;V408,(360-ABS(Plank[[#This Row],[Yaw]])-ABS(V408)),ABS(Plank[[#This Row],[Yaw]]-V408))</f>
        <v>0.97090543356824721</v>
      </c>
      <c r="Y409" s="1">
        <f>Plank[[#This Row],[Degree change]]+Y408</f>
        <v>337.28808210413058</v>
      </c>
    </row>
    <row r="410" spans="1:25">
      <c r="A410">
        <v>409</v>
      </c>
      <c r="B410" s="1">
        <v>372.01998900000001</v>
      </c>
      <c r="C410" s="1">
        <v>1626.130005</v>
      </c>
      <c r="D410" s="1">
        <v>18.639999</v>
      </c>
      <c r="E410" s="1">
        <v>-220.62998999999999</v>
      </c>
      <c r="F410" s="1">
        <v>2289.3698730000001</v>
      </c>
      <c r="G410" s="1">
        <v>8.1799990000000005</v>
      </c>
      <c r="H410" s="1">
        <v>-2.0000000000000001E-4</v>
      </c>
      <c r="I410" s="1">
        <v>0</v>
      </c>
      <c r="J410" s="1">
        <v>2.0331000000000001</v>
      </c>
      <c r="K410" s="1">
        <v>-2.4090000000000001E-3</v>
      </c>
      <c r="L410" s="1">
        <v>2.0579999999999999E-3</v>
      </c>
      <c r="M410" s="1">
        <v>0.76101700000000005</v>
      </c>
      <c r="N410" s="1">
        <v>0.64872399999999997</v>
      </c>
      <c r="O410">
        <v>1</v>
      </c>
      <c r="P410">
        <v>0</v>
      </c>
      <c r="Q410">
        <v>1</v>
      </c>
      <c r="R410">
        <v>1</v>
      </c>
      <c r="S410">
        <v>1</v>
      </c>
      <c r="T410" s="1">
        <f>SQRT(POWER(Plank[[#This Row],[angvel_X]],2) + POWER(Plank[[#This Row],[angvel_Y]],2) + POWER(Plank[[#This Row],[angvel_Z]],2))</f>
        <v>2.0331000098371943</v>
      </c>
      <c r="U410" s="1">
        <f>DEGREES(ASIN(MAX(-1,MIN(1,2 * (Plank[[#This Row],[quart_W]]*Plank[[#This Row],[quart_Y]] - Plank[[#This Row],[quart_Z]]*Plank[[#This Row],[quart_X]])))))</f>
        <v>0.363070193841527</v>
      </c>
      <c r="V41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-9.1085518660003757</v>
      </c>
      <c r="W41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89.999610739555592</v>
      </c>
      <c r="X410" s="1">
        <f>IF(Plank[[#This Row],[Yaw]]&gt;V409,(360-ABS(Plank[[#This Row],[Yaw]])-ABS(V409)),ABS(Plank[[#This Row],[Yaw]]-V409))</f>
        <v>0.97095438728189265</v>
      </c>
      <c r="Y410" s="1">
        <f>Plank[[#This Row],[Degree change]]+Y409</f>
        <v>338.25903649141247</v>
      </c>
    </row>
    <row r="411" spans="1:25">
      <c r="A411">
        <v>410</v>
      </c>
      <c r="B411" s="1">
        <v>370.169983</v>
      </c>
      <c r="C411" s="1">
        <v>1645.2799070000001</v>
      </c>
      <c r="D411" s="1">
        <v>18.639999</v>
      </c>
      <c r="E411" s="1">
        <v>-259.38000499999998</v>
      </c>
      <c r="F411" s="1">
        <v>2285.3100589999999</v>
      </c>
      <c r="G411" s="1">
        <v>8.1799990000000005</v>
      </c>
      <c r="H411" s="1">
        <v>-2.0000000000000001E-4</v>
      </c>
      <c r="I411" s="1">
        <v>0</v>
      </c>
      <c r="J411" s="1">
        <v>2.0331000000000001</v>
      </c>
      <c r="K411" s="1">
        <v>-2.4250000000000001E-3</v>
      </c>
      <c r="L411" s="1">
        <v>2.0370000000000002E-3</v>
      </c>
      <c r="M411" s="1">
        <v>0.76648400000000005</v>
      </c>
      <c r="N411" s="1">
        <v>0.64225600000000005</v>
      </c>
      <c r="O411">
        <v>1</v>
      </c>
      <c r="P411">
        <v>0</v>
      </c>
      <c r="Q411">
        <v>1</v>
      </c>
      <c r="R411">
        <v>1</v>
      </c>
      <c r="S411">
        <v>1</v>
      </c>
      <c r="T411" s="1">
        <f>SQRT(POWER(Plank[[#This Row],[angvel_X]],2) + POWER(Plank[[#This Row],[angvel_Y]],2) + POWER(Plank[[#This Row],[angvel_Z]],2))</f>
        <v>2.0331000098371943</v>
      </c>
      <c r="U411" s="1">
        <f>DEGREES(ASIN(MAX(-1,MIN(1,2 * (Plank[[#This Row],[quart_W]]*Plank[[#This Row],[quart_Y]] - Plank[[#This Row],[quart_Z]]*Plank[[#This Row],[quart_X]])))))</f>
        <v>0.3629137992371172</v>
      </c>
      <c r="V41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-10.079073995222382</v>
      </c>
      <c r="W41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89.99955799911443</v>
      </c>
      <c r="X411" s="1">
        <f>IF(Plank[[#This Row],[Yaw]]&gt;V410,(360-ABS(Plank[[#This Row],[Yaw]])-ABS(V410)),ABS(Plank[[#This Row],[Yaw]]-V410))</f>
        <v>0.97052212922200631</v>
      </c>
      <c r="Y411" s="1">
        <f>Plank[[#This Row],[Degree change]]+Y410</f>
        <v>339.22955862063446</v>
      </c>
    </row>
    <row r="412" spans="1:25">
      <c r="A412">
        <v>411</v>
      </c>
      <c r="B412" s="1">
        <v>368</v>
      </c>
      <c r="C412" s="1">
        <v>1664.3900149999999</v>
      </c>
      <c r="D412" s="1">
        <v>18.639999</v>
      </c>
      <c r="E412" s="1">
        <v>-298.05999800000001</v>
      </c>
      <c r="F412" s="1">
        <v>2280.5898440000001</v>
      </c>
      <c r="G412" s="1">
        <v>8.1799990000000005</v>
      </c>
      <c r="H412" s="1">
        <v>-2.0000000000000001E-4</v>
      </c>
      <c r="I412" s="1">
        <v>0</v>
      </c>
      <c r="J412" s="1">
        <v>2.0331000000000001</v>
      </c>
      <c r="K412" s="1">
        <v>-2.441E-3</v>
      </c>
      <c r="L412" s="1">
        <v>2.0149999999999999E-3</v>
      </c>
      <c r="M412" s="1">
        <v>0.77189799999999997</v>
      </c>
      <c r="N412" s="1">
        <v>0.63573900000000005</v>
      </c>
      <c r="O412">
        <v>1</v>
      </c>
      <c r="P412">
        <v>0</v>
      </c>
      <c r="Q412">
        <v>1</v>
      </c>
      <c r="R412">
        <v>1</v>
      </c>
      <c r="S412">
        <v>1</v>
      </c>
      <c r="T412" s="1">
        <f>SQRT(POWER(Plank[[#This Row],[angvel_X]],2) + POWER(Plank[[#This Row],[angvel_Y]],2) + POWER(Plank[[#This Row],[angvel_Z]],2))</f>
        <v>2.0331000098371943</v>
      </c>
      <c r="U412" s="1">
        <f>DEGREES(ASIN(MAX(-1,MIN(1,2 * (Plank[[#This Row],[quart_W]]*Plank[[#This Row],[quart_Y]] - Plank[[#This Row],[quart_Z]]*Plank[[#This Row],[quart_X]])))))</f>
        <v>0.36270958507789003</v>
      </c>
      <c r="V41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-11.049959766598956</v>
      </c>
      <c r="W41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89.999594845288811</v>
      </c>
      <c r="X412" s="1">
        <f>IF(Plank[[#This Row],[Yaw]]&gt;V411,(360-ABS(Plank[[#This Row],[Yaw]])-ABS(V411)),ABS(Plank[[#This Row],[Yaw]]-V411))</f>
        <v>0.97088577137657417</v>
      </c>
      <c r="Y412" s="1">
        <f>Plank[[#This Row],[Degree change]]+Y411</f>
        <v>340.20044439201104</v>
      </c>
    </row>
    <row r="413" spans="1:25">
      <c r="A413">
        <v>412</v>
      </c>
      <c r="B413" s="1">
        <v>365.5</v>
      </c>
      <c r="C413" s="1">
        <v>1683.459961</v>
      </c>
      <c r="D413" s="1">
        <v>18.639999</v>
      </c>
      <c r="E413" s="1">
        <v>-336.64999399999999</v>
      </c>
      <c r="F413" s="1">
        <v>2275.209961</v>
      </c>
      <c r="G413" s="1">
        <v>8.1799990000000005</v>
      </c>
      <c r="H413" s="1">
        <v>-2.9999999999999997E-4</v>
      </c>
      <c r="I413" s="1">
        <v>0</v>
      </c>
      <c r="J413" s="1">
        <v>2.0331000000000001</v>
      </c>
      <c r="K413" s="1">
        <v>-2.457E-3</v>
      </c>
      <c r="L413" s="1">
        <v>1.993E-3</v>
      </c>
      <c r="M413" s="1">
        <v>0.777254</v>
      </c>
      <c r="N413" s="1">
        <v>0.62917900000000004</v>
      </c>
      <c r="O413">
        <v>1</v>
      </c>
      <c r="P413">
        <v>0</v>
      </c>
      <c r="Q413">
        <v>1</v>
      </c>
      <c r="R413">
        <v>1</v>
      </c>
      <c r="S413">
        <v>1</v>
      </c>
      <c r="T413" s="1">
        <f>SQRT(POWER(Plank[[#This Row],[angvel_X]],2) + POWER(Plank[[#This Row],[angvel_Y]],2) + POWER(Plank[[#This Row],[angvel_Z]],2))</f>
        <v>2.0331000221336875</v>
      </c>
      <c r="U413" s="1">
        <f>DEGREES(ASIN(MAX(-1,MIN(1,2 * (Plank[[#This Row],[quart_W]]*Plank[[#This Row],[quart_Y]] - Plank[[#This Row],[quart_Z]]*Plank[[#This Row],[quart_X]])))))</f>
        <v>0.36253193274699852</v>
      </c>
      <c r="V41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-12.020384115474323</v>
      </c>
      <c r="W41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89.999636231095948</v>
      </c>
      <c r="X413" s="1">
        <f>IF(Plank[[#This Row],[Yaw]]&gt;V412,(360-ABS(Plank[[#This Row],[Yaw]])-ABS(V412)),ABS(Plank[[#This Row],[Yaw]]-V412))</f>
        <v>0.97042434887536722</v>
      </c>
      <c r="Y413" s="1">
        <f>Plank[[#This Row],[Degree change]]+Y412</f>
        <v>341.17086874088642</v>
      </c>
    </row>
    <row r="414" spans="1:25">
      <c r="A414">
        <v>413</v>
      </c>
      <c r="B414" s="1">
        <v>362.67999300000002</v>
      </c>
      <c r="C414" s="1">
        <v>1702.48999</v>
      </c>
      <c r="D414" s="1">
        <v>18.639999</v>
      </c>
      <c r="E414" s="1">
        <v>-375.13998400000003</v>
      </c>
      <c r="F414" s="1">
        <v>2269.179932</v>
      </c>
      <c r="G414" s="1">
        <v>8.1799990000000005</v>
      </c>
      <c r="H414" s="1">
        <v>-2.9999999999999997E-4</v>
      </c>
      <c r="I414" s="1">
        <v>0</v>
      </c>
      <c r="J414" s="1">
        <v>2.0331000000000001</v>
      </c>
      <c r="K414" s="1">
        <v>-2.4740000000000001E-3</v>
      </c>
      <c r="L414" s="1">
        <v>1.9719999999999998E-3</v>
      </c>
      <c r="M414" s="1">
        <v>0.78255799999999998</v>
      </c>
      <c r="N414" s="1">
        <v>0.62256999999999996</v>
      </c>
      <c r="O414">
        <v>1</v>
      </c>
      <c r="P414">
        <v>0</v>
      </c>
      <c r="Q414">
        <v>1</v>
      </c>
      <c r="R414">
        <v>1</v>
      </c>
      <c r="S414">
        <v>1</v>
      </c>
      <c r="T414" s="1">
        <f>SQRT(POWER(Plank[[#This Row],[angvel_X]],2) + POWER(Plank[[#This Row],[angvel_Y]],2) + POWER(Plank[[#This Row],[angvel_Z]],2))</f>
        <v>2.0331000221336875</v>
      </c>
      <c r="U414" s="1">
        <f>DEGREES(ASIN(MAX(-1,MIN(1,2 * (Plank[[#This Row],[quart_W]]*Plank[[#This Row],[quart_Y]] - Plank[[#This Row],[quart_Z]]*Plank[[#This Row],[quart_X]])))))</f>
        <v>0.36254221261777014</v>
      </c>
      <c r="V41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-12.991482535246028</v>
      </c>
      <c r="W41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89.999660092171396</v>
      </c>
      <c r="X414" s="1">
        <f>IF(Plank[[#This Row],[Yaw]]&gt;V413,(360-ABS(Plank[[#This Row],[Yaw]])-ABS(V413)),ABS(Plank[[#This Row],[Yaw]]-V413))</f>
        <v>0.97109841977170497</v>
      </c>
      <c r="Y414" s="1">
        <f>Plank[[#This Row],[Degree change]]+Y413</f>
        <v>342.14196716065811</v>
      </c>
    </row>
    <row r="415" spans="1:25">
      <c r="A415">
        <v>414</v>
      </c>
      <c r="B415" s="1">
        <v>359.53997800000002</v>
      </c>
      <c r="C415" s="1">
        <v>1721.469971</v>
      </c>
      <c r="D415" s="1">
        <v>18.639999</v>
      </c>
      <c r="E415" s="1">
        <v>-413.52999899999998</v>
      </c>
      <c r="F415" s="1">
        <v>2262.5</v>
      </c>
      <c r="G415" s="1">
        <v>8.1799990000000005</v>
      </c>
      <c r="H415" s="1">
        <v>-2.9999999999999997E-4</v>
      </c>
      <c r="I415" s="1">
        <v>0</v>
      </c>
      <c r="J415" s="1">
        <v>2.0331000000000001</v>
      </c>
      <c r="K415" s="1">
        <v>-2.49E-3</v>
      </c>
      <c r="L415" s="1">
        <v>1.9499999999999999E-3</v>
      </c>
      <c r="M415" s="1">
        <v>0.78780399999999995</v>
      </c>
      <c r="N415" s="1">
        <v>0.61591799999999997</v>
      </c>
      <c r="O415">
        <v>1</v>
      </c>
      <c r="P415">
        <v>0</v>
      </c>
      <c r="Q415">
        <v>1</v>
      </c>
      <c r="R415">
        <v>1</v>
      </c>
      <c r="S415">
        <v>1</v>
      </c>
      <c r="T415" s="1">
        <f>SQRT(POWER(Plank[[#This Row],[angvel_X]],2) + POWER(Plank[[#This Row],[angvel_Y]],2) + POWER(Plank[[#This Row],[angvel_Z]],2))</f>
        <v>2.0331000221336875</v>
      </c>
      <c r="U415" s="1">
        <f>DEGREES(ASIN(MAX(-1,MIN(1,2 * (Plank[[#This Row],[quart_W]]*Plank[[#This Row],[quart_Y]] - Plank[[#This Row],[quart_Z]]*Plank[[#This Row],[quart_X]])))))</f>
        <v>0.36241793879359585</v>
      </c>
      <c r="V41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-13.962257446351737</v>
      </c>
      <c r="W41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89.999704120967309</v>
      </c>
      <c r="X415" s="1">
        <f>IF(Plank[[#This Row],[Yaw]]&gt;V414,(360-ABS(Plank[[#This Row],[Yaw]])-ABS(V414)),ABS(Plank[[#This Row],[Yaw]]-V414))</f>
        <v>0.97077491110570868</v>
      </c>
      <c r="Y415" s="1">
        <f>Plank[[#This Row],[Degree change]]+Y414</f>
        <v>343.11274207176382</v>
      </c>
    </row>
    <row r="416" spans="1:25">
      <c r="A416">
        <v>415</v>
      </c>
      <c r="B416" s="1">
        <v>356.07998700000002</v>
      </c>
      <c r="C416" s="1">
        <v>1740.3900149999999</v>
      </c>
      <c r="D416" s="1">
        <v>18.639999</v>
      </c>
      <c r="E416" s="1">
        <v>-451.79998799999998</v>
      </c>
      <c r="F416" s="1">
        <v>2255.169922</v>
      </c>
      <c r="G416" s="1">
        <v>8.1799990000000005</v>
      </c>
      <c r="H416" s="1">
        <v>-2.9999999999999997E-4</v>
      </c>
      <c r="I416" s="1">
        <v>0</v>
      </c>
      <c r="J416" s="1">
        <v>2.0331000000000001</v>
      </c>
      <c r="K416" s="1">
        <v>-2.506E-3</v>
      </c>
      <c r="L416" s="1">
        <v>1.9289999999999999E-3</v>
      </c>
      <c r="M416" s="1">
        <v>0.79299200000000003</v>
      </c>
      <c r="N416" s="1">
        <v>0.60922299999999996</v>
      </c>
      <c r="O416">
        <v>1</v>
      </c>
      <c r="P416">
        <v>0</v>
      </c>
      <c r="Q416">
        <v>1</v>
      </c>
      <c r="R416">
        <v>1</v>
      </c>
      <c r="S416">
        <v>1</v>
      </c>
      <c r="T416" s="1">
        <f>SQRT(POWER(Plank[[#This Row],[angvel_X]],2) + POWER(Plank[[#This Row],[angvel_Y]],2) + POWER(Plank[[#This Row],[angvel_Z]],2))</f>
        <v>2.0331000221336875</v>
      </c>
      <c r="U416" s="1">
        <f>DEGREES(ASIN(MAX(-1,MIN(1,2 * (Plank[[#This Row],[quart_W]]*Plank[[#This Row],[quart_Y]] - Plank[[#This Row],[quart_Z]]*Plank[[#This Row],[quart_X]])))))</f>
        <v>0.36239009924876192</v>
      </c>
      <c r="V41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-14.932775194800504</v>
      </c>
      <c r="W41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89.999659801796284</v>
      </c>
      <c r="X416" s="1">
        <f>IF(Plank[[#This Row],[Yaw]]&gt;V415,(360-ABS(Plank[[#This Row],[Yaw]])-ABS(V415)),ABS(Plank[[#This Row],[Yaw]]-V415))</f>
        <v>0.97051774844876704</v>
      </c>
      <c r="Y416" s="1">
        <f>Plank[[#This Row],[Degree change]]+Y415</f>
        <v>344.08325982021256</v>
      </c>
    </row>
    <row r="417" spans="1:25">
      <c r="A417">
        <v>416</v>
      </c>
      <c r="B417" s="1">
        <v>352.29998799999998</v>
      </c>
      <c r="C417" s="1">
        <v>1759.25</v>
      </c>
      <c r="D417" s="1">
        <v>18.639999</v>
      </c>
      <c r="E417" s="1">
        <v>-489.94000199999999</v>
      </c>
      <c r="F417" s="1">
        <v>2247.1899410000001</v>
      </c>
      <c r="G417" s="1">
        <v>8.1799990000000005</v>
      </c>
      <c r="H417" s="1">
        <v>-4.0000000000000002E-4</v>
      </c>
      <c r="I417" s="1">
        <v>0</v>
      </c>
      <c r="J417" s="1">
        <v>2.0331000000000001</v>
      </c>
      <c r="K417" s="1">
        <v>-2.5219999999999999E-3</v>
      </c>
      <c r="L417" s="1">
        <v>1.9070000000000001E-3</v>
      </c>
      <c r="M417" s="1">
        <v>0.79812399999999994</v>
      </c>
      <c r="N417" s="1">
        <v>0.60248500000000005</v>
      </c>
      <c r="O417">
        <v>1</v>
      </c>
      <c r="P417">
        <v>0</v>
      </c>
      <c r="Q417">
        <v>1</v>
      </c>
      <c r="R417">
        <v>1</v>
      </c>
      <c r="S417">
        <v>1</v>
      </c>
      <c r="T417" s="1">
        <f>SQRT(POWER(Plank[[#This Row],[angvel_X]],2) + POWER(Plank[[#This Row],[angvel_Y]],2) + POWER(Plank[[#This Row],[angvel_Z]],2))</f>
        <v>2.0331000393487777</v>
      </c>
      <c r="U417" s="1">
        <f>DEGREES(ASIN(MAX(-1,MIN(1,2 * (Plank[[#This Row],[quart_W]]*Plank[[#This Row],[quart_Y]] - Plank[[#This Row],[quart_Z]]*Plank[[#This Row],[quart_X]])))))</f>
        <v>0.36231887962893022</v>
      </c>
      <c r="V41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-15.903416067284875</v>
      </c>
      <c r="W41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89.999707178563654</v>
      </c>
      <c r="X417" s="1">
        <f>IF(Plank[[#This Row],[Yaw]]&gt;V416,(360-ABS(Plank[[#This Row],[Yaw]])-ABS(V416)),ABS(Plank[[#This Row],[Yaw]]-V416))</f>
        <v>0.97064087248437048</v>
      </c>
      <c r="Y417" s="1">
        <f>Plank[[#This Row],[Degree change]]+Y416</f>
        <v>345.05390069269691</v>
      </c>
    </row>
    <row r="418" spans="1:25">
      <c r="A418">
        <v>417</v>
      </c>
      <c r="B418" s="1">
        <v>348.19998199999998</v>
      </c>
      <c r="C418" s="1">
        <v>1778.0399170000001</v>
      </c>
      <c r="D418" s="1">
        <v>18.639999</v>
      </c>
      <c r="E418" s="1">
        <v>-527.94000200000005</v>
      </c>
      <c r="F418" s="1">
        <v>2238.570068</v>
      </c>
      <c r="G418" s="1">
        <v>8.1799990000000005</v>
      </c>
      <c r="H418" s="1">
        <v>-4.0000000000000002E-4</v>
      </c>
      <c r="I418" s="1">
        <v>0</v>
      </c>
      <c r="J418" s="1">
        <v>2.0331000000000001</v>
      </c>
      <c r="K418" s="1">
        <v>-2.5379999999999999E-3</v>
      </c>
      <c r="L418" s="1">
        <v>1.885E-3</v>
      </c>
      <c r="M418" s="1">
        <v>0.80319799999999997</v>
      </c>
      <c r="N418" s="1">
        <v>0.59570400000000001</v>
      </c>
      <c r="O418">
        <v>1</v>
      </c>
      <c r="P418">
        <v>0</v>
      </c>
      <c r="Q418">
        <v>1</v>
      </c>
      <c r="R418">
        <v>1</v>
      </c>
      <c r="S418">
        <v>1</v>
      </c>
      <c r="T418" s="1">
        <f>SQRT(POWER(Plank[[#This Row],[angvel_X]],2) + POWER(Plank[[#This Row],[angvel_Y]],2) + POWER(Plank[[#This Row],[angvel_Z]],2))</f>
        <v>2.0331000393487777</v>
      </c>
      <c r="U418" s="1">
        <f>DEGREES(ASIN(MAX(-1,MIN(1,2 * (Plank[[#This Row],[quart_W]]*Plank[[#This Row],[quart_Y]] - Plank[[#This Row],[quart_Z]]*Plank[[#This Row],[quart_X]])))))</f>
        <v>0.3622742958602575</v>
      </c>
      <c r="V41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-16.873933164379714</v>
      </c>
      <c r="W41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89.999755745730468</v>
      </c>
      <c r="X418" s="1">
        <f>IF(Plank[[#This Row],[Yaw]]&gt;V417,(360-ABS(Plank[[#This Row],[Yaw]])-ABS(V417)),ABS(Plank[[#This Row],[Yaw]]-V417))</f>
        <v>0.9705170970948398</v>
      </c>
      <c r="Y418" s="1">
        <f>Plank[[#This Row],[Degree change]]+Y417</f>
        <v>346.02441778979176</v>
      </c>
    </row>
    <row r="419" spans="1:25">
      <c r="A419">
        <v>418</v>
      </c>
      <c r="B419" s="1">
        <v>343.77999899999998</v>
      </c>
      <c r="C419" s="1">
        <v>1796.76001</v>
      </c>
      <c r="D419" s="1">
        <v>18.639999</v>
      </c>
      <c r="E419" s="1">
        <v>-565.78997800000002</v>
      </c>
      <c r="F419" s="1">
        <v>2229.3000489999999</v>
      </c>
      <c r="G419" s="1">
        <v>8.1799990000000005</v>
      </c>
      <c r="H419" s="1">
        <v>-4.0000000000000002E-4</v>
      </c>
      <c r="I419" s="1">
        <v>0</v>
      </c>
      <c r="J419" s="1">
        <v>2.0331000000000001</v>
      </c>
      <c r="K419" s="1">
        <v>-2.5539999999999998E-3</v>
      </c>
      <c r="L419" s="1">
        <v>1.864E-3</v>
      </c>
      <c r="M419" s="1">
        <v>0.80821500000000002</v>
      </c>
      <c r="N419" s="1">
        <v>0.58887900000000004</v>
      </c>
      <c r="O419">
        <v>1</v>
      </c>
      <c r="P419">
        <v>0</v>
      </c>
      <c r="Q419">
        <v>1</v>
      </c>
      <c r="R419">
        <v>1</v>
      </c>
      <c r="S419">
        <v>1</v>
      </c>
      <c r="T419" s="1">
        <f>SQRT(POWER(Plank[[#This Row],[angvel_X]],2) + POWER(Plank[[#This Row],[angvel_Y]],2) + POWER(Plank[[#This Row],[angvel_Z]],2))</f>
        <v>2.0331000393487777</v>
      </c>
      <c r="U419" s="1">
        <f>DEGREES(ASIN(MAX(-1,MIN(1,2 * (Plank[[#This Row],[quart_W]]*Plank[[#This Row],[quart_Y]] - Plank[[#This Row],[quart_Z]]*Plank[[#This Row],[quart_X]])))))</f>
        <v>0.36232391522649299</v>
      </c>
      <c r="V41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-17.844581860891108</v>
      </c>
      <c r="W41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89.999711705478958</v>
      </c>
      <c r="X419" s="1">
        <f>IF(Plank[[#This Row],[Yaw]]&gt;V418,(360-ABS(Plank[[#This Row],[Yaw]])-ABS(V418)),ABS(Plank[[#This Row],[Yaw]]-V418))</f>
        <v>0.97064869651139318</v>
      </c>
      <c r="Y419" s="1">
        <f>Plank[[#This Row],[Degree change]]+Y418</f>
        <v>346.99506648630313</v>
      </c>
    </row>
    <row r="420" spans="1:25">
      <c r="A420">
        <v>419</v>
      </c>
      <c r="B420" s="1">
        <v>339.03997800000002</v>
      </c>
      <c r="C420" s="1">
        <v>1815.3999020000001</v>
      </c>
      <c r="D420" s="1">
        <v>18.639999</v>
      </c>
      <c r="E420" s="1">
        <v>-603.46997099999999</v>
      </c>
      <c r="F420" s="1">
        <v>2219.3999020000001</v>
      </c>
      <c r="G420" s="1">
        <v>8.1799990000000005</v>
      </c>
      <c r="H420" s="1">
        <v>-4.0000000000000002E-4</v>
      </c>
      <c r="I420" s="1">
        <v>0</v>
      </c>
      <c r="J420" s="1">
        <v>2.0331000000000001</v>
      </c>
      <c r="K420" s="1">
        <v>-2.5709999999999999E-3</v>
      </c>
      <c r="L420" s="1">
        <v>1.8420000000000001E-3</v>
      </c>
      <c r="M420" s="1">
        <v>0.81317399999999995</v>
      </c>
      <c r="N420" s="1">
        <v>0.58201199999999997</v>
      </c>
      <c r="O420">
        <v>1</v>
      </c>
      <c r="P420">
        <v>0</v>
      </c>
      <c r="Q420">
        <v>1</v>
      </c>
      <c r="R420">
        <v>1</v>
      </c>
      <c r="S420">
        <v>1</v>
      </c>
      <c r="T420" s="1">
        <f>SQRT(POWER(Plank[[#This Row],[angvel_X]],2) + POWER(Plank[[#This Row],[angvel_Y]],2) + POWER(Plank[[#This Row],[angvel_Z]],2))</f>
        <v>2.0331000393487777</v>
      </c>
      <c r="U420" s="1">
        <f>DEGREES(ASIN(MAX(-1,MIN(1,2 * (Plank[[#This Row],[quart_W]]*Plank[[#This Row],[quart_Y]] - Plank[[#This Row],[quart_Z]]*Plank[[#This Row],[quart_X]])))))</f>
        <v>0.36242531840844766</v>
      </c>
      <c r="V42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-18.815221673233165</v>
      </c>
      <c r="W42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89.999826544328982</v>
      </c>
      <c r="X420" s="1">
        <f>IF(Plank[[#This Row],[Yaw]]&gt;V419,(360-ABS(Plank[[#This Row],[Yaw]])-ABS(V419)),ABS(Plank[[#This Row],[Yaw]]-V419))</f>
        <v>0.97063981234205698</v>
      </c>
      <c r="Y420" s="1">
        <f>Plank[[#This Row],[Degree change]]+Y419</f>
        <v>347.96570629864516</v>
      </c>
    </row>
    <row r="421" spans="1:25">
      <c r="A421">
        <v>420</v>
      </c>
      <c r="B421" s="1">
        <v>333.98998999999998</v>
      </c>
      <c r="C421" s="1">
        <v>1833.959961</v>
      </c>
      <c r="D421" s="1">
        <v>18.639999</v>
      </c>
      <c r="E421" s="1">
        <v>-640.97997999999995</v>
      </c>
      <c r="F421" s="1">
        <v>2208.8598630000001</v>
      </c>
      <c r="G421" s="1">
        <v>8.1799990000000005</v>
      </c>
      <c r="H421" s="1">
        <v>-4.0000000000000002E-4</v>
      </c>
      <c r="I421" s="1">
        <v>0</v>
      </c>
      <c r="J421" s="1">
        <v>2.0331000000000001</v>
      </c>
      <c r="K421" s="1">
        <v>-2.5869999999999999E-3</v>
      </c>
      <c r="L421" s="1">
        <v>1.8209999999999999E-3</v>
      </c>
      <c r="M421" s="1">
        <v>0.81807600000000003</v>
      </c>
      <c r="N421" s="1">
        <v>0.57510099999999997</v>
      </c>
      <c r="O421">
        <v>1</v>
      </c>
      <c r="P421">
        <v>0</v>
      </c>
      <c r="Q421">
        <v>1</v>
      </c>
      <c r="R421">
        <v>1</v>
      </c>
      <c r="S421">
        <v>1</v>
      </c>
      <c r="T421" s="1">
        <f>SQRT(POWER(Plank[[#This Row],[angvel_X]],2) + POWER(Plank[[#This Row],[angvel_Y]],2) + POWER(Plank[[#This Row],[angvel_Z]],2))</f>
        <v>2.0331000393487777</v>
      </c>
      <c r="U421" s="1">
        <f>DEGREES(ASIN(MAX(-1,MIN(1,2 * (Plank[[#This Row],[quart_W]]*Plank[[#This Row],[quart_Y]] - Plank[[#This Row],[quart_Z]]*Plank[[#This Row],[quart_X]])))))</f>
        <v>0.36252674256221262</v>
      </c>
      <c r="V42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-19.786140281300405</v>
      </c>
      <c r="W42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89.999778821373226</v>
      </c>
      <c r="X421" s="1">
        <f>IF(Plank[[#This Row],[Yaw]]&gt;V420,(360-ABS(Plank[[#This Row],[Yaw]])-ABS(V420)),ABS(Plank[[#This Row],[Yaw]]-V420))</f>
        <v>0.97091860806724029</v>
      </c>
      <c r="Y421" s="1">
        <f>Plank[[#This Row],[Degree change]]+Y420</f>
        <v>348.93662490671238</v>
      </c>
    </row>
    <row r="422" spans="1:25">
      <c r="A422">
        <v>421</v>
      </c>
      <c r="B422" s="1">
        <v>328.63000499999998</v>
      </c>
      <c r="C422" s="1">
        <v>1852.429932</v>
      </c>
      <c r="D422" s="1">
        <v>18.639999</v>
      </c>
      <c r="E422" s="1">
        <v>-678.30999799999995</v>
      </c>
      <c r="F422" s="1">
        <v>2197.679932</v>
      </c>
      <c r="G422" s="1">
        <v>8.1799990000000005</v>
      </c>
      <c r="H422" s="1">
        <v>-4.0000000000000002E-4</v>
      </c>
      <c r="I422" s="1">
        <v>0</v>
      </c>
      <c r="J422" s="1">
        <v>2.0331000000000001</v>
      </c>
      <c r="K422" s="1">
        <v>-2.6029999999999998E-3</v>
      </c>
      <c r="L422" s="1">
        <v>1.799E-3</v>
      </c>
      <c r="M422" s="1">
        <v>0.82291700000000001</v>
      </c>
      <c r="N422" s="1">
        <v>0.56815199999999999</v>
      </c>
      <c r="O422">
        <v>1</v>
      </c>
      <c r="P422">
        <v>0</v>
      </c>
      <c r="Q422">
        <v>1</v>
      </c>
      <c r="R422">
        <v>1</v>
      </c>
      <c r="S422">
        <v>1</v>
      </c>
      <c r="T422" s="1">
        <f>SQRT(POWER(Plank[[#This Row],[angvel_X]],2) + POWER(Plank[[#This Row],[angvel_Y]],2) + POWER(Plank[[#This Row],[angvel_Z]],2))</f>
        <v>2.0331000393487777</v>
      </c>
      <c r="U422" s="1">
        <f>DEGREES(ASIN(MAX(-1,MIN(1,2 * (Plank[[#This Row],[quart_W]]*Plank[[#This Row],[quart_Y]] - Plank[[#This Row],[quart_Z]]*Plank[[#This Row],[quart_X]])))))</f>
        <v>0.362588264105839</v>
      </c>
      <c r="V42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-20.756601562010843</v>
      </c>
      <c r="W42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89.999824897497589</v>
      </c>
      <c r="X422" s="1">
        <f>IF(Plank[[#This Row],[Yaw]]&gt;V421,(360-ABS(Plank[[#This Row],[Yaw]])-ABS(V421)),ABS(Plank[[#This Row],[Yaw]]-V421))</f>
        <v>0.97046128071043825</v>
      </c>
      <c r="Y422" s="1">
        <f>Plank[[#This Row],[Degree change]]+Y421</f>
        <v>349.90708618742281</v>
      </c>
    </row>
    <row r="423" spans="1:25">
      <c r="A423">
        <v>422</v>
      </c>
      <c r="B423" s="1">
        <v>322.94998199999998</v>
      </c>
      <c r="C423" s="1">
        <v>1870.809937</v>
      </c>
      <c r="D423" s="1">
        <v>18.639999</v>
      </c>
      <c r="E423" s="1">
        <v>-715.44000200000005</v>
      </c>
      <c r="F423" s="1">
        <v>2185.8698730000001</v>
      </c>
      <c r="G423" s="1">
        <v>8.1799990000000005</v>
      </c>
      <c r="H423" s="1">
        <v>-4.0000000000000002E-4</v>
      </c>
      <c r="I423" s="1">
        <v>0</v>
      </c>
      <c r="J423" s="1">
        <v>2.0331000000000001</v>
      </c>
      <c r="K423" s="1">
        <v>-2.6189999999999998E-3</v>
      </c>
      <c r="L423" s="1">
        <v>1.7780000000000001E-3</v>
      </c>
      <c r="M423" s="1">
        <v>0.82770100000000002</v>
      </c>
      <c r="N423" s="1">
        <v>0.56116100000000002</v>
      </c>
      <c r="O423">
        <v>1</v>
      </c>
      <c r="P423">
        <v>0</v>
      </c>
      <c r="Q423">
        <v>1</v>
      </c>
      <c r="R423">
        <v>1</v>
      </c>
      <c r="S423">
        <v>1</v>
      </c>
      <c r="T423" s="1">
        <f>SQRT(POWER(Plank[[#This Row],[angvel_X]],2) + POWER(Plank[[#This Row],[angvel_Y]],2) + POWER(Plank[[#This Row],[angvel_Z]],2))</f>
        <v>2.0331000393487777</v>
      </c>
      <c r="U423" s="1">
        <f>DEGREES(ASIN(MAX(-1,MIN(1,2 * (Plank[[#This Row],[quart_W]]*Plank[[#This Row],[quart_Y]] - Plank[[#This Row],[quart_Z]]*Plank[[#This Row],[quart_X]])))))</f>
        <v>0.36274122146192272</v>
      </c>
      <c r="V42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-21.72741640054571</v>
      </c>
      <c r="W42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89.999774053117648</v>
      </c>
      <c r="X423" s="1">
        <f>IF(Plank[[#This Row],[Yaw]]&gt;V422,(360-ABS(Plank[[#This Row],[Yaw]])-ABS(V422)),ABS(Plank[[#This Row],[Yaw]]-V422))</f>
        <v>0.97081483853486716</v>
      </c>
      <c r="Y423" s="1">
        <f>Plank[[#This Row],[Degree change]]+Y422</f>
        <v>350.87790102595767</v>
      </c>
    </row>
    <row r="424" spans="1:25">
      <c r="A424">
        <v>423</v>
      </c>
      <c r="B424" s="1">
        <v>316.959991</v>
      </c>
      <c r="C424" s="1">
        <v>1889.089966</v>
      </c>
      <c r="D424" s="1">
        <v>18.639999</v>
      </c>
      <c r="E424" s="1">
        <v>-752.36999500000002</v>
      </c>
      <c r="F424" s="1">
        <v>2173.4399410000001</v>
      </c>
      <c r="G424" s="1">
        <v>8.1799990000000005</v>
      </c>
      <c r="H424" s="1">
        <v>-4.0000000000000002E-4</v>
      </c>
      <c r="I424" s="1">
        <v>0</v>
      </c>
      <c r="J424" s="1">
        <v>2.0331000000000001</v>
      </c>
      <c r="K424" s="1">
        <v>-2.6350000000000002E-3</v>
      </c>
      <c r="L424" s="1">
        <v>1.756E-3</v>
      </c>
      <c r="M424" s="1">
        <v>0.83242300000000002</v>
      </c>
      <c r="N424" s="1">
        <v>0.55413100000000004</v>
      </c>
      <c r="O424">
        <v>1</v>
      </c>
      <c r="P424">
        <v>0</v>
      </c>
      <c r="Q424">
        <v>1</v>
      </c>
      <c r="R424">
        <v>1</v>
      </c>
      <c r="S424">
        <v>1</v>
      </c>
      <c r="T424" s="1">
        <f>SQRT(POWER(Plank[[#This Row],[angvel_X]],2) + POWER(Plank[[#This Row],[angvel_Y]],2) + POWER(Plank[[#This Row],[angvel_Z]],2))</f>
        <v>2.0331000393487777</v>
      </c>
      <c r="U424" s="1">
        <f>DEGREES(ASIN(MAX(-1,MIN(1,2 * (Plank[[#This Row],[quart_W]]*Plank[[#This Row],[quart_Y]] - Plank[[#This Row],[quart_Z]]*Plank[[#This Row],[quart_X]])))))</f>
        <v>0.36285529552050244</v>
      </c>
      <c r="V42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-22.697787129628509</v>
      </c>
      <c r="W42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89.999816695322508</v>
      </c>
      <c r="X424" s="1">
        <f>IF(Plank[[#This Row],[Yaw]]&gt;V423,(360-ABS(Plank[[#This Row],[Yaw]])-ABS(V423)),ABS(Plank[[#This Row],[Yaw]]-V423))</f>
        <v>0.97037072908279853</v>
      </c>
      <c r="Y424" s="1">
        <f>Plank[[#This Row],[Degree change]]+Y423</f>
        <v>351.84827175504046</v>
      </c>
    </row>
    <row r="425" spans="1:25">
      <c r="A425">
        <v>424</v>
      </c>
      <c r="B425" s="1">
        <v>310.66000400000001</v>
      </c>
      <c r="C425" s="1">
        <v>1907.2698969999999</v>
      </c>
      <c r="D425" s="1">
        <v>18.639999</v>
      </c>
      <c r="E425" s="1">
        <v>-789.07995600000004</v>
      </c>
      <c r="F425" s="1">
        <v>2160.3798830000001</v>
      </c>
      <c r="G425" s="1">
        <v>8.1799990000000005</v>
      </c>
      <c r="H425" s="1">
        <v>-4.0000000000000002E-4</v>
      </c>
      <c r="I425" s="1">
        <v>0</v>
      </c>
      <c r="J425" s="1">
        <v>2.0331000000000001</v>
      </c>
      <c r="K425" s="1">
        <v>-2.6519999999999998E-3</v>
      </c>
      <c r="L425" s="1">
        <v>1.7340000000000001E-3</v>
      </c>
      <c r="M425" s="1">
        <v>0.83708800000000005</v>
      </c>
      <c r="N425" s="1">
        <v>0.54705899999999996</v>
      </c>
      <c r="O425">
        <v>1</v>
      </c>
      <c r="P425">
        <v>0</v>
      </c>
      <c r="Q425">
        <v>1</v>
      </c>
      <c r="R425">
        <v>1</v>
      </c>
      <c r="S425">
        <v>1</v>
      </c>
      <c r="T425" s="1">
        <f>SQRT(POWER(Plank[[#This Row],[angvel_X]],2) + POWER(Plank[[#This Row],[angvel_Y]],2) + POWER(Plank[[#This Row],[angvel_Z]],2))</f>
        <v>2.0331000393487777</v>
      </c>
      <c r="U425" s="1">
        <f>DEGREES(ASIN(MAX(-1,MIN(1,2 * (Plank[[#This Row],[quart_W]]*Plank[[#This Row],[quart_Y]] - Plank[[#This Row],[quart_Z]]*Plank[[#This Row],[quart_X]])))))</f>
        <v>0.36309239491216205</v>
      </c>
      <c r="V42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-23.66865395238182</v>
      </c>
      <c r="W42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89.999918624149743</v>
      </c>
      <c r="X425" s="1">
        <f>IF(Plank[[#This Row],[Yaw]]&gt;V424,(360-ABS(Plank[[#This Row],[Yaw]])-ABS(V424)),ABS(Plank[[#This Row],[Yaw]]-V424))</f>
        <v>0.97086682275331171</v>
      </c>
      <c r="Y425" s="1">
        <f>Plank[[#This Row],[Degree change]]+Y424</f>
        <v>352.81913857779375</v>
      </c>
    </row>
    <row r="426" spans="1:25">
      <c r="A426">
        <v>425</v>
      </c>
      <c r="B426" s="1">
        <v>304.05999800000001</v>
      </c>
      <c r="C426" s="1">
        <v>1925.339966</v>
      </c>
      <c r="D426" s="1">
        <v>18.639999</v>
      </c>
      <c r="E426" s="1">
        <v>-825.57000700000003</v>
      </c>
      <c r="F426" s="1">
        <v>2146.709961</v>
      </c>
      <c r="G426" s="1">
        <v>8.1799990000000005</v>
      </c>
      <c r="H426" s="1">
        <v>-4.0000000000000002E-4</v>
      </c>
      <c r="I426" s="1">
        <v>0</v>
      </c>
      <c r="J426" s="1">
        <v>2.0331000000000001</v>
      </c>
      <c r="K426" s="1">
        <v>-2.6679999999999998E-3</v>
      </c>
      <c r="L426" s="1">
        <v>1.7129999999999999E-3</v>
      </c>
      <c r="M426" s="1">
        <v>0.841692</v>
      </c>
      <c r="N426" s="1">
        <v>0.53994799999999998</v>
      </c>
      <c r="O426">
        <v>1</v>
      </c>
      <c r="P426">
        <v>0</v>
      </c>
      <c r="Q426">
        <v>1</v>
      </c>
      <c r="R426">
        <v>1</v>
      </c>
      <c r="S426">
        <v>1</v>
      </c>
      <c r="T426" s="1">
        <f>SQRT(POWER(Plank[[#This Row],[angvel_X]],2) + POWER(Plank[[#This Row],[angvel_Y]],2) + POWER(Plank[[#This Row],[angvel_Z]],2))</f>
        <v>2.0331000393487777</v>
      </c>
      <c r="U426" s="1">
        <f>DEGREES(ASIN(MAX(-1,MIN(1,2 * (Plank[[#This Row],[quart_W]]*Plank[[#This Row],[quart_Y]] - Plank[[#This Row],[quart_Z]]*Plank[[#This Row],[quart_X]])))))</f>
        <v>0.36332244185992879</v>
      </c>
      <c r="V42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-24.639372287284392</v>
      </c>
      <c r="W42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89.999858232265126</v>
      </c>
      <c r="X426" s="1">
        <f>IF(Plank[[#This Row],[Yaw]]&gt;V425,(360-ABS(Plank[[#This Row],[Yaw]])-ABS(V425)),ABS(Plank[[#This Row],[Yaw]]-V425))</f>
        <v>0.9707183349025712</v>
      </c>
      <c r="Y426" s="1">
        <f>Plank[[#This Row],[Degree change]]+Y425</f>
        <v>353.78985691269634</v>
      </c>
    </row>
    <row r="427" spans="1:25">
      <c r="A427">
        <v>426</v>
      </c>
      <c r="B427" s="1">
        <v>297.14999399999999</v>
      </c>
      <c r="C427" s="1">
        <v>1943.2899170000001</v>
      </c>
      <c r="D427" s="1">
        <v>18.639999</v>
      </c>
      <c r="E427" s="1">
        <v>-861.82000700000003</v>
      </c>
      <c r="F427" s="1">
        <v>2132.4099120000001</v>
      </c>
      <c r="G427" s="1">
        <v>8.1799990000000005</v>
      </c>
      <c r="H427" s="1">
        <v>-2.9999999999999997E-4</v>
      </c>
      <c r="I427" s="1">
        <v>0</v>
      </c>
      <c r="J427" s="1">
        <v>2.0331000000000001</v>
      </c>
      <c r="K427" s="1">
        <v>-2.6840000000000002E-3</v>
      </c>
      <c r="L427" s="1">
        <v>1.691E-3</v>
      </c>
      <c r="M427" s="1">
        <v>0.84623499999999996</v>
      </c>
      <c r="N427" s="1">
        <v>0.53280000000000005</v>
      </c>
      <c r="O427">
        <v>1</v>
      </c>
      <c r="P427">
        <v>0</v>
      </c>
      <c r="Q427">
        <v>1</v>
      </c>
      <c r="R427">
        <v>1</v>
      </c>
      <c r="S427">
        <v>1</v>
      </c>
      <c r="T427" s="1">
        <f>SQRT(POWER(Plank[[#This Row],[angvel_X]],2) + POWER(Plank[[#This Row],[angvel_Y]],2) + POWER(Plank[[#This Row],[angvel_Z]],2))</f>
        <v>2.0331000221336875</v>
      </c>
      <c r="U427" s="1">
        <f>DEGREES(ASIN(MAX(-1,MIN(1,2 * (Plank[[#This Row],[quart_W]]*Plank[[#This Row],[quart_Y]] - Plank[[#This Row],[quart_Z]]*Plank[[#This Row],[quart_X]])))))</f>
        <v>0.36351660511965217</v>
      </c>
      <c r="V42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-25.60992935972439</v>
      </c>
      <c r="W42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89.999891343815719</v>
      </c>
      <c r="X427" s="1">
        <f>IF(Plank[[#This Row],[Yaw]]&gt;V426,(360-ABS(Plank[[#This Row],[Yaw]])-ABS(V426)),ABS(Plank[[#This Row],[Yaw]]-V426))</f>
        <v>0.97055707243999834</v>
      </c>
      <c r="Y427" s="1">
        <f>Plank[[#This Row],[Degree change]]+Y426</f>
        <v>354.76041398513632</v>
      </c>
    </row>
    <row r="428" spans="1:25">
      <c r="A428">
        <v>427</v>
      </c>
      <c r="B428" s="1">
        <v>289.94000199999999</v>
      </c>
      <c r="C428" s="1">
        <v>1961.119995</v>
      </c>
      <c r="D428" s="1">
        <v>18.639999</v>
      </c>
      <c r="E428" s="1">
        <v>-897.82000700000003</v>
      </c>
      <c r="F428" s="1">
        <v>2117.5</v>
      </c>
      <c r="G428" s="1">
        <v>8.1799990000000005</v>
      </c>
      <c r="H428" s="1">
        <v>-2.9999999999999997E-4</v>
      </c>
      <c r="I428" s="1">
        <v>0</v>
      </c>
      <c r="J428" s="1">
        <v>2.0331000000000001</v>
      </c>
      <c r="K428" s="1">
        <v>-2.7000000000000001E-3</v>
      </c>
      <c r="L428" s="1">
        <v>1.67E-3</v>
      </c>
      <c r="M428" s="1">
        <v>0.85071699999999995</v>
      </c>
      <c r="N428" s="1">
        <v>0.52561400000000003</v>
      </c>
      <c r="O428">
        <v>1</v>
      </c>
      <c r="P428">
        <v>0</v>
      </c>
      <c r="Q428">
        <v>1</v>
      </c>
      <c r="R428">
        <v>1</v>
      </c>
      <c r="S428">
        <v>1</v>
      </c>
      <c r="T428" s="1">
        <f>SQRT(POWER(Plank[[#This Row],[angvel_X]],2) + POWER(Plank[[#This Row],[angvel_Y]],2) + POWER(Plank[[#This Row],[angvel_Z]],2))</f>
        <v>2.0331000221336875</v>
      </c>
      <c r="U428" s="1">
        <f>DEGREES(ASIN(MAX(-1,MIN(1,2 * (Plank[[#This Row],[quart_W]]*Plank[[#This Row],[quart_Y]] - Plank[[#This Row],[quart_Z]]*Plank[[#This Row],[quart_X]])))))</f>
        <v>0.36379755948762449</v>
      </c>
      <c r="V42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-26.580433241554555</v>
      </c>
      <c r="W42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89.999823572425257</v>
      </c>
      <c r="X428" s="1">
        <f>IF(Plank[[#This Row],[Yaw]]&gt;V427,(360-ABS(Plank[[#This Row],[Yaw]])-ABS(V427)),ABS(Plank[[#This Row],[Yaw]]-V427))</f>
        <v>0.97050388183016523</v>
      </c>
      <c r="Y428" s="1">
        <f>Plank[[#This Row],[Degree change]]+Y427</f>
        <v>355.73091786696648</v>
      </c>
    </row>
    <row r="429" spans="1:25">
      <c r="A429">
        <v>428</v>
      </c>
      <c r="B429" s="1">
        <v>282.42999300000002</v>
      </c>
      <c r="C429" s="1">
        <v>1978.829956</v>
      </c>
      <c r="D429" s="1">
        <v>18.639999</v>
      </c>
      <c r="E429" s="1">
        <v>-933.55999799999995</v>
      </c>
      <c r="F429" s="1">
        <v>2101.98999</v>
      </c>
      <c r="G429" s="1">
        <v>8.1799990000000005</v>
      </c>
      <c r="H429" s="1">
        <v>-2.0000000000000001E-4</v>
      </c>
      <c r="I429" s="1">
        <v>0</v>
      </c>
      <c r="J429" s="1">
        <v>2.0331000000000001</v>
      </c>
      <c r="K429" s="1">
        <v>-2.7160000000000001E-3</v>
      </c>
      <c r="L429" s="1">
        <v>1.6479999999999999E-3</v>
      </c>
      <c r="M429" s="1">
        <v>0.85513799999999995</v>
      </c>
      <c r="N429" s="1">
        <v>0.51839100000000005</v>
      </c>
      <c r="O429">
        <v>1</v>
      </c>
      <c r="P429">
        <v>0</v>
      </c>
      <c r="Q429">
        <v>1</v>
      </c>
      <c r="R429">
        <v>1</v>
      </c>
      <c r="S429">
        <v>1</v>
      </c>
      <c r="T429" s="1">
        <f>SQRT(POWER(Plank[[#This Row],[angvel_X]],2) + POWER(Plank[[#This Row],[angvel_Y]],2) + POWER(Plank[[#This Row],[angvel_Z]],2))</f>
        <v>2.0331000098371943</v>
      </c>
      <c r="U429" s="1">
        <f>DEGREES(ASIN(MAX(-1,MIN(1,2 * (Plank[[#This Row],[quart_W]]*Plank[[#This Row],[quart_Y]] - Plank[[#This Row],[quart_Z]]*Plank[[#This Row],[quart_X]])))))</f>
        <v>0.36404415357928788</v>
      </c>
      <c r="V42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-27.55090791096055</v>
      </c>
      <c r="W42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89.999849026240497</v>
      </c>
      <c r="X429" s="1">
        <f>IF(Plank[[#This Row],[Yaw]]&gt;V428,(360-ABS(Plank[[#This Row],[Yaw]])-ABS(V428)),ABS(Plank[[#This Row],[Yaw]]-V428))</f>
        <v>0.97047466940599492</v>
      </c>
      <c r="Y429" s="1">
        <f>Plank[[#This Row],[Degree change]]+Y428</f>
        <v>356.70139253637245</v>
      </c>
    </row>
    <row r="430" spans="1:25">
      <c r="A430">
        <v>429</v>
      </c>
      <c r="B430" s="1">
        <v>274.61999500000002</v>
      </c>
      <c r="C430" s="1">
        <v>1996.4099120000001</v>
      </c>
      <c r="D430" s="1">
        <v>18.639999</v>
      </c>
      <c r="E430" s="1">
        <v>-969.02996800000005</v>
      </c>
      <c r="F430" s="1">
        <v>2085.8798830000001</v>
      </c>
      <c r="G430" s="1">
        <v>8.1799990000000005</v>
      </c>
      <c r="H430" s="1">
        <v>-1E-4</v>
      </c>
      <c r="I430" s="1">
        <v>0</v>
      </c>
      <c r="J430" s="1">
        <v>2.0331000000000001</v>
      </c>
      <c r="K430" s="1">
        <v>-2.7320000000000001E-3</v>
      </c>
      <c r="L430" s="1">
        <v>1.627E-3</v>
      </c>
      <c r="M430" s="1">
        <v>0.85949799999999998</v>
      </c>
      <c r="N430" s="1">
        <v>0.51112899999999994</v>
      </c>
      <c r="O430">
        <v>1</v>
      </c>
      <c r="P430">
        <v>0</v>
      </c>
      <c r="Q430">
        <v>1</v>
      </c>
      <c r="R430">
        <v>1</v>
      </c>
      <c r="S430">
        <v>1</v>
      </c>
      <c r="T430" s="1">
        <f>SQRT(POWER(Plank[[#This Row],[angvel_X]],2) + POWER(Plank[[#This Row],[angvel_Y]],2) + POWER(Plank[[#This Row],[angvel_Z]],2))</f>
        <v>2.0331000024592987</v>
      </c>
      <c r="U430" s="1">
        <f>DEGREES(ASIN(MAX(-1,MIN(1,2 * (Plank[[#This Row],[quart_W]]*Plank[[#This Row],[quart_Y]] - Plank[[#This Row],[quart_Z]]*Plank[[#This Row],[quart_X]])))))</f>
        <v>0.36437558690985544</v>
      </c>
      <c r="V43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-28.521515116726736</v>
      </c>
      <c r="W43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89.9997709476973</v>
      </c>
      <c r="X430" s="1">
        <f>IF(Plank[[#This Row],[Yaw]]&gt;V429,(360-ABS(Plank[[#This Row],[Yaw]])-ABS(V429)),ABS(Plank[[#This Row],[Yaw]]-V429))</f>
        <v>0.97060720576618564</v>
      </c>
      <c r="Y430" s="1">
        <f>Plank[[#This Row],[Degree change]]+Y429</f>
        <v>357.67199974213861</v>
      </c>
    </row>
    <row r="431" spans="1:25">
      <c r="A431">
        <v>430</v>
      </c>
      <c r="B431" s="1">
        <v>266.50997899999999</v>
      </c>
      <c r="C431" s="1">
        <v>2013.849976</v>
      </c>
      <c r="D431" s="1">
        <v>18.639999</v>
      </c>
      <c r="E431" s="1">
        <v>-1004.219971</v>
      </c>
      <c r="F431" s="1">
        <v>2069.1599120000001</v>
      </c>
      <c r="G431" s="1">
        <v>8.1799990000000005</v>
      </c>
      <c r="H431" s="1">
        <v>-1E-4</v>
      </c>
      <c r="I431" s="1">
        <v>0</v>
      </c>
      <c r="J431" s="1">
        <v>2.0331000000000001</v>
      </c>
      <c r="K431" s="1">
        <v>-2.7490000000000001E-3</v>
      </c>
      <c r="L431" s="1">
        <v>1.6050000000000001E-3</v>
      </c>
      <c r="M431" s="1">
        <v>0.86379700000000004</v>
      </c>
      <c r="N431" s="1">
        <v>0.50383</v>
      </c>
      <c r="O431">
        <v>1</v>
      </c>
      <c r="P431">
        <v>0</v>
      </c>
      <c r="Q431">
        <v>1</v>
      </c>
      <c r="R431">
        <v>1</v>
      </c>
      <c r="S431">
        <v>1</v>
      </c>
      <c r="T431" s="1">
        <f>SQRT(POWER(Plank[[#This Row],[angvel_X]],2) + POWER(Plank[[#This Row],[angvel_Y]],2) + POWER(Plank[[#This Row],[angvel_Z]],2))</f>
        <v>2.0331000024592987</v>
      </c>
      <c r="U431" s="1">
        <f>DEGREES(ASIN(MAX(-1,MIN(1,2 * (Plank[[#This Row],[quart_W]]*Plank[[#This Row],[quart_Y]] - Plank[[#This Row],[quart_Z]]*Plank[[#This Row],[quart_X]])))))</f>
        <v>0.36477319145783726</v>
      </c>
      <c r="V43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-29.492234955671286</v>
      </c>
      <c r="W43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89.999843520336057</v>
      </c>
      <c r="X431" s="1">
        <f>IF(Plank[[#This Row],[Yaw]]&gt;V430,(360-ABS(Plank[[#This Row],[Yaw]])-ABS(V430)),ABS(Plank[[#This Row],[Yaw]]-V430))</f>
        <v>0.97071983894455016</v>
      </c>
      <c r="Y431" s="1">
        <f>Plank[[#This Row],[Degree change]]+Y430</f>
        <v>358.64271958108316</v>
      </c>
    </row>
    <row r="432" spans="1:25">
      <c r="A432">
        <v>431</v>
      </c>
      <c r="B432" s="1">
        <v>258.10998499999999</v>
      </c>
      <c r="C432" s="1">
        <v>2031.1499020000001</v>
      </c>
      <c r="D432" s="1">
        <v>18.639999</v>
      </c>
      <c r="E432" s="1">
        <v>-1039.130005</v>
      </c>
      <c r="F432" s="1">
        <v>2051.8598630000001</v>
      </c>
      <c r="G432" s="1">
        <v>8.1799990000000005</v>
      </c>
      <c r="H432" s="1">
        <v>0</v>
      </c>
      <c r="I432" s="1">
        <v>0</v>
      </c>
      <c r="J432" s="1">
        <v>2.0331000000000001</v>
      </c>
      <c r="K432" s="1">
        <v>-2.7650000000000001E-3</v>
      </c>
      <c r="L432" s="1">
        <v>1.583E-3</v>
      </c>
      <c r="M432" s="1">
        <v>0.868035</v>
      </c>
      <c r="N432" s="1">
        <v>0.49649300000000002</v>
      </c>
      <c r="O432">
        <v>1</v>
      </c>
      <c r="P432">
        <v>0</v>
      </c>
      <c r="Q432">
        <v>1</v>
      </c>
      <c r="R432">
        <v>1</v>
      </c>
      <c r="S432">
        <v>1</v>
      </c>
      <c r="T432" s="1">
        <f>SQRT(POWER(Plank[[#This Row],[angvel_X]],2) + POWER(Plank[[#This Row],[angvel_Y]],2) + POWER(Plank[[#This Row],[angvel_Z]],2))</f>
        <v>2.0331000000000001</v>
      </c>
      <c r="U432" s="1">
        <f>DEGREES(ASIN(MAX(-1,MIN(1,2 * (Plank[[#This Row],[quart_W]]*Plank[[#This Row],[quart_Y]] - Plank[[#This Row],[quart_Z]]*Plank[[#This Row],[quart_X]])))))</f>
        <v>0.36509864851491874</v>
      </c>
      <c r="V43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-30.463187736498124</v>
      </c>
      <c r="W43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89.999851456529939</v>
      </c>
      <c r="X432" s="1">
        <f>IF(Plank[[#This Row],[Yaw]]&gt;V431,(360-ABS(Plank[[#This Row],[Yaw]])-ABS(V431)),ABS(Plank[[#This Row],[Yaw]]-V431))</f>
        <v>0.97095278082683834</v>
      </c>
      <c r="Y432" s="1">
        <f>Plank[[#This Row],[Degree change]]+Y431</f>
        <v>359.61367236191001</v>
      </c>
    </row>
    <row r="433" spans="1:25">
      <c r="A433">
        <v>432</v>
      </c>
      <c r="B433" s="1">
        <v>249.41999799999999</v>
      </c>
      <c r="C433" s="1">
        <v>2048.3100589999999</v>
      </c>
      <c r="D433" s="1">
        <v>18.639999</v>
      </c>
      <c r="E433" s="1">
        <v>-1073.73999</v>
      </c>
      <c r="F433" s="1">
        <v>2033.959961</v>
      </c>
      <c r="G433" s="1">
        <v>8.1799990000000005</v>
      </c>
      <c r="H433" s="1">
        <v>0</v>
      </c>
      <c r="I433" s="1">
        <v>0</v>
      </c>
      <c r="J433" s="1">
        <v>2.0331000000000001</v>
      </c>
      <c r="K433" s="1">
        <v>-2.7759999999999998E-3</v>
      </c>
      <c r="L433" s="1">
        <v>1.562E-3</v>
      </c>
      <c r="M433" s="1">
        <v>0.87220900000000001</v>
      </c>
      <c r="N433" s="1">
        <v>0.489124</v>
      </c>
      <c r="O433">
        <v>1</v>
      </c>
      <c r="P433">
        <v>0</v>
      </c>
      <c r="Q433">
        <v>1</v>
      </c>
      <c r="R433">
        <v>1</v>
      </c>
      <c r="S433">
        <v>1</v>
      </c>
      <c r="T433" s="1">
        <f>SQRT(POWER(Plank[[#This Row],[angvel_X]],2) + POWER(Plank[[#This Row],[angvel_Y]],2) + POWER(Plank[[#This Row],[angvel_Z]],2))</f>
        <v>2.0331000000000001</v>
      </c>
      <c r="U433" s="1">
        <f>DEGREES(ASIN(MAX(-1,MIN(1,2 * (Plank[[#This Row],[quart_W]]*Plank[[#This Row],[quart_Y]] - Plank[[#This Row],[quart_Z]]*Plank[[#This Row],[quart_X]])))))</f>
        <v>0.36500682191384093</v>
      </c>
      <c r="V43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-31.433712738125188</v>
      </c>
      <c r="W43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89.99947490400686</v>
      </c>
      <c r="X433" s="1">
        <f>IF(Plank[[#This Row],[Yaw]]&gt;V432,(360-ABS(Plank[[#This Row],[Yaw]])-ABS(V432)),ABS(Plank[[#This Row],[Yaw]]-V432))</f>
        <v>0.97052500162706323</v>
      </c>
      <c r="Y433" s="1">
        <f>Plank[[#This Row],[Degree change]]+Y432</f>
        <v>360.58419736353704</v>
      </c>
    </row>
    <row r="434" spans="1:25">
      <c r="A434">
        <v>433</v>
      </c>
      <c r="B434" s="1">
        <v>240.439987</v>
      </c>
      <c r="C434" s="1">
        <v>2065.320068</v>
      </c>
      <c r="D434" s="1">
        <v>18.639999</v>
      </c>
      <c r="E434" s="1">
        <v>-1108.0399170000001</v>
      </c>
      <c r="F434" s="1">
        <v>2015.4799800000001</v>
      </c>
      <c r="G434" s="1">
        <v>8.1799990000000005</v>
      </c>
      <c r="H434" s="1">
        <v>0</v>
      </c>
      <c r="I434" s="1">
        <v>0</v>
      </c>
      <c r="J434" s="1">
        <v>2.0331000000000001</v>
      </c>
      <c r="K434" s="1">
        <v>-2.7859999999999998E-3</v>
      </c>
      <c r="L434" s="1">
        <v>1.5399999999999999E-3</v>
      </c>
      <c r="M434" s="1">
        <v>0.87632100000000002</v>
      </c>
      <c r="N434" s="1">
        <v>0.48171700000000001</v>
      </c>
      <c r="O434">
        <v>1</v>
      </c>
      <c r="P434">
        <v>0</v>
      </c>
      <c r="Q434">
        <v>1</v>
      </c>
      <c r="R434">
        <v>1</v>
      </c>
      <c r="S434">
        <v>1</v>
      </c>
      <c r="T434" s="1">
        <f>SQRT(POWER(Plank[[#This Row],[angvel_X]],2) + POWER(Plank[[#This Row],[angvel_Y]],2) + POWER(Plank[[#This Row],[angvel_Z]],2))</f>
        <v>2.0331000000000001</v>
      </c>
      <c r="U434" s="1">
        <f>DEGREES(ASIN(MAX(-1,MIN(1,2 * (Plank[[#This Row],[quart_W]]*Plank[[#This Row],[quart_Y]] - Plank[[#This Row],[quart_Z]]*Plank[[#This Row],[quart_X]])))))</f>
        <v>0.3647788504474837</v>
      </c>
      <c r="V43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-32.404470990458265</v>
      </c>
      <c r="W43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89.999143894551395</v>
      </c>
      <c r="X434" s="1">
        <f>IF(Plank[[#This Row],[Yaw]]&gt;V433,(360-ABS(Plank[[#This Row],[Yaw]])-ABS(V433)),ABS(Plank[[#This Row],[Yaw]]-V433))</f>
        <v>0.97075825233307711</v>
      </c>
      <c r="Y434" s="1">
        <f>Plank[[#This Row],[Degree change]]+Y433</f>
        <v>361.55495561587014</v>
      </c>
    </row>
    <row r="435" spans="1:25">
      <c r="A435">
        <v>434</v>
      </c>
      <c r="B435" s="1">
        <v>231.16999799999999</v>
      </c>
      <c r="C435" s="1">
        <v>2082.169922</v>
      </c>
      <c r="D435" s="1">
        <v>18.639999</v>
      </c>
      <c r="E435" s="1">
        <v>-1142.030029</v>
      </c>
      <c r="F435" s="1">
        <v>1996.419922</v>
      </c>
      <c r="G435" s="1">
        <v>8.1799990000000005</v>
      </c>
      <c r="H435" s="1">
        <v>0</v>
      </c>
      <c r="I435" s="1">
        <v>0</v>
      </c>
      <c r="J435" s="1">
        <v>2.0331000000000001</v>
      </c>
      <c r="K435" s="1">
        <v>-2.797E-3</v>
      </c>
      <c r="L435" s="1">
        <v>1.519E-3</v>
      </c>
      <c r="M435" s="1">
        <v>0.88036999999999999</v>
      </c>
      <c r="N435" s="1">
        <v>0.474277</v>
      </c>
      <c r="O435">
        <v>1</v>
      </c>
      <c r="P435">
        <v>0</v>
      </c>
      <c r="Q435">
        <v>1</v>
      </c>
      <c r="R435">
        <v>1</v>
      </c>
      <c r="S435">
        <v>1</v>
      </c>
      <c r="T435" s="1">
        <f>SQRT(POWER(Plank[[#This Row],[angvel_X]],2) + POWER(Plank[[#This Row],[angvel_Y]],2) + POWER(Plank[[#This Row],[angvel_Z]],2))</f>
        <v>2.0331000000000001</v>
      </c>
      <c r="U435" s="1">
        <f>DEGREES(ASIN(MAX(-1,MIN(1,2 * (Plank[[#This Row],[quart_W]]*Plank[[#This Row],[quart_Y]] - Plank[[#This Row],[quart_Z]]*Plank[[#This Row],[quart_X]])))))</f>
        <v>0.36472695855650861</v>
      </c>
      <c r="V43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-33.375130241266575</v>
      </c>
      <c r="W43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89.99877049234378</v>
      </c>
      <c r="X435" s="1">
        <f>IF(Plank[[#This Row],[Yaw]]&gt;V434,(360-ABS(Plank[[#This Row],[Yaw]])-ABS(V434)),ABS(Plank[[#This Row],[Yaw]]-V434))</f>
        <v>0.9706592508083105</v>
      </c>
      <c r="Y435" s="1">
        <f>Plank[[#This Row],[Degree change]]+Y434</f>
        <v>362.52561486667844</v>
      </c>
    </row>
    <row r="436" spans="1:25">
      <c r="A436">
        <v>435</v>
      </c>
      <c r="B436" s="1">
        <v>221.61999499999999</v>
      </c>
      <c r="C436" s="1">
        <v>2098.8598630000001</v>
      </c>
      <c r="D436" s="1">
        <v>18.639999</v>
      </c>
      <c r="E436" s="1">
        <v>-1175.6899410000001</v>
      </c>
      <c r="F436" s="1">
        <v>1976.7799070000001</v>
      </c>
      <c r="G436" s="1">
        <v>8.1799990000000005</v>
      </c>
      <c r="H436" s="1">
        <v>0</v>
      </c>
      <c r="I436" s="1">
        <v>0</v>
      </c>
      <c r="J436" s="1">
        <v>2.0331000000000001</v>
      </c>
      <c r="K436" s="1">
        <v>-2.8080000000000002E-3</v>
      </c>
      <c r="L436" s="1">
        <v>1.4970000000000001E-3</v>
      </c>
      <c r="M436" s="1">
        <v>0.88435699999999995</v>
      </c>
      <c r="N436" s="1">
        <v>0.46679999999999999</v>
      </c>
      <c r="O436">
        <v>1</v>
      </c>
      <c r="P436">
        <v>0</v>
      </c>
      <c r="Q436">
        <v>1</v>
      </c>
      <c r="R436">
        <v>1</v>
      </c>
      <c r="S436">
        <v>1</v>
      </c>
      <c r="T436" s="1">
        <f>SQRT(POWER(Plank[[#This Row],[angvel_X]],2) + POWER(Plank[[#This Row],[angvel_Y]],2) + POWER(Plank[[#This Row],[angvel_Z]],2))</f>
        <v>2.0331000000000001</v>
      </c>
      <c r="U436" s="1">
        <f>DEGREES(ASIN(MAX(-1,MIN(1,2 * (Plank[[#This Row],[quart_W]]*Plank[[#This Row],[quart_Y]] - Plank[[#This Row],[quart_Z]]*Plank[[#This Row],[quart_X]])))))</f>
        <v>0.36464128851540972</v>
      </c>
      <c r="V43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-34.346118313663084</v>
      </c>
      <c r="W43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89.998497900101341</v>
      </c>
      <c r="X436" s="1">
        <f>IF(Plank[[#This Row],[Yaw]]&gt;V435,(360-ABS(Plank[[#This Row],[Yaw]])-ABS(V435)),ABS(Plank[[#This Row],[Yaw]]-V435))</f>
        <v>0.97098807239650853</v>
      </c>
      <c r="Y436" s="1">
        <f>Plank[[#This Row],[Degree change]]+Y435</f>
        <v>363.49660293907493</v>
      </c>
    </row>
    <row r="437" spans="1:25">
      <c r="A437">
        <v>436</v>
      </c>
      <c r="B437" s="1">
        <v>211.779999</v>
      </c>
      <c r="C437" s="1">
        <v>2115.389893</v>
      </c>
      <c r="D437" s="1">
        <v>18.639999</v>
      </c>
      <c r="E437" s="1">
        <v>-1209.01001</v>
      </c>
      <c r="F437" s="1">
        <v>1956.579956</v>
      </c>
      <c r="G437" s="1">
        <v>8.1799990000000005</v>
      </c>
      <c r="H437" s="1">
        <v>0</v>
      </c>
      <c r="I437" s="1">
        <v>0</v>
      </c>
      <c r="J437" s="1">
        <v>2.0331000000000001</v>
      </c>
      <c r="K437" s="1">
        <v>-2.8189999999999999E-3</v>
      </c>
      <c r="L437" s="1">
        <v>1.475E-3</v>
      </c>
      <c r="M437" s="1">
        <v>0.88827999999999996</v>
      </c>
      <c r="N437" s="1">
        <v>0.45928999999999998</v>
      </c>
      <c r="O437">
        <v>1</v>
      </c>
      <c r="P437">
        <v>0</v>
      </c>
      <c r="Q437">
        <v>1</v>
      </c>
      <c r="R437">
        <v>1</v>
      </c>
      <c r="S437">
        <v>1</v>
      </c>
      <c r="T437" s="1">
        <f>SQRT(POWER(Plank[[#This Row],[angvel_X]],2) + POWER(Plank[[#This Row],[angvel_Y]],2) + POWER(Plank[[#This Row],[angvel_Z]],2))</f>
        <v>2.0331000000000001</v>
      </c>
      <c r="U437" s="1">
        <f>DEGREES(ASIN(MAX(-1,MIN(1,2 * (Plank[[#This Row],[quart_W]]*Plank[[#This Row],[quart_Y]] - Plank[[#This Row],[quart_Z]]*Plank[[#This Row],[quart_X]])))))</f>
        <v>0.36457711754731392</v>
      </c>
      <c r="V43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-35.317008986506636</v>
      </c>
      <c r="W43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89.998226718166649</v>
      </c>
      <c r="X437" s="1">
        <f>IF(Plank[[#This Row],[Yaw]]&gt;V436,(360-ABS(Plank[[#This Row],[Yaw]])-ABS(V436)),ABS(Plank[[#This Row],[Yaw]]-V436))</f>
        <v>0.97089067284355224</v>
      </c>
      <c r="Y437" s="1">
        <f>Plank[[#This Row],[Degree change]]+Y436</f>
        <v>364.46749361191848</v>
      </c>
    </row>
    <row r="438" spans="1:25">
      <c r="A438">
        <v>437</v>
      </c>
      <c r="B438" s="1">
        <v>201.66999799999999</v>
      </c>
      <c r="C438" s="1">
        <v>2131.75</v>
      </c>
      <c r="D438" s="1">
        <v>18.639999</v>
      </c>
      <c r="E438" s="1">
        <v>-1241.98999</v>
      </c>
      <c r="F438" s="1">
        <v>1935.809937</v>
      </c>
      <c r="G438" s="1">
        <v>8.1799990000000005</v>
      </c>
      <c r="H438" s="1">
        <v>0</v>
      </c>
      <c r="I438" s="1">
        <v>0</v>
      </c>
      <c r="J438" s="1">
        <v>2.0331000000000001</v>
      </c>
      <c r="K438" s="1">
        <v>-2.8300000000000001E-3</v>
      </c>
      <c r="L438" s="1">
        <v>1.454E-3</v>
      </c>
      <c r="M438" s="1">
        <v>0.89214000000000004</v>
      </c>
      <c r="N438" s="1">
        <v>0.45174799999999998</v>
      </c>
      <c r="O438">
        <v>1</v>
      </c>
      <c r="P438">
        <v>0</v>
      </c>
      <c r="Q438">
        <v>1</v>
      </c>
      <c r="R438">
        <v>1</v>
      </c>
      <c r="S438">
        <v>1</v>
      </c>
      <c r="T438" s="1">
        <f>SQRT(POWER(Plank[[#This Row],[angvel_X]],2) + POWER(Plank[[#This Row],[angvel_Y]],2) + POWER(Plank[[#This Row],[angvel_Z]],2))</f>
        <v>2.0331000000000001</v>
      </c>
      <c r="U438" s="1">
        <f>DEGREES(ASIN(MAX(-1,MIN(1,2 * (Plank[[#This Row],[quart_W]]*Plank[[#This Row],[quart_Y]] - Plank[[#This Row],[quart_Z]]*Plank[[#This Row],[quart_X]])))))</f>
        <v>0.36458671157604788</v>
      </c>
      <c r="V43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-36.287946542258112</v>
      </c>
      <c r="W43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89.997854261701193</v>
      </c>
      <c r="X438" s="1">
        <f>IF(Plank[[#This Row],[Yaw]]&gt;V437,(360-ABS(Plank[[#This Row],[Yaw]])-ABS(V437)),ABS(Plank[[#This Row],[Yaw]]-V437))</f>
        <v>0.97093755575147611</v>
      </c>
      <c r="Y438" s="1">
        <f>Plank[[#This Row],[Degree change]]+Y437</f>
        <v>365.43843116766993</v>
      </c>
    </row>
    <row r="439" spans="1:25">
      <c r="A439">
        <v>438</v>
      </c>
      <c r="B439" s="1">
        <v>191.279999</v>
      </c>
      <c r="C439" s="1">
        <v>2147.9399410000001</v>
      </c>
      <c r="D439" s="1">
        <v>18.639999</v>
      </c>
      <c r="E439" s="1">
        <v>-1274.6099850000001</v>
      </c>
      <c r="F439" s="1">
        <v>1914.48999</v>
      </c>
      <c r="G439" s="1">
        <v>8.1799990000000005</v>
      </c>
      <c r="H439" s="1">
        <v>0</v>
      </c>
      <c r="I439" s="1">
        <v>-1E-4</v>
      </c>
      <c r="J439" s="1">
        <v>2.0331000000000001</v>
      </c>
      <c r="K439" s="1">
        <v>-2.8400000000000001E-3</v>
      </c>
      <c r="L439" s="1">
        <v>1.4319999999999999E-3</v>
      </c>
      <c r="M439" s="1">
        <v>0.89593500000000004</v>
      </c>
      <c r="N439" s="1">
        <v>0.44417400000000001</v>
      </c>
      <c r="O439">
        <v>1</v>
      </c>
      <c r="P439">
        <v>0</v>
      </c>
      <c r="Q439">
        <v>1</v>
      </c>
      <c r="R439">
        <v>1</v>
      </c>
      <c r="S439">
        <v>1</v>
      </c>
      <c r="T439" s="1">
        <f>SQRT(POWER(Plank[[#This Row],[angvel_X]],2) + POWER(Plank[[#This Row],[angvel_Y]],2) + POWER(Plank[[#This Row],[angvel_Z]],2))</f>
        <v>2.0331000024592987</v>
      </c>
      <c r="U439" s="1">
        <f>DEGREES(ASIN(MAX(-1,MIN(1,2 * (Plank[[#This Row],[quart_W]]*Plank[[#This Row],[quart_Y]] - Plank[[#This Row],[quart_Z]]*Plank[[#This Row],[quart_X]])))))</f>
        <v>0.36446235154914375</v>
      </c>
      <c r="V43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-37.258726755033592</v>
      </c>
      <c r="W43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89.997533394290002</v>
      </c>
      <c r="X439" s="1">
        <f>IF(Plank[[#This Row],[Yaw]]&gt;V438,(360-ABS(Plank[[#This Row],[Yaw]])-ABS(V438)),ABS(Plank[[#This Row],[Yaw]]-V438))</f>
        <v>0.97078021277548032</v>
      </c>
      <c r="Y439" s="1">
        <f>Plank[[#This Row],[Degree change]]+Y438</f>
        <v>366.40921138044541</v>
      </c>
    </row>
    <row r="440" spans="1:25">
      <c r="A440">
        <v>439</v>
      </c>
      <c r="B440" s="1">
        <v>180.61999499999999</v>
      </c>
      <c r="C440" s="1">
        <v>2163.9499510000001</v>
      </c>
      <c r="D440" s="1">
        <v>18.639999</v>
      </c>
      <c r="E440" s="1">
        <v>-1306.8599850000001</v>
      </c>
      <c r="F440" s="1">
        <v>1892.619995</v>
      </c>
      <c r="G440" s="1">
        <v>8.1799990000000005</v>
      </c>
      <c r="H440" s="1">
        <v>0</v>
      </c>
      <c r="I440" s="1">
        <v>-1E-4</v>
      </c>
      <c r="J440" s="1">
        <v>2.0331000000000001</v>
      </c>
      <c r="K440" s="1">
        <v>-2.8509999999999998E-3</v>
      </c>
      <c r="L440" s="1">
        <v>1.4109999999999999E-3</v>
      </c>
      <c r="M440" s="1">
        <v>0.89966599999999997</v>
      </c>
      <c r="N440" s="1">
        <v>0.43656699999999998</v>
      </c>
      <c r="O440">
        <v>1</v>
      </c>
      <c r="P440">
        <v>0</v>
      </c>
      <c r="Q440">
        <v>1</v>
      </c>
      <c r="R440">
        <v>1</v>
      </c>
      <c r="S440">
        <v>1</v>
      </c>
      <c r="T440" s="1">
        <f>SQRT(POWER(Plank[[#This Row],[angvel_X]],2) + POWER(Plank[[#This Row],[angvel_Y]],2) + POWER(Plank[[#This Row],[angvel_Z]],2))</f>
        <v>2.0331000024592987</v>
      </c>
      <c r="U440" s="1">
        <f>DEGREES(ASIN(MAX(-1,MIN(1,2 * (Plank[[#This Row],[quart_W]]*Plank[[#This Row],[quart_Y]] - Plank[[#This Row],[quart_Z]]*Plank[[#This Row],[quart_X]])))))</f>
        <v>0.36451176844001498</v>
      </c>
      <c r="V44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-38.22961837551108</v>
      </c>
      <c r="W44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89.997160798125805</v>
      </c>
      <c r="X440" s="1">
        <f>IF(Plank[[#This Row],[Yaw]]&gt;V439,(360-ABS(Plank[[#This Row],[Yaw]])-ABS(V439)),ABS(Plank[[#This Row],[Yaw]]-V439))</f>
        <v>0.970891620477488</v>
      </c>
      <c r="Y440" s="1">
        <f>Plank[[#This Row],[Degree change]]+Y439</f>
        <v>367.38010300092287</v>
      </c>
    </row>
    <row r="441" spans="1:25">
      <c r="A441">
        <v>440</v>
      </c>
      <c r="B441" s="1">
        <v>169.69000199999999</v>
      </c>
      <c r="C441" s="1">
        <v>2179.780029</v>
      </c>
      <c r="D441" s="1">
        <v>18.639999</v>
      </c>
      <c r="E441" s="1">
        <v>-1338.73999</v>
      </c>
      <c r="F441" s="1">
        <v>1870.209961</v>
      </c>
      <c r="G441" s="1">
        <v>8.1799990000000005</v>
      </c>
      <c r="H441" s="1">
        <v>0</v>
      </c>
      <c r="I441" s="1">
        <v>-2.0000000000000001E-4</v>
      </c>
      <c r="J441" s="1">
        <v>2.0331000000000001</v>
      </c>
      <c r="K441" s="1">
        <v>-2.862E-3</v>
      </c>
      <c r="L441" s="1">
        <v>1.384E-3</v>
      </c>
      <c r="M441" s="1">
        <v>0.90333300000000005</v>
      </c>
      <c r="N441" s="1">
        <v>0.42892799999999998</v>
      </c>
      <c r="O441">
        <v>1</v>
      </c>
      <c r="P441">
        <v>0</v>
      </c>
      <c r="Q441">
        <v>1</v>
      </c>
      <c r="R441">
        <v>1</v>
      </c>
      <c r="S441">
        <v>1</v>
      </c>
      <c r="T441" s="1">
        <f>SQRT(POWER(Plank[[#This Row],[angvel_X]],2) + POWER(Plank[[#This Row],[angvel_Y]],2) + POWER(Plank[[#This Row],[angvel_Z]],2))</f>
        <v>2.0331000098371943</v>
      </c>
      <c r="U441" s="1">
        <f>DEGREES(ASIN(MAX(-1,MIN(1,2 * (Plank[[#This Row],[quart_W]]*Plank[[#This Row],[quart_Y]] - Plank[[#This Row],[quart_Z]]*Plank[[#This Row],[quart_X]])))))</f>
        <v>0.36428620128028899</v>
      </c>
      <c r="V44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-39.200627054461982</v>
      </c>
      <c r="W44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89.997407779282341</v>
      </c>
      <c r="X441" s="1">
        <f>IF(Plank[[#This Row],[Yaw]]&gt;V440,(360-ABS(Plank[[#This Row],[Yaw]])-ABS(V440)),ABS(Plank[[#This Row],[Yaw]]-V440))</f>
        <v>0.97100867895090204</v>
      </c>
      <c r="Y441" s="1">
        <f>Plank[[#This Row],[Degree change]]+Y440</f>
        <v>368.35111167987378</v>
      </c>
    </row>
    <row r="442" spans="1:25">
      <c r="A442">
        <v>441</v>
      </c>
      <c r="B442" s="1">
        <v>158.48999000000001</v>
      </c>
      <c r="C442" s="1">
        <v>2195.419922</v>
      </c>
      <c r="D442" s="1">
        <v>18.639999</v>
      </c>
      <c r="E442" s="1">
        <v>-1370.23999</v>
      </c>
      <c r="F442" s="1">
        <v>1847.26001</v>
      </c>
      <c r="G442" s="1">
        <v>8.1799990000000005</v>
      </c>
      <c r="H442" s="1">
        <v>0</v>
      </c>
      <c r="I442" s="1">
        <v>-2.0000000000000001E-4</v>
      </c>
      <c r="J442" s="1">
        <v>2.0331000000000001</v>
      </c>
      <c r="K442" s="1">
        <v>-2.8730000000000001E-3</v>
      </c>
      <c r="L442" s="1">
        <v>1.3569999999999999E-3</v>
      </c>
      <c r="M442" s="1">
        <v>0.90693299999999999</v>
      </c>
      <c r="N442" s="1">
        <v>0.42126200000000003</v>
      </c>
      <c r="O442">
        <v>1</v>
      </c>
      <c r="P442">
        <v>0</v>
      </c>
      <c r="Q442">
        <v>1</v>
      </c>
      <c r="R442">
        <v>1</v>
      </c>
      <c r="S442">
        <v>1</v>
      </c>
      <c r="T442" s="1">
        <f>SQRT(POWER(Plank[[#This Row],[angvel_X]],2) + POWER(Plank[[#This Row],[angvel_Y]],2) + POWER(Plank[[#This Row],[angvel_Z]],2))</f>
        <v>2.0331000098371943</v>
      </c>
      <c r="U442" s="1">
        <f>DEGREES(ASIN(MAX(-1,MIN(1,2 * (Plank[[#This Row],[quart_W]]*Plank[[#This Row],[quart_Y]] - Plank[[#This Row],[quart_Z]]*Plank[[#This Row],[quart_X]])))))</f>
        <v>0.36409089263824801</v>
      </c>
      <c r="V44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-40.171107904423323</v>
      </c>
      <c r="W44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89.997659723249967</v>
      </c>
      <c r="X442" s="1">
        <f>IF(Plank[[#This Row],[Yaw]]&gt;V441,(360-ABS(Plank[[#This Row],[Yaw]])-ABS(V441)),ABS(Plank[[#This Row],[Yaw]]-V441))</f>
        <v>0.97048084996134065</v>
      </c>
      <c r="Y442" s="1">
        <f>Plank[[#This Row],[Degree change]]+Y441</f>
        <v>369.32159252983513</v>
      </c>
    </row>
    <row r="443" spans="1:25">
      <c r="A443">
        <v>442</v>
      </c>
      <c r="B443" s="1">
        <v>147.029999</v>
      </c>
      <c r="C443" s="1">
        <v>2210.8698730000001</v>
      </c>
      <c r="D443" s="1">
        <v>18.639999</v>
      </c>
      <c r="E443" s="1">
        <v>-1401.339966</v>
      </c>
      <c r="F443" s="1">
        <v>1823.7700199999999</v>
      </c>
      <c r="G443" s="1">
        <v>8.1799990000000005</v>
      </c>
      <c r="H443" s="1">
        <v>0</v>
      </c>
      <c r="I443" s="1">
        <v>-2.0000000000000001E-4</v>
      </c>
      <c r="J443" s="1">
        <v>2.0331000000000001</v>
      </c>
      <c r="K443" s="1">
        <v>-2.8839999999999998E-3</v>
      </c>
      <c r="L443" s="1">
        <v>1.33E-3</v>
      </c>
      <c r="M443" s="1">
        <v>0.91046899999999997</v>
      </c>
      <c r="N443" s="1">
        <v>0.41356399999999999</v>
      </c>
      <c r="O443">
        <v>1</v>
      </c>
      <c r="P443">
        <v>0</v>
      </c>
      <c r="Q443">
        <v>1</v>
      </c>
      <c r="R443">
        <v>1</v>
      </c>
      <c r="S443">
        <v>1</v>
      </c>
      <c r="T443" s="1">
        <f>SQRT(POWER(Plank[[#This Row],[angvel_X]],2) + POWER(Plank[[#This Row],[angvel_Y]],2) + POWER(Plank[[#This Row],[angvel_Z]],2))</f>
        <v>2.0331000098371943</v>
      </c>
      <c r="U443" s="1">
        <f>DEGREES(ASIN(MAX(-1,MIN(1,2 * (Plank[[#This Row],[quart_W]]*Plank[[#This Row],[quart_Y]] - Plank[[#This Row],[quart_Z]]*Plank[[#This Row],[quart_X]])))))</f>
        <v>0.3639260691785986</v>
      </c>
      <c r="V443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-41.141845223167053</v>
      </c>
      <c r="W443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89.997913796353714</v>
      </c>
      <c r="X443" s="1">
        <f>IF(Plank[[#This Row],[Yaw]]&gt;V442,(360-ABS(Plank[[#This Row],[Yaw]])-ABS(V442)),ABS(Plank[[#This Row],[Yaw]]-V442))</f>
        <v>0.97073731874372982</v>
      </c>
      <c r="Y443" s="1">
        <f>Plank[[#This Row],[Degree change]]+Y442</f>
        <v>370.29232984857885</v>
      </c>
    </row>
    <row r="444" spans="1:25">
      <c r="A444">
        <v>443</v>
      </c>
      <c r="B444" s="1">
        <v>135.30999800000001</v>
      </c>
      <c r="C444" s="1">
        <v>2226.1198730000001</v>
      </c>
      <c r="D444" s="1">
        <v>18.639999</v>
      </c>
      <c r="E444" s="1">
        <v>-1432.0399170000001</v>
      </c>
      <c r="F444" s="1">
        <v>1799.7700199999999</v>
      </c>
      <c r="G444" s="1">
        <v>8.1799990000000005</v>
      </c>
      <c r="H444" s="1">
        <v>0</v>
      </c>
      <c r="I444" s="1">
        <v>-2.0000000000000001E-4</v>
      </c>
      <c r="J444" s="1">
        <v>2.0331000000000001</v>
      </c>
      <c r="K444" s="1">
        <v>-2.8939999999999999E-3</v>
      </c>
      <c r="L444" s="1">
        <v>1.3029999999999999E-3</v>
      </c>
      <c r="M444" s="1">
        <v>0.91393899999999995</v>
      </c>
      <c r="N444" s="1">
        <v>0.40583900000000001</v>
      </c>
      <c r="O444">
        <v>1</v>
      </c>
      <c r="P444">
        <v>0</v>
      </c>
      <c r="Q444">
        <v>1</v>
      </c>
      <c r="R444">
        <v>1</v>
      </c>
      <c r="S444">
        <v>1</v>
      </c>
      <c r="T444" s="1">
        <f>SQRT(POWER(Plank[[#This Row],[angvel_X]],2) + POWER(Plank[[#This Row],[angvel_Y]],2) + POWER(Plank[[#This Row],[angvel_Z]],2))</f>
        <v>2.0331000098371943</v>
      </c>
      <c r="U444" s="1">
        <f>DEGREES(ASIN(MAX(-1,MIN(1,2 * (Plank[[#This Row],[quart_W]]*Plank[[#This Row],[quart_Y]] - Plank[[#This Row],[quart_Z]]*Plank[[#This Row],[quart_X]])))))</f>
        <v>0.36368713717992779</v>
      </c>
      <c r="V444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-42.112312564166146</v>
      </c>
      <c r="W444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89.9981247342687</v>
      </c>
      <c r="X444" s="1">
        <f>IF(Plank[[#This Row],[Yaw]]&gt;V443,(360-ABS(Plank[[#This Row],[Yaw]])-ABS(V443)),ABS(Plank[[#This Row],[Yaw]]-V443))</f>
        <v>0.97046734099909315</v>
      </c>
      <c r="Y444" s="1">
        <f>Plank[[#This Row],[Degree change]]+Y443</f>
        <v>371.26279718957795</v>
      </c>
    </row>
    <row r="445" spans="1:25">
      <c r="A445">
        <v>444</v>
      </c>
      <c r="B445" s="1">
        <v>123.329994</v>
      </c>
      <c r="C445" s="1">
        <v>2241.169922</v>
      </c>
      <c r="D445" s="1">
        <v>18.639999</v>
      </c>
      <c r="E445" s="1">
        <v>-1462.3199460000001</v>
      </c>
      <c r="F445" s="1">
        <v>1775.25</v>
      </c>
      <c r="G445" s="1">
        <v>8.1799990000000005</v>
      </c>
      <c r="H445" s="1">
        <v>0</v>
      </c>
      <c r="I445" s="1">
        <v>-2.0000000000000001E-4</v>
      </c>
      <c r="J445" s="1">
        <v>2.0331000000000001</v>
      </c>
      <c r="K445" s="1">
        <v>-2.905E-3</v>
      </c>
      <c r="L445" s="1">
        <v>1.276E-3</v>
      </c>
      <c r="M445" s="1">
        <v>0.91734499999999997</v>
      </c>
      <c r="N445" s="1">
        <v>0.39808100000000002</v>
      </c>
      <c r="O445">
        <v>1</v>
      </c>
      <c r="P445">
        <v>0</v>
      </c>
      <c r="Q445">
        <v>1</v>
      </c>
      <c r="R445">
        <v>1</v>
      </c>
      <c r="S445">
        <v>1</v>
      </c>
      <c r="T445" s="1">
        <f>SQRT(POWER(Plank[[#This Row],[angvel_X]],2) + POWER(Plank[[#This Row],[angvel_Y]],2) + POWER(Plank[[#This Row],[angvel_Z]],2))</f>
        <v>2.0331000098371943</v>
      </c>
      <c r="U445" s="1">
        <f>DEGREES(ASIN(MAX(-1,MIN(1,2 * (Plank[[#This Row],[quart_W]]*Plank[[#This Row],[quart_Y]] - Plank[[#This Row],[quart_Z]]*Plank[[#This Row],[quart_X]])))))</f>
        <v>0.36358295966632165</v>
      </c>
      <c r="V445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-43.083247000933575</v>
      </c>
      <c r="W445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89.998383434068941</v>
      </c>
      <c r="X445" s="1">
        <f>IF(Plank[[#This Row],[Yaw]]&gt;V444,(360-ABS(Plank[[#This Row],[Yaw]])-ABS(V444)),ABS(Plank[[#This Row],[Yaw]]-V444))</f>
        <v>0.97093443676742908</v>
      </c>
      <c r="Y445" s="1">
        <f>Plank[[#This Row],[Degree change]]+Y444</f>
        <v>372.23373162634539</v>
      </c>
    </row>
    <row r="446" spans="1:25">
      <c r="A446">
        <v>445</v>
      </c>
      <c r="B446" s="1">
        <v>111.099998</v>
      </c>
      <c r="C446" s="1">
        <v>2256.01001</v>
      </c>
      <c r="D446" s="1">
        <v>18.639999</v>
      </c>
      <c r="E446" s="1">
        <v>-1492.1899410000001</v>
      </c>
      <c r="F446" s="1">
        <v>1750.219971</v>
      </c>
      <c r="G446" s="1">
        <v>8.1799990000000005</v>
      </c>
      <c r="H446" s="1">
        <v>0</v>
      </c>
      <c r="I446" s="1">
        <v>-2.0000000000000001E-4</v>
      </c>
      <c r="J446" s="1">
        <v>2.0331000000000001</v>
      </c>
      <c r="K446" s="1">
        <v>-2.9160000000000002E-3</v>
      </c>
      <c r="L446" s="1">
        <v>1.2489999999999999E-3</v>
      </c>
      <c r="M446" s="1">
        <v>0.92068399999999995</v>
      </c>
      <c r="N446" s="1">
        <v>0.39029599999999998</v>
      </c>
      <c r="O446">
        <v>1</v>
      </c>
      <c r="P446">
        <v>0</v>
      </c>
      <c r="Q446">
        <v>1</v>
      </c>
      <c r="R446">
        <v>1</v>
      </c>
      <c r="S446">
        <v>1</v>
      </c>
      <c r="T446" s="1">
        <f>SQRT(POWER(Plank[[#This Row],[angvel_X]],2) + POWER(Plank[[#This Row],[angvel_Y]],2) + POWER(Plank[[#This Row],[angvel_Z]],2))</f>
        <v>2.0331000098371943</v>
      </c>
      <c r="U446" s="1">
        <f>DEGREES(ASIN(MAX(-1,MIN(1,2 * (Plank[[#This Row],[quart_W]]*Plank[[#This Row],[quart_Y]] - Plank[[#This Row],[quart_Z]]*Plank[[#This Row],[quart_X]])))))</f>
        <v>0.36350912305699434</v>
      </c>
      <c r="V446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-44.053926438677664</v>
      </c>
      <c r="W446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89.998644219352343</v>
      </c>
      <c r="X446" s="1">
        <f>IF(Plank[[#This Row],[Yaw]]&gt;V445,(360-ABS(Plank[[#This Row],[Yaw]])-ABS(V445)),ABS(Plank[[#This Row],[Yaw]]-V445))</f>
        <v>0.9706794377440886</v>
      </c>
      <c r="Y446" s="1">
        <f>Plank[[#This Row],[Degree change]]+Y445</f>
        <v>373.20441106408947</v>
      </c>
    </row>
    <row r="447" spans="1:25">
      <c r="A447">
        <v>446</v>
      </c>
      <c r="B447" s="1">
        <v>98.619995000000003</v>
      </c>
      <c r="C447" s="1">
        <v>2270.639893</v>
      </c>
      <c r="D447" s="1">
        <v>18.639999</v>
      </c>
      <c r="E447" s="1">
        <v>-1521.630005</v>
      </c>
      <c r="F447" s="1">
        <v>1724.6899410000001</v>
      </c>
      <c r="G447" s="1">
        <v>8.1799990000000005</v>
      </c>
      <c r="H447" s="1">
        <v>0</v>
      </c>
      <c r="I447" s="1">
        <v>-2.0000000000000001E-4</v>
      </c>
      <c r="J447" s="1">
        <v>2.0331000000000001</v>
      </c>
      <c r="K447" s="1">
        <v>-2.9269999999999999E-3</v>
      </c>
      <c r="L447" s="1">
        <v>1.222E-3</v>
      </c>
      <c r="M447" s="1">
        <v>0.923956</v>
      </c>
      <c r="N447" s="1">
        <v>0.38248399999999999</v>
      </c>
      <c r="O447">
        <v>1</v>
      </c>
      <c r="P447">
        <v>0</v>
      </c>
      <c r="Q447">
        <v>1</v>
      </c>
      <c r="R447">
        <v>1</v>
      </c>
      <c r="S447">
        <v>1</v>
      </c>
      <c r="T447" s="1">
        <f>SQRT(POWER(Plank[[#This Row],[angvel_X]],2) + POWER(Plank[[#This Row],[angvel_Y]],2) + POWER(Plank[[#This Row],[angvel_Z]],2))</f>
        <v>2.0331000098371943</v>
      </c>
      <c r="U447" s="1">
        <f>DEGREES(ASIN(MAX(-1,MIN(1,2 * (Plank[[#This Row],[quart_W]]*Plank[[#This Row],[quart_Y]] - Plank[[#This Row],[quart_Z]]*Plank[[#This Row],[quart_X]])))))</f>
        <v>0.36346562460094878</v>
      </c>
      <c r="V447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-45.024420361513656</v>
      </c>
      <c r="W447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89.998906366117453</v>
      </c>
      <c r="X447" s="1">
        <f>IF(Plank[[#This Row],[Yaw]]&gt;V446,(360-ABS(Plank[[#This Row],[Yaw]])-ABS(V446)),ABS(Plank[[#This Row],[Yaw]]-V446))</f>
        <v>0.9704939228359919</v>
      </c>
      <c r="Y447" s="1">
        <f>Plank[[#This Row],[Degree change]]+Y446</f>
        <v>374.17490498692547</v>
      </c>
    </row>
    <row r="448" spans="1:25">
      <c r="A448">
        <v>447</v>
      </c>
      <c r="B448" s="1">
        <v>85.889999000000003</v>
      </c>
      <c r="C448" s="1">
        <v>2285.0600589999999</v>
      </c>
      <c r="D448" s="1">
        <v>18.639999</v>
      </c>
      <c r="E448" s="1">
        <v>-1550.630005</v>
      </c>
      <c r="F448" s="1">
        <v>1698.6599120000001</v>
      </c>
      <c r="G448" s="1">
        <v>8.1799990000000005</v>
      </c>
      <c r="H448" s="1">
        <v>0</v>
      </c>
      <c r="I448" s="1">
        <v>-2.0000000000000001E-4</v>
      </c>
      <c r="J448" s="1">
        <v>2.0331000000000001</v>
      </c>
      <c r="K448" s="1">
        <v>-2.9369999999999999E-3</v>
      </c>
      <c r="L448" s="1">
        <v>1.1950000000000001E-3</v>
      </c>
      <c r="M448" s="1">
        <v>0.92716299999999996</v>
      </c>
      <c r="N448" s="1">
        <v>0.37464599999999998</v>
      </c>
      <c r="O448">
        <v>1</v>
      </c>
      <c r="P448">
        <v>0</v>
      </c>
      <c r="Q448">
        <v>1</v>
      </c>
      <c r="R448">
        <v>1</v>
      </c>
      <c r="S448">
        <v>1</v>
      </c>
      <c r="T448" s="1">
        <f>SQRT(POWER(Plank[[#This Row],[angvel_X]],2) + POWER(Plank[[#This Row],[angvel_Y]],2) + POWER(Plank[[#This Row],[angvel_Z]],2))</f>
        <v>2.0331000098371943</v>
      </c>
      <c r="U448" s="1">
        <f>DEGREES(ASIN(MAX(-1,MIN(1,2 * (Plank[[#This Row],[quart_W]]*Plank[[#This Row],[quart_Y]] - Plank[[#This Row],[quart_Z]]*Plank[[#This Row],[quart_X]])))))</f>
        <v>0.36334702465003726</v>
      </c>
      <c r="V448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-45.994956817962091</v>
      </c>
      <c r="W448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89.999126281037604</v>
      </c>
      <c r="X448" s="1">
        <f>IF(Plank[[#This Row],[Yaw]]&gt;V447,(360-ABS(Plank[[#This Row],[Yaw]])-ABS(V447)),ABS(Plank[[#This Row],[Yaw]]-V447))</f>
        <v>0.97053645644843556</v>
      </c>
      <c r="Y448" s="1">
        <f>Plank[[#This Row],[Degree change]]+Y447</f>
        <v>375.1454414433739</v>
      </c>
    </row>
    <row r="449" spans="1:25">
      <c r="A449">
        <v>448</v>
      </c>
      <c r="B449" s="1">
        <v>72.919998000000007</v>
      </c>
      <c r="C449" s="1">
        <v>2299.26001</v>
      </c>
      <c r="D449" s="1">
        <v>18.639999</v>
      </c>
      <c r="E449" s="1">
        <v>-1579.179932</v>
      </c>
      <c r="F449" s="1">
        <v>1672.1499020000001</v>
      </c>
      <c r="G449" s="1">
        <v>8.1799990000000005</v>
      </c>
      <c r="H449" s="1">
        <v>0</v>
      </c>
      <c r="I449" s="1">
        <v>-2.0000000000000001E-4</v>
      </c>
      <c r="J449" s="1">
        <v>2.0331000000000001</v>
      </c>
      <c r="K449" s="1">
        <v>-2.9480000000000001E-3</v>
      </c>
      <c r="L449" s="1">
        <v>1.168E-3</v>
      </c>
      <c r="M449" s="1">
        <v>0.93030199999999996</v>
      </c>
      <c r="N449" s="1">
        <v>0.36677999999999999</v>
      </c>
      <c r="O449">
        <v>1</v>
      </c>
      <c r="P449">
        <v>0</v>
      </c>
      <c r="Q449">
        <v>1</v>
      </c>
      <c r="R449">
        <v>1</v>
      </c>
      <c r="S449">
        <v>1</v>
      </c>
      <c r="T449" s="1">
        <f>SQRT(POWER(Plank[[#This Row],[angvel_X]],2) + POWER(Plank[[#This Row],[angvel_Y]],2) + POWER(Plank[[#This Row],[angvel_Z]],2))</f>
        <v>2.0331000098371943</v>
      </c>
      <c r="U449" s="1">
        <f>DEGREES(ASIN(MAX(-1,MIN(1,2 * (Plank[[#This Row],[quart_W]]*Plank[[#This Row],[quart_Y]] - Plank[[#This Row],[quart_Z]]*Plank[[#This Row],[quart_X]])))))</f>
        <v>0.36336417190278353</v>
      </c>
      <c r="V449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-46.965403773167878</v>
      </c>
      <c r="W449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89.999389753757143</v>
      </c>
      <c r="X449" s="1">
        <f>IF(Plank[[#This Row],[Yaw]]&gt;V448,(360-ABS(Plank[[#This Row],[Yaw]])-ABS(V448)),ABS(Plank[[#This Row],[Yaw]]-V448))</f>
        <v>0.97044695520578728</v>
      </c>
      <c r="Y449" s="1">
        <f>Plank[[#This Row],[Degree change]]+Y448</f>
        <v>376.11588839857967</v>
      </c>
    </row>
    <row r="450" spans="1:25">
      <c r="A450">
        <v>449</v>
      </c>
      <c r="B450" s="1">
        <v>59.709999000000003</v>
      </c>
      <c r="C450" s="1">
        <v>2313.23999</v>
      </c>
      <c r="D450" s="1">
        <v>18.639999</v>
      </c>
      <c r="E450" s="1">
        <v>-1607.2799070000001</v>
      </c>
      <c r="F450" s="1">
        <v>1645.1599120000001</v>
      </c>
      <c r="G450" s="1">
        <v>8.1799990000000005</v>
      </c>
      <c r="H450" s="1">
        <v>0</v>
      </c>
      <c r="I450" s="1">
        <v>-2.0000000000000001E-4</v>
      </c>
      <c r="J450" s="1">
        <v>2.0331000000000001</v>
      </c>
      <c r="K450" s="1">
        <v>-2.9589999999999998E-3</v>
      </c>
      <c r="L450" s="1">
        <v>1.1410000000000001E-3</v>
      </c>
      <c r="M450" s="1">
        <v>0.93337499999999995</v>
      </c>
      <c r="N450" s="1">
        <v>0.35888700000000001</v>
      </c>
      <c r="O450">
        <v>1</v>
      </c>
      <c r="P450">
        <v>0</v>
      </c>
      <c r="Q450">
        <v>1</v>
      </c>
      <c r="R450">
        <v>1</v>
      </c>
      <c r="S450">
        <v>1</v>
      </c>
      <c r="T450" s="1">
        <f>SQRT(POWER(Plank[[#This Row],[angvel_X]],2) + POWER(Plank[[#This Row],[angvel_Y]],2) + POWER(Plank[[#This Row],[angvel_Z]],2))</f>
        <v>2.0331000098371943</v>
      </c>
      <c r="U450" s="1">
        <f>DEGREES(ASIN(MAX(-1,MIN(1,2 * (Plank[[#This Row],[quart_W]]*Plank[[#This Row],[quart_Y]] - Plank[[#This Row],[quart_Z]]*Plank[[#This Row],[quart_X]])))))</f>
        <v>0.36341199833939847</v>
      </c>
      <c r="V450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-47.935991434029816</v>
      </c>
      <c r="W450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89.999652294484633</v>
      </c>
      <c r="X450" s="1">
        <f>IF(Plank[[#This Row],[Yaw]]&gt;V449,(360-ABS(Plank[[#This Row],[Yaw]])-ABS(V449)),ABS(Plank[[#This Row],[Yaw]]-V449))</f>
        <v>0.97058766086193771</v>
      </c>
      <c r="Y450" s="1">
        <f>Plank[[#This Row],[Degree change]]+Y449</f>
        <v>377.08647605944162</v>
      </c>
    </row>
    <row r="451" spans="1:25">
      <c r="A451">
        <v>450</v>
      </c>
      <c r="B451" s="1">
        <v>46.259998000000003</v>
      </c>
      <c r="C451" s="1">
        <v>2327</v>
      </c>
      <c r="D451" s="1">
        <v>18.639999</v>
      </c>
      <c r="E451" s="1">
        <v>-1634.919922</v>
      </c>
      <c r="F451" s="1">
        <v>1617.6999510000001</v>
      </c>
      <c r="G451" s="1">
        <v>8.1799990000000005</v>
      </c>
      <c r="H451" s="1">
        <v>0</v>
      </c>
      <c r="I451" s="1">
        <v>-2.0000000000000001E-4</v>
      </c>
      <c r="J451" s="1">
        <v>2.0331000000000001</v>
      </c>
      <c r="K451" s="1">
        <v>-2.97E-3</v>
      </c>
      <c r="L451" s="1">
        <v>1.114E-3</v>
      </c>
      <c r="M451" s="1">
        <v>0.93638200000000005</v>
      </c>
      <c r="N451" s="1">
        <v>0.350968</v>
      </c>
      <c r="O451">
        <v>1</v>
      </c>
      <c r="P451">
        <v>0</v>
      </c>
      <c r="Q451">
        <v>1</v>
      </c>
      <c r="R451">
        <v>1</v>
      </c>
      <c r="S451">
        <v>1</v>
      </c>
      <c r="T451" s="1">
        <f>SQRT(POWER(Plank[[#This Row],[angvel_X]],2) + POWER(Plank[[#This Row],[angvel_Y]],2) + POWER(Plank[[#This Row],[angvel_Z]],2))</f>
        <v>2.0331000098371943</v>
      </c>
      <c r="U451" s="1">
        <f>DEGREES(ASIN(MAX(-1,MIN(1,2 * (Plank[[#This Row],[quart_W]]*Plank[[#This Row],[quart_Y]] - Plank[[#This Row],[quart_Z]]*Plank[[#This Row],[quart_X]])))))</f>
        <v>0.36349063264928022</v>
      </c>
      <c r="V451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-48.906707761008562</v>
      </c>
      <c r="W451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89.99991352884453</v>
      </c>
      <c r="X451" s="1">
        <f>IF(Plank[[#This Row],[Yaw]]&gt;V450,(360-ABS(Plank[[#This Row],[Yaw]])-ABS(V450)),ABS(Plank[[#This Row],[Yaw]]-V450))</f>
        <v>0.97071632697874577</v>
      </c>
      <c r="Y451" s="1">
        <f>Plank[[#This Row],[Degree change]]+Y450</f>
        <v>378.05719238642035</v>
      </c>
    </row>
    <row r="452" spans="1:25">
      <c r="A452">
        <v>451</v>
      </c>
      <c r="B452" s="1">
        <v>32.579998000000003</v>
      </c>
      <c r="C452" s="1">
        <v>2340.530029</v>
      </c>
      <c r="D452" s="1">
        <v>18.639999</v>
      </c>
      <c r="E452" s="1">
        <v>-1662.089966</v>
      </c>
      <c r="F452" s="1">
        <v>1589.7700199999999</v>
      </c>
      <c r="G452" s="1">
        <v>8.1799990000000005</v>
      </c>
      <c r="H452" s="1">
        <v>0</v>
      </c>
      <c r="I452" s="1">
        <v>-2.0000000000000001E-4</v>
      </c>
      <c r="J452" s="1">
        <v>2.0331000000000001</v>
      </c>
      <c r="K452" s="1">
        <v>-2.9810000000000001E-3</v>
      </c>
      <c r="L452" s="1">
        <v>1.0870000000000001E-3</v>
      </c>
      <c r="M452" s="1">
        <v>0.93932199999999999</v>
      </c>
      <c r="N452" s="1">
        <v>0.34302100000000002</v>
      </c>
      <c r="O452">
        <v>1</v>
      </c>
      <c r="P452">
        <v>0</v>
      </c>
      <c r="Q452">
        <v>1</v>
      </c>
      <c r="R452">
        <v>1</v>
      </c>
      <c r="S452">
        <v>1</v>
      </c>
      <c r="T452" s="1">
        <f>SQRT(POWER(Plank[[#This Row],[angvel_X]],2) + POWER(Plank[[#This Row],[angvel_Y]],2) + POWER(Plank[[#This Row],[angvel_Z]],2))</f>
        <v>2.0331000098371943</v>
      </c>
      <c r="U452" s="1">
        <f>DEGREES(ASIN(MAX(-1,MIN(1,2 * (Plank[[#This Row],[quart_W]]*Plank[[#This Row],[quart_Y]] - Plank[[#This Row],[quart_Z]]*Plank[[#This Row],[quart_X]])))))</f>
        <v>0.3635994758510932</v>
      </c>
      <c r="V452" s="1">
        <f>DEGREES(ATAN2(2*(Plank[[#This Row],[quart_W]]*Plank[[#This Row],[quart_Z]]+Plank[[#This Row],[quart_X]]*Plank[[#This Row],[quart_Y]]),1 - 2*(Plank[[#This Row],[quart_Y]]*Plank[[#This Row],[quart_Y]]+Plank[[#This Row],[quart_Z]]*Plank[[#This Row],[quart_Z]])))</f>
        <v>-49.87767401571616</v>
      </c>
      <c r="W452" s="1">
        <f>DEGREES(ATAN2(2 *(Plank[[#This Row],[quart_W]]*Plank[[#This Row],[quart_X]]+Plank[[#This Row],[quart_Y]]*Plank[[#This Row],[quart_Z]]), 1 - 2*(Plank[[#This Row],[quart_X]]*Plank[[#This Row],[quart_X]]+Plank[[#This Row],[quart_Y]]*Plank[[#This Row],[quart_Y]])))</f>
        <v>90.000172187254037</v>
      </c>
      <c r="X452" s="1">
        <f>IF(Plank[[#This Row],[Yaw]]&gt;V451,(360-ABS(Plank[[#This Row],[Yaw]])-ABS(V451)),ABS(Plank[[#This Row],[Yaw]]-V451))</f>
        <v>0.9709662547075979</v>
      </c>
      <c r="Y452" s="1">
        <f>Plank[[#This Row],[Degree change]]+Y451</f>
        <v>379.02815864112796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452"/>
  <sheetViews>
    <sheetView topLeftCell="A2" workbookViewId="0">
      <selection activeCell="AA5" sqref="AA5"/>
    </sheetView>
  </sheetViews>
  <sheetFormatPr defaultRowHeight="14.5"/>
  <cols>
    <col min="8" max="9" width="11.1796875" customWidth="1"/>
    <col min="10" max="10" width="11" customWidth="1"/>
    <col min="11" max="12" width="10" customWidth="1"/>
    <col min="13" max="13" width="9.81640625" customWidth="1"/>
    <col min="14" max="14" width="10.81640625" customWidth="1"/>
    <col min="16" max="16" width="13.81640625" customWidth="1"/>
    <col min="17" max="17" width="16.54296875" customWidth="1"/>
    <col min="18" max="18" width="16.1796875" customWidth="1"/>
    <col min="19" max="19" width="10.26953125" customWidth="1"/>
    <col min="20" max="20" width="14.26953125" bestFit="1" customWidth="1"/>
    <col min="23" max="23" width="12" bestFit="1" customWidth="1"/>
    <col min="24" max="24" width="16.54296875" bestFit="1" customWidth="1"/>
    <col min="25" max="25" width="17.1796875" bestFit="1" customWidth="1"/>
  </cols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32</v>
      </c>
      <c r="V1" t="s">
        <v>31</v>
      </c>
      <c r="W1" t="s">
        <v>33</v>
      </c>
      <c r="X1" t="s">
        <v>35</v>
      </c>
      <c r="Y1" s="1" t="s">
        <v>34</v>
      </c>
    </row>
    <row r="2" spans="1:25">
      <c r="A2">
        <v>1</v>
      </c>
      <c r="B2" s="1">
        <v>865.17999299999997</v>
      </c>
      <c r="C2" s="1">
        <v>1074.309937</v>
      </c>
      <c r="D2" s="1">
        <v>18.649999999999999</v>
      </c>
      <c r="E2" s="1">
        <v>-1179.380005</v>
      </c>
      <c r="F2" s="1">
        <v>1974.579956</v>
      </c>
      <c r="G2" s="1">
        <v>8.15</v>
      </c>
      <c r="H2" s="1">
        <v>0</v>
      </c>
      <c r="I2" s="1">
        <v>0</v>
      </c>
      <c r="J2" s="1">
        <v>0</v>
      </c>
      <c r="K2" s="1">
        <v>-2.5920000000000001E-3</v>
      </c>
      <c r="L2" s="1">
        <v>1.4809999999999999E-3</v>
      </c>
      <c r="M2" s="1">
        <v>0.86970400000000003</v>
      </c>
      <c r="N2" s="1">
        <v>0.493564</v>
      </c>
      <c r="O2">
        <v>0</v>
      </c>
      <c r="P2">
        <v>0</v>
      </c>
      <c r="Q2">
        <v>1</v>
      </c>
      <c r="R2">
        <v>1</v>
      </c>
      <c r="S2">
        <v>1</v>
      </c>
      <c r="T2" s="1">
        <f>SQRT(POWER(Batmobile[[#This Row],[angvel_X]],2) + POWER(Batmobile[[#This Row],[angvel_Y]],2) + POWER(Batmobile[[#This Row],[angvel_Z]],2))</f>
        <v>0</v>
      </c>
      <c r="U2" s="1">
        <f>DEGREES(ASIN(MAX(-1,MIN(1,2 * (Batmobile[[#This Row],[quart_W]]*Batmobile[[#This Row],[quart_Y]] - Batmobile[[#This Row],[quart_Z]]*Batmobile[[#This Row],[quart_X]])))))</f>
        <v>0.34208545860525746</v>
      </c>
      <c r="V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2" s="1" t="e">
        <f>IF(Batmobile[[#This Row],[Yaw]]&gt;V1,(360-ABS(Batmobile[[#This Row],[Yaw]])-ABS(V1)),ABS(Batmobile[[#This Row],[Yaw]]-V1))</f>
        <v>#VALUE!</v>
      </c>
      <c r="Y2" s="1"/>
    </row>
    <row r="3" spans="1:25">
      <c r="A3">
        <v>2</v>
      </c>
      <c r="B3" s="1">
        <v>855.32000700000003</v>
      </c>
      <c r="C3" s="1">
        <v>1090.8199460000001</v>
      </c>
      <c r="D3" s="1">
        <v>18.649999999999999</v>
      </c>
      <c r="E3" s="1">
        <v>-1179.380005</v>
      </c>
      <c r="F3" s="1">
        <v>1974.579956</v>
      </c>
      <c r="G3" s="1">
        <v>8.15</v>
      </c>
      <c r="H3" s="1">
        <v>0</v>
      </c>
      <c r="I3" s="1">
        <v>0</v>
      </c>
      <c r="J3" s="1">
        <v>0</v>
      </c>
      <c r="K3" s="1">
        <v>-2.5920000000000001E-3</v>
      </c>
      <c r="L3" s="1">
        <v>1.4809999999999999E-3</v>
      </c>
      <c r="M3" s="1">
        <v>0.86970400000000003</v>
      </c>
      <c r="N3" s="1">
        <v>0.493564</v>
      </c>
      <c r="O3">
        <v>0</v>
      </c>
      <c r="P3">
        <v>0</v>
      </c>
      <c r="Q3">
        <v>1</v>
      </c>
      <c r="R3">
        <v>1</v>
      </c>
      <c r="S3">
        <v>1</v>
      </c>
      <c r="T3" s="1">
        <f>SQRT(POWER(Batmobile[[#This Row],[angvel_X]],2) + POWER(Batmobile[[#This Row],[angvel_Y]],2) + POWER(Batmobile[[#This Row],[angvel_Z]],2))</f>
        <v>0</v>
      </c>
      <c r="U3" s="1">
        <f>DEGREES(ASIN(MAX(-1,MIN(1,2 * (Batmobile[[#This Row],[quart_W]]*Batmobile[[#This Row],[quart_Y]] - Batmobile[[#This Row],[quart_Z]]*Batmobile[[#This Row],[quart_X]])))))</f>
        <v>0.34208545860525746</v>
      </c>
      <c r="V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3" s="1">
        <f>IF(Batmobile[[#This Row],[Yaw]]&gt;V2,(360-ABS(Batmobile[[#This Row],[Yaw]])-ABS(V2)),ABS(Batmobile[[#This Row],[Yaw]]-V2))</f>
        <v>0</v>
      </c>
      <c r="Y3" s="1">
        <f>Batmobile[[#This Row],[Degree change]]+Y2</f>
        <v>0</v>
      </c>
    </row>
    <row r="4" spans="1:25">
      <c r="A4">
        <v>3</v>
      </c>
      <c r="B4" s="1">
        <v>845.45996100000002</v>
      </c>
      <c r="C4" s="1">
        <v>1107.329956</v>
      </c>
      <c r="D4" s="1">
        <v>18.649999999999999</v>
      </c>
      <c r="E4" s="1">
        <v>-1179.380005</v>
      </c>
      <c r="F4" s="1">
        <v>1974.579956</v>
      </c>
      <c r="G4" s="1">
        <v>8.15</v>
      </c>
      <c r="H4" s="1">
        <v>0</v>
      </c>
      <c r="I4" s="1">
        <v>0</v>
      </c>
      <c r="J4" s="1">
        <v>0</v>
      </c>
      <c r="K4" s="1">
        <v>-2.5920000000000001E-3</v>
      </c>
      <c r="L4" s="1">
        <v>1.4809999999999999E-3</v>
      </c>
      <c r="M4" s="1">
        <v>0.86970400000000003</v>
      </c>
      <c r="N4" s="1">
        <v>0.493564</v>
      </c>
      <c r="O4">
        <v>0</v>
      </c>
      <c r="P4">
        <v>0</v>
      </c>
      <c r="Q4">
        <v>1</v>
      </c>
      <c r="R4">
        <v>1</v>
      </c>
      <c r="S4">
        <v>1</v>
      </c>
      <c r="T4" s="1">
        <f>SQRT(POWER(Batmobile[[#This Row],[angvel_X]],2) + POWER(Batmobile[[#This Row],[angvel_Y]],2) + POWER(Batmobile[[#This Row],[angvel_Z]],2))</f>
        <v>0</v>
      </c>
      <c r="U4" s="1">
        <f>DEGREES(ASIN(MAX(-1,MIN(1,2 * (Batmobile[[#This Row],[quart_W]]*Batmobile[[#This Row],[quart_Y]] - Batmobile[[#This Row],[quart_Z]]*Batmobile[[#This Row],[quart_X]])))))</f>
        <v>0.34208545860525746</v>
      </c>
      <c r="V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4" s="1">
        <f>IF(Batmobile[[#This Row],[Yaw]]&gt;V3,(360-ABS(Batmobile[[#This Row],[Yaw]])-ABS(V3)),ABS(Batmobile[[#This Row],[Yaw]]-V3))</f>
        <v>0</v>
      </c>
      <c r="Y4" s="1">
        <f>Batmobile[[#This Row],[Degree change]]+Y3</f>
        <v>0</v>
      </c>
    </row>
    <row r="5" spans="1:25">
      <c r="A5">
        <v>4</v>
      </c>
      <c r="B5" s="1">
        <v>835.59997599999997</v>
      </c>
      <c r="C5" s="1">
        <v>1123.839966</v>
      </c>
      <c r="D5" s="1">
        <v>18.649999999999999</v>
      </c>
      <c r="E5" s="1">
        <v>-1179.380005</v>
      </c>
      <c r="F5" s="1">
        <v>1974.579956</v>
      </c>
      <c r="G5" s="1">
        <v>8.15</v>
      </c>
      <c r="H5" s="1">
        <v>0</v>
      </c>
      <c r="I5" s="1">
        <v>0</v>
      </c>
      <c r="J5" s="1">
        <v>0</v>
      </c>
      <c r="K5" s="1">
        <v>-2.5920000000000001E-3</v>
      </c>
      <c r="L5" s="1">
        <v>1.4809999999999999E-3</v>
      </c>
      <c r="M5" s="1">
        <v>0.86970400000000003</v>
      </c>
      <c r="N5" s="1">
        <v>0.493564</v>
      </c>
      <c r="O5">
        <v>0</v>
      </c>
      <c r="P5">
        <v>0</v>
      </c>
      <c r="Q5">
        <v>1</v>
      </c>
      <c r="R5">
        <v>1</v>
      </c>
      <c r="S5">
        <v>1</v>
      </c>
      <c r="T5" s="1">
        <f>SQRT(POWER(Batmobile[[#This Row],[angvel_X]],2) + POWER(Batmobile[[#This Row],[angvel_Y]],2) + POWER(Batmobile[[#This Row],[angvel_Z]],2))</f>
        <v>0</v>
      </c>
      <c r="U5" s="1">
        <f>DEGREES(ASIN(MAX(-1,MIN(1,2 * (Batmobile[[#This Row],[quart_W]]*Batmobile[[#This Row],[quart_Y]] - Batmobile[[#This Row],[quart_Z]]*Batmobile[[#This Row],[quart_X]])))))</f>
        <v>0.34208545860525746</v>
      </c>
      <c r="V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5" s="1">
        <f>IF(Batmobile[[#This Row],[Yaw]]&gt;V4,(360-ABS(Batmobile[[#This Row],[Yaw]])-ABS(V4)),ABS(Batmobile[[#This Row],[Yaw]]-V4))</f>
        <v>0</v>
      </c>
      <c r="Y5" s="1">
        <f>Batmobile[[#This Row],[Degree change]]+Y4</f>
        <v>0</v>
      </c>
    </row>
    <row r="6" spans="1:25">
      <c r="A6">
        <v>5</v>
      </c>
      <c r="B6" s="1">
        <v>825.73999000000003</v>
      </c>
      <c r="C6" s="1">
        <v>1140.349976</v>
      </c>
      <c r="D6" s="1">
        <v>18.649999999999999</v>
      </c>
      <c r="E6" s="1">
        <v>-1179.380005</v>
      </c>
      <c r="F6" s="1">
        <v>1974.579956</v>
      </c>
      <c r="G6" s="1">
        <v>8.15</v>
      </c>
      <c r="H6" s="1">
        <v>0</v>
      </c>
      <c r="I6" s="1">
        <v>0</v>
      </c>
      <c r="J6" s="1">
        <v>0</v>
      </c>
      <c r="K6" s="1">
        <v>-2.5920000000000001E-3</v>
      </c>
      <c r="L6" s="1">
        <v>1.4809999999999999E-3</v>
      </c>
      <c r="M6" s="1">
        <v>0.86970400000000003</v>
      </c>
      <c r="N6" s="1">
        <v>0.493564</v>
      </c>
      <c r="O6">
        <v>0</v>
      </c>
      <c r="P6">
        <v>0</v>
      </c>
      <c r="Q6">
        <v>1</v>
      </c>
      <c r="R6">
        <v>1</v>
      </c>
      <c r="S6">
        <v>1</v>
      </c>
      <c r="T6" s="1">
        <f>SQRT(POWER(Batmobile[[#This Row],[angvel_X]],2) + POWER(Batmobile[[#This Row],[angvel_Y]],2) + POWER(Batmobile[[#This Row],[angvel_Z]],2))</f>
        <v>0</v>
      </c>
      <c r="U6" s="1">
        <f>DEGREES(ASIN(MAX(-1,MIN(1,2 * (Batmobile[[#This Row],[quart_W]]*Batmobile[[#This Row],[quart_Y]] - Batmobile[[#This Row],[quart_Z]]*Batmobile[[#This Row],[quart_X]])))))</f>
        <v>0.34208545860525746</v>
      </c>
      <c r="V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6" s="1">
        <f>IF(Batmobile[[#This Row],[Yaw]]&gt;V5,(360-ABS(Batmobile[[#This Row],[Yaw]])-ABS(V5)),ABS(Batmobile[[#This Row],[Yaw]]-V5))</f>
        <v>0</v>
      </c>
      <c r="Y6" s="1">
        <f>Batmobile[[#This Row],[Degree change]]+Y5</f>
        <v>0</v>
      </c>
    </row>
    <row r="7" spans="1:25">
      <c r="A7">
        <v>6</v>
      </c>
      <c r="B7" s="1">
        <v>815.88000499999998</v>
      </c>
      <c r="C7" s="1">
        <v>1156.8599850000001</v>
      </c>
      <c r="D7" s="1">
        <v>18.649999999999999</v>
      </c>
      <c r="E7" s="1">
        <v>-1179.380005</v>
      </c>
      <c r="F7" s="1">
        <v>1974.579956</v>
      </c>
      <c r="G7" s="1">
        <v>8.15</v>
      </c>
      <c r="H7" s="1">
        <v>0</v>
      </c>
      <c r="I7" s="1">
        <v>0</v>
      </c>
      <c r="J7" s="1">
        <v>0</v>
      </c>
      <c r="K7" s="1">
        <v>-2.5920000000000001E-3</v>
      </c>
      <c r="L7" s="1">
        <v>1.4809999999999999E-3</v>
      </c>
      <c r="M7" s="1">
        <v>0.86970400000000003</v>
      </c>
      <c r="N7" s="1">
        <v>0.493564</v>
      </c>
      <c r="O7">
        <v>0</v>
      </c>
      <c r="P7">
        <v>0</v>
      </c>
      <c r="Q7">
        <v>1</v>
      </c>
      <c r="R7">
        <v>1</v>
      </c>
      <c r="S7">
        <v>1</v>
      </c>
      <c r="T7" s="1">
        <f>SQRT(POWER(Batmobile[[#This Row],[angvel_X]],2) + POWER(Batmobile[[#This Row],[angvel_Y]],2) + POWER(Batmobile[[#This Row],[angvel_Z]],2))</f>
        <v>0</v>
      </c>
      <c r="U7" s="1">
        <f>DEGREES(ASIN(MAX(-1,MIN(1,2 * (Batmobile[[#This Row],[quart_W]]*Batmobile[[#This Row],[quart_Y]] - Batmobile[[#This Row],[quart_Z]]*Batmobile[[#This Row],[quart_X]])))))</f>
        <v>0.34208545860525746</v>
      </c>
      <c r="V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7" s="1">
        <f>IF(Batmobile[[#This Row],[Yaw]]&gt;V6,(360-ABS(Batmobile[[#This Row],[Yaw]])-ABS(V6)),ABS(Batmobile[[#This Row],[Yaw]]-V6))</f>
        <v>0</v>
      </c>
      <c r="Y7" s="1">
        <f>Batmobile[[#This Row],[Degree change]]+Y6</f>
        <v>0</v>
      </c>
    </row>
    <row r="8" spans="1:25">
      <c r="A8">
        <v>7</v>
      </c>
      <c r="B8" s="1">
        <v>806.01995799999997</v>
      </c>
      <c r="C8" s="1">
        <v>1173.369995</v>
      </c>
      <c r="D8" s="1">
        <v>18.649999999999999</v>
      </c>
      <c r="E8" s="1">
        <v>-1179.380005</v>
      </c>
      <c r="F8" s="1">
        <v>1974.579956</v>
      </c>
      <c r="G8" s="1">
        <v>8.15</v>
      </c>
      <c r="H8" s="1">
        <v>0</v>
      </c>
      <c r="I8" s="1">
        <v>0</v>
      </c>
      <c r="J8" s="1">
        <v>0</v>
      </c>
      <c r="K8" s="1">
        <v>-2.5920000000000001E-3</v>
      </c>
      <c r="L8" s="1">
        <v>1.4809999999999999E-3</v>
      </c>
      <c r="M8" s="1">
        <v>0.86970400000000003</v>
      </c>
      <c r="N8" s="1">
        <v>0.493564</v>
      </c>
      <c r="O8">
        <v>0</v>
      </c>
      <c r="P8">
        <v>0</v>
      </c>
      <c r="Q8">
        <v>1</v>
      </c>
      <c r="R8">
        <v>1</v>
      </c>
      <c r="S8">
        <v>1</v>
      </c>
      <c r="T8" s="1">
        <f>SQRT(POWER(Batmobile[[#This Row],[angvel_X]],2) + POWER(Batmobile[[#This Row],[angvel_Y]],2) + POWER(Batmobile[[#This Row],[angvel_Z]],2))</f>
        <v>0</v>
      </c>
      <c r="U8" s="1">
        <f>DEGREES(ASIN(MAX(-1,MIN(1,2 * (Batmobile[[#This Row],[quart_W]]*Batmobile[[#This Row],[quart_Y]] - Batmobile[[#This Row],[quart_Z]]*Batmobile[[#This Row],[quart_X]])))))</f>
        <v>0.34208545860525746</v>
      </c>
      <c r="V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8" s="1">
        <f>IF(Batmobile[[#This Row],[Yaw]]&gt;V7,(360-ABS(Batmobile[[#This Row],[Yaw]])-ABS(V7)),ABS(Batmobile[[#This Row],[Yaw]]-V7))</f>
        <v>0</v>
      </c>
      <c r="Y8" s="1">
        <f>Batmobile[[#This Row],[Degree change]]+Y7</f>
        <v>0</v>
      </c>
    </row>
    <row r="9" spans="1:25">
      <c r="A9">
        <v>8</v>
      </c>
      <c r="B9" s="1">
        <v>796.15997300000004</v>
      </c>
      <c r="C9" s="1">
        <v>1189.880005</v>
      </c>
      <c r="D9" s="1">
        <v>18.649999999999999</v>
      </c>
      <c r="E9" s="1">
        <v>-1179.380005</v>
      </c>
      <c r="F9" s="1">
        <v>1974.579956</v>
      </c>
      <c r="G9" s="1">
        <v>8.15</v>
      </c>
      <c r="H9" s="1">
        <v>0</v>
      </c>
      <c r="I9" s="1">
        <v>0</v>
      </c>
      <c r="J9" s="1">
        <v>0</v>
      </c>
      <c r="K9" s="1">
        <v>-2.5920000000000001E-3</v>
      </c>
      <c r="L9" s="1">
        <v>1.4809999999999999E-3</v>
      </c>
      <c r="M9" s="1">
        <v>0.86970400000000003</v>
      </c>
      <c r="N9" s="1">
        <v>0.493564</v>
      </c>
      <c r="O9">
        <v>0</v>
      </c>
      <c r="P9">
        <v>0</v>
      </c>
      <c r="Q9">
        <v>1</v>
      </c>
      <c r="R9">
        <v>1</v>
      </c>
      <c r="S9">
        <v>1</v>
      </c>
      <c r="T9" s="1">
        <f>SQRT(POWER(Batmobile[[#This Row],[angvel_X]],2) + POWER(Batmobile[[#This Row],[angvel_Y]],2) + POWER(Batmobile[[#This Row],[angvel_Z]],2))</f>
        <v>0</v>
      </c>
      <c r="U9" s="1">
        <f>DEGREES(ASIN(MAX(-1,MIN(1,2 * (Batmobile[[#This Row],[quart_W]]*Batmobile[[#This Row],[quart_Y]] - Batmobile[[#This Row],[quart_Z]]*Batmobile[[#This Row],[quart_X]])))))</f>
        <v>0.34208545860525746</v>
      </c>
      <c r="V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9" s="1">
        <f>IF(Batmobile[[#This Row],[Yaw]]&gt;V8,(360-ABS(Batmobile[[#This Row],[Yaw]])-ABS(V8)),ABS(Batmobile[[#This Row],[Yaw]]-V8))</f>
        <v>0</v>
      </c>
      <c r="Y9" s="1">
        <f>Batmobile[[#This Row],[Degree change]]+Y8</f>
        <v>0</v>
      </c>
    </row>
    <row r="10" spans="1:25">
      <c r="A10">
        <v>9</v>
      </c>
      <c r="B10" s="1">
        <v>786.29998799999998</v>
      </c>
      <c r="C10" s="1">
        <v>1206.3900149999999</v>
      </c>
      <c r="D10" s="1">
        <v>18.649999999999999</v>
      </c>
      <c r="E10" s="1">
        <v>-1179.380005</v>
      </c>
      <c r="F10" s="1">
        <v>1974.579956</v>
      </c>
      <c r="G10" s="1">
        <v>8.15</v>
      </c>
      <c r="H10" s="1">
        <v>0</v>
      </c>
      <c r="I10" s="1">
        <v>0</v>
      </c>
      <c r="J10" s="1">
        <v>0</v>
      </c>
      <c r="K10" s="1">
        <v>-2.5920000000000001E-3</v>
      </c>
      <c r="L10" s="1">
        <v>1.4809999999999999E-3</v>
      </c>
      <c r="M10" s="1">
        <v>0.86970400000000003</v>
      </c>
      <c r="N10" s="1">
        <v>0.493564</v>
      </c>
      <c r="O10">
        <v>0</v>
      </c>
      <c r="P10">
        <v>0</v>
      </c>
      <c r="Q10">
        <v>1</v>
      </c>
      <c r="R10">
        <v>1</v>
      </c>
      <c r="S10">
        <v>1</v>
      </c>
      <c r="T10" s="1">
        <f>SQRT(POWER(Batmobile[[#This Row],[angvel_X]],2) + POWER(Batmobile[[#This Row],[angvel_Y]],2) + POWER(Batmobile[[#This Row],[angvel_Z]],2))</f>
        <v>0</v>
      </c>
      <c r="U10" s="1">
        <f>DEGREES(ASIN(MAX(-1,MIN(1,2 * (Batmobile[[#This Row],[quart_W]]*Batmobile[[#This Row],[quart_Y]] - Batmobile[[#This Row],[quart_Z]]*Batmobile[[#This Row],[quart_X]])))))</f>
        <v>0.34208545860525746</v>
      </c>
      <c r="V1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1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10" s="1">
        <f>IF(Batmobile[[#This Row],[Yaw]]&gt;V9,(360-ABS(Batmobile[[#This Row],[Yaw]])-ABS(V9)),ABS(Batmobile[[#This Row],[Yaw]]-V9))</f>
        <v>0</v>
      </c>
      <c r="Y10" s="1">
        <f>Batmobile[[#This Row],[Degree change]]+Y9</f>
        <v>0</v>
      </c>
    </row>
    <row r="11" spans="1:25">
      <c r="A11">
        <v>10</v>
      </c>
      <c r="B11" s="1">
        <v>776.44000200000005</v>
      </c>
      <c r="C11" s="1">
        <v>1222.900024</v>
      </c>
      <c r="D11" s="1">
        <v>18.649999999999999</v>
      </c>
      <c r="E11" s="1">
        <v>-1179.380005</v>
      </c>
      <c r="F11" s="1">
        <v>1974.579956</v>
      </c>
      <c r="G11" s="1">
        <v>8.15</v>
      </c>
      <c r="H11" s="1">
        <v>0</v>
      </c>
      <c r="I11" s="1">
        <v>0</v>
      </c>
      <c r="J11" s="1">
        <v>0</v>
      </c>
      <c r="K11" s="1">
        <v>-2.5920000000000001E-3</v>
      </c>
      <c r="L11" s="1">
        <v>1.4809999999999999E-3</v>
      </c>
      <c r="M11" s="1">
        <v>0.86970400000000003</v>
      </c>
      <c r="N11" s="1">
        <v>0.493564</v>
      </c>
      <c r="O11">
        <v>0</v>
      </c>
      <c r="P11">
        <v>0</v>
      </c>
      <c r="Q11">
        <v>1</v>
      </c>
      <c r="R11">
        <v>1</v>
      </c>
      <c r="S11">
        <v>1</v>
      </c>
      <c r="T11" s="1">
        <f>SQRT(POWER(Batmobile[[#This Row],[angvel_X]],2) + POWER(Batmobile[[#This Row],[angvel_Y]],2) + POWER(Batmobile[[#This Row],[angvel_Z]],2))</f>
        <v>0</v>
      </c>
      <c r="U11" s="1">
        <f>DEGREES(ASIN(MAX(-1,MIN(1,2 * (Batmobile[[#This Row],[quart_W]]*Batmobile[[#This Row],[quart_Y]] - Batmobile[[#This Row],[quart_Z]]*Batmobile[[#This Row],[quart_X]])))))</f>
        <v>0.34208545860525746</v>
      </c>
      <c r="V1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1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11" s="1">
        <f>IF(Batmobile[[#This Row],[Yaw]]&gt;V10,(360-ABS(Batmobile[[#This Row],[Yaw]])-ABS(V10)),ABS(Batmobile[[#This Row],[Yaw]]-V10))</f>
        <v>0</v>
      </c>
      <c r="Y11" s="1">
        <f>Batmobile[[#This Row],[Degree change]]+Y10</f>
        <v>0</v>
      </c>
    </row>
    <row r="12" spans="1:25">
      <c r="A12">
        <v>11</v>
      </c>
      <c r="B12" s="1">
        <v>766.57995600000004</v>
      </c>
      <c r="C12" s="1">
        <v>1239.4099120000001</v>
      </c>
      <c r="D12" s="1">
        <v>18.649999999999999</v>
      </c>
      <c r="E12" s="1">
        <v>-1179.380005</v>
      </c>
      <c r="F12" s="1">
        <v>1974.579956</v>
      </c>
      <c r="G12" s="1">
        <v>8.15</v>
      </c>
      <c r="H12" s="1">
        <v>0</v>
      </c>
      <c r="I12" s="1">
        <v>0</v>
      </c>
      <c r="J12" s="1">
        <v>0</v>
      </c>
      <c r="K12" s="1">
        <v>-2.5920000000000001E-3</v>
      </c>
      <c r="L12" s="1">
        <v>1.4809999999999999E-3</v>
      </c>
      <c r="M12" s="1">
        <v>0.86970400000000003</v>
      </c>
      <c r="N12" s="1">
        <v>0.493564</v>
      </c>
      <c r="O12">
        <v>0</v>
      </c>
      <c r="P12">
        <v>0</v>
      </c>
      <c r="Q12">
        <v>1</v>
      </c>
      <c r="R12">
        <v>1</v>
      </c>
      <c r="S12">
        <v>1</v>
      </c>
      <c r="T12" s="1">
        <f>SQRT(POWER(Batmobile[[#This Row],[angvel_X]],2) + POWER(Batmobile[[#This Row],[angvel_Y]],2) + POWER(Batmobile[[#This Row],[angvel_Z]],2))</f>
        <v>0</v>
      </c>
      <c r="U12" s="1">
        <f>DEGREES(ASIN(MAX(-1,MIN(1,2 * (Batmobile[[#This Row],[quart_W]]*Batmobile[[#This Row],[quart_Y]] - Batmobile[[#This Row],[quart_Z]]*Batmobile[[#This Row],[quart_X]])))))</f>
        <v>0.34208545860525746</v>
      </c>
      <c r="V1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1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12" s="1">
        <f>IF(Batmobile[[#This Row],[Yaw]]&gt;V11,(360-ABS(Batmobile[[#This Row],[Yaw]])-ABS(V11)),ABS(Batmobile[[#This Row],[Yaw]]-V11))</f>
        <v>0</v>
      </c>
      <c r="Y12" s="1">
        <f>Batmobile[[#This Row],[Degree change]]+Y11</f>
        <v>0</v>
      </c>
    </row>
    <row r="13" spans="1:25">
      <c r="A13">
        <v>12</v>
      </c>
      <c r="B13" s="1">
        <v>756.71997099999999</v>
      </c>
      <c r="C13" s="1">
        <v>1255.919922</v>
      </c>
      <c r="D13" s="1">
        <v>18.649999999999999</v>
      </c>
      <c r="E13" s="1">
        <v>-1179.380005</v>
      </c>
      <c r="F13" s="1">
        <v>1974.579956</v>
      </c>
      <c r="G13" s="1">
        <v>8.15</v>
      </c>
      <c r="H13" s="1">
        <v>0</v>
      </c>
      <c r="I13" s="1">
        <v>0</v>
      </c>
      <c r="J13" s="1">
        <v>0</v>
      </c>
      <c r="K13" s="1">
        <v>-2.5920000000000001E-3</v>
      </c>
      <c r="L13" s="1">
        <v>1.4809999999999999E-3</v>
      </c>
      <c r="M13" s="1">
        <v>0.86970400000000003</v>
      </c>
      <c r="N13" s="1">
        <v>0.493564</v>
      </c>
      <c r="O13">
        <v>0</v>
      </c>
      <c r="P13">
        <v>0</v>
      </c>
      <c r="Q13">
        <v>1</v>
      </c>
      <c r="R13">
        <v>1</v>
      </c>
      <c r="S13">
        <v>1</v>
      </c>
      <c r="T13" s="1">
        <f>SQRT(POWER(Batmobile[[#This Row],[angvel_X]],2) + POWER(Batmobile[[#This Row],[angvel_Y]],2) + POWER(Batmobile[[#This Row],[angvel_Z]],2))</f>
        <v>0</v>
      </c>
      <c r="U13" s="1">
        <f>DEGREES(ASIN(MAX(-1,MIN(1,2 * (Batmobile[[#This Row],[quart_W]]*Batmobile[[#This Row],[quart_Y]] - Batmobile[[#This Row],[quart_Z]]*Batmobile[[#This Row],[quart_X]])))))</f>
        <v>0.34208545860525746</v>
      </c>
      <c r="V1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1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13" s="1">
        <f>IF(Batmobile[[#This Row],[Yaw]]&gt;V12,(360-ABS(Batmobile[[#This Row],[Yaw]])-ABS(V12)),ABS(Batmobile[[#This Row],[Yaw]]-V12))</f>
        <v>0</v>
      </c>
      <c r="Y13" s="1">
        <f>Batmobile[[#This Row],[Degree change]]+Y12</f>
        <v>0</v>
      </c>
    </row>
    <row r="14" spans="1:25">
      <c r="A14">
        <v>13</v>
      </c>
      <c r="B14" s="1">
        <v>746.85998500000005</v>
      </c>
      <c r="C14" s="1">
        <v>1272.429932</v>
      </c>
      <c r="D14" s="1">
        <v>18.649999999999999</v>
      </c>
      <c r="E14" s="1">
        <v>-1179.380005</v>
      </c>
      <c r="F14" s="1">
        <v>1974.579956</v>
      </c>
      <c r="G14" s="1">
        <v>8.15</v>
      </c>
      <c r="H14" s="1">
        <v>0</v>
      </c>
      <c r="I14" s="1">
        <v>0</v>
      </c>
      <c r="J14" s="1">
        <v>0</v>
      </c>
      <c r="K14" s="1">
        <v>-2.5920000000000001E-3</v>
      </c>
      <c r="L14" s="1">
        <v>1.4809999999999999E-3</v>
      </c>
      <c r="M14" s="1">
        <v>0.86970400000000003</v>
      </c>
      <c r="N14" s="1">
        <v>0.493564</v>
      </c>
      <c r="O14">
        <v>0</v>
      </c>
      <c r="P14">
        <v>0</v>
      </c>
      <c r="Q14">
        <v>1</v>
      </c>
      <c r="R14">
        <v>1</v>
      </c>
      <c r="S14">
        <v>1</v>
      </c>
      <c r="T14" s="1">
        <f>SQRT(POWER(Batmobile[[#This Row],[angvel_X]],2) + POWER(Batmobile[[#This Row],[angvel_Y]],2) + POWER(Batmobile[[#This Row],[angvel_Z]],2))</f>
        <v>0</v>
      </c>
      <c r="U14" s="1">
        <f>DEGREES(ASIN(MAX(-1,MIN(1,2 * (Batmobile[[#This Row],[quart_W]]*Batmobile[[#This Row],[quart_Y]] - Batmobile[[#This Row],[quart_Z]]*Batmobile[[#This Row],[quart_X]])))))</f>
        <v>0.34208545860525746</v>
      </c>
      <c r="V1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1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14" s="1">
        <f>IF(Batmobile[[#This Row],[Yaw]]&gt;V13,(360-ABS(Batmobile[[#This Row],[Yaw]])-ABS(V13)),ABS(Batmobile[[#This Row],[Yaw]]-V13))</f>
        <v>0</v>
      </c>
      <c r="Y14" s="1">
        <f>Batmobile[[#This Row],[Degree change]]+Y13</f>
        <v>0</v>
      </c>
    </row>
    <row r="15" spans="1:25">
      <c r="A15">
        <v>14</v>
      </c>
      <c r="B15" s="1">
        <v>737</v>
      </c>
      <c r="C15" s="1">
        <v>1288.9399410000001</v>
      </c>
      <c r="D15" s="1">
        <v>18.649999999999999</v>
      </c>
      <c r="E15" s="1">
        <v>-1179.380005</v>
      </c>
      <c r="F15" s="1">
        <v>1974.579956</v>
      </c>
      <c r="G15" s="1">
        <v>8.15</v>
      </c>
      <c r="H15" s="1">
        <v>0</v>
      </c>
      <c r="I15" s="1">
        <v>0</v>
      </c>
      <c r="J15" s="1">
        <v>0</v>
      </c>
      <c r="K15" s="1">
        <v>-2.5920000000000001E-3</v>
      </c>
      <c r="L15" s="1">
        <v>1.4809999999999999E-3</v>
      </c>
      <c r="M15" s="1">
        <v>0.86970400000000003</v>
      </c>
      <c r="N15" s="1">
        <v>0.493564</v>
      </c>
      <c r="O15">
        <v>0</v>
      </c>
      <c r="P15">
        <v>0</v>
      </c>
      <c r="Q15">
        <v>1</v>
      </c>
      <c r="R15">
        <v>1</v>
      </c>
      <c r="S15">
        <v>1</v>
      </c>
      <c r="T15" s="1">
        <f>SQRT(POWER(Batmobile[[#This Row],[angvel_X]],2) + POWER(Batmobile[[#This Row],[angvel_Y]],2) + POWER(Batmobile[[#This Row],[angvel_Z]],2))</f>
        <v>0</v>
      </c>
      <c r="U15" s="1">
        <f>DEGREES(ASIN(MAX(-1,MIN(1,2 * (Batmobile[[#This Row],[quart_W]]*Batmobile[[#This Row],[quart_Y]] - Batmobile[[#This Row],[quart_Z]]*Batmobile[[#This Row],[quart_X]])))))</f>
        <v>0.34208545860525746</v>
      </c>
      <c r="V1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1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15" s="1">
        <f>IF(Batmobile[[#This Row],[Yaw]]&gt;V14,(360-ABS(Batmobile[[#This Row],[Yaw]])-ABS(V14)),ABS(Batmobile[[#This Row],[Yaw]]-V14))</f>
        <v>0</v>
      </c>
      <c r="Y15" s="1">
        <f>Batmobile[[#This Row],[Degree change]]+Y14</f>
        <v>0</v>
      </c>
    </row>
    <row r="16" spans="1:25">
      <c r="A16">
        <v>15</v>
      </c>
      <c r="B16" s="1">
        <v>727.13995399999999</v>
      </c>
      <c r="C16" s="1">
        <v>1305.4499510000001</v>
      </c>
      <c r="D16" s="1">
        <v>18.649999999999999</v>
      </c>
      <c r="E16" s="1">
        <v>-1179.380005</v>
      </c>
      <c r="F16" s="1">
        <v>1974.579956</v>
      </c>
      <c r="G16" s="1">
        <v>8.15</v>
      </c>
      <c r="H16" s="1">
        <v>0</v>
      </c>
      <c r="I16" s="1">
        <v>0</v>
      </c>
      <c r="J16" s="1">
        <v>0</v>
      </c>
      <c r="K16" s="1">
        <v>-2.5920000000000001E-3</v>
      </c>
      <c r="L16" s="1">
        <v>1.4809999999999999E-3</v>
      </c>
      <c r="M16" s="1">
        <v>0.86970400000000003</v>
      </c>
      <c r="N16" s="1">
        <v>0.493564</v>
      </c>
      <c r="O16">
        <v>0</v>
      </c>
      <c r="P16">
        <v>0</v>
      </c>
      <c r="Q16">
        <v>1</v>
      </c>
      <c r="R16">
        <v>1</v>
      </c>
      <c r="S16">
        <v>1</v>
      </c>
      <c r="T16" s="1">
        <f>SQRT(POWER(Batmobile[[#This Row],[angvel_X]],2) + POWER(Batmobile[[#This Row],[angvel_Y]],2) + POWER(Batmobile[[#This Row],[angvel_Z]],2))</f>
        <v>0</v>
      </c>
      <c r="U16" s="1">
        <f>DEGREES(ASIN(MAX(-1,MIN(1,2 * (Batmobile[[#This Row],[quart_W]]*Batmobile[[#This Row],[quart_Y]] - Batmobile[[#This Row],[quart_Z]]*Batmobile[[#This Row],[quart_X]])))))</f>
        <v>0.34208545860525746</v>
      </c>
      <c r="V1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1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16" s="1">
        <f>IF(Batmobile[[#This Row],[Yaw]]&gt;V15,(360-ABS(Batmobile[[#This Row],[Yaw]])-ABS(V15)),ABS(Batmobile[[#This Row],[Yaw]]-V15))</f>
        <v>0</v>
      </c>
      <c r="Y16" s="1">
        <f>Batmobile[[#This Row],[Degree change]]+Y15</f>
        <v>0</v>
      </c>
    </row>
    <row r="17" spans="1:25">
      <c r="A17">
        <v>16</v>
      </c>
      <c r="B17" s="1">
        <v>717.27996800000005</v>
      </c>
      <c r="C17" s="1">
        <v>1321.959961</v>
      </c>
      <c r="D17" s="1">
        <v>18.649999999999999</v>
      </c>
      <c r="E17" s="1">
        <v>-1179.380005</v>
      </c>
      <c r="F17" s="1">
        <v>1974.579956</v>
      </c>
      <c r="G17" s="1">
        <v>8.15</v>
      </c>
      <c r="H17" s="1">
        <v>0</v>
      </c>
      <c r="I17" s="1">
        <v>0</v>
      </c>
      <c r="J17" s="1">
        <v>0</v>
      </c>
      <c r="K17" s="1">
        <v>-2.5920000000000001E-3</v>
      </c>
      <c r="L17" s="1">
        <v>1.4809999999999999E-3</v>
      </c>
      <c r="M17" s="1">
        <v>0.86970400000000003</v>
      </c>
      <c r="N17" s="1">
        <v>0.493564</v>
      </c>
      <c r="O17">
        <v>0</v>
      </c>
      <c r="P17">
        <v>0</v>
      </c>
      <c r="Q17">
        <v>1</v>
      </c>
      <c r="R17">
        <v>1</v>
      </c>
      <c r="S17">
        <v>1</v>
      </c>
      <c r="T17" s="1">
        <f>SQRT(POWER(Batmobile[[#This Row],[angvel_X]],2) + POWER(Batmobile[[#This Row],[angvel_Y]],2) + POWER(Batmobile[[#This Row],[angvel_Z]],2))</f>
        <v>0</v>
      </c>
      <c r="U17" s="1">
        <f>DEGREES(ASIN(MAX(-1,MIN(1,2 * (Batmobile[[#This Row],[quart_W]]*Batmobile[[#This Row],[quart_Y]] - Batmobile[[#This Row],[quart_Z]]*Batmobile[[#This Row],[quart_X]])))))</f>
        <v>0.34208545860525746</v>
      </c>
      <c r="V1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1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17" s="1">
        <f>IF(Batmobile[[#This Row],[Yaw]]&gt;V16,(360-ABS(Batmobile[[#This Row],[Yaw]])-ABS(V16)),ABS(Batmobile[[#This Row],[Yaw]]-V16))</f>
        <v>0</v>
      </c>
      <c r="Y17" s="1">
        <f>Batmobile[[#This Row],[Degree change]]+Y16</f>
        <v>0</v>
      </c>
    </row>
    <row r="18" spans="1:25">
      <c r="A18">
        <v>17</v>
      </c>
      <c r="B18" s="1">
        <v>707.419983</v>
      </c>
      <c r="C18" s="1">
        <v>1338.469971</v>
      </c>
      <c r="D18" s="1">
        <v>18.649999999999999</v>
      </c>
      <c r="E18" s="1">
        <v>-1179.380005</v>
      </c>
      <c r="F18" s="1">
        <v>1974.579956</v>
      </c>
      <c r="G18" s="1">
        <v>8.15</v>
      </c>
      <c r="H18" s="1">
        <v>0</v>
      </c>
      <c r="I18" s="1">
        <v>0</v>
      </c>
      <c r="J18" s="1">
        <v>0</v>
      </c>
      <c r="K18" s="1">
        <v>-2.5920000000000001E-3</v>
      </c>
      <c r="L18" s="1">
        <v>1.4809999999999999E-3</v>
      </c>
      <c r="M18" s="1">
        <v>0.86970400000000003</v>
      </c>
      <c r="N18" s="1">
        <v>0.493564</v>
      </c>
      <c r="O18">
        <v>0</v>
      </c>
      <c r="P18">
        <v>0</v>
      </c>
      <c r="Q18">
        <v>1</v>
      </c>
      <c r="R18">
        <v>1</v>
      </c>
      <c r="S18">
        <v>1</v>
      </c>
      <c r="T18" s="1">
        <f>SQRT(POWER(Batmobile[[#This Row],[angvel_X]],2) + POWER(Batmobile[[#This Row],[angvel_Y]],2) + POWER(Batmobile[[#This Row],[angvel_Z]],2))</f>
        <v>0</v>
      </c>
      <c r="U18" s="1">
        <f>DEGREES(ASIN(MAX(-1,MIN(1,2 * (Batmobile[[#This Row],[quart_W]]*Batmobile[[#This Row],[quart_Y]] - Batmobile[[#This Row],[quart_Z]]*Batmobile[[#This Row],[quart_X]])))))</f>
        <v>0.34208545860525746</v>
      </c>
      <c r="V1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1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18" s="1">
        <f>IF(Batmobile[[#This Row],[Yaw]]&gt;V17,(360-ABS(Batmobile[[#This Row],[Yaw]])-ABS(V17)),ABS(Batmobile[[#This Row],[Yaw]]-V17))</f>
        <v>0</v>
      </c>
      <c r="Y18" s="1">
        <f>Batmobile[[#This Row],[Degree change]]+Y17</f>
        <v>0</v>
      </c>
    </row>
    <row r="19" spans="1:25">
      <c r="A19">
        <v>18</v>
      </c>
      <c r="B19" s="1">
        <v>697.55999799999995</v>
      </c>
      <c r="C19" s="1">
        <v>1354.9799800000001</v>
      </c>
      <c r="D19" s="1">
        <v>18.649999999999999</v>
      </c>
      <c r="E19" s="1">
        <v>-1179.380005</v>
      </c>
      <c r="F19" s="1">
        <v>1974.579956</v>
      </c>
      <c r="G19" s="1">
        <v>8.15</v>
      </c>
      <c r="H19" s="1">
        <v>0</v>
      </c>
      <c r="I19" s="1">
        <v>0</v>
      </c>
      <c r="J19" s="1">
        <v>0</v>
      </c>
      <c r="K19" s="1">
        <v>-2.5920000000000001E-3</v>
      </c>
      <c r="L19" s="1">
        <v>1.4809999999999999E-3</v>
      </c>
      <c r="M19" s="1">
        <v>0.86970400000000003</v>
      </c>
      <c r="N19" s="1">
        <v>0.493564</v>
      </c>
      <c r="O19">
        <v>0</v>
      </c>
      <c r="P19">
        <v>0</v>
      </c>
      <c r="Q19">
        <v>1</v>
      </c>
      <c r="R19">
        <v>1</v>
      </c>
      <c r="S19">
        <v>1</v>
      </c>
      <c r="T19" s="1">
        <f>SQRT(POWER(Batmobile[[#This Row],[angvel_X]],2) + POWER(Batmobile[[#This Row],[angvel_Y]],2) + POWER(Batmobile[[#This Row],[angvel_Z]],2))</f>
        <v>0</v>
      </c>
      <c r="U19" s="1">
        <f>DEGREES(ASIN(MAX(-1,MIN(1,2 * (Batmobile[[#This Row],[quart_W]]*Batmobile[[#This Row],[quart_Y]] - Batmobile[[#This Row],[quart_Z]]*Batmobile[[#This Row],[quart_X]])))))</f>
        <v>0.34208545860525746</v>
      </c>
      <c r="V1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1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19" s="1">
        <f>IF(Batmobile[[#This Row],[Yaw]]&gt;V18,(360-ABS(Batmobile[[#This Row],[Yaw]])-ABS(V18)),ABS(Batmobile[[#This Row],[Yaw]]-V18))</f>
        <v>0</v>
      </c>
      <c r="Y19" s="1">
        <f>Batmobile[[#This Row],[Degree change]]+Y18</f>
        <v>0</v>
      </c>
    </row>
    <row r="20" spans="1:25">
      <c r="A20">
        <v>19</v>
      </c>
      <c r="B20" s="1">
        <v>687.70001200000002</v>
      </c>
      <c r="C20" s="1">
        <v>1371.48999</v>
      </c>
      <c r="D20" s="1">
        <v>18.649999999999999</v>
      </c>
      <c r="E20" s="1">
        <v>-1179.380005</v>
      </c>
      <c r="F20" s="1">
        <v>1974.579956</v>
      </c>
      <c r="G20" s="1">
        <v>8.15</v>
      </c>
      <c r="H20" s="1">
        <v>0</v>
      </c>
      <c r="I20" s="1">
        <v>0</v>
      </c>
      <c r="J20" s="1">
        <v>0</v>
      </c>
      <c r="K20" s="1">
        <v>-2.5920000000000001E-3</v>
      </c>
      <c r="L20" s="1">
        <v>1.4809999999999999E-3</v>
      </c>
      <c r="M20" s="1">
        <v>0.86970400000000003</v>
      </c>
      <c r="N20" s="1">
        <v>0.493564</v>
      </c>
      <c r="O20">
        <v>0</v>
      </c>
      <c r="P20">
        <v>0</v>
      </c>
      <c r="Q20">
        <v>1</v>
      </c>
      <c r="R20">
        <v>1</v>
      </c>
      <c r="S20">
        <v>1</v>
      </c>
      <c r="T20" s="1">
        <f>SQRT(POWER(Batmobile[[#This Row],[angvel_X]],2) + POWER(Batmobile[[#This Row],[angvel_Y]],2) + POWER(Batmobile[[#This Row],[angvel_Z]],2))</f>
        <v>0</v>
      </c>
      <c r="U20" s="1">
        <f>DEGREES(ASIN(MAX(-1,MIN(1,2 * (Batmobile[[#This Row],[quart_W]]*Batmobile[[#This Row],[quart_Y]] - Batmobile[[#This Row],[quart_Z]]*Batmobile[[#This Row],[quart_X]])))))</f>
        <v>0.34208545860525746</v>
      </c>
      <c r="V2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2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20" s="1">
        <f>IF(Batmobile[[#This Row],[Yaw]]&gt;V19,(360-ABS(Batmobile[[#This Row],[Yaw]])-ABS(V19)),ABS(Batmobile[[#This Row],[Yaw]]-V19))</f>
        <v>0</v>
      </c>
      <c r="Y20" s="1">
        <f>Batmobile[[#This Row],[Degree change]]+Y19</f>
        <v>0</v>
      </c>
    </row>
    <row r="21" spans="1:25">
      <c r="A21">
        <v>20</v>
      </c>
      <c r="B21" s="1">
        <v>677.839966</v>
      </c>
      <c r="C21" s="1">
        <v>1388</v>
      </c>
      <c r="D21" s="1">
        <v>18.649999999999999</v>
      </c>
      <c r="E21" s="1">
        <v>-1179.380005</v>
      </c>
      <c r="F21" s="1">
        <v>1974.579956</v>
      </c>
      <c r="G21" s="1">
        <v>8.15</v>
      </c>
      <c r="H21" s="1">
        <v>0</v>
      </c>
      <c r="I21" s="1">
        <v>0</v>
      </c>
      <c r="J21" s="1">
        <v>0</v>
      </c>
      <c r="K21" s="1">
        <v>-2.5920000000000001E-3</v>
      </c>
      <c r="L21" s="1">
        <v>1.4809999999999999E-3</v>
      </c>
      <c r="M21" s="1">
        <v>0.86970400000000003</v>
      </c>
      <c r="N21" s="1">
        <v>0.493564</v>
      </c>
      <c r="O21">
        <v>0</v>
      </c>
      <c r="P21">
        <v>0</v>
      </c>
      <c r="Q21">
        <v>1</v>
      </c>
      <c r="R21">
        <v>1</v>
      </c>
      <c r="S21">
        <v>1</v>
      </c>
      <c r="T21" s="1">
        <f>SQRT(POWER(Batmobile[[#This Row],[angvel_X]],2) + POWER(Batmobile[[#This Row],[angvel_Y]],2) + POWER(Batmobile[[#This Row],[angvel_Z]],2))</f>
        <v>0</v>
      </c>
      <c r="U21" s="1">
        <f>DEGREES(ASIN(MAX(-1,MIN(1,2 * (Batmobile[[#This Row],[quart_W]]*Batmobile[[#This Row],[quart_Y]] - Batmobile[[#This Row],[quart_Z]]*Batmobile[[#This Row],[quart_X]])))))</f>
        <v>0.34208545860525746</v>
      </c>
      <c r="V2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2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21" s="1">
        <f>IF(Batmobile[[#This Row],[Yaw]]&gt;V20,(360-ABS(Batmobile[[#This Row],[Yaw]])-ABS(V20)),ABS(Batmobile[[#This Row],[Yaw]]-V20))</f>
        <v>0</v>
      </c>
      <c r="Y21" s="1">
        <f>Batmobile[[#This Row],[Degree change]]+Y20</f>
        <v>0</v>
      </c>
    </row>
    <row r="22" spans="1:25">
      <c r="A22">
        <v>21</v>
      </c>
      <c r="B22" s="1">
        <v>667.97997999999995</v>
      </c>
      <c r="C22" s="1">
        <v>1404.51001</v>
      </c>
      <c r="D22" s="1">
        <v>18.649999999999999</v>
      </c>
      <c r="E22" s="1">
        <v>-1179.380005</v>
      </c>
      <c r="F22" s="1">
        <v>1974.579956</v>
      </c>
      <c r="G22" s="1">
        <v>8.15</v>
      </c>
      <c r="H22" s="1">
        <v>0</v>
      </c>
      <c r="I22" s="1">
        <v>0</v>
      </c>
      <c r="J22" s="1">
        <v>0</v>
      </c>
      <c r="K22" s="1">
        <v>-2.5920000000000001E-3</v>
      </c>
      <c r="L22" s="1">
        <v>1.4809999999999999E-3</v>
      </c>
      <c r="M22" s="1">
        <v>0.86970400000000003</v>
      </c>
      <c r="N22" s="1">
        <v>0.493564</v>
      </c>
      <c r="O22">
        <v>0</v>
      </c>
      <c r="P22">
        <v>0</v>
      </c>
      <c r="Q22">
        <v>1</v>
      </c>
      <c r="R22">
        <v>1</v>
      </c>
      <c r="S22">
        <v>1</v>
      </c>
      <c r="T22" s="1">
        <f>SQRT(POWER(Batmobile[[#This Row],[angvel_X]],2) + POWER(Batmobile[[#This Row],[angvel_Y]],2) + POWER(Batmobile[[#This Row],[angvel_Z]],2))</f>
        <v>0</v>
      </c>
      <c r="U22" s="1">
        <f>DEGREES(ASIN(MAX(-1,MIN(1,2 * (Batmobile[[#This Row],[quart_W]]*Batmobile[[#This Row],[quart_Y]] - Batmobile[[#This Row],[quart_Z]]*Batmobile[[#This Row],[quart_X]])))))</f>
        <v>0.34208545860525746</v>
      </c>
      <c r="V2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2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22" s="1">
        <f>IF(Batmobile[[#This Row],[Yaw]]&gt;V21,(360-ABS(Batmobile[[#This Row],[Yaw]])-ABS(V21)),ABS(Batmobile[[#This Row],[Yaw]]-V21))</f>
        <v>0</v>
      </c>
      <c r="Y22" s="1">
        <f>Batmobile[[#This Row],[Degree change]]+Y21</f>
        <v>0</v>
      </c>
    </row>
    <row r="23" spans="1:25">
      <c r="A23">
        <v>22</v>
      </c>
      <c r="B23" s="1">
        <v>658.11999500000002</v>
      </c>
      <c r="C23" s="1">
        <v>1421.0200199999999</v>
      </c>
      <c r="D23" s="1">
        <v>18.649999999999999</v>
      </c>
      <c r="E23" s="1">
        <v>-1179.380005</v>
      </c>
      <c r="F23" s="1">
        <v>1974.579956</v>
      </c>
      <c r="G23" s="1">
        <v>8.15</v>
      </c>
      <c r="H23" s="1">
        <v>0</v>
      </c>
      <c r="I23" s="1">
        <v>0</v>
      </c>
      <c r="J23" s="1">
        <v>0</v>
      </c>
      <c r="K23" s="1">
        <v>-2.5920000000000001E-3</v>
      </c>
      <c r="L23" s="1">
        <v>1.4809999999999999E-3</v>
      </c>
      <c r="M23" s="1">
        <v>0.86970400000000003</v>
      </c>
      <c r="N23" s="1">
        <v>0.493564</v>
      </c>
      <c r="O23">
        <v>0</v>
      </c>
      <c r="P23">
        <v>0</v>
      </c>
      <c r="Q23">
        <v>1</v>
      </c>
      <c r="R23">
        <v>1</v>
      </c>
      <c r="S23">
        <v>1</v>
      </c>
      <c r="T23" s="1">
        <f>SQRT(POWER(Batmobile[[#This Row],[angvel_X]],2) + POWER(Batmobile[[#This Row],[angvel_Y]],2) + POWER(Batmobile[[#This Row],[angvel_Z]],2))</f>
        <v>0</v>
      </c>
      <c r="U23" s="1">
        <f>DEGREES(ASIN(MAX(-1,MIN(1,2 * (Batmobile[[#This Row],[quart_W]]*Batmobile[[#This Row],[quart_Y]] - Batmobile[[#This Row],[quart_Z]]*Batmobile[[#This Row],[quart_X]])))))</f>
        <v>0.34208545860525746</v>
      </c>
      <c r="V2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2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23" s="1">
        <f>IF(Batmobile[[#This Row],[Yaw]]&gt;V22,(360-ABS(Batmobile[[#This Row],[Yaw]])-ABS(V22)),ABS(Batmobile[[#This Row],[Yaw]]-V22))</f>
        <v>0</v>
      </c>
      <c r="Y23" s="1">
        <f>Batmobile[[#This Row],[Degree change]]+Y22</f>
        <v>0</v>
      </c>
    </row>
    <row r="24" spans="1:25">
      <c r="A24">
        <v>23</v>
      </c>
      <c r="B24" s="1">
        <v>648.26000999999997</v>
      </c>
      <c r="C24" s="1">
        <v>1437.5299070000001</v>
      </c>
      <c r="D24" s="1">
        <v>18.649999999999999</v>
      </c>
      <c r="E24" s="1">
        <v>-1179.380005</v>
      </c>
      <c r="F24" s="1">
        <v>1974.579956</v>
      </c>
      <c r="G24" s="1">
        <v>8.15</v>
      </c>
      <c r="H24" s="1">
        <v>0</v>
      </c>
      <c r="I24" s="1">
        <v>0</v>
      </c>
      <c r="J24" s="1">
        <v>0</v>
      </c>
      <c r="K24" s="1">
        <v>-2.5920000000000001E-3</v>
      </c>
      <c r="L24" s="1">
        <v>1.4809999999999999E-3</v>
      </c>
      <c r="M24" s="1">
        <v>0.86970400000000003</v>
      </c>
      <c r="N24" s="1">
        <v>0.493564</v>
      </c>
      <c r="O24">
        <v>0</v>
      </c>
      <c r="P24">
        <v>0</v>
      </c>
      <c r="Q24">
        <v>1</v>
      </c>
      <c r="R24">
        <v>1</v>
      </c>
      <c r="S24">
        <v>1</v>
      </c>
      <c r="T24" s="1">
        <f>SQRT(POWER(Batmobile[[#This Row],[angvel_X]],2) + POWER(Batmobile[[#This Row],[angvel_Y]],2) + POWER(Batmobile[[#This Row],[angvel_Z]],2))</f>
        <v>0</v>
      </c>
      <c r="U24" s="1">
        <f>DEGREES(ASIN(MAX(-1,MIN(1,2 * (Batmobile[[#This Row],[quart_W]]*Batmobile[[#This Row],[quart_Y]] - Batmobile[[#This Row],[quart_Z]]*Batmobile[[#This Row],[quart_X]])))))</f>
        <v>0.34208545860525746</v>
      </c>
      <c r="V2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2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24" s="1">
        <f>IF(Batmobile[[#This Row],[Yaw]]&gt;V23,(360-ABS(Batmobile[[#This Row],[Yaw]])-ABS(V23)),ABS(Batmobile[[#This Row],[Yaw]]-V23))</f>
        <v>0</v>
      </c>
      <c r="Y24" s="1">
        <f>Batmobile[[#This Row],[Degree change]]+Y23</f>
        <v>0</v>
      </c>
    </row>
    <row r="25" spans="1:25">
      <c r="A25">
        <v>24</v>
      </c>
      <c r="B25" s="1">
        <v>638.39996299999996</v>
      </c>
      <c r="C25" s="1">
        <v>1454.0399170000001</v>
      </c>
      <c r="D25" s="1">
        <v>18.649999999999999</v>
      </c>
      <c r="E25" s="1">
        <v>-1179.380005</v>
      </c>
      <c r="F25" s="1">
        <v>1974.579956</v>
      </c>
      <c r="G25" s="1">
        <v>8.15</v>
      </c>
      <c r="H25" s="1">
        <v>0</v>
      </c>
      <c r="I25" s="1">
        <v>0</v>
      </c>
      <c r="J25" s="1">
        <v>0</v>
      </c>
      <c r="K25" s="1">
        <v>-2.5920000000000001E-3</v>
      </c>
      <c r="L25" s="1">
        <v>1.4809999999999999E-3</v>
      </c>
      <c r="M25" s="1">
        <v>0.86970400000000003</v>
      </c>
      <c r="N25" s="1">
        <v>0.493564</v>
      </c>
      <c r="O25">
        <v>0</v>
      </c>
      <c r="P25">
        <v>0</v>
      </c>
      <c r="Q25">
        <v>1</v>
      </c>
      <c r="R25">
        <v>1</v>
      </c>
      <c r="S25">
        <v>1</v>
      </c>
      <c r="T25" s="1">
        <f>SQRT(POWER(Batmobile[[#This Row],[angvel_X]],2) + POWER(Batmobile[[#This Row],[angvel_Y]],2) + POWER(Batmobile[[#This Row],[angvel_Z]],2))</f>
        <v>0</v>
      </c>
      <c r="U25" s="1">
        <f>DEGREES(ASIN(MAX(-1,MIN(1,2 * (Batmobile[[#This Row],[quart_W]]*Batmobile[[#This Row],[quart_Y]] - Batmobile[[#This Row],[quart_Z]]*Batmobile[[#This Row],[quart_X]])))))</f>
        <v>0.34208545860525746</v>
      </c>
      <c r="V2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2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25" s="1">
        <f>IF(Batmobile[[#This Row],[Yaw]]&gt;V24,(360-ABS(Batmobile[[#This Row],[Yaw]])-ABS(V24)),ABS(Batmobile[[#This Row],[Yaw]]-V24))</f>
        <v>0</v>
      </c>
      <c r="Y25" s="1">
        <f>Batmobile[[#This Row],[Degree change]]+Y24</f>
        <v>0</v>
      </c>
    </row>
    <row r="26" spans="1:25">
      <c r="A26">
        <v>25</v>
      </c>
      <c r="B26" s="1">
        <v>628.53997800000002</v>
      </c>
      <c r="C26" s="1">
        <v>1470.549927</v>
      </c>
      <c r="D26" s="1">
        <v>18.649999999999999</v>
      </c>
      <c r="E26" s="1">
        <v>-1179.380005</v>
      </c>
      <c r="F26" s="1">
        <v>1974.579956</v>
      </c>
      <c r="G26" s="1">
        <v>8.15</v>
      </c>
      <c r="H26" s="1">
        <v>0</v>
      </c>
      <c r="I26" s="1">
        <v>0</v>
      </c>
      <c r="J26" s="1">
        <v>0</v>
      </c>
      <c r="K26" s="1">
        <v>-2.5920000000000001E-3</v>
      </c>
      <c r="L26" s="1">
        <v>1.4809999999999999E-3</v>
      </c>
      <c r="M26" s="1">
        <v>0.86970400000000003</v>
      </c>
      <c r="N26" s="1">
        <v>0.493564</v>
      </c>
      <c r="O26">
        <v>0</v>
      </c>
      <c r="P26">
        <v>0</v>
      </c>
      <c r="Q26">
        <v>1</v>
      </c>
      <c r="R26">
        <v>1</v>
      </c>
      <c r="S26">
        <v>1</v>
      </c>
      <c r="T26" s="1">
        <f>SQRT(POWER(Batmobile[[#This Row],[angvel_X]],2) + POWER(Batmobile[[#This Row],[angvel_Y]],2) + POWER(Batmobile[[#This Row],[angvel_Z]],2))</f>
        <v>0</v>
      </c>
      <c r="U26" s="1">
        <f>DEGREES(ASIN(MAX(-1,MIN(1,2 * (Batmobile[[#This Row],[quart_W]]*Batmobile[[#This Row],[quart_Y]] - Batmobile[[#This Row],[quart_Z]]*Batmobile[[#This Row],[quart_X]])))))</f>
        <v>0.34208545860525746</v>
      </c>
      <c r="V2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2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26" s="1">
        <f>IF(Batmobile[[#This Row],[Yaw]]&gt;V25,(360-ABS(Batmobile[[#This Row],[Yaw]])-ABS(V25)),ABS(Batmobile[[#This Row],[Yaw]]-V25))</f>
        <v>0</v>
      </c>
      <c r="Y26" s="1">
        <f>Batmobile[[#This Row],[Degree change]]+Y25</f>
        <v>0</v>
      </c>
    </row>
    <row r="27" spans="1:25">
      <c r="A27">
        <v>26</v>
      </c>
      <c r="B27" s="1">
        <v>618.67999299999997</v>
      </c>
      <c r="C27" s="1">
        <v>1487.059937</v>
      </c>
      <c r="D27" s="1">
        <v>18.649999999999999</v>
      </c>
      <c r="E27" s="1">
        <v>-1179.380005</v>
      </c>
      <c r="F27" s="1">
        <v>1974.579956</v>
      </c>
      <c r="G27" s="1">
        <v>8.15</v>
      </c>
      <c r="H27" s="1">
        <v>0</v>
      </c>
      <c r="I27" s="1">
        <v>0</v>
      </c>
      <c r="J27" s="1">
        <v>0</v>
      </c>
      <c r="K27" s="1">
        <v>-2.5920000000000001E-3</v>
      </c>
      <c r="L27" s="1">
        <v>1.4809999999999999E-3</v>
      </c>
      <c r="M27" s="1">
        <v>0.86970400000000003</v>
      </c>
      <c r="N27" s="1">
        <v>0.493564</v>
      </c>
      <c r="O27">
        <v>0</v>
      </c>
      <c r="P27">
        <v>0</v>
      </c>
      <c r="Q27">
        <v>1</v>
      </c>
      <c r="R27">
        <v>1</v>
      </c>
      <c r="S27">
        <v>1</v>
      </c>
      <c r="T27" s="1">
        <f>SQRT(POWER(Batmobile[[#This Row],[angvel_X]],2) + POWER(Batmobile[[#This Row],[angvel_Y]],2) + POWER(Batmobile[[#This Row],[angvel_Z]],2))</f>
        <v>0</v>
      </c>
      <c r="U27" s="1">
        <f>DEGREES(ASIN(MAX(-1,MIN(1,2 * (Batmobile[[#This Row],[quart_W]]*Batmobile[[#This Row],[quart_Y]] - Batmobile[[#This Row],[quart_Z]]*Batmobile[[#This Row],[quart_X]])))))</f>
        <v>0.34208545860525746</v>
      </c>
      <c r="V2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2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27" s="1">
        <f>IF(Batmobile[[#This Row],[Yaw]]&gt;V26,(360-ABS(Batmobile[[#This Row],[Yaw]])-ABS(V26)),ABS(Batmobile[[#This Row],[Yaw]]-V26))</f>
        <v>0</v>
      </c>
      <c r="Y27" s="1">
        <f>Batmobile[[#This Row],[Degree change]]+Y26</f>
        <v>0</v>
      </c>
    </row>
    <row r="28" spans="1:25">
      <c r="A28">
        <v>27</v>
      </c>
      <c r="B28" s="1">
        <v>608.82000700000003</v>
      </c>
      <c r="C28" s="1">
        <v>1503.5699460000001</v>
      </c>
      <c r="D28" s="1">
        <v>18.649999999999999</v>
      </c>
      <c r="E28" s="1">
        <v>-1179.380005</v>
      </c>
      <c r="F28" s="1">
        <v>1974.579956</v>
      </c>
      <c r="G28" s="1">
        <v>8.15</v>
      </c>
      <c r="H28" s="1">
        <v>0</v>
      </c>
      <c r="I28" s="1">
        <v>0</v>
      </c>
      <c r="J28" s="1">
        <v>0</v>
      </c>
      <c r="K28" s="1">
        <v>-2.5920000000000001E-3</v>
      </c>
      <c r="L28" s="1">
        <v>1.4809999999999999E-3</v>
      </c>
      <c r="M28" s="1">
        <v>0.86970400000000003</v>
      </c>
      <c r="N28" s="1">
        <v>0.493564</v>
      </c>
      <c r="O28">
        <v>0</v>
      </c>
      <c r="P28">
        <v>0</v>
      </c>
      <c r="Q28">
        <v>1</v>
      </c>
      <c r="R28">
        <v>1</v>
      </c>
      <c r="S28">
        <v>1</v>
      </c>
      <c r="T28" s="1">
        <f>SQRT(POWER(Batmobile[[#This Row],[angvel_X]],2) + POWER(Batmobile[[#This Row],[angvel_Y]],2) + POWER(Batmobile[[#This Row],[angvel_Z]],2))</f>
        <v>0</v>
      </c>
      <c r="U28" s="1">
        <f>DEGREES(ASIN(MAX(-1,MIN(1,2 * (Batmobile[[#This Row],[quart_W]]*Batmobile[[#This Row],[quart_Y]] - Batmobile[[#This Row],[quart_Z]]*Batmobile[[#This Row],[quart_X]])))))</f>
        <v>0.34208545860525746</v>
      </c>
      <c r="V2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2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28" s="1">
        <f>IF(Batmobile[[#This Row],[Yaw]]&gt;V27,(360-ABS(Batmobile[[#This Row],[Yaw]])-ABS(V27)),ABS(Batmobile[[#This Row],[Yaw]]-V27))</f>
        <v>0</v>
      </c>
      <c r="Y28" s="1">
        <f>Batmobile[[#This Row],[Degree change]]+Y27</f>
        <v>0</v>
      </c>
    </row>
    <row r="29" spans="1:25">
      <c r="A29">
        <v>28</v>
      </c>
      <c r="B29" s="1">
        <v>598.95996100000002</v>
      </c>
      <c r="C29" s="1">
        <v>1520.079956</v>
      </c>
      <c r="D29" s="1">
        <v>18.649999999999999</v>
      </c>
      <c r="E29" s="1">
        <v>-1179.380005</v>
      </c>
      <c r="F29" s="1">
        <v>1974.579956</v>
      </c>
      <c r="G29" s="1">
        <v>8.15</v>
      </c>
      <c r="H29" s="1">
        <v>0</v>
      </c>
      <c r="I29" s="1">
        <v>0</v>
      </c>
      <c r="J29" s="1">
        <v>0</v>
      </c>
      <c r="K29" s="1">
        <v>-2.5920000000000001E-3</v>
      </c>
      <c r="L29" s="1">
        <v>1.4809999999999999E-3</v>
      </c>
      <c r="M29" s="1">
        <v>0.86970400000000003</v>
      </c>
      <c r="N29" s="1">
        <v>0.493564</v>
      </c>
      <c r="O29">
        <v>0</v>
      </c>
      <c r="P29">
        <v>0</v>
      </c>
      <c r="Q29">
        <v>1</v>
      </c>
      <c r="R29">
        <v>1</v>
      </c>
      <c r="S29">
        <v>1</v>
      </c>
      <c r="T29" s="1">
        <f>SQRT(POWER(Batmobile[[#This Row],[angvel_X]],2) + POWER(Batmobile[[#This Row],[angvel_Y]],2) + POWER(Batmobile[[#This Row],[angvel_Z]],2))</f>
        <v>0</v>
      </c>
      <c r="U29" s="1">
        <f>DEGREES(ASIN(MAX(-1,MIN(1,2 * (Batmobile[[#This Row],[quart_W]]*Batmobile[[#This Row],[quart_Y]] - Batmobile[[#This Row],[quart_Z]]*Batmobile[[#This Row],[quart_X]])))))</f>
        <v>0.34208545860525746</v>
      </c>
      <c r="V2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2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29" s="1">
        <f>IF(Batmobile[[#This Row],[Yaw]]&gt;V28,(360-ABS(Batmobile[[#This Row],[Yaw]])-ABS(V28)),ABS(Batmobile[[#This Row],[Yaw]]-V28))</f>
        <v>0</v>
      </c>
      <c r="Y29" s="1">
        <f>Batmobile[[#This Row],[Degree change]]+Y28</f>
        <v>0</v>
      </c>
    </row>
    <row r="30" spans="1:25">
      <c r="A30">
        <v>29</v>
      </c>
      <c r="B30" s="1">
        <v>589.09997599999997</v>
      </c>
      <c r="C30" s="1">
        <v>1536.589966</v>
      </c>
      <c r="D30" s="1">
        <v>18.649999999999999</v>
      </c>
      <c r="E30" s="1">
        <v>-1179.380005</v>
      </c>
      <c r="F30" s="1">
        <v>1974.579956</v>
      </c>
      <c r="G30" s="1">
        <v>8.15</v>
      </c>
      <c r="H30" s="1">
        <v>0</v>
      </c>
      <c r="I30" s="1">
        <v>0</v>
      </c>
      <c r="J30" s="1">
        <v>0</v>
      </c>
      <c r="K30" s="1">
        <v>-2.5920000000000001E-3</v>
      </c>
      <c r="L30" s="1">
        <v>1.4809999999999999E-3</v>
      </c>
      <c r="M30" s="1">
        <v>0.86970400000000003</v>
      </c>
      <c r="N30" s="1">
        <v>0.493564</v>
      </c>
      <c r="O30">
        <v>0</v>
      </c>
      <c r="P30">
        <v>0</v>
      </c>
      <c r="Q30">
        <v>1</v>
      </c>
      <c r="R30">
        <v>1</v>
      </c>
      <c r="S30">
        <v>1</v>
      </c>
      <c r="T30" s="1">
        <f>SQRT(POWER(Batmobile[[#This Row],[angvel_X]],2) + POWER(Batmobile[[#This Row],[angvel_Y]],2) + POWER(Batmobile[[#This Row],[angvel_Z]],2))</f>
        <v>0</v>
      </c>
      <c r="U30" s="1">
        <f>DEGREES(ASIN(MAX(-1,MIN(1,2 * (Batmobile[[#This Row],[quart_W]]*Batmobile[[#This Row],[quart_Y]] - Batmobile[[#This Row],[quart_Z]]*Batmobile[[#This Row],[quart_X]])))))</f>
        <v>0.34208545860525746</v>
      </c>
      <c r="V3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3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30" s="1">
        <f>IF(Batmobile[[#This Row],[Yaw]]&gt;V29,(360-ABS(Batmobile[[#This Row],[Yaw]])-ABS(V29)),ABS(Batmobile[[#This Row],[Yaw]]-V29))</f>
        <v>0</v>
      </c>
      <c r="Y30" s="1">
        <f>Batmobile[[#This Row],[Degree change]]+Y29</f>
        <v>0</v>
      </c>
    </row>
    <row r="31" spans="1:25">
      <c r="A31">
        <v>30</v>
      </c>
      <c r="B31" s="1">
        <v>579.23999000000003</v>
      </c>
      <c r="C31" s="1">
        <v>1553.099976</v>
      </c>
      <c r="D31" s="1">
        <v>18.649999999999999</v>
      </c>
      <c r="E31" s="1">
        <v>-1179.380005</v>
      </c>
      <c r="F31" s="1">
        <v>1974.579956</v>
      </c>
      <c r="G31" s="1">
        <v>8.15</v>
      </c>
      <c r="H31" s="1">
        <v>0</v>
      </c>
      <c r="I31" s="1">
        <v>0</v>
      </c>
      <c r="J31" s="1">
        <v>0</v>
      </c>
      <c r="K31" s="1">
        <v>-2.5920000000000001E-3</v>
      </c>
      <c r="L31" s="1">
        <v>1.4809999999999999E-3</v>
      </c>
      <c r="M31" s="1">
        <v>0.86970400000000003</v>
      </c>
      <c r="N31" s="1">
        <v>0.493564</v>
      </c>
      <c r="O31">
        <v>0</v>
      </c>
      <c r="P31">
        <v>0</v>
      </c>
      <c r="Q31">
        <v>1</v>
      </c>
      <c r="R31">
        <v>1</v>
      </c>
      <c r="S31">
        <v>1</v>
      </c>
      <c r="T31" s="1">
        <f>SQRT(POWER(Batmobile[[#This Row],[angvel_X]],2) + POWER(Batmobile[[#This Row],[angvel_Y]],2) + POWER(Batmobile[[#This Row],[angvel_Z]],2))</f>
        <v>0</v>
      </c>
      <c r="U31" s="1">
        <f>DEGREES(ASIN(MAX(-1,MIN(1,2 * (Batmobile[[#This Row],[quart_W]]*Batmobile[[#This Row],[quart_Y]] - Batmobile[[#This Row],[quart_Z]]*Batmobile[[#This Row],[quart_X]])))))</f>
        <v>0.34208545860525746</v>
      </c>
      <c r="V3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3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31" s="1">
        <f>IF(Batmobile[[#This Row],[Yaw]]&gt;V30,(360-ABS(Batmobile[[#This Row],[Yaw]])-ABS(V30)),ABS(Batmobile[[#This Row],[Yaw]]-V30))</f>
        <v>0</v>
      </c>
      <c r="Y31" s="1">
        <f>Batmobile[[#This Row],[Degree change]]+Y30</f>
        <v>0</v>
      </c>
    </row>
    <row r="32" spans="1:25">
      <c r="A32">
        <v>31</v>
      </c>
      <c r="B32" s="1">
        <v>569.38000499999998</v>
      </c>
      <c r="C32" s="1">
        <v>1569.6099850000001</v>
      </c>
      <c r="D32" s="1">
        <v>18.649999999999999</v>
      </c>
      <c r="E32" s="1">
        <v>-1179.380005</v>
      </c>
      <c r="F32" s="1">
        <v>1974.579956</v>
      </c>
      <c r="G32" s="1">
        <v>8.15</v>
      </c>
      <c r="H32" s="1">
        <v>0</v>
      </c>
      <c r="I32" s="1">
        <v>0</v>
      </c>
      <c r="J32" s="1">
        <v>0</v>
      </c>
      <c r="K32" s="1">
        <v>-2.5920000000000001E-3</v>
      </c>
      <c r="L32" s="1">
        <v>1.4809999999999999E-3</v>
      </c>
      <c r="M32" s="1">
        <v>0.86970400000000003</v>
      </c>
      <c r="N32" s="1">
        <v>0.493564</v>
      </c>
      <c r="O32">
        <v>0</v>
      </c>
      <c r="P32">
        <v>0</v>
      </c>
      <c r="Q32">
        <v>1</v>
      </c>
      <c r="R32">
        <v>1</v>
      </c>
      <c r="S32">
        <v>1</v>
      </c>
      <c r="T32" s="1">
        <f>SQRT(POWER(Batmobile[[#This Row],[angvel_X]],2) + POWER(Batmobile[[#This Row],[angvel_Y]],2) + POWER(Batmobile[[#This Row],[angvel_Z]],2))</f>
        <v>0</v>
      </c>
      <c r="U32" s="1">
        <f>DEGREES(ASIN(MAX(-1,MIN(1,2 * (Batmobile[[#This Row],[quart_W]]*Batmobile[[#This Row],[quart_Y]] - Batmobile[[#This Row],[quart_Z]]*Batmobile[[#This Row],[quart_X]])))))</f>
        <v>0.34208545860525746</v>
      </c>
      <c r="V3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3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32" s="1">
        <f>IF(Batmobile[[#This Row],[Yaw]]&gt;V31,(360-ABS(Batmobile[[#This Row],[Yaw]])-ABS(V31)),ABS(Batmobile[[#This Row],[Yaw]]-V31))</f>
        <v>0</v>
      </c>
      <c r="Y32" s="1">
        <f>Batmobile[[#This Row],[Degree change]]+Y31</f>
        <v>0</v>
      </c>
    </row>
    <row r="33" spans="1:25">
      <c r="A33">
        <v>32</v>
      </c>
      <c r="B33" s="1">
        <v>559.51995799999997</v>
      </c>
      <c r="C33" s="1">
        <v>1586.119995</v>
      </c>
      <c r="D33" s="1">
        <v>18.649999999999999</v>
      </c>
      <c r="E33" s="1">
        <v>-1179.380005</v>
      </c>
      <c r="F33" s="1">
        <v>1974.579956</v>
      </c>
      <c r="G33" s="1">
        <v>8.15</v>
      </c>
      <c r="H33" s="1">
        <v>0</v>
      </c>
      <c r="I33" s="1">
        <v>0</v>
      </c>
      <c r="J33" s="1">
        <v>0</v>
      </c>
      <c r="K33" s="1">
        <v>-2.5920000000000001E-3</v>
      </c>
      <c r="L33" s="1">
        <v>1.4809999999999999E-3</v>
      </c>
      <c r="M33" s="1">
        <v>0.86970400000000003</v>
      </c>
      <c r="N33" s="1">
        <v>0.493564</v>
      </c>
      <c r="O33">
        <v>0</v>
      </c>
      <c r="P33">
        <v>0</v>
      </c>
      <c r="Q33">
        <v>1</v>
      </c>
      <c r="R33">
        <v>1</v>
      </c>
      <c r="S33">
        <v>1</v>
      </c>
      <c r="T33" s="1">
        <f>SQRT(POWER(Batmobile[[#This Row],[angvel_X]],2) + POWER(Batmobile[[#This Row],[angvel_Y]],2) + POWER(Batmobile[[#This Row],[angvel_Z]],2))</f>
        <v>0</v>
      </c>
      <c r="U33" s="1">
        <f>DEGREES(ASIN(MAX(-1,MIN(1,2 * (Batmobile[[#This Row],[quart_W]]*Batmobile[[#This Row],[quart_Y]] - Batmobile[[#This Row],[quart_Z]]*Batmobile[[#This Row],[quart_X]])))))</f>
        <v>0.34208545860525746</v>
      </c>
      <c r="V3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3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33" s="1">
        <f>IF(Batmobile[[#This Row],[Yaw]]&gt;V32,(360-ABS(Batmobile[[#This Row],[Yaw]])-ABS(V32)),ABS(Batmobile[[#This Row],[Yaw]]-V32))</f>
        <v>0</v>
      </c>
      <c r="Y33" s="1">
        <f>Batmobile[[#This Row],[Degree change]]+Y32</f>
        <v>0</v>
      </c>
    </row>
    <row r="34" spans="1:25">
      <c r="A34">
        <v>33</v>
      </c>
      <c r="B34" s="1">
        <v>549.65997300000004</v>
      </c>
      <c r="C34" s="1">
        <v>1602.630005</v>
      </c>
      <c r="D34" s="1">
        <v>18.649999999999999</v>
      </c>
      <c r="E34" s="1">
        <v>-1179.380005</v>
      </c>
      <c r="F34" s="1">
        <v>1974.579956</v>
      </c>
      <c r="G34" s="1">
        <v>8.15</v>
      </c>
      <c r="H34" s="1">
        <v>0</v>
      </c>
      <c r="I34" s="1">
        <v>0</v>
      </c>
      <c r="J34" s="1">
        <v>0</v>
      </c>
      <c r="K34" s="1">
        <v>-2.5920000000000001E-3</v>
      </c>
      <c r="L34" s="1">
        <v>1.4809999999999999E-3</v>
      </c>
      <c r="M34" s="1">
        <v>0.86970400000000003</v>
      </c>
      <c r="N34" s="1">
        <v>0.493564</v>
      </c>
      <c r="O34">
        <v>0</v>
      </c>
      <c r="P34">
        <v>0</v>
      </c>
      <c r="Q34">
        <v>1</v>
      </c>
      <c r="R34">
        <v>1</v>
      </c>
      <c r="S34">
        <v>1</v>
      </c>
      <c r="T34" s="1">
        <f>SQRT(POWER(Batmobile[[#This Row],[angvel_X]],2) + POWER(Batmobile[[#This Row],[angvel_Y]],2) + POWER(Batmobile[[#This Row],[angvel_Z]],2))</f>
        <v>0</v>
      </c>
      <c r="U34" s="1">
        <f>DEGREES(ASIN(MAX(-1,MIN(1,2 * (Batmobile[[#This Row],[quart_W]]*Batmobile[[#This Row],[quart_Y]] - Batmobile[[#This Row],[quart_Z]]*Batmobile[[#This Row],[quart_X]])))))</f>
        <v>0.34208545860525746</v>
      </c>
      <c r="V3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3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34" s="1">
        <f>IF(Batmobile[[#This Row],[Yaw]]&gt;V33,(360-ABS(Batmobile[[#This Row],[Yaw]])-ABS(V33)),ABS(Batmobile[[#This Row],[Yaw]]-V33))</f>
        <v>0</v>
      </c>
      <c r="Y34" s="1">
        <f>Batmobile[[#This Row],[Degree change]]+Y33</f>
        <v>0</v>
      </c>
    </row>
    <row r="35" spans="1:25">
      <c r="A35">
        <v>34</v>
      </c>
      <c r="B35" s="1">
        <v>539.79998799999998</v>
      </c>
      <c r="C35" s="1">
        <v>1619.1400149999999</v>
      </c>
      <c r="D35" s="1">
        <v>18.649999999999999</v>
      </c>
      <c r="E35" s="1">
        <v>-1179.380005</v>
      </c>
      <c r="F35" s="1">
        <v>1974.579956</v>
      </c>
      <c r="G35" s="1">
        <v>8.15</v>
      </c>
      <c r="H35" s="1">
        <v>0</v>
      </c>
      <c r="I35" s="1">
        <v>0</v>
      </c>
      <c r="J35" s="1">
        <v>0</v>
      </c>
      <c r="K35" s="1">
        <v>-2.5920000000000001E-3</v>
      </c>
      <c r="L35" s="1">
        <v>1.4809999999999999E-3</v>
      </c>
      <c r="M35" s="1">
        <v>0.86970400000000003</v>
      </c>
      <c r="N35" s="1">
        <v>0.493564</v>
      </c>
      <c r="O35">
        <v>0</v>
      </c>
      <c r="P35">
        <v>0</v>
      </c>
      <c r="Q35">
        <v>1</v>
      </c>
      <c r="R35">
        <v>1</v>
      </c>
      <c r="S35">
        <v>1</v>
      </c>
      <c r="T35" s="1">
        <f>SQRT(POWER(Batmobile[[#This Row],[angvel_X]],2) + POWER(Batmobile[[#This Row],[angvel_Y]],2) + POWER(Batmobile[[#This Row],[angvel_Z]],2))</f>
        <v>0</v>
      </c>
      <c r="U35" s="1">
        <f>DEGREES(ASIN(MAX(-1,MIN(1,2 * (Batmobile[[#This Row],[quart_W]]*Batmobile[[#This Row],[quart_Y]] - Batmobile[[#This Row],[quart_Z]]*Batmobile[[#This Row],[quart_X]])))))</f>
        <v>0.34208545860525746</v>
      </c>
      <c r="V3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3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35" s="1">
        <f>IF(Batmobile[[#This Row],[Yaw]]&gt;V34,(360-ABS(Batmobile[[#This Row],[Yaw]])-ABS(V34)),ABS(Batmobile[[#This Row],[Yaw]]-V34))</f>
        <v>0</v>
      </c>
      <c r="Y35" s="1">
        <f>Batmobile[[#This Row],[Degree change]]+Y34</f>
        <v>0</v>
      </c>
    </row>
    <row r="36" spans="1:25">
      <c r="A36">
        <v>35</v>
      </c>
      <c r="B36" s="1">
        <v>529.94000200000005</v>
      </c>
      <c r="C36" s="1">
        <v>1635.650024</v>
      </c>
      <c r="D36" s="1">
        <v>18.649999999999999</v>
      </c>
      <c r="E36" s="1">
        <v>-1179.380005</v>
      </c>
      <c r="F36" s="1">
        <v>1974.579956</v>
      </c>
      <c r="G36" s="1">
        <v>8.15</v>
      </c>
      <c r="H36" s="1">
        <v>0</v>
      </c>
      <c r="I36" s="1">
        <v>0</v>
      </c>
      <c r="J36" s="1">
        <v>0</v>
      </c>
      <c r="K36" s="1">
        <v>-2.5920000000000001E-3</v>
      </c>
      <c r="L36" s="1">
        <v>1.4809999999999999E-3</v>
      </c>
      <c r="M36" s="1">
        <v>0.86970400000000003</v>
      </c>
      <c r="N36" s="1">
        <v>0.493564</v>
      </c>
      <c r="O36">
        <v>0</v>
      </c>
      <c r="P36">
        <v>0</v>
      </c>
      <c r="Q36">
        <v>1</v>
      </c>
      <c r="R36">
        <v>1</v>
      </c>
      <c r="S36">
        <v>1</v>
      </c>
      <c r="T36" s="1">
        <f>SQRT(POWER(Batmobile[[#This Row],[angvel_X]],2) + POWER(Batmobile[[#This Row],[angvel_Y]],2) + POWER(Batmobile[[#This Row],[angvel_Z]],2))</f>
        <v>0</v>
      </c>
      <c r="U36" s="1">
        <f>DEGREES(ASIN(MAX(-1,MIN(1,2 * (Batmobile[[#This Row],[quart_W]]*Batmobile[[#This Row],[quart_Y]] - Batmobile[[#This Row],[quart_Z]]*Batmobile[[#This Row],[quart_X]])))))</f>
        <v>0.34208545860525746</v>
      </c>
      <c r="V3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3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36" s="1">
        <f>IF(Batmobile[[#This Row],[Yaw]]&gt;V35,(360-ABS(Batmobile[[#This Row],[Yaw]])-ABS(V35)),ABS(Batmobile[[#This Row],[Yaw]]-V35))</f>
        <v>0</v>
      </c>
      <c r="Y36" s="1">
        <f>Batmobile[[#This Row],[Degree change]]+Y35</f>
        <v>0</v>
      </c>
    </row>
    <row r="37" spans="1:25">
      <c r="A37">
        <v>36</v>
      </c>
      <c r="B37" s="1">
        <v>520.080017</v>
      </c>
      <c r="C37" s="1">
        <v>1652.1599120000001</v>
      </c>
      <c r="D37" s="1">
        <v>18.649999999999999</v>
      </c>
      <c r="E37" s="1">
        <v>-1179.380005</v>
      </c>
      <c r="F37" s="1">
        <v>1974.579956</v>
      </c>
      <c r="G37" s="1">
        <v>8.15</v>
      </c>
      <c r="H37" s="1">
        <v>0</v>
      </c>
      <c r="I37" s="1">
        <v>0</v>
      </c>
      <c r="J37" s="1">
        <v>0</v>
      </c>
      <c r="K37" s="1">
        <v>-2.5920000000000001E-3</v>
      </c>
      <c r="L37" s="1">
        <v>1.4809999999999999E-3</v>
      </c>
      <c r="M37" s="1">
        <v>0.86970400000000003</v>
      </c>
      <c r="N37" s="1">
        <v>0.493564</v>
      </c>
      <c r="O37">
        <v>0</v>
      </c>
      <c r="P37">
        <v>0</v>
      </c>
      <c r="Q37">
        <v>1</v>
      </c>
      <c r="R37">
        <v>1</v>
      </c>
      <c r="S37">
        <v>1</v>
      </c>
      <c r="T37" s="1">
        <f>SQRT(POWER(Batmobile[[#This Row],[angvel_X]],2) + POWER(Batmobile[[#This Row],[angvel_Y]],2) + POWER(Batmobile[[#This Row],[angvel_Z]],2))</f>
        <v>0</v>
      </c>
      <c r="U37" s="1">
        <f>DEGREES(ASIN(MAX(-1,MIN(1,2 * (Batmobile[[#This Row],[quart_W]]*Batmobile[[#This Row],[quart_Y]] - Batmobile[[#This Row],[quart_Z]]*Batmobile[[#This Row],[quart_X]])))))</f>
        <v>0.34208545860525746</v>
      </c>
      <c r="V3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3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37" s="1">
        <f>IF(Batmobile[[#This Row],[Yaw]]&gt;V36,(360-ABS(Batmobile[[#This Row],[Yaw]])-ABS(V36)),ABS(Batmobile[[#This Row],[Yaw]]-V36))</f>
        <v>0</v>
      </c>
      <c r="Y37" s="1">
        <f>Batmobile[[#This Row],[Degree change]]+Y36</f>
        <v>0</v>
      </c>
    </row>
    <row r="38" spans="1:25">
      <c r="A38">
        <v>37</v>
      </c>
      <c r="B38" s="1">
        <v>510.22000100000002</v>
      </c>
      <c r="C38" s="1">
        <v>1668.669922</v>
      </c>
      <c r="D38" s="1">
        <v>18.649999999999999</v>
      </c>
      <c r="E38" s="1">
        <v>-1179.380005</v>
      </c>
      <c r="F38" s="1">
        <v>1974.579956</v>
      </c>
      <c r="G38" s="1">
        <v>8.15</v>
      </c>
      <c r="H38" s="1">
        <v>0</v>
      </c>
      <c r="I38" s="1">
        <v>0</v>
      </c>
      <c r="J38" s="1">
        <v>0</v>
      </c>
      <c r="K38" s="1">
        <v>-2.5920000000000001E-3</v>
      </c>
      <c r="L38" s="1">
        <v>1.4809999999999999E-3</v>
      </c>
      <c r="M38" s="1">
        <v>0.86970400000000003</v>
      </c>
      <c r="N38" s="1">
        <v>0.493564</v>
      </c>
      <c r="O38">
        <v>0</v>
      </c>
      <c r="P38">
        <v>0</v>
      </c>
      <c r="Q38">
        <v>1</v>
      </c>
      <c r="R38">
        <v>1</v>
      </c>
      <c r="S38">
        <v>1</v>
      </c>
      <c r="T38" s="1">
        <f>SQRT(POWER(Batmobile[[#This Row],[angvel_X]],2) + POWER(Batmobile[[#This Row],[angvel_Y]],2) + POWER(Batmobile[[#This Row],[angvel_Z]],2))</f>
        <v>0</v>
      </c>
      <c r="U38" s="1">
        <f>DEGREES(ASIN(MAX(-1,MIN(1,2 * (Batmobile[[#This Row],[quart_W]]*Batmobile[[#This Row],[quart_Y]] - Batmobile[[#This Row],[quart_Z]]*Batmobile[[#This Row],[quart_X]])))))</f>
        <v>0.34208545860525746</v>
      </c>
      <c r="V3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3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38" s="1">
        <f>IF(Batmobile[[#This Row],[Yaw]]&gt;V37,(360-ABS(Batmobile[[#This Row],[Yaw]])-ABS(V37)),ABS(Batmobile[[#This Row],[Yaw]]-V37))</f>
        <v>0</v>
      </c>
      <c r="Y38" s="1">
        <f>Batmobile[[#This Row],[Degree change]]+Y37</f>
        <v>0</v>
      </c>
    </row>
    <row r="39" spans="1:25">
      <c r="A39">
        <v>38</v>
      </c>
      <c r="B39" s="1">
        <v>500.35998499999999</v>
      </c>
      <c r="C39" s="1">
        <v>1685.179932</v>
      </c>
      <c r="D39" s="1">
        <v>18.649999999999999</v>
      </c>
      <c r="E39" s="1">
        <v>-1179.380005</v>
      </c>
      <c r="F39" s="1">
        <v>1974.579956</v>
      </c>
      <c r="G39" s="1">
        <v>8.15</v>
      </c>
      <c r="H39" s="1">
        <v>0</v>
      </c>
      <c r="I39" s="1">
        <v>0</v>
      </c>
      <c r="J39" s="1">
        <v>0</v>
      </c>
      <c r="K39" s="1">
        <v>-2.5920000000000001E-3</v>
      </c>
      <c r="L39" s="1">
        <v>1.4809999999999999E-3</v>
      </c>
      <c r="M39" s="1">
        <v>0.86970400000000003</v>
      </c>
      <c r="N39" s="1">
        <v>0.493564</v>
      </c>
      <c r="O39">
        <v>0</v>
      </c>
      <c r="P39">
        <v>0</v>
      </c>
      <c r="Q39">
        <v>1</v>
      </c>
      <c r="R39">
        <v>1</v>
      </c>
      <c r="S39">
        <v>1</v>
      </c>
      <c r="T39" s="1">
        <f>SQRT(POWER(Batmobile[[#This Row],[angvel_X]],2) + POWER(Batmobile[[#This Row],[angvel_Y]],2) + POWER(Batmobile[[#This Row],[angvel_Z]],2))</f>
        <v>0</v>
      </c>
      <c r="U39" s="1">
        <f>DEGREES(ASIN(MAX(-1,MIN(1,2 * (Batmobile[[#This Row],[quart_W]]*Batmobile[[#This Row],[quart_Y]] - Batmobile[[#This Row],[quart_Z]]*Batmobile[[#This Row],[quart_X]])))))</f>
        <v>0.34208545860525746</v>
      </c>
      <c r="V3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3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39" s="1">
        <f>IF(Batmobile[[#This Row],[Yaw]]&gt;V38,(360-ABS(Batmobile[[#This Row],[Yaw]])-ABS(V38)),ABS(Batmobile[[#This Row],[Yaw]]-V38))</f>
        <v>0</v>
      </c>
      <c r="Y39" s="1">
        <f>Batmobile[[#This Row],[Degree change]]+Y38</f>
        <v>0</v>
      </c>
    </row>
    <row r="40" spans="1:25">
      <c r="A40">
        <v>39</v>
      </c>
      <c r="B40" s="1">
        <v>490.5</v>
      </c>
      <c r="C40" s="1">
        <v>1701.6899410000001</v>
      </c>
      <c r="D40" s="1">
        <v>18.649999999999999</v>
      </c>
      <c r="E40" s="1">
        <v>-1179.380005</v>
      </c>
      <c r="F40" s="1">
        <v>1974.579956</v>
      </c>
      <c r="G40" s="1">
        <v>8.15</v>
      </c>
      <c r="H40" s="1">
        <v>0</v>
      </c>
      <c r="I40" s="1">
        <v>0</v>
      </c>
      <c r="J40" s="1">
        <v>0</v>
      </c>
      <c r="K40" s="1">
        <v>-2.5920000000000001E-3</v>
      </c>
      <c r="L40" s="1">
        <v>1.4809999999999999E-3</v>
      </c>
      <c r="M40" s="1">
        <v>0.86970400000000003</v>
      </c>
      <c r="N40" s="1">
        <v>0.493564</v>
      </c>
      <c r="O40">
        <v>0</v>
      </c>
      <c r="P40">
        <v>0</v>
      </c>
      <c r="Q40">
        <v>1</v>
      </c>
      <c r="R40">
        <v>1</v>
      </c>
      <c r="S40">
        <v>1</v>
      </c>
      <c r="T40" s="1">
        <f>SQRT(POWER(Batmobile[[#This Row],[angvel_X]],2) + POWER(Batmobile[[#This Row],[angvel_Y]],2) + POWER(Batmobile[[#This Row],[angvel_Z]],2))</f>
        <v>0</v>
      </c>
      <c r="U40" s="1">
        <f>DEGREES(ASIN(MAX(-1,MIN(1,2 * (Batmobile[[#This Row],[quart_W]]*Batmobile[[#This Row],[quart_Y]] - Batmobile[[#This Row],[quart_Z]]*Batmobile[[#This Row],[quart_X]])))))</f>
        <v>0.34208545860525746</v>
      </c>
      <c r="V4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4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40" s="1">
        <f>IF(Batmobile[[#This Row],[Yaw]]&gt;V39,(360-ABS(Batmobile[[#This Row],[Yaw]])-ABS(V39)),ABS(Batmobile[[#This Row],[Yaw]]-V39))</f>
        <v>0</v>
      </c>
      <c r="Y40" s="1">
        <f>Batmobile[[#This Row],[Degree change]]+Y39</f>
        <v>0</v>
      </c>
    </row>
    <row r="41" spans="1:25">
      <c r="A41">
        <v>40</v>
      </c>
      <c r="B41" s="1">
        <v>480.63998400000003</v>
      </c>
      <c r="C41" s="1">
        <v>1718.1999510000001</v>
      </c>
      <c r="D41" s="1">
        <v>18.649999999999999</v>
      </c>
      <c r="E41" s="1">
        <v>-1179.380005</v>
      </c>
      <c r="F41" s="1">
        <v>1974.579956</v>
      </c>
      <c r="G41" s="1">
        <v>8.15</v>
      </c>
      <c r="H41" s="1">
        <v>0</v>
      </c>
      <c r="I41" s="1">
        <v>0</v>
      </c>
      <c r="J41" s="1">
        <v>0</v>
      </c>
      <c r="K41" s="1">
        <v>-2.5920000000000001E-3</v>
      </c>
      <c r="L41" s="1">
        <v>1.4809999999999999E-3</v>
      </c>
      <c r="M41" s="1">
        <v>0.86970400000000003</v>
      </c>
      <c r="N41" s="1">
        <v>0.493564</v>
      </c>
      <c r="O41">
        <v>0</v>
      </c>
      <c r="P41">
        <v>0</v>
      </c>
      <c r="Q41">
        <v>1</v>
      </c>
      <c r="R41">
        <v>1</v>
      </c>
      <c r="S41">
        <v>1</v>
      </c>
      <c r="T41" s="1">
        <f>SQRT(POWER(Batmobile[[#This Row],[angvel_X]],2) + POWER(Batmobile[[#This Row],[angvel_Y]],2) + POWER(Batmobile[[#This Row],[angvel_Z]],2))</f>
        <v>0</v>
      </c>
      <c r="U41" s="1">
        <f>DEGREES(ASIN(MAX(-1,MIN(1,2 * (Batmobile[[#This Row],[quart_W]]*Batmobile[[#This Row],[quart_Y]] - Batmobile[[#This Row],[quart_Z]]*Batmobile[[#This Row],[quart_X]])))))</f>
        <v>0.34208545860525746</v>
      </c>
      <c r="V4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4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41" s="1">
        <f>IF(Batmobile[[#This Row],[Yaw]]&gt;V40,(360-ABS(Batmobile[[#This Row],[Yaw]])-ABS(V40)),ABS(Batmobile[[#This Row],[Yaw]]-V40))</f>
        <v>0</v>
      </c>
      <c r="Y41" s="1">
        <f>Batmobile[[#This Row],[Degree change]]+Y40</f>
        <v>0</v>
      </c>
    </row>
    <row r="42" spans="1:25">
      <c r="A42">
        <v>41</v>
      </c>
      <c r="B42" s="1">
        <v>470.77999899999998</v>
      </c>
      <c r="C42" s="1">
        <v>1734.709961</v>
      </c>
      <c r="D42" s="1">
        <v>18.649999999999999</v>
      </c>
      <c r="E42" s="1">
        <v>-1179.380005</v>
      </c>
      <c r="F42" s="1">
        <v>1974.579956</v>
      </c>
      <c r="G42" s="1">
        <v>8.15</v>
      </c>
      <c r="H42" s="1">
        <v>0</v>
      </c>
      <c r="I42" s="1">
        <v>0</v>
      </c>
      <c r="J42" s="1">
        <v>0</v>
      </c>
      <c r="K42" s="1">
        <v>-2.5920000000000001E-3</v>
      </c>
      <c r="L42" s="1">
        <v>1.4809999999999999E-3</v>
      </c>
      <c r="M42" s="1">
        <v>0.86970400000000003</v>
      </c>
      <c r="N42" s="1">
        <v>0.493564</v>
      </c>
      <c r="O42">
        <v>0</v>
      </c>
      <c r="P42">
        <v>0</v>
      </c>
      <c r="Q42">
        <v>1</v>
      </c>
      <c r="R42">
        <v>1</v>
      </c>
      <c r="S42">
        <v>1</v>
      </c>
      <c r="T42" s="1">
        <f>SQRT(POWER(Batmobile[[#This Row],[angvel_X]],2) + POWER(Batmobile[[#This Row],[angvel_Y]],2) + POWER(Batmobile[[#This Row],[angvel_Z]],2))</f>
        <v>0</v>
      </c>
      <c r="U42" s="1">
        <f>DEGREES(ASIN(MAX(-1,MIN(1,2 * (Batmobile[[#This Row],[quart_W]]*Batmobile[[#This Row],[quart_Y]] - Batmobile[[#This Row],[quart_Z]]*Batmobile[[#This Row],[quart_X]])))))</f>
        <v>0.34208545860525746</v>
      </c>
      <c r="V4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4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42" s="1">
        <f>IF(Batmobile[[#This Row],[Yaw]]&gt;V41,(360-ABS(Batmobile[[#This Row],[Yaw]])-ABS(V41)),ABS(Batmobile[[#This Row],[Yaw]]-V41))</f>
        <v>0</v>
      </c>
      <c r="Y42" s="1">
        <f>Batmobile[[#This Row],[Degree change]]+Y41</f>
        <v>0</v>
      </c>
    </row>
    <row r="43" spans="1:25">
      <c r="A43">
        <v>42</v>
      </c>
      <c r="B43" s="1">
        <v>460.919983</v>
      </c>
      <c r="C43" s="1">
        <v>1751.219971</v>
      </c>
      <c r="D43" s="1">
        <v>18.649999999999999</v>
      </c>
      <c r="E43" s="1">
        <v>-1179.380005</v>
      </c>
      <c r="F43" s="1">
        <v>1974.579956</v>
      </c>
      <c r="G43" s="1">
        <v>8.15</v>
      </c>
      <c r="H43" s="1">
        <v>0</v>
      </c>
      <c r="I43" s="1">
        <v>0</v>
      </c>
      <c r="J43" s="1">
        <v>0</v>
      </c>
      <c r="K43" s="1">
        <v>-2.5920000000000001E-3</v>
      </c>
      <c r="L43" s="1">
        <v>1.4809999999999999E-3</v>
      </c>
      <c r="M43" s="1">
        <v>0.86970400000000003</v>
      </c>
      <c r="N43" s="1">
        <v>0.493564</v>
      </c>
      <c r="O43">
        <v>0</v>
      </c>
      <c r="P43">
        <v>0</v>
      </c>
      <c r="Q43">
        <v>1</v>
      </c>
      <c r="R43">
        <v>1</v>
      </c>
      <c r="S43">
        <v>1</v>
      </c>
      <c r="T43" s="1">
        <f>SQRT(POWER(Batmobile[[#This Row],[angvel_X]],2) + POWER(Batmobile[[#This Row],[angvel_Y]],2) + POWER(Batmobile[[#This Row],[angvel_Z]],2))</f>
        <v>0</v>
      </c>
      <c r="U43" s="1">
        <f>DEGREES(ASIN(MAX(-1,MIN(1,2 * (Batmobile[[#This Row],[quart_W]]*Batmobile[[#This Row],[quart_Y]] - Batmobile[[#This Row],[quart_Z]]*Batmobile[[#This Row],[quart_X]])))))</f>
        <v>0.34208545860525746</v>
      </c>
      <c r="V4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4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43" s="1">
        <f>IF(Batmobile[[#This Row],[Yaw]]&gt;V42,(360-ABS(Batmobile[[#This Row],[Yaw]])-ABS(V42)),ABS(Batmobile[[#This Row],[Yaw]]-V42))</f>
        <v>0</v>
      </c>
      <c r="Y43" s="1">
        <f>Batmobile[[#This Row],[Degree change]]+Y42</f>
        <v>0</v>
      </c>
    </row>
    <row r="44" spans="1:25">
      <c r="A44">
        <v>43</v>
      </c>
      <c r="B44" s="1">
        <v>451.05999800000001</v>
      </c>
      <c r="C44" s="1">
        <v>1767.7299800000001</v>
      </c>
      <c r="D44" s="1">
        <v>18.649999999999999</v>
      </c>
      <c r="E44" s="1">
        <v>-1179.380005</v>
      </c>
      <c r="F44" s="1">
        <v>1974.579956</v>
      </c>
      <c r="G44" s="1">
        <v>8.15</v>
      </c>
      <c r="H44" s="1">
        <v>0</v>
      </c>
      <c r="I44" s="1">
        <v>0</v>
      </c>
      <c r="J44" s="1">
        <v>0</v>
      </c>
      <c r="K44" s="1">
        <v>-2.5920000000000001E-3</v>
      </c>
      <c r="L44" s="1">
        <v>1.4809999999999999E-3</v>
      </c>
      <c r="M44" s="1">
        <v>0.86970400000000003</v>
      </c>
      <c r="N44" s="1">
        <v>0.493564</v>
      </c>
      <c r="O44">
        <v>0</v>
      </c>
      <c r="P44">
        <v>0</v>
      </c>
      <c r="Q44">
        <v>1</v>
      </c>
      <c r="R44">
        <v>1</v>
      </c>
      <c r="S44">
        <v>1</v>
      </c>
      <c r="T44" s="1">
        <f>SQRT(POWER(Batmobile[[#This Row],[angvel_X]],2) + POWER(Batmobile[[#This Row],[angvel_Y]],2) + POWER(Batmobile[[#This Row],[angvel_Z]],2))</f>
        <v>0</v>
      </c>
      <c r="U44" s="1">
        <f>DEGREES(ASIN(MAX(-1,MIN(1,2 * (Batmobile[[#This Row],[quart_W]]*Batmobile[[#This Row],[quart_Y]] - Batmobile[[#This Row],[quart_Z]]*Batmobile[[#This Row],[quart_X]])))))</f>
        <v>0.34208545860525746</v>
      </c>
      <c r="V4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4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44" s="1">
        <f>IF(Batmobile[[#This Row],[Yaw]]&gt;V43,(360-ABS(Batmobile[[#This Row],[Yaw]])-ABS(V43)),ABS(Batmobile[[#This Row],[Yaw]]-V43))</f>
        <v>0</v>
      </c>
      <c r="Y44" s="1">
        <f>Batmobile[[#This Row],[Degree change]]+Y43</f>
        <v>0</v>
      </c>
    </row>
    <row r="45" spans="1:25">
      <c r="A45">
        <v>44</v>
      </c>
      <c r="B45" s="1">
        <v>441.19998199999998</v>
      </c>
      <c r="C45" s="1">
        <v>1784.23999</v>
      </c>
      <c r="D45" s="1">
        <v>18.649999999999999</v>
      </c>
      <c r="E45" s="1">
        <v>-1179.380005</v>
      </c>
      <c r="F45" s="1">
        <v>1974.579956</v>
      </c>
      <c r="G45" s="1">
        <v>8.15</v>
      </c>
      <c r="H45" s="1">
        <v>0</v>
      </c>
      <c r="I45" s="1">
        <v>0</v>
      </c>
      <c r="J45" s="1">
        <v>0</v>
      </c>
      <c r="K45" s="1">
        <v>-2.5920000000000001E-3</v>
      </c>
      <c r="L45" s="1">
        <v>1.4809999999999999E-3</v>
      </c>
      <c r="M45" s="1">
        <v>0.86970400000000003</v>
      </c>
      <c r="N45" s="1">
        <v>0.493564</v>
      </c>
      <c r="O45">
        <v>0</v>
      </c>
      <c r="P45">
        <v>0</v>
      </c>
      <c r="Q45">
        <v>1</v>
      </c>
      <c r="R45">
        <v>1</v>
      </c>
      <c r="S45">
        <v>1</v>
      </c>
      <c r="T45" s="1">
        <f>SQRT(POWER(Batmobile[[#This Row],[angvel_X]],2) + POWER(Batmobile[[#This Row],[angvel_Y]],2) + POWER(Batmobile[[#This Row],[angvel_Z]],2))</f>
        <v>0</v>
      </c>
      <c r="U45" s="1">
        <f>DEGREES(ASIN(MAX(-1,MIN(1,2 * (Batmobile[[#This Row],[quart_W]]*Batmobile[[#This Row],[quart_Y]] - Batmobile[[#This Row],[quart_Z]]*Batmobile[[#This Row],[quart_X]])))))</f>
        <v>0.34208545860525746</v>
      </c>
      <c r="V4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4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45" s="1">
        <f>IF(Batmobile[[#This Row],[Yaw]]&gt;V44,(360-ABS(Batmobile[[#This Row],[Yaw]])-ABS(V44)),ABS(Batmobile[[#This Row],[Yaw]]-V44))</f>
        <v>0</v>
      </c>
      <c r="Y45" s="1">
        <f>Batmobile[[#This Row],[Degree change]]+Y44</f>
        <v>0</v>
      </c>
    </row>
    <row r="46" spans="1:25">
      <c r="A46">
        <v>45</v>
      </c>
      <c r="B46" s="1">
        <v>431.33999599999999</v>
      </c>
      <c r="C46" s="1">
        <v>1800.75</v>
      </c>
      <c r="D46" s="1">
        <v>18.649999999999999</v>
      </c>
      <c r="E46" s="1">
        <v>-1179.380005</v>
      </c>
      <c r="F46" s="1">
        <v>1974.579956</v>
      </c>
      <c r="G46" s="1">
        <v>8.15</v>
      </c>
      <c r="H46" s="1">
        <v>0</v>
      </c>
      <c r="I46" s="1">
        <v>0</v>
      </c>
      <c r="J46" s="1">
        <v>0</v>
      </c>
      <c r="K46" s="1">
        <v>-2.5920000000000001E-3</v>
      </c>
      <c r="L46" s="1">
        <v>1.4809999999999999E-3</v>
      </c>
      <c r="M46" s="1">
        <v>0.86970400000000003</v>
      </c>
      <c r="N46" s="1">
        <v>0.493564</v>
      </c>
      <c r="O46">
        <v>0</v>
      </c>
      <c r="P46">
        <v>0</v>
      </c>
      <c r="Q46">
        <v>1</v>
      </c>
      <c r="R46">
        <v>1</v>
      </c>
      <c r="S46">
        <v>1</v>
      </c>
      <c r="T46" s="1">
        <f>SQRT(POWER(Batmobile[[#This Row],[angvel_X]],2) + POWER(Batmobile[[#This Row],[angvel_Y]],2) + POWER(Batmobile[[#This Row],[angvel_Z]],2))</f>
        <v>0</v>
      </c>
      <c r="U46" s="1">
        <f>DEGREES(ASIN(MAX(-1,MIN(1,2 * (Batmobile[[#This Row],[quart_W]]*Batmobile[[#This Row],[quart_Y]] - Batmobile[[#This Row],[quart_Z]]*Batmobile[[#This Row],[quart_X]])))))</f>
        <v>0.34208545860525746</v>
      </c>
      <c r="V4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4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46" s="1">
        <f>IF(Batmobile[[#This Row],[Yaw]]&gt;V45,(360-ABS(Batmobile[[#This Row],[Yaw]])-ABS(V45)),ABS(Batmobile[[#This Row],[Yaw]]-V45))</f>
        <v>0</v>
      </c>
      <c r="Y46" s="1">
        <f>Batmobile[[#This Row],[Degree change]]+Y45</f>
        <v>0</v>
      </c>
    </row>
    <row r="47" spans="1:25">
      <c r="A47">
        <v>46</v>
      </c>
      <c r="B47" s="1">
        <v>421.47998000000001</v>
      </c>
      <c r="C47" s="1">
        <v>1817.26001</v>
      </c>
      <c r="D47" s="1">
        <v>18.649999999999999</v>
      </c>
      <c r="E47" s="1">
        <v>-1179.380005</v>
      </c>
      <c r="F47" s="1">
        <v>1974.579956</v>
      </c>
      <c r="G47" s="1">
        <v>8.15</v>
      </c>
      <c r="H47" s="1">
        <v>0</v>
      </c>
      <c r="I47" s="1">
        <v>0</v>
      </c>
      <c r="J47" s="1">
        <v>0</v>
      </c>
      <c r="K47" s="1">
        <v>-2.5920000000000001E-3</v>
      </c>
      <c r="L47" s="1">
        <v>1.4809999999999999E-3</v>
      </c>
      <c r="M47" s="1">
        <v>0.86970400000000003</v>
      </c>
      <c r="N47" s="1">
        <v>0.493564</v>
      </c>
      <c r="O47">
        <v>0</v>
      </c>
      <c r="P47">
        <v>0</v>
      </c>
      <c r="Q47">
        <v>1</v>
      </c>
      <c r="R47">
        <v>1</v>
      </c>
      <c r="S47">
        <v>1</v>
      </c>
      <c r="T47" s="1">
        <f>SQRT(POWER(Batmobile[[#This Row],[angvel_X]],2) + POWER(Batmobile[[#This Row],[angvel_Y]],2) + POWER(Batmobile[[#This Row],[angvel_Z]],2))</f>
        <v>0</v>
      </c>
      <c r="U47" s="1">
        <f>DEGREES(ASIN(MAX(-1,MIN(1,2 * (Batmobile[[#This Row],[quart_W]]*Batmobile[[#This Row],[quart_Y]] - Batmobile[[#This Row],[quart_Z]]*Batmobile[[#This Row],[quart_X]])))))</f>
        <v>0.34208545860525746</v>
      </c>
      <c r="V4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4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47" s="1">
        <f>IF(Batmobile[[#This Row],[Yaw]]&gt;V46,(360-ABS(Batmobile[[#This Row],[Yaw]])-ABS(V46)),ABS(Batmobile[[#This Row],[Yaw]]-V46))</f>
        <v>0</v>
      </c>
      <c r="Y47" s="1">
        <f>Batmobile[[#This Row],[Degree change]]+Y46</f>
        <v>0</v>
      </c>
    </row>
    <row r="48" spans="1:25">
      <c r="A48">
        <v>47</v>
      </c>
      <c r="B48" s="1">
        <v>411.61999500000002</v>
      </c>
      <c r="C48" s="1">
        <v>1833.7700199999999</v>
      </c>
      <c r="D48" s="1">
        <v>18.649999999999999</v>
      </c>
      <c r="E48" s="1">
        <v>-1179.380005</v>
      </c>
      <c r="F48" s="1">
        <v>1974.579956</v>
      </c>
      <c r="G48" s="1">
        <v>8.15</v>
      </c>
      <c r="H48" s="1">
        <v>0</v>
      </c>
      <c r="I48" s="1">
        <v>0</v>
      </c>
      <c r="J48" s="1">
        <v>0</v>
      </c>
      <c r="K48" s="1">
        <v>-2.5920000000000001E-3</v>
      </c>
      <c r="L48" s="1">
        <v>1.4809999999999999E-3</v>
      </c>
      <c r="M48" s="1">
        <v>0.86970400000000003</v>
      </c>
      <c r="N48" s="1">
        <v>0.493564</v>
      </c>
      <c r="O48">
        <v>0</v>
      </c>
      <c r="P48">
        <v>0</v>
      </c>
      <c r="Q48">
        <v>1</v>
      </c>
      <c r="R48">
        <v>1</v>
      </c>
      <c r="S48">
        <v>1</v>
      </c>
      <c r="T48" s="1">
        <f>SQRT(POWER(Batmobile[[#This Row],[angvel_X]],2) + POWER(Batmobile[[#This Row],[angvel_Y]],2) + POWER(Batmobile[[#This Row],[angvel_Z]],2))</f>
        <v>0</v>
      </c>
      <c r="U48" s="1">
        <f>DEGREES(ASIN(MAX(-1,MIN(1,2 * (Batmobile[[#This Row],[quart_W]]*Batmobile[[#This Row],[quart_Y]] - Batmobile[[#This Row],[quart_Z]]*Batmobile[[#This Row],[quart_X]])))))</f>
        <v>0.34208545860525746</v>
      </c>
      <c r="V4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4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48" s="1">
        <f>IF(Batmobile[[#This Row],[Yaw]]&gt;V47,(360-ABS(Batmobile[[#This Row],[Yaw]])-ABS(V47)),ABS(Batmobile[[#This Row],[Yaw]]-V47))</f>
        <v>0</v>
      </c>
      <c r="Y48" s="1">
        <f>Batmobile[[#This Row],[Degree change]]+Y47</f>
        <v>0</v>
      </c>
    </row>
    <row r="49" spans="1:25">
      <c r="A49">
        <v>48</v>
      </c>
      <c r="B49" s="1">
        <v>401.75997899999999</v>
      </c>
      <c r="C49" s="1">
        <v>1850.2799070000001</v>
      </c>
      <c r="D49" s="1">
        <v>18.649999999999999</v>
      </c>
      <c r="E49" s="1">
        <v>-1179.380005</v>
      </c>
      <c r="F49" s="1">
        <v>1974.579956</v>
      </c>
      <c r="G49" s="1">
        <v>8.15</v>
      </c>
      <c r="H49" s="1">
        <v>0</v>
      </c>
      <c r="I49" s="1">
        <v>0</v>
      </c>
      <c r="J49" s="1">
        <v>0</v>
      </c>
      <c r="K49" s="1">
        <v>-2.5920000000000001E-3</v>
      </c>
      <c r="L49" s="1">
        <v>1.4809999999999999E-3</v>
      </c>
      <c r="M49" s="1">
        <v>0.86970400000000003</v>
      </c>
      <c r="N49" s="1">
        <v>0.493564</v>
      </c>
      <c r="O49">
        <v>0</v>
      </c>
      <c r="P49">
        <v>0</v>
      </c>
      <c r="Q49">
        <v>1</v>
      </c>
      <c r="R49">
        <v>1</v>
      </c>
      <c r="S49">
        <v>1</v>
      </c>
      <c r="T49" s="1">
        <f>SQRT(POWER(Batmobile[[#This Row],[angvel_X]],2) + POWER(Batmobile[[#This Row],[angvel_Y]],2) + POWER(Batmobile[[#This Row],[angvel_Z]],2))</f>
        <v>0</v>
      </c>
      <c r="U49" s="1">
        <f>DEGREES(ASIN(MAX(-1,MIN(1,2 * (Batmobile[[#This Row],[quart_W]]*Batmobile[[#This Row],[quart_Y]] - Batmobile[[#This Row],[quart_Z]]*Batmobile[[#This Row],[quart_X]])))))</f>
        <v>0.34208545860525746</v>
      </c>
      <c r="V4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4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49" s="1">
        <f>IF(Batmobile[[#This Row],[Yaw]]&gt;V48,(360-ABS(Batmobile[[#This Row],[Yaw]])-ABS(V48)),ABS(Batmobile[[#This Row],[Yaw]]-V48))</f>
        <v>0</v>
      </c>
      <c r="Y49" s="1">
        <f>Batmobile[[#This Row],[Degree change]]+Y48</f>
        <v>0</v>
      </c>
    </row>
    <row r="50" spans="1:25">
      <c r="A50">
        <v>49</v>
      </c>
      <c r="B50" s="1">
        <v>391.89999399999999</v>
      </c>
      <c r="C50" s="1">
        <v>1866.7899170000001</v>
      </c>
      <c r="D50" s="1">
        <v>18.649999999999999</v>
      </c>
      <c r="E50" s="1">
        <v>-1179.380005</v>
      </c>
      <c r="F50" s="1">
        <v>1974.579956</v>
      </c>
      <c r="G50" s="1">
        <v>8.15</v>
      </c>
      <c r="H50" s="1">
        <v>0</v>
      </c>
      <c r="I50" s="1">
        <v>0</v>
      </c>
      <c r="J50" s="1">
        <v>0</v>
      </c>
      <c r="K50" s="1">
        <v>-2.5920000000000001E-3</v>
      </c>
      <c r="L50" s="1">
        <v>1.4809999999999999E-3</v>
      </c>
      <c r="M50" s="1">
        <v>0.86970400000000003</v>
      </c>
      <c r="N50" s="1">
        <v>0.493564</v>
      </c>
      <c r="O50">
        <v>0</v>
      </c>
      <c r="P50">
        <v>0</v>
      </c>
      <c r="Q50">
        <v>1</v>
      </c>
      <c r="R50">
        <v>1</v>
      </c>
      <c r="S50">
        <v>1</v>
      </c>
      <c r="T50" s="1">
        <f>SQRT(POWER(Batmobile[[#This Row],[angvel_X]],2) + POWER(Batmobile[[#This Row],[angvel_Y]],2) + POWER(Batmobile[[#This Row],[angvel_Z]],2))</f>
        <v>0</v>
      </c>
      <c r="U50" s="1">
        <f>DEGREES(ASIN(MAX(-1,MIN(1,2 * (Batmobile[[#This Row],[quart_W]]*Batmobile[[#This Row],[quart_Y]] - Batmobile[[#This Row],[quart_Z]]*Batmobile[[#This Row],[quart_X]])))))</f>
        <v>0.34208545860525746</v>
      </c>
      <c r="V5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5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50" s="1">
        <f>IF(Batmobile[[#This Row],[Yaw]]&gt;V49,(360-ABS(Batmobile[[#This Row],[Yaw]])-ABS(V49)),ABS(Batmobile[[#This Row],[Yaw]]-V49))</f>
        <v>0</v>
      </c>
      <c r="Y50" s="1">
        <f>Batmobile[[#This Row],[Degree change]]+Y49</f>
        <v>0</v>
      </c>
    </row>
    <row r="51" spans="1:25">
      <c r="A51">
        <v>50</v>
      </c>
      <c r="B51" s="1">
        <v>382.03997800000002</v>
      </c>
      <c r="C51" s="1">
        <v>1883.299927</v>
      </c>
      <c r="D51" s="1">
        <v>18.649999999999999</v>
      </c>
      <c r="E51" s="1">
        <v>-1179.380005</v>
      </c>
      <c r="F51" s="1">
        <v>1974.579956</v>
      </c>
      <c r="G51" s="1">
        <v>8.15</v>
      </c>
      <c r="H51" s="1">
        <v>0</v>
      </c>
      <c r="I51" s="1">
        <v>0</v>
      </c>
      <c r="J51" s="1">
        <v>0</v>
      </c>
      <c r="K51" s="1">
        <v>-2.5920000000000001E-3</v>
      </c>
      <c r="L51" s="1">
        <v>1.4809999999999999E-3</v>
      </c>
      <c r="M51" s="1">
        <v>0.86970400000000003</v>
      </c>
      <c r="N51" s="1">
        <v>0.493564</v>
      </c>
      <c r="O51">
        <v>0</v>
      </c>
      <c r="P51">
        <v>0</v>
      </c>
      <c r="Q51">
        <v>1</v>
      </c>
      <c r="R51">
        <v>1</v>
      </c>
      <c r="S51">
        <v>1</v>
      </c>
      <c r="T51" s="1">
        <f>SQRT(POWER(Batmobile[[#This Row],[angvel_X]],2) + POWER(Batmobile[[#This Row],[angvel_Y]],2) + POWER(Batmobile[[#This Row],[angvel_Z]],2))</f>
        <v>0</v>
      </c>
      <c r="U51" s="1">
        <f>DEGREES(ASIN(MAX(-1,MIN(1,2 * (Batmobile[[#This Row],[quart_W]]*Batmobile[[#This Row],[quart_Y]] - Batmobile[[#This Row],[quart_Z]]*Batmobile[[#This Row],[quart_X]])))))</f>
        <v>0.34208545860525746</v>
      </c>
      <c r="V5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5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51" s="1">
        <f>IF(Batmobile[[#This Row],[Yaw]]&gt;V50,(360-ABS(Batmobile[[#This Row],[Yaw]])-ABS(V50)),ABS(Batmobile[[#This Row],[Yaw]]-V50))</f>
        <v>0</v>
      </c>
      <c r="Y51" s="1">
        <f>Batmobile[[#This Row],[Degree change]]+Y50</f>
        <v>0</v>
      </c>
    </row>
    <row r="52" spans="1:25">
      <c r="A52">
        <v>51</v>
      </c>
      <c r="B52" s="1">
        <v>372.17999300000002</v>
      </c>
      <c r="C52" s="1">
        <v>1899.809937</v>
      </c>
      <c r="D52" s="1">
        <v>18.649999999999999</v>
      </c>
      <c r="E52" s="1">
        <v>-1179.380005</v>
      </c>
      <c r="F52" s="1">
        <v>1974.579956</v>
      </c>
      <c r="G52" s="1">
        <v>8.15</v>
      </c>
      <c r="H52" s="1">
        <v>0</v>
      </c>
      <c r="I52" s="1">
        <v>0</v>
      </c>
      <c r="J52" s="1">
        <v>0</v>
      </c>
      <c r="K52" s="1">
        <v>-2.5920000000000001E-3</v>
      </c>
      <c r="L52" s="1">
        <v>1.4809999999999999E-3</v>
      </c>
      <c r="M52" s="1">
        <v>0.86970400000000003</v>
      </c>
      <c r="N52" s="1">
        <v>0.493564</v>
      </c>
      <c r="O52">
        <v>1</v>
      </c>
      <c r="P52">
        <v>0</v>
      </c>
      <c r="Q52">
        <v>1</v>
      </c>
      <c r="R52">
        <v>1</v>
      </c>
      <c r="S52">
        <v>1</v>
      </c>
      <c r="T52" s="1">
        <f>SQRT(POWER(Batmobile[[#This Row],[angvel_X]],2) + POWER(Batmobile[[#This Row],[angvel_Y]],2) + POWER(Batmobile[[#This Row],[angvel_Z]],2))</f>
        <v>0</v>
      </c>
      <c r="U52" s="1">
        <f>DEGREES(ASIN(MAX(-1,MIN(1,2 * (Batmobile[[#This Row],[quart_W]]*Batmobile[[#This Row],[quart_Y]] - Batmobile[[#This Row],[quart_Z]]*Batmobile[[#This Row],[quart_X]])))))</f>
        <v>0.34208545860525746</v>
      </c>
      <c r="V5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5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52" s="1">
        <f>IF(Batmobile[[#This Row],[Yaw]]&gt;V51,(360-ABS(Batmobile[[#This Row],[Yaw]])-ABS(V51)),ABS(Batmobile[[#This Row],[Yaw]]-V51))</f>
        <v>0</v>
      </c>
      <c r="Y52" s="1">
        <f>Batmobile[[#This Row],[Degree change]]+Y51</f>
        <v>0</v>
      </c>
    </row>
    <row r="53" spans="1:25">
      <c r="A53">
        <v>52</v>
      </c>
      <c r="B53" s="1">
        <v>362.31997699999999</v>
      </c>
      <c r="C53" s="1">
        <v>1916.3199460000001</v>
      </c>
      <c r="D53" s="1">
        <v>18.649999999999999</v>
      </c>
      <c r="E53" s="1">
        <v>-1188.630005</v>
      </c>
      <c r="F53" s="1">
        <v>1969.0198969999999</v>
      </c>
      <c r="G53" s="1">
        <v>8.15</v>
      </c>
      <c r="H53" s="1">
        <v>-8.0000000000000004E-4</v>
      </c>
      <c r="I53" s="1">
        <v>1.1999999999999999E-3</v>
      </c>
      <c r="J53" s="1">
        <v>0.26100000000000001</v>
      </c>
      <c r="K53" s="1">
        <v>-2.5920000000000001E-3</v>
      </c>
      <c r="L53" s="1">
        <v>1.4809999999999999E-3</v>
      </c>
      <c r="M53" s="1">
        <v>0.86970400000000003</v>
      </c>
      <c r="N53" s="1">
        <v>0.493564</v>
      </c>
      <c r="O53">
        <v>1</v>
      </c>
      <c r="P53">
        <v>0</v>
      </c>
      <c r="Q53">
        <v>1</v>
      </c>
      <c r="R53">
        <v>1</v>
      </c>
      <c r="S53">
        <v>1</v>
      </c>
      <c r="T53" s="1">
        <f>SQRT(POWER(Batmobile[[#This Row],[angvel_X]],2) + POWER(Batmobile[[#This Row],[angvel_Y]],2) + POWER(Batmobile[[#This Row],[angvel_Z]],2))</f>
        <v>0.26100398464391306</v>
      </c>
      <c r="U53" s="1">
        <f>DEGREES(ASIN(MAX(-1,MIN(1,2 * (Batmobile[[#This Row],[quart_W]]*Batmobile[[#This Row],[quart_Y]] - Batmobile[[#This Row],[quart_Z]]*Batmobile[[#This Row],[quart_X]])))))</f>
        <v>0.34208545860525746</v>
      </c>
      <c r="V5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-30.849455923327074</v>
      </c>
      <c r="W5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89.999001461609325</v>
      </c>
      <c r="X53" s="1">
        <f>IF(Batmobile[[#This Row],[Yaw]]&gt;V52,(360-ABS(Batmobile[[#This Row],[Yaw]])-ABS(V52)),ABS(Batmobile[[#This Row],[Yaw]]-V52))</f>
        <v>0</v>
      </c>
      <c r="Y53" s="1">
        <f>Batmobile[[#This Row],[Degree change]]+Y52</f>
        <v>0</v>
      </c>
    </row>
    <row r="54" spans="1:25">
      <c r="A54">
        <v>53</v>
      </c>
      <c r="B54" s="1">
        <v>352.38000499999998</v>
      </c>
      <c r="C54" s="1">
        <v>1932.7899170000001</v>
      </c>
      <c r="D54" s="1">
        <v>18.649999999999999</v>
      </c>
      <c r="E54" s="1">
        <v>-1196.589966</v>
      </c>
      <c r="F54" s="1">
        <v>1964.1999510000001</v>
      </c>
      <c r="G54" s="1">
        <v>8.15</v>
      </c>
      <c r="H54" s="1">
        <v>-1.1999999999999999E-3</v>
      </c>
      <c r="I54" s="1">
        <v>1.9E-3</v>
      </c>
      <c r="J54" s="1">
        <v>0.47339999999999999</v>
      </c>
      <c r="K54" s="1">
        <v>-2.5920000000000001E-3</v>
      </c>
      <c r="L54" s="1">
        <v>1.4809999999999999E-3</v>
      </c>
      <c r="M54" s="1">
        <v>0.87024000000000001</v>
      </c>
      <c r="N54" s="1">
        <v>0.49262</v>
      </c>
      <c r="O54">
        <v>1</v>
      </c>
      <c r="P54">
        <v>0</v>
      </c>
      <c r="Q54">
        <v>1</v>
      </c>
      <c r="R54">
        <v>1</v>
      </c>
      <c r="S54">
        <v>1</v>
      </c>
      <c r="T54" s="1">
        <f>SQRT(POWER(Batmobile[[#This Row],[angvel_X]],2) + POWER(Batmobile[[#This Row],[angvel_Y]],2) + POWER(Batmobile[[#This Row],[angvel_Z]],2))</f>
        <v>0.47340533372576188</v>
      </c>
      <c r="U54" s="1">
        <f>DEGREES(ASIN(MAX(-1,MIN(1,2 * (Batmobile[[#This Row],[quart_W]]*Batmobile[[#This Row],[quart_Y]] - Batmobile[[#This Row],[quart_Z]]*Batmobile[[#This Row],[quart_X]])))))</f>
        <v>0.34208445568205725</v>
      </c>
      <c r="V5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-30.973934317262216</v>
      </c>
      <c r="W5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89.998630102250459</v>
      </c>
      <c r="X54" s="1">
        <f>IF(Batmobile[[#This Row],[Yaw]]&gt;V53,(360-ABS(Batmobile[[#This Row],[Yaw]])-ABS(V53)),ABS(Batmobile[[#This Row],[Yaw]]-V53))</f>
        <v>0.12447839393514215</v>
      </c>
      <c r="Y54" s="1">
        <f>Batmobile[[#This Row],[Degree change]]+Y53</f>
        <v>0.12447839393514215</v>
      </c>
    </row>
    <row r="55" spans="1:25">
      <c r="A55">
        <v>54</v>
      </c>
      <c r="B55" s="1">
        <v>342.36999500000002</v>
      </c>
      <c r="C55" s="1">
        <v>1949.219971</v>
      </c>
      <c r="D55" s="1">
        <v>18.649999999999999</v>
      </c>
      <c r="E55" s="1">
        <v>-1204.48999</v>
      </c>
      <c r="F55" s="1">
        <v>1959.369995</v>
      </c>
      <c r="G55" s="1">
        <v>8.15</v>
      </c>
      <c r="H55" s="1">
        <v>-1.5E-3</v>
      </c>
      <c r="I55" s="1">
        <v>2.3E-3</v>
      </c>
      <c r="J55" s="1">
        <v>0.65620000000000001</v>
      </c>
      <c r="K55" s="1">
        <v>-2.5920000000000001E-3</v>
      </c>
      <c r="L55" s="1">
        <v>1.4859999999999999E-3</v>
      </c>
      <c r="M55" s="1">
        <v>0.87120799999999998</v>
      </c>
      <c r="N55" s="1">
        <v>0.49090400000000001</v>
      </c>
      <c r="O55">
        <v>1</v>
      </c>
      <c r="P55">
        <v>0</v>
      </c>
      <c r="Q55">
        <v>1</v>
      </c>
      <c r="R55">
        <v>1</v>
      </c>
      <c r="S55">
        <v>1</v>
      </c>
      <c r="T55" s="1">
        <f>SQRT(POWER(Batmobile[[#This Row],[angvel_X]],2) + POWER(Batmobile[[#This Row],[angvel_Y]],2) + POWER(Batmobile[[#This Row],[angvel_Z]],2))</f>
        <v>0.65620574517448416</v>
      </c>
      <c r="U55" s="1">
        <f>DEGREES(ASIN(MAX(-1,MIN(1,2 * (Batmobile[[#This Row],[quart_W]]*Batmobile[[#This Row],[quart_Y]] - Batmobile[[#This Row],[quart_Z]]*Batmobile[[#This Row],[quart_X]])))))</f>
        <v>0.34236202201568539</v>
      </c>
      <c r="V5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-31.199609207560187</v>
      </c>
      <c r="W5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89.997456947889162</v>
      </c>
      <c r="X55" s="1">
        <f>IF(Batmobile[[#This Row],[Yaw]]&gt;V54,(360-ABS(Batmobile[[#This Row],[Yaw]])-ABS(V54)),ABS(Batmobile[[#This Row],[Yaw]]-V54))</f>
        <v>0.22567489029797017</v>
      </c>
      <c r="Y55" s="1">
        <f>Batmobile[[#This Row],[Degree change]]+Y54</f>
        <v>0.35015328423311232</v>
      </c>
    </row>
    <row r="56" spans="1:25">
      <c r="A56">
        <v>55</v>
      </c>
      <c r="B56" s="1">
        <v>332.29998799999998</v>
      </c>
      <c r="C56" s="1">
        <v>1965.6099850000001</v>
      </c>
      <c r="D56" s="1">
        <v>18.649999999999999</v>
      </c>
      <c r="E56" s="1">
        <v>-1212.8199460000001</v>
      </c>
      <c r="F56" s="1">
        <v>1954.219971</v>
      </c>
      <c r="G56" s="1">
        <v>8.15</v>
      </c>
      <c r="H56" s="1">
        <v>-1.6000000000000001E-3</v>
      </c>
      <c r="I56" s="1">
        <v>2.3999999999999998E-3</v>
      </c>
      <c r="J56" s="1">
        <v>0.81359999999999999</v>
      </c>
      <c r="K56" s="1">
        <v>-2.5920000000000001E-3</v>
      </c>
      <c r="L56" s="1">
        <v>1.4920000000000001E-3</v>
      </c>
      <c r="M56" s="1">
        <v>0.87254799999999999</v>
      </c>
      <c r="N56" s="1">
        <v>0.48852000000000001</v>
      </c>
      <c r="O56">
        <v>1</v>
      </c>
      <c r="P56">
        <v>0</v>
      </c>
      <c r="Q56">
        <v>1</v>
      </c>
      <c r="R56">
        <v>1</v>
      </c>
      <c r="S56">
        <v>1</v>
      </c>
      <c r="T56" s="1">
        <f>SQRT(POWER(Batmobile[[#This Row],[angvel_X]],2) + POWER(Batmobile[[#This Row],[angvel_Y]],2) + POWER(Batmobile[[#This Row],[angvel_Z]],2))</f>
        <v>0.81360511306161298</v>
      </c>
      <c r="U56" s="1">
        <f>DEGREES(ASIN(MAX(-1,MIN(1,2 * (Batmobile[[#This Row],[quart_W]]*Batmobile[[#This Row],[quart_Y]] - Batmobile[[#This Row],[quart_Z]]*Batmobile[[#This Row],[quart_X]])))))</f>
        <v>0.3426899632492299</v>
      </c>
      <c r="V5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-31.513082127178198</v>
      </c>
      <c r="W5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89.995920722382763</v>
      </c>
      <c r="X56" s="1">
        <f>IF(Batmobile[[#This Row],[Yaw]]&gt;V55,(360-ABS(Batmobile[[#This Row],[Yaw]])-ABS(V55)),ABS(Batmobile[[#This Row],[Yaw]]-V55))</f>
        <v>0.31347291961801105</v>
      </c>
      <c r="Y56" s="1">
        <f>Batmobile[[#This Row],[Degree change]]+Y55</f>
        <v>0.66362620385112336</v>
      </c>
    </row>
    <row r="57" spans="1:25">
      <c r="A57">
        <v>56</v>
      </c>
      <c r="B57" s="1">
        <v>322.16000400000001</v>
      </c>
      <c r="C57" s="1">
        <v>1981.9499510000001</v>
      </c>
      <c r="D57" s="1">
        <v>18.649999999999999</v>
      </c>
      <c r="E57" s="1">
        <v>-1221.929932</v>
      </c>
      <c r="F57" s="1">
        <v>1948.5399170000001</v>
      </c>
      <c r="G57" s="1">
        <v>8.15</v>
      </c>
      <c r="H57" s="1">
        <v>-1.5E-3</v>
      </c>
      <c r="I57" s="1">
        <v>2.3E-3</v>
      </c>
      <c r="J57" s="1">
        <v>0.94940000000000002</v>
      </c>
      <c r="K57" s="1">
        <v>-2.5920000000000001E-3</v>
      </c>
      <c r="L57" s="1">
        <v>1.4920000000000001E-3</v>
      </c>
      <c r="M57" s="1">
        <v>0.87419899999999995</v>
      </c>
      <c r="N57" s="1">
        <v>0.48555799999999999</v>
      </c>
      <c r="O57">
        <v>1</v>
      </c>
      <c r="P57">
        <v>0</v>
      </c>
      <c r="Q57">
        <v>1</v>
      </c>
      <c r="R57">
        <v>1</v>
      </c>
      <c r="S57">
        <v>1</v>
      </c>
      <c r="T57" s="1">
        <f>SQRT(POWER(Batmobile[[#This Row],[angvel_X]],2) + POWER(Batmobile[[#This Row],[angvel_Y]],2) + POWER(Batmobile[[#This Row],[angvel_Z]],2))</f>
        <v>0.9494039709207035</v>
      </c>
      <c r="U57" s="1">
        <f>DEGREES(ASIN(MAX(-1,MIN(1,2 * (Batmobile[[#This Row],[quart_W]]*Batmobile[[#This Row],[quart_Y]] - Batmobile[[#This Row],[quart_Z]]*Batmobile[[#This Row],[quart_X]])))))</f>
        <v>0.34267393022826165</v>
      </c>
      <c r="V5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-31.901608309205145</v>
      </c>
      <c r="W5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89.994758651978742</v>
      </c>
      <c r="X57" s="1">
        <f>IF(Batmobile[[#This Row],[Yaw]]&gt;V56,(360-ABS(Batmobile[[#This Row],[Yaw]])-ABS(V56)),ABS(Batmobile[[#This Row],[Yaw]]-V56))</f>
        <v>0.388526182026947</v>
      </c>
      <c r="Y57" s="1">
        <f>Batmobile[[#This Row],[Degree change]]+Y56</f>
        <v>1.0521523858780704</v>
      </c>
    </row>
    <row r="58" spans="1:25">
      <c r="A58">
        <v>57</v>
      </c>
      <c r="B58" s="1">
        <v>311.94000199999999</v>
      </c>
      <c r="C58" s="1">
        <v>1998.25</v>
      </c>
      <c r="D58" s="1">
        <v>18.649999999999999</v>
      </c>
      <c r="E58" s="1">
        <v>-1232.0399170000001</v>
      </c>
      <c r="F58" s="1">
        <v>1942.1599120000001</v>
      </c>
      <c r="G58" s="1">
        <v>8.15</v>
      </c>
      <c r="H58" s="1">
        <v>-1.2999999999999999E-3</v>
      </c>
      <c r="I58" s="1">
        <v>2.0999999999999999E-3</v>
      </c>
      <c r="J58" s="1">
        <v>1.0669</v>
      </c>
      <c r="K58" s="1">
        <v>-2.5920000000000001E-3</v>
      </c>
      <c r="L58" s="1">
        <v>1.4920000000000001E-3</v>
      </c>
      <c r="M58" s="1">
        <v>0.87611399999999995</v>
      </c>
      <c r="N58" s="1">
        <v>0.48209400000000002</v>
      </c>
      <c r="O58">
        <v>1</v>
      </c>
      <c r="P58">
        <v>0</v>
      </c>
      <c r="Q58">
        <v>1</v>
      </c>
      <c r="R58">
        <v>1</v>
      </c>
      <c r="S58">
        <v>1</v>
      </c>
      <c r="T58" s="1">
        <f>SQRT(POWER(Batmobile[[#This Row],[angvel_X]],2) + POWER(Batmobile[[#This Row],[angvel_Y]],2) + POWER(Batmobile[[#This Row],[angvel_Z]],2))</f>
        <v>1.0669028587458185</v>
      </c>
      <c r="U58" s="1">
        <f>DEGREES(ASIN(MAX(-1,MIN(1,2 * (Batmobile[[#This Row],[quart_W]]*Batmobile[[#This Row],[quart_Y]] - Batmobile[[#This Row],[quart_Z]]*Batmobile[[#This Row],[quart_X]])))))</f>
        <v>0.34265048345923893</v>
      </c>
      <c r="V5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-32.355174624031818</v>
      </c>
      <c r="W5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89.993402337163545</v>
      </c>
      <c r="X58" s="1">
        <f>IF(Batmobile[[#This Row],[Yaw]]&gt;V57,(360-ABS(Batmobile[[#This Row],[Yaw]])-ABS(V57)),ABS(Batmobile[[#This Row],[Yaw]]-V57))</f>
        <v>0.45356631482667353</v>
      </c>
      <c r="Y58" s="1">
        <f>Batmobile[[#This Row],[Degree change]]+Y57</f>
        <v>1.5057187007047439</v>
      </c>
    </row>
    <row r="59" spans="1:25">
      <c r="A59">
        <v>58</v>
      </c>
      <c r="B59" s="1">
        <v>301.63998400000003</v>
      </c>
      <c r="C59" s="1">
        <v>2014.48999</v>
      </c>
      <c r="D59" s="1">
        <v>18.649999999999999</v>
      </c>
      <c r="E59" s="1">
        <v>-1243.280029</v>
      </c>
      <c r="F59" s="1">
        <v>1934.9799800000001</v>
      </c>
      <c r="G59" s="1">
        <v>8.15</v>
      </c>
      <c r="H59" s="1">
        <v>-1.1000000000000001E-3</v>
      </c>
      <c r="I59" s="1">
        <v>1.8E-3</v>
      </c>
      <c r="J59" s="1">
        <v>1.1688000000000001</v>
      </c>
      <c r="K59" s="1">
        <v>-2.5920000000000001E-3</v>
      </c>
      <c r="L59" s="1">
        <v>1.4920000000000001E-3</v>
      </c>
      <c r="M59" s="1">
        <v>0.87824899999999995</v>
      </c>
      <c r="N59" s="1">
        <v>0.47819400000000001</v>
      </c>
      <c r="O59">
        <v>1</v>
      </c>
      <c r="P59">
        <v>0</v>
      </c>
      <c r="Q59">
        <v>1</v>
      </c>
      <c r="R59">
        <v>1</v>
      </c>
      <c r="S59">
        <v>1</v>
      </c>
      <c r="T59" s="1">
        <f>SQRT(POWER(Batmobile[[#This Row],[angvel_X]],2) + POWER(Batmobile[[#This Row],[angvel_Y]],2) + POWER(Batmobile[[#This Row],[angvel_Z]],2))</f>
        <v>1.1688019036603252</v>
      </c>
      <c r="U59" s="1">
        <f>DEGREES(ASIN(MAX(-1,MIN(1,2 * (Batmobile[[#This Row],[quart_W]]*Batmobile[[#This Row],[quart_Y]] - Batmobile[[#This Row],[quart_Z]]*Batmobile[[#This Row],[quart_X]])))))</f>
        <v>0.34261783803218016</v>
      </c>
      <c r="V5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-32.864694386400856</v>
      </c>
      <c r="W5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89.991878904540158</v>
      </c>
      <c r="X59" s="1">
        <f>IF(Batmobile[[#This Row],[Yaw]]&gt;V58,(360-ABS(Batmobile[[#This Row],[Yaw]])-ABS(V58)),ABS(Batmobile[[#This Row],[Yaw]]-V58))</f>
        <v>0.50951976236903818</v>
      </c>
      <c r="Y59" s="1">
        <f>Batmobile[[#This Row],[Degree change]]+Y58</f>
        <v>2.0152384630737821</v>
      </c>
    </row>
    <row r="60" spans="1:25">
      <c r="A60">
        <v>59</v>
      </c>
      <c r="B60" s="1">
        <v>291.23998999999998</v>
      </c>
      <c r="C60" s="1">
        <v>2030.669922</v>
      </c>
      <c r="D60" s="1">
        <v>18.649999999999999</v>
      </c>
      <c r="E60" s="1">
        <v>-1255.719971</v>
      </c>
      <c r="F60" s="1">
        <v>1926.929932</v>
      </c>
      <c r="G60" s="1">
        <v>8.15</v>
      </c>
      <c r="H60" s="1">
        <v>-8.9999999999999998E-4</v>
      </c>
      <c r="I60" s="1">
        <v>1.4E-3</v>
      </c>
      <c r="J60" s="1">
        <v>1.2575000000000001</v>
      </c>
      <c r="K60" s="1">
        <v>-2.598E-3</v>
      </c>
      <c r="L60" s="1">
        <v>1.4859999999999999E-3</v>
      </c>
      <c r="M60" s="1">
        <v>0.88056800000000002</v>
      </c>
      <c r="N60" s="1">
        <v>0.47391</v>
      </c>
      <c r="O60">
        <v>1</v>
      </c>
      <c r="P60">
        <v>0</v>
      </c>
      <c r="Q60">
        <v>1</v>
      </c>
      <c r="R60">
        <v>1</v>
      </c>
      <c r="S60">
        <v>1</v>
      </c>
      <c r="T60" s="1">
        <f>SQRT(POWER(Batmobile[[#This Row],[angvel_X]],2) + POWER(Batmobile[[#This Row],[angvel_Y]],2) + POWER(Batmobile[[#This Row],[angvel_Z]],2))</f>
        <v>1.2575011013911679</v>
      </c>
      <c r="U60" s="1">
        <f>DEGREES(ASIN(MAX(-1,MIN(1,2 * (Batmobile[[#This Row],[quart_W]]*Batmobile[[#This Row],[quart_Y]] - Batmobile[[#This Row],[quart_Z]]*Batmobile[[#This Row],[quart_X]])))))</f>
        <v>0.34285379406600647</v>
      </c>
      <c r="V6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-33.422914761447004</v>
      </c>
      <c r="W6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89.991141241424629</v>
      </c>
      <c r="X60" s="1">
        <f>IF(Batmobile[[#This Row],[Yaw]]&gt;V59,(360-ABS(Batmobile[[#This Row],[Yaw]])-ABS(V59)),ABS(Batmobile[[#This Row],[Yaw]]-V59))</f>
        <v>0.55822037504614741</v>
      </c>
      <c r="Y60" s="1">
        <f>Batmobile[[#This Row],[Degree change]]+Y59</f>
        <v>2.5734588381199295</v>
      </c>
    </row>
    <row r="61" spans="1:25">
      <c r="A61">
        <v>60</v>
      </c>
      <c r="B61" s="1">
        <v>280.73998999999998</v>
      </c>
      <c r="C61" s="1">
        <v>2046.7799070000001</v>
      </c>
      <c r="D61" s="1">
        <v>18.649999999999999</v>
      </c>
      <c r="E61" s="1">
        <v>-1269.3599850000001</v>
      </c>
      <c r="F61" s="1">
        <v>1917.9799800000001</v>
      </c>
      <c r="G61" s="1">
        <v>8.15</v>
      </c>
      <c r="H61" s="1">
        <v>-5.9999999999999995E-4</v>
      </c>
      <c r="I61" s="1">
        <v>1.1000000000000001E-3</v>
      </c>
      <c r="J61" s="1">
        <v>1.3351</v>
      </c>
      <c r="K61" s="1">
        <v>-2.6029999999999998E-3</v>
      </c>
      <c r="L61" s="1">
        <v>1.4809999999999999E-3</v>
      </c>
      <c r="M61" s="1">
        <v>0.88303799999999999</v>
      </c>
      <c r="N61" s="1">
        <v>0.46929199999999999</v>
      </c>
      <c r="O61">
        <v>1</v>
      </c>
      <c r="P61">
        <v>0</v>
      </c>
      <c r="Q61">
        <v>1</v>
      </c>
      <c r="R61">
        <v>1</v>
      </c>
      <c r="S61">
        <v>1</v>
      </c>
      <c r="T61" s="1">
        <f>SQRT(POWER(Batmobile[[#This Row],[angvel_X]],2) + POWER(Batmobile[[#This Row],[angvel_Y]],2) + POWER(Batmobile[[#This Row],[angvel_Z]],2))</f>
        <v>1.3351005879708091</v>
      </c>
      <c r="U61" s="1">
        <f>DEGREES(ASIN(MAX(-1,MIN(1,2 * (Batmobile[[#This Row],[quart_W]]*Batmobile[[#This Row],[quart_Y]] - Batmobile[[#This Row],[quart_Z]]*Batmobile[[#This Row],[quart_X]])))))</f>
        <v>0.34303983014830591</v>
      </c>
      <c r="V6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-34.023064052622473</v>
      </c>
      <c r="W6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89.99012063224815</v>
      </c>
      <c r="X61" s="1">
        <f>IF(Batmobile[[#This Row],[Yaw]]&gt;V60,(360-ABS(Batmobile[[#This Row],[Yaw]])-ABS(V60)),ABS(Batmobile[[#This Row],[Yaw]]-V60))</f>
        <v>0.60014929117546956</v>
      </c>
      <c r="Y61" s="1">
        <f>Batmobile[[#This Row],[Degree change]]+Y60</f>
        <v>3.173608129295399</v>
      </c>
    </row>
    <row r="62" spans="1:25">
      <c r="A62">
        <v>61</v>
      </c>
      <c r="B62" s="1">
        <v>270.11999500000002</v>
      </c>
      <c r="C62" s="1">
        <v>2062.820068</v>
      </c>
      <c r="D62" s="1">
        <v>18.649999999999999</v>
      </c>
      <c r="E62" s="1">
        <v>-1284.169922</v>
      </c>
      <c r="F62" s="1">
        <v>1908.089966</v>
      </c>
      <c r="G62" s="1">
        <v>8.16</v>
      </c>
      <c r="H62" s="1">
        <v>-2.9999999999999997E-4</v>
      </c>
      <c r="I62" s="1">
        <v>6.9999999999999999E-4</v>
      </c>
      <c r="J62" s="1">
        <v>1.4031</v>
      </c>
      <c r="K62" s="1">
        <v>-2.6080000000000001E-3</v>
      </c>
      <c r="L62" s="1">
        <v>1.47E-3</v>
      </c>
      <c r="M62" s="1">
        <v>0.88563499999999995</v>
      </c>
      <c r="N62" s="1">
        <v>0.46437200000000001</v>
      </c>
      <c r="O62">
        <v>1</v>
      </c>
      <c r="P62">
        <v>0</v>
      </c>
      <c r="Q62">
        <v>1</v>
      </c>
      <c r="R62">
        <v>1</v>
      </c>
      <c r="S62">
        <v>1</v>
      </c>
      <c r="T62" s="1">
        <f>SQRT(POWER(Batmobile[[#This Row],[angvel_X]],2) + POWER(Batmobile[[#This Row],[angvel_Y]],2) + POWER(Batmobile[[#This Row],[angvel_Z]],2))</f>
        <v>1.4031002066851819</v>
      </c>
      <c r="U62" s="1">
        <f>DEGREES(ASIN(MAX(-1,MIN(1,2 * (Batmobile[[#This Row],[quart_W]]*Batmobile[[#This Row],[quart_Y]] - Batmobile[[#This Row],[quart_Z]]*Batmobile[[#This Row],[quart_X]])))))</f>
        <v>0.3429015791434003</v>
      </c>
      <c r="V6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-34.660563350275233</v>
      </c>
      <c r="W6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89.989594754049804</v>
      </c>
      <c r="X62" s="1">
        <f>IF(Batmobile[[#This Row],[Yaw]]&gt;V61,(360-ABS(Batmobile[[#This Row],[Yaw]])-ABS(V61)),ABS(Batmobile[[#This Row],[Yaw]]-V61))</f>
        <v>0.63749929765275937</v>
      </c>
      <c r="Y62" s="1">
        <f>Batmobile[[#This Row],[Degree change]]+Y61</f>
        <v>3.8111074269481584</v>
      </c>
    </row>
    <row r="63" spans="1:25">
      <c r="A63">
        <v>62</v>
      </c>
      <c r="B63" s="1">
        <v>259.38000499999998</v>
      </c>
      <c r="C63" s="1">
        <v>2078.780029</v>
      </c>
      <c r="D63" s="1">
        <v>18.649999999999999</v>
      </c>
      <c r="E63" s="1">
        <v>-1300.099976</v>
      </c>
      <c r="F63" s="1">
        <v>1897.2698969999999</v>
      </c>
      <c r="G63" s="1">
        <v>8.16</v>
      </c>
      <c r="H63" s="1">
        <v>-1E-4</v>
      </c>
      <c r="I63" s="1">
        <v>4.0000000000000002E-4</v>
      </c>
      <c r="J63" s="1">
        <v>1.4630000000000001</v>
      </c>
      <c r="K63" s="1">
        <v>-2.614E-3</v>
      </c>
      <c r="L63" s="1">
        <v>1.459E-3</v>
      </c>
      <c r="M63" s="1">
        <v>0.88833399999999996</v>
      </c>
      <c r="N63" s="1">
        <v>0.45918799999999999</v>
      </c>
      <c r="O63">
        <v>1</v>
      </c>
      <c r="P63">
        <v>0</v>
      </c>
      <c r="Q63">
        <v>1</v>
      </c>
      <c r="R63">
        <v>1</v>
      </c>
      <c r="S63">
        <v>1</v>
      </c>
      <c r="T63" s="1">
        <f>SQRT(POWER(Batmobile[[#This Row],[angvel_X]],2) + POWER(Batmobile[[#This Row],[angvel_Y]],2) + POWER(Batmobile[[#This Row],[angvel_Z]],2))</f>
        <v>1.4630000580997937</v>
      </c>
      <c r="U63" s="1">
        <f>DEGREES(ASIN(MAX(-1,MIN(1,2 * (Batmobile[[#This Row],[quart_W]]*Batmobile[[#This Row],[quart_Y]] - Batmobile[[#This Row],[quart_Z]]*Batmobile[[#This Row],[quart_X]])))))</f>
        <v>0.34286690861719488</v>
      </c>
      <c r="V6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-35.330311932885095</v>
      </c>
      <c r="W6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89.989026301011762</v>
      </c>
      <c r="X63" s="1">
        <f>IF(Batmobile[[#This Row],[Yaw]]&gt;V62,(360-ABS(Batmobile[[#This Row],[Yaw]])-ABS(V62)),ABS(Batmobile[[#This Row],[Yaw]]-V62))</f>
        <v>0.66974858260986281</v>
      </c>
      <c r="Y63" s="1">
        <f>Batmobile[[#This Row],[Degree change]]+Y62</f>
        <v>4.4808560095580212</v>
      </c>
    </row>
    <row r="64" spans="1:25">
      <c r="A64">
        <v>63</v>
      </c>
      <c r="B64" s="1">
        <v>248.509995</v>
      </c>
      <c r="C64" s="1">
        <v>2094.6499020000001</v>
      </c>
      <c r="D64" s="1">
        <v>18.649999999999999</v>
      </c>
      <c r="E64" s="1">
        <v>-1317.089966</v>
      </c>
      <c r="F64" s="1">
        <v>1885.5198969999999</v>
      </c>
      <c r="G64" s="1">
        <v>8.17</v>
      </c>
      <c r="H64" s="1">
        <v>0</v>
      </c>
      <c r="I64" s="1">
        <v>1E-4</v>
      </c>
      <c r="J64" s="1">
        <v>1.5159</v>
      </c>
      <c r="K64" s="1">
        <v>-2.6189999999999998E-3</v>
      </c>
      <c r="L64" s="1">
        <v>1.4430000000000001E-3</v>
      </c>
      <c r="M64" s="1">
        <v>0.89111600000000002</v>
      </c>
      <c r="N64" s="1">
        <v>0.453766</v>
      </c>
      <c r="O64">
        <v>1</v>
      </c>
      <c r="P64">
        <v>0</v>
      </c>
      <c r="Q64">
        <v>1</v>
      </c>
      <c r="R64">
        <v>1</v>
      </c>
      <c r="S64">
        <v>1</v>
      </c>
      <c r="T64" s="1">
        <f>SQRT(POWER(Batmobile[[#This Row],[angvel_X]],2) + POWER(Batmobile[[#This Row],[angvel_Y]],2) + POWER(Batmobile[[#This Row],[angvel_Z]],2))</f>
        <v>1.5159000032983705</v>
      </c>
      <c r="U64" s="1">
        <f>DEGREES(ASIN(MAX(-1,MIN(1,2 * (Batmobile[[#This Row],[quart_W]]*Batmobile[[#This Row],[quart_Y]] - Batmobile[[#This Row],[quart_Z]]*Batmobile[[#This Row],[quart_X]])))))</f>
        <v>0.34247233692509221</v>
      </c>
      <c r="V6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-36.028662218073407</v>
      </c>
      <c r="W6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89.988830878108047</v>
      </c>
      <c r="X64" s="1">
        <f>IF(Batmobile[[#This Row],[Yaw]]&gt;V63,(360-ABS(Batmobile[[#This Row],[Yaw]])-ABS(V63)),ABS(Batmobile[[#This Row],[Yaw]]-V63))</f>
        <v>0.69835028518831166</v>
      </c>
      <c r="Y64" s="1">
        <f>Batmobile[[#This Row],[Degree change]]+Y63</f>
        <v>5.1792062947463329</v>
      </c>
    </row>
    <row r="65" spans="1:25">
      <c r="A65">
        <v>64</v>
      </c>
      <c r="B65" s="1">
        <v>237.48999000000001</v>
      </c>
      <c r="C65" s="1">
        <v>2110.419922</v>
      </c>
      <c r="D65" s="1">
        <v>18.649999999999999</v>
      </c>
      <c r="E65" s="1">
        <v>-1335.059937</v>
      </c>
      <c r="F65" s="1">
        <v>1872.839966</v>
      </c>
      <c r="G65" s="1">
        <v>8.17</v>
      </c>
      <c r="H65" s="1">
        <v>1E-4</v>
      </c>
      <c r="I65" s="1">
        <v>-1E-4</v>
      </c>
      <c r="J65" s="1">
        <v>1.5628</v>
      </c>
      <c r="K65" s="1">
        <v>-2.63E-3</v>
      </c>
      <c r="L65" s="1">
        <v>1.4270000000000001E-3</v>
      </c>
      <c r="M65" s="1">
        <v>0.89396399999999998</v>
      </c>
      <c r="N65" s="1">
        <v>0.448129</v>
      </c>
      <c r="O65">
        <v>1</v>
      </c>
      <c r="P65">
        <v>0</v>
      </c>
      <c r="Q65">
        <v>1</v>
      </c>
      <c r="R65">
        <v>1</v>
      </c>
      <c r="S65">
        <v>1</v>
      </c>
      <c r="T65" s="1">
        <f>SQRT(POWER(Batmobile[[#This Row],[angvel_X]],2) + POWER(Batmobile[[#This Row],[angvel_Y]],2) + POWER(Batmobile[[#This Row],[angvel_Z]],2))</f>
        <v>1.5628000063987713</v>
      </c>
      <c r="U65" s="1">
        <f>DEGREES(ASIN(MAX(-1,MIN(1,2 * (Batmobile[[#This Row],[quart_W]]*Batmobile[[#This Row],[quart_Y]] - Batmobile[[#This Row],[quart_Z]]*Batmobile[[#This Row],[quart_X]])))))</f>
        <v>0.34270017892567095</v>
      </c>
      <c r="V6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-36.752378585956684</v>
      </c>
      <c r="W6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89.988872117332818</v>
      </c>
      <c r="X65" s="1">
        <f>IF(Batmobile[[#This Row],[Yaw]]&gt;V64,(360-ABS(Batmobile[[#This Row],[Yaw]])-ABS(V64)),ABS(Batmobile[[#This Row],[Yaw]]-V64))</f>
        <v>0.7237163678832772</v>
      </c>
      <c r="Y65" s="1">
        <f>Batmobile[[#This Row],[Degree change]]+Y64</f>
        <v>5.9029226626296101</v>
      </c>
    </row>
    <row r="66" spans="1:25">
      <c r="A66">
        <v>65</v>
      </c>
      <c r="B66" s="1">
        <v>226.31999200000001</v>
      </c>
      <c r="C66" s="1">
        <v>2126.0798340000001</v>
      </c>
      <c r="D66" s="1">
        <v>18.649999999999999</v>
      </c>
      <c r="E66" s="1">
        <v>-1353.919922</v>
      </c>
      <c r="F66" s="1">
        <v>1859.25</v>
      </c>
      <c r="G66" s="1">
        <v>8.1799990000000005</v>
      </c>
      <c r="H66" s="1">
        <v>2.9999999999999997E-4</v>
      </c>
      <c r="I66" s="1">
        <v>-2.9999999999999997E-4</v>
      </c>
      <c r="J66" s="1">
        <v>1.6045</v>
      </c>
      <c r="K66" s="1">
        <v>-2.6410000000000001E-3</v>
      </c>
      <c r="L66" s="1">
        <v>1.4109999999999999E-3</v>
      </c>
      <c r="M66" s="1">
        <v>0.89686399999999999</v>
      </c>
      <c r="N66" s="1">
        <v>0.442297</v>
      </c>
      <c r="O66">
        <v>1</v>
      </c>
      <c r="P66">
        <v>0</v>
      </c>
      <c r="Q66">
        <v>1</v>
      </c>
      <c r="R66">
        <v>1</v>
      </c>
      <c r="S66">
        <v>1</v>
      </c>
      <c r="T66" s="1">
        <f>SQRT(POWER(Batmobile[[#This Row],[angvel_X]],2) + POWER(Batmobile[[#This Row],[angvel_Y]],2) + POWER(Batmobile[[#This Row],[angvel_Z]],2))</f>
        <v>1.6045000560922396</v>
      </c>
      <c r="U66" s="1">
        <f>DEGREES(ASIN(MAX(-1,MIN(1,2 * (Batmobile[[#This Row],[quart_W]]*Batmobile[[#This Row],[quart_Y]] - Batmobile[[#This Row],[quart_Z]]*Batmobile[[#This Row],[quart_X]])))))</f>
        <v>0.34294007927364001</v>
      </c>
      <c r="V6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-37.498765247820145</v>
      </c>
      <c r="W6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89.988842165835862</v>
      </c>
      <c r="X66" s="1">
        <f>IF(Batmobile[[#This Row],[Yaw]]&gt;V65,(360-ABS(Batmobile[[#This Row],[Yaw]])-ABS(V65)),ABS(Batmobile[[#This Row],[Yaw]]-V65))</f>
        <v>0.74638666186346114</v>
      </c>
      <c r="Y66" s="1">
        <f>Batmobile[[#This Row],[Degree change]]+Y65</f>
        <v>6.6493093244930712</v>
      </c>
    </row>
    <row r="67" spans="1:25">
      <c r="A67">
        <v>66</v>
      </c>
      <c r="B67" s="1">
        <v>215</v>
      </c>
      <c r="C67" s="1">
        <v>2141.6298830000001</v>
      </c>
      <c r="D67" s="1">
        <v>18.649999999999999</v>
      </c>
      <c r="E67" s="1">
        <v>-1373.589966</v>
      </c>
      <c r="F67" s="1">
        <v>1844.7700199999999</v>
      </c>
      <c r="G67" s="1">
        <v>8.1799990000000005</v>
      </c>
      <c r="H67" s="1">
        <v>4.0000000000000002E-4</v>
      </c>
      <c r="I67" s="1">
        <v>-4.0000000000000002E-4</v>
      </c>
      <c r="J67" s="1">
        <v>1.6416999999999999</v>
      </c>
      <c r="K67" s="1">
        <v>-2.6519999999999998E-3</v>
      </c>
      <c r="L67" s="1">
        <v>1.389E-3</v>
      </c>
      <c r="M67" s="1">
        <v>0.89980000000000004</v>
      </c>
      <c r="N67" s="1">
        <v>0.43629200000000001</v>
      </c>
      <c r="O67">
        <v>1</v>
      </c>
      <c r="P67">
        <v>0</v>
      </c>
      <c r="Q67">
        <v>1</v>
      </c>
      <c r="R67">
        <v>1</v>
      </c>
      <c r="S67">
        <v>1</v>
      </c>
      <c r="T67" s="1">
        <f>SQRT(POWER(Batmobile[[#This Row],[angvel_X]],2) + POWER(Batmobile[[#This Row],[angvel_Y]],2) + POWER(Batmobile[[#This Row],[angvel_Z]],2))</f>
        <v>1.6417000974599469</v>
      </c>
      <c r="U67" s="1">
        <f>DEGREES(ASIN(MAX(-1,MIN(1,2 * (Batmobile[[#This Row],[quart_W]]*Batmobile[[#This Row],[quart_Y]] - Batmobile[[#This Row],[quart_Z]]*Batmobile[[#This Row],[quart_X]])))))</f>
        <v>0.34289198399114873</v>
      </c>
      <c r="V6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-38.264693094327718</v>
      </c>
      <c r="W6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89.989368484158334</v>
      </c>
      <c r="X67" s="1">
        <f>IF(Batmobile[[#This Row],[Yaw]]&gt;V66,(360-ABS(Batmobile[[#This Row],[Yaw]])-ABS(V66)),ABS(Batmobile[[#This Row],[Yaw]]-V66))</f>
        <v>0.76592784650757295</v>
      </c>
      <c r="Y67" s="1">
        <f>Batmobile[[#This Row],[Degree change]]+Y66</f>
        <v>7.4152371710006442</v>
      </c>
    </row>
    <row r="68" spans="1:25">
      <c r="A68">
        <v>67</v>
      </c>
      <c r="B68" s="1">
        <v>203.509995</v>
      </c>
      <c r="C68" s="1">
        <v>2157.0600589999999</v>
      </c>
      <c r="D68" s="1">
        <v>18.649999999999999</v>
      </c>
      <c r="E68" s="1">
        <v>-1393.969971</v>
      </c>
      <c r="F68" s="1">
        <v>1829.4099120000001</v>
      </c>
      <c r="G68" s="1">
        <v>8.1799990000000005</v>
      </c>
      <c r="H68" s="1">
        <v>5.0000000000000001E-4</v>
      </c>
      <c r="I68" s="1">
        <v>-5.0000000000000001E-4</v>
      </c>
      <c r="J68" s="1">
        <v>1.675</v>
      </c>
      <c r="K68" s="1">
        <v>-2.6619999999999999E-3</v>
      </c>
      <c r="L68" s="1">
        <v>1.3680000000000001E-3</v>
      </c>
      <c r="M68" s="1">
        <v>0.90276400000000001</v>
      </c>
      <c r="N68" s="1">
        <v>0.43012600000000001</v>
      </c>
      <c r="O68">
        <v>1</v>
      </c>
      <c r="P68">
        <v>0</v>
      </c>
      <c r="Q68">
        <v>1</v>
      </c>
      <c r="R68">
        <v>1</v>
      </c>
      <c r="S68">
        <v>1</v>
      </c>
      <c r="T68" s="1">
        <f>SQRT(POWER(Batmobile[[#This Row],[angvel_X]],2) + POWER(Batmobile[[#This Row],[angvel_Y]],2) + POWER(Batmobile[[#This Row],[angvel_Z]],2))</f>
        <v>1.6750001492537248</v>
      </c>
      <c r="U68" s="1">
        <f>DEGREES(ASIN(MAX(-1,MIN(1,2 * (Batmobile[[#This Row],[quart_W]]*Batmobile[[#This Row],[quart_Y]] - Batmobile[[#This Row],[quart_Z]]*Batmobile[[#This Row],[quart_X]])))))</f>
        <v>0.34281073116233729</v>
      </c>
      <c r="V6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-39.048685385484148</v>
      </c>
      <c r="W6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89.989688209135409</v>
      </c>
      <c r="X68" s="1">
        <f>IF(Batmobile[[#This Row],[Yaw]]&gt;V67,(360-ABS(Batmobile[[#This Row],[Yaw]])-ABS(V67)),ABS(Batmobile[[#This Row],[Yaw]]-V67))</f>
        <v>0.7839922911564301</v>
      </c>
      <c r="Y68" s="1">
        <f>Batmobile[[#This Row],[Degree change]]+Y67</f>
        <v>8.1992294621570743</v>
      </c>
    </row>
    <row r="69" spans="1:25">
      <c r="A69">
        <v>68</v>
      </c>
      <c r="B69" s="1">
        <v>191.84999099999999</v>
      </c>
      <c r="C69" s="1">
        <v>2172.3598630000001</v>
      </c>
      <c r="D69" s="1">
        <v>18.649999999999999</v>
      </c>
      <c r="E69" s="1">
        <v>-1414.98999</v>
      </c>
      <c r="F69" s="1">
        <v>1813.1999510000001</v>
      </c>
      <c r="G69" s="1">
        <v>8.1799990000000005</v>
      </c>
      <c r="H69" s="1">
        <v>5.9999999999999995E-4</v>
      </c>
      <c r="I69" s="1">
        <v>-5.9999999999999995E-4</v>
      </c>
      <c r="J69" s="1">
        <v>1.7048000000000001</v>
      </c>
      <c r="K69" s="1">
        <v>-2.673E-3</v>
      </c>
      <c r="L69" s="1">
        <v>1.346E-3</v>
      </c>
      <c r="M69" s="1">
        <v>0.90574399999999999</v>
      </c>
      <c r="N69" s="1">
        <v>0.42381400000000002</v>
      </c>
      <c r="O69">
        <v>1</v>
      </c>
      <c r="P69">
        <v>0</v>
      </c>
      <c r="Q69">
        <v>1</v>
      </c>
      <c r="R69">
        <v>1</v>
      </c>
      <c r="S69">
        <v>1</v>
      </c>
      <c r="T69" s="1">
        <f>SQRT(POWER(Batmobile[[#This Row],[angvel_X]],2) + POWER(Batmobile[[#This Row],[angvel_Y]],2) + POWER(Batmobile[[#This Row],[angvel_Z]],2))</f>
        <v>1.7048002111684526</v>
      </c>
      <c r="U69" s="1">
        <f>DEGREES(ASIN(MAX(-1,MIN(1,2 * (Batmobile[[#This Row],[quart_W]]*Batmobile[[#This Row],[quart_Y]] - Batmobile[[#This Row],[quart_Z]]*Batmobile[[#This Row],[quart_X]])))))</f>
        <v>0.34280353697549448</v>
      </c>
      <c r="V6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-39.848517901955219</v>
      </c>
      <c r="W6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89.990113252663292</v>
      </c>
      <c r="X69" s="1">
        <f>IF(Batmobile[[#This Row],[Yaw]]&gt;V68,(360-ABS(Batmobile[[#This Row],[Yaw]])-ABS(V68)),ABS(Batmobile[[#This Row],[Yaw]]-V68))</f>
        <v>0.79983251647107068</v>
      </c>
      <c r="Y69" s="1">
        <f>Batmobile[[#This Row],[Degree change]]+Y68</f>
        <v>8.9990619786281449</v>
      </c>
    </row>
    <row r="70" spans="1:25">
      <c r="A70">
        <v>69</v>
      </c>
      <c r="B70" s="1">
        <v>180.009995</v>
      </c>
      <c r="C70" s="1">
        <v>2187.5200199999999</v>
      </c>
      <c r="D70" s="1">
        <v>18.649999999999999</v>
      </c>
      <c r="E70" s="1">
        <v>-1436.5699460000001</v>
      </c>
      <c r="F70" s="1">
        <v>1796.1499020000001</v>
      </c>
      <c r="G70" s="1">
        <v>8.1799990000000005</v>
      </c>
      <c r="H70" s="1">
        <v>5.9999999999999995E-4</v>
      </c>
      <c r="I70" s="1">
        <v>-6.9999999999999999E-4</v>
      </c>
      <c r="J70" s="1">
        <v>1.7316</v>
      </c>
      <c r="K70" s="1">
        <v>-2.6840000000000002E-3</v>
      </c>
      <c r="L70" s="1">
        <v>1.3240000000000001E-3</v>
      </c>
      <c r="M70" s="1">
        <v>0.90873300000000001</v>
      </c>
      <c r="N70" s="1">
        <v>0.41736699999999999</v>
      </c>
      <c r="O70">
        <v>1</v>
      </c>
      <c r="P70">
        <v>0</v>
      </c>
      <c r="Q70">
        <v>1</v>
      </c>
      <c r="R70">
        <v>1</v>
      </c>
      <c r="S70">
        <v>1</v>
      </c>
      <c r="T70" s="1">
        <f>SQRT(POWER(Batmobile[[#This Row],[angvel_X]],2) + POWER(Batmobile[[#This Row],[angvel_Y]],2) + POWER(Batmobile[[#This Row],[angvel_Z]],2))</f>
        <v>1.7316002454377282</v>
      </c>
      <c r="U70" s="1">
        <f>DEGREES(ASIN(MAX(-1,MIN(1,2 * (Batmobile[[#This Row],[quart_W]]*Batmobile[[#This Row],[quart_Y]] - Batmobile[[#This Row],[quart_Z]]*Batmobile[[#This Row],[quart_X]])))))</f>
        <v>0.34281796706125961</v>
      </c>
      <c r="V7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-40.662848322878347</v>
      </c>
      <c r="W7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89.990494521409104</v>
      </c>
      <c r="X70" s="1">
        <f>IF(Batmobile[[#This Row],[Yaw]]&gt;V69,(360-ABS(Batmobile[[#This Row],[Yaw]])-ABS(V69)),ABS(Batmobile[[#This Row],[Yaw]]-V69))</f>
        <v>0.81433042092312746</v>
      </c>
      <c r="Y70" s="1">
        <f>Batmobile[[#This Row],[Degree change]]+Y69</f>
        <v>9.8133923995512724</v>
      </c>
    </row>
    <row r="71" spans="1:25">
      <c r="A71">
        <v>70</v>
      </c>
      <c r="B71" s="1">
        <v>167.98999000000001</v>
      </c>
      <c r="C71" s="1">
        <v>2202.540039</v>
      </c>
      <c r="D71" s="1">
        <v>18.649999999999999</v>
      </c>
      <c r="E71" s="1">
        <v>-1458.619995</v>
      </c>
      <c r="F71" s="1">
        <v>1778.2899170000001</v>
      </c>
      <c r="G71" s="1">
        <v>8.1799990000000005</v>
      </c>
      <c r="H71" s="1">
        <v>6.9999999999999999E-4</v>
      </c>
      <c r="I71" s="1">
        <v>-6.9999999999999999E-4</v>
      </c>
      <c r="J71" s="1">
        <v>1.7558</v>
      </c>
      <c r="K71" s="1">
        <v>-2.6949999999999999E-3</v>
      </c>
      <c r="L71" s="1">
        <v>1.3029999999999999E-3</v>
      </c>
      <c r="M71" s="1">
        <v>0.91171999999999997</v>
      </c>
      <c r="N71" s="1">
        <v>0.410802</v>
      </c>
      <c r="O71">
        <v>1</v>
      </c>
      <c r="P71">
        <v>0</v>
      </c>
      <c r="Q71">
        <v>1</v>
      </c>
      <c r="R71">
        <v>1</v>
      </c>
      <c r="S71">
        <v>1</v>
      </c>
      <c r="T71" s="1">
        <f>SQRT(POWER(Batmobile[[#This Row],[angvel_X]],2) + POWER(Batmobile[[#This Row],[angvel_Y]],2) + POWER(Batmobile[[#This Row],[angvel_Z]],2))</f>
        <v>1.7558002790750433</v>
      </c>
      <c r="U71" s="1">
        <f>DEGREES(ASIN(MAX(-1,MIN(1,2 * (Batmobile[[#This Row],[quart_W]]*Batmobile[[#This Row],[quart_Y]] - Batmobile[[#This Row],[quart_Z]]*Batmobile[[#This Row],[quart_X]])))))</f>
        <v>0.34290129105506167</v>
      </c>
      <c r="V7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-41.489387503650292</v>
      </c>
      <c r="W7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89.990733986911579</v>
      </c>
      <c r="X71" s="1">
        <f>IF(Batmobile[[#This Row],[Yaw]]&gt;V70,(360-ABS(Batmobile[[#This Row],[Yaw]])-ABS(V70)),ABS(Batmobile[[#This Row],[Yaw]]-V70))</f>
        <v>0.82653918077194533</v>
      </c>
      <c r="Y71" s="1">
        <f>Batmobile[[#This Row],[Degree change]]+Y70</f>
        <v>10.639931580323218</v>
      </c>
    </row>
    <row r="72" spans="1:25">
      <c r="A72">
        <v>71</v>
      </c>
      <c r="B72" s="1">
        <v>155.78999300000001</v>
      </c>
      <c r="C72" s="1">
        <v>2217.4099120000001</v>
      </c>
      <c r="D72" s="1">
        <v>18.649999999999999</v>
      </c>
      <c r="E72" s="1">
        <v>-1481.0699460000001</v>
      </c>
      <c r="F72" s="1">
        <v>1759.6400149999999</v>
      </c>
      <c r="G72" s="1">
        <v>8.1799990000000005</v>
      </c>
      <c r="H72" s="1">
        <v>6.9999999999999999E-4</v>
      </c>
      <c r="I72" s="1">
        <v>-6.9999999999999999E-4</v>
      </c>
      <c r="J72" s="1">
        <v>1.7776000000000001</v>
      </c>
      <c r="K72" s="1">
        <v>-2.7060000000000001E-3</v>
      </c>
      <c r="L72" s="1">
        <v>1.281E-3</v>
      </c>
      <c r="M72" s="1">
        <v>0.91469999999999996</v>
      </c>
      <c r="N72" s="1">
        <v>0.40412300000000001</v>
      </c>
      <c r="O72">
        <v>1</v>
      </c>
      <c r="P72">
        <v>0</v>
      </c>
      <c r="Q72">
        <v>1</v>
      </c>
      <c r="R72">
        <v>1</v>
      </c>
      <c r="S72">
        <v>1</v>
      </c>
      <c r="T72" s="1">
        <f>SQRT(POWER(Batmobile[[#This Row],[angvel_X]],2) + POWER(Batmobile[[#This Row],[angvel_Y]],2) + POWER(Batmobile[[#This Row],[angvel_Z]],2))</f>
        <v>1.7776002756525437</v>
      </c>
      <c r="U72" s="1">
        <f>DEGREES(ASIN(MAX(-1,MIN(1,2 * (Batmobile[[#This Row],[quart_W]]*Batmobile[[#This Row],[quart_Y]] - Batmobile[[#This Row],[quart_Z]]*Batmobile[[#This Row],[quart_X]])))))</f>
        <v>0.34295851417715933</v>
      </c>
      <c r="V7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-42.327467580883436</v>
      </c>
      <c r="W7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89.991041774759054</v>
      </c>
      <c r="X72" s="1">
        <f>IF(Batmobile[[#This Row],[Yaw]]&gt;V71,(360-ABS(Batmobile[[#This Row],[Yaw]])-ABS(V71)),ABS(Batmobile[[#This Row],[Yaw]]-V71))</f>
        <v>0.83808007723314404</v>
      </c>
      <c r="Y72" s="1">
        <f>Batmobile[[#This Row],[Degree change]]+Y71</f>
        <v>11.478011657556362</v>
      </c>
    </row>
    <row r="73" spans="1:25">
      <c r="A73">
        <v>72</v>
      </c>
      <c r="B73" s="1">
        <v>143.39999399999999</v>
      </c>
      <c r="C73" s="1">
        <v>2232.1198730000001</v>
      </c>
      <c r="D73" s="1">
        <v>18.649999999999999</v>
      </c>
      <c r="E73" s="1">
        <v>-1503.849976</v>
      </c>
      <c r="F73" s="1">
        <v>1740.209961</v>
      </c>
      <c r="G73" s="1">
        <v>8.1799990000000005</v>
      </c>
      <c r="H73" s="1">
        <v>6.9999999999999999E-4</v>
      </c>
      <c r="I73" s="1">
        <v>-6.9999999999999999E-4</v>
      </c>
      <c r="J73" s="1">
        <v>1.7972999999999999</v>
      </c>
      <c r="K73" s="1">
        <v>-2.7160000000000001E-3</v>
      </c>
      <c r="L73" s="1">
        <v>1.2600000000000001E-3</v>
      </c>
      <c r="M73" s="1">
        <v>0.91766800000000004</v>
      </c>
      <c r="N73" s="1">
        <v>0.39733600000000002</v>
      </c>
      <c r="O73">
        <v>1</v>
      </c>
      <c r="P73">
        <v>0</v>
      </c>
      <c r="Q73">
        <v>1</v>
      </c>
      <c r="R73">
        <v>1</v>
      </c>
      <c r="S73">
        <v>1</v>
      </c>
      <c r="T73" s="1">
        <f>SQRT(POWER(Batmobile[[#This Row],[angvel_X]],2) + POWER(Batmobile[[#This Row],[angvel_Y]],2) + POWER(Batmobile[[#This Row],[angvel_Z]],2))</f>
        <v>1.7973002726311482</v>
      </c>
      <c r="U73" s="1">
        <f>DEGREES(ASIN(MAX(-1,MIN(1,2 * (Batmobile[[#This Row],[quart_W]]*Batmobile[[#This Row],[quart_Y]] - Batmobile[[#This Row],[quart_Z]]*Batmobile[[#This Row],[quart_X]])))))</f>
        <v>0.34297798191294077</v>
      </c>
      <c r="V7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-43.176276866819414</v>
      </c>
      <c r="W7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89.991165164330795</v>
      </c>
      <c r="X73" s="1">
        <f>IF(Batmobile[[#This Row],[Yaw]]&gt;V72,(360-ABS(Batmobile[[#This Row],[Yaw]])-ABS(V72)),ABS(Batmobile[[#This Row],[Yaw]]-V72))</f>
        <v>0.84880928593597815</v>
      </c>
      <c r="Y73" s="1">
        <f>Batmobile[[#This Row],[Degree change]]+Y72</f>
        <v>12.32682094349234</v>
      </c>
    </row>
    <row r="74" spans="1:25">
      <c r="A74">
        <v>73</v>
      </c>
      <c r="B74" s="1">
        <v>130.81999200000001</v>
      </c>
      <c r="C74" s="1">
        <v>2246.669922</v>
      </c>
      <c r="D74" s="1">
        <v>18.649999999999999</v>
      </c>
      <c r="E74" s="1">
        <v>-1526.8900149999999</v>
      </c>
      <c r="F74" s="1">
        <v>1720.0299070000001</v>
      </c>
      <c r="G74" s="1">
        <v>8.19</v>
      </c>
      <c r="H74" s="1">
        <v>6.9999999999999999E-4</v>
      </c>
      <c r="I74" s="1">
        <v>-6.9999999999999999E-4</v>
      </c>
      <c r="J74" s="1">
        <v>1.8150999999999999</v>
      </c>
      <c r="K74" s="1">
        <v>-2.7269999999999998E-3</v>
      </c>
      <c r="L74" s="1">
        <v>1.238E-3</v>
      </c>
      <c r="M74" s="1">
        <v>0.92061800000000005</v>
      </c>
      <c r="N74" s="1">
        <v>0.39045299999999999</v>
      </c>
      <c r="O74">
        <v>1</v>
      </c>
      <c r="P74">
        <v>0</v>
      </c>
      <c r="Q74">
        <v>1</v>
      </c>
      <c r="R74">
        <v>1</v>
      </c>
      <c r="S74">
        <v>1</v>
      </c>
      <c r="T74" s="1">
        <f>SQRT(POWER(Batmobile[[#This Row],[angvel_X]],2) + POWER(Batmobile[[#This Row],[angvel_Y]],2) + POWER(Batmobile[[#This Row],[angvel_Z]],2))</f>
        <v>1.8151002699575578</v>
      </c>
      <c r="U74" s="1">
        <f>DEGREES(ASIN(MAX(-1,MIN(1,2 * (Batmobile[[#This Row],[quart_W]]*Batmobile[[#This Row],[quart_Y]] - Batmobile[[#This Row],[quart_Z]]*Batmobile[[#This Row],[quart_X]])))))</f>
        <v>0.34307841771402875</v>
      </c>
      <c r="V7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-44.034430195972519</v>
      </c>
      <c r="W7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89.991410091015112</v>
      </c>
      <c r="X74" s="1">
        <f>IF(Batmobile[[#This Row],[Yaw]]&gt;V73,(360-ABS(Batmobile[[#This Row],[Yaw]])-ABS(V73)),ABS(Batmobile[[#This Row],[Yaw]]-V73))</f>
        <v>0.85815332915310449</v>
      </c>
      <c r="Y74" s="1">
        <f>Batmobile[[#This Row],[Degree change]]+Y73</f>
        <v>13.184974272645444</v>
      </c>
    </row>
    <row r="75" spans="1:25">
      <c r="A75">
        <v>74</v>
      </c>
      <c r="B75" s="1">
        <v>118.049995</v>
      </c>
      <c r="C75" s="1">
        <v>2261.0500489999999</v>
      </c>
      <c r="D75" s="1">
        <v>18.649999999999999</v>
      </c>
      <c r="E75" s="1">
        <v>-1550.130005</v>
      </c>
      <c r="F75" s="1">
        <v>1699.119995</v>
      </c>
      <c r="G75" s="1">
        <v>8.19</v>
      </c>
      <c r="H75" s="1">
        <v>6.9999999999999999E-4</v>
      </c>
      <c r="I75" s="1">
        <v>-6.9999999999999999E-4</v>
      </c>
      <c r="J75" s="1">
        <v>1.8312999999999999</v>
      </c>
      <c r="K75" s="1">
        <v>-2.738E-3</v>
      </c>
      <c r="L75" s="1">
        <v>1.2110000000000001E-3</v>
      </c>
      <c r="M75" s="1">
        <v>0.92354499999999995</v>
      </c>
      <c r="N75" s="1">
        <v>0.38347700000000001</v>
      </c>
      <c r="O75">
        <v>1</v>
      </c>
      <c r="P75">
        <v>0</v>
      </c>
      <c r="Q75">
        <v>1</v>
      </c>
      <c r="R75">
        <v>1</v>
      </c>
      <c r="S75">
        <v>1</v>
      </c>
      <c r="T75" s="1">
        <f>SQRT(POWER(Batmobile[[#This Row],[angvel_X]],2) + POWER(Batmobile[[#This Row],[angvel_Y]],2) + POWER(Batmobile[[#This Row],[angvel_Z]],2))</f>
        <v>1.8313002675694665</v>
      </c>
      <c r="U75" s="1">
        <f>DEGREES(ASIN(MAX(-1,MIN(1,2 * (Batmobile[[#This Row],[quart_W]]*Batmobile[[#This Row],[quart_Y]] - Batmobile[[#This Row],[quart_Z]]*Batmobile[[#This Row],[quart_X]])))))</f>
        <v>0.34298109989053427</v>
      </c>
      <c r="V7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-44.901295873493332</v>
      </c>
      <c r="W7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89.992155726992308</v>
      </c>
      <c r="X75" s="1">
        <f>IF(Batmobile[[#This Row],[Yaw]]&gt;V74,(360-ABS(Batmobile[[#This Row],[Yaw]])-ABS(V74)),ABS(Batmobile[[#This Row],[Yaw]]-V74))</f>
        <v>0.86686567752081345</v>
      </c>
      <c r="Y75" s="1">
        <f>Batmobile[[#This Row],[Degree change]]+Y74</f>
        <v>14.051839950166258</v>
      </c>
    </row>
    <row r="76" spans="1:25">
      <c r="A76">
        <v>75</v>
      </c>
      <c r="B76" s="1">
        <v>105.079994</v>
      </c>
      <c r="C76" s="1">
        <v>2275.26001</v>
      </c>
      <c r="D76" s="1">
        <v>18.649999999999999</v>
      </c>
      <c r="E76" s="1">
        <v>-1573.5</v>
      </c>
      <c r="F76" s="1">
        <v>1677.48999</v>
      </c>
      <c r="G76" s="1">
        <v>8.19</v>
      </c>
      <c r="H76" s="1">
        <v>6.9999999999999999E-4</v>
      </c>
      <c r="I76" s="1">
        <v>-6.9999999999999999E-4</v>
      </c>
      <c r="J76" s="1">
        <v>1.8460000000000001</v>
      </c>
      <c r="K76" s="1">
        <v>-2.7490000000000001E-3</v>
      </c>
      <c r="L76" s="1">
        <v>1.1839999999999999E-3</v>
      </c>
      <c r="M76" s="1">
        <v>0.92644400000000005</v>
      </c>
      <c r="N76" s="1">
        <v>0.37642100000000001</v>
      </c>
      <c r="O76">
        <v>1</v>
      </c>
      <c r="P76">
        <v>0</v>
      </c>
      <c r="Q76">
        <v>1</v>
      </c>
      <c r="R76">
        <v>1</v>
      </c>
      <c r="S76">
        <v>1</v>
      </c>
      <c r="T76" s="1">
        <f>SQRT(POWER(Batmobile[[#This Row],[angvel_X]],2) + POWER(Batmobile[[#This Row],[angvel_Y]],2) + POWER(Batmobile[[#This Row],[angvel_Z]],2))</f>
        <v>1.8460002654387675</v>
      </c>
      <c r="U76" s="1">
        <f>DEGREES(ASIN(MAX(-1,MIN(1,2 * (Batmobile[[#This Row],[quart_W]]*Batmobile[[#This Row],[quart_Y]] - Batmobile[[#This Row],[quart_Z]]*Batmobile[[#This Row],[quart_X]])))))</f>
        <v>0.34291465427445184</v>
      </c>
      <c r="V7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-45.77549308556469</v>
      </c>
      <c r="W7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89.992880486036952</v>
      </c>
      <c r="X76" s="1">
        <f>IF(Batmobile[[#This Row],[Yaw]]&gt;V75,(360-ABS(Batmobile[[#This Row],[Yaw]])-ABS(V75)),ABS(Batmobile[[#This Row],[Yaw]]-V75))</f>
        <v>0.87419721207135836</v>
      </c>
      <c r="Y76" s="1">
        <f>Batmobile[[#This Row],[Degree change]]+Y75</f>
        <v>14.926037162237616</v>
      </c>
    </row>
    <row r="77" spans="1:25">
      <c r="A77">
        <v>76</v>
      </c>
      <c r="B77" s="1">
        <v>91.919998000000007</v>
      </c>
      <c r="C77" s="1">
        <v>2289.290039</v>
      </c>
      <c r="D77" s="1">
        <v>18.649999999999999</v>
      </c>
      <c r="E77" s="1">
        <v>-1596.959961</v>
      </c>
      <c r="F77" s="1">
        <v>1655.179932</v>
      </c>
      <c r="G77" s="1">
        <v>8.19</v>
      </c>
      <c r="H77" s="1">
        <v>6.9999999999999999E-4</v>
      </c>
      <c r="I77" s="1">
        <v>-5.9999999999999995E-4</v>
      </c>
      <c r="J77" s="1">
        <v>1.8593</v>
      </c>
      <c r="K77" s="1">
        <v>-2.7590000000000002E-3</v>
      </c>
      <c r="L77" s="1">
        <v>1.157E-3</v>
      </c>
      <c r="M77" s="1">
        <v>0.92931200000000003</v>
      </c>
      <c r="N77" s="1">
        <v>0.36928299999999997</v>
      </c>
      <c r="O77">
        <v>1</v>
      </c>
      <c r="P77">
        <v>0</v>
      </c>
      <c r="Q77">
        <v>1</v>
      </c>
      <c r="R77">
        <v>1</v>
      </c>
      <c r="S77">
        <v>1</v>
      </c>
      <c r="T77" s="1">
        <f>SQRT(POWER(Batmobile[[#This Row],[angvel_X]],2) + POWER(Batmobile[[#This Row],[angvel_Y]],2) + POWER(Batmobile[[#This Row],[angvel_Z]],2))</f>
        <v>1.8593002285806346</v>
      </c>
      <c r="U77" s="1">
        <f>DEGREES(ASIN(MAX(-1,MIN(1,2 * (Batmobile[[#This Row],[quart_W]]*Batmobile[[#This Row],[quart_Y]] - Batmobile[[#This Row],[quart_Z]]*Batmobile[[#This Row],[quart_X]])))))</f>
        <v>0.34277201032532545</v>
      </c>
      <c r="V7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-46.65698587282256</v>
      </c>
      <c r="W7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89.993541253527908</v>
      </c>
      <c r="X77" s="1">
        <f>IF(Batmobile[[#This Row],[Yaw]]&gt;V76,(360-ABS(Batmobile[[#This Row],[Yaw]])-ABS(V76)),ABS(Batmobile[[#This Row],[Yaw]]-V76))</f>
        <v>0.88149278725786928</v>
      </c>
      <c r="Y77" s="1">
        <f>Batmobile[[#This Row],[Degree change]]+Y76</f>
        <v>15.807529949495486</v>
      </c>
    </row>
    <row r="78" spans="1:25">
      <c r="A78">
        <v>77</v>
      </c>
      <c r="B78" s="1">
        <v>78.559997999999993</v>
      </c>
      <c r="C78" s="1">
        <v>2303.1298830000001</v>
      </c>
      <c r="D78" s="1">
        <v>18.649999999999999</v>
      </c>
      <c r="E78" s="1">
        <v>-1620.4499510000001</v>
      </c>
      <c r="F78" s="1">
        <v>1632.1899410000001</v>
      </c>
      <c r="G78" s="1">
        <v>8.19</v>
      </c>
      <c r="H78" s="1">
        <v>6.9999999999999999E-4</v>
      </c>
      <c r="I78" s="1">
        <v>-5.9999999999999995E-4</v>
      </c>
      <c r="J78" s="1">
        <v>1.8714</v>
      </c>
      <c r="K78" s="1">
        <v>-2.7699999999999999E-3</v>
      </c>
      <c r="L78" s="1">
        <v>1.1299999999999999E-3</v>
      </c>
      <c r="M78" s="1">
        <v>0.93214600000000003</v>
      </c>
      <c r="N78" s="1">
        <v>0.36207</v>
      </c>
      <c r="O78">
        <v>1</v>
      </c>
      <c r="P78">
        <v>0</v>
      </c>
      <c r="Q78">
        <v>1</v>
      </c>
      <c r="R78">
        <v>1</v>
      </c>
      <c r="S78">
        <v>1</v>
      </c>
      <c r="T78" s="1">
        <f>SQRT(POWER(Batmobile[[#This Row],[angvel_X]],2) + POWER(Batmobile[[#This Row],[angvel_Y]],2) + POWER(Batmobile[[#This Row],[angvel_Z]],2))</f>
        <v>1.8714002271026902</v>
      </c>
      <c r="U78" s="1">
        <f>DEGREES(ASIN(MAX(-1,MIN(1,2 * (Batmobile[[#This Row],[quart_W]]*Batmobile[[#This Row],[quart_Y]] - Batmobile[[#This Row],[quart_Z]]*Batmobile[[#This Row],[quart_X]])))))</f>
        <v>0.34276642743925656</v>
      </c>
      <c r="V7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-47.545053212393142</v>
      </c>
      <c r="W7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89.994225504240177</v>
      </c>
      <c r="X78" s="1">
        <f>IF(Batmobile[[#This Row],[Yaw]]&gt;V77,(360-ABS(Batmobile[[#This Row],[Yaw]])-ABS(V77)),ABS(Batmobile[[#This Row],[Yaw]]-V77))</f>
        <v>0.8880673395705827</v>
      </c>
      <c r="Y78" s="1">
        <f>Batmobile[[#This Row],[Degree change]]+Y77</f>
        <v>16.695597289066068</v>
      </c>
    </row>
    <row r="79" spans="1:25">
      <c r="A79">
        <v>78</v>
      </c>
      <c r="B79" s="1">
        <v>65.010002</v>
      </c>
      <c r="C79" s="1">
        <v>2316.780029</v>
      </c>
      <c r="D79" s="1">
        <v>18.649999999999999</v>
      </c>
      <c r="E79" s="1">
        <v>-1643.929932</v>
      </c>
      <c r="F79" s="1">
        <v>1608.5399170000001</v>
      </c>
      <c r="G79" s="1">
        <v>8.19</v>
      </c>
      <c r="H79" s="1">
        <v>6.9999999999999999E-4</v>
      </c>
      <c r="I79" s="1">
        <v>-5.0000000000000001E-4</v>
      </c>
      <c r="J79" s="1">
        <v>1.8825000000000001</v>
      </c>
      <c r="K79" s="1">
        <v>-2.7810000000000001E-3</v>
      </c>
      <c r="L79" s="1">
        <v>1.103E-3</v>
      </c>
      <c r="M79" s="1">
        <v>0.93493999999999999</v>
      </c>
      <c r="N79" s="1">
        <v>0.35479300000000003</v>
      </c>
      <c r="O79">
        <v>1</v>
      </c>
      <c r="P79">
        <v>0</v>
      </c>
      <c r="Q79">
        <v>1</v>
      </c>
      <c r="R79">
        <v>1</v>
      </c>
      <c r="S79">
        <v>1</v>
      </c>
      <c r="T79" s="1">
        <f>SQRT(POWER(Batmobile[[#This Row],[angvel_X]],2) + POWER(Batmobile[[#This Row],[angvel_Y]],2) + POWER(Batmobile[[#This Row],[angvel_Z]],2))</f>
        <v>1.8825001965471346</v>
      </c>
      <c r="U79" s="1">
        <f>DEGREES(ASIN(MAX(-1,MIN(1,2 * (Batmobile[[#This Row],[quart_W]]*Batmobile[[#This Row],[quart_Y]] - Batmobile[[#This Row],[quart_Z]]*Batmobile[[#This Row],[quart_X]])))))</f>
        <v>0.34279178689050621</v>
      </c>
      <c r="V7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-48.438293597176013</v>
      </c>
      <c r="W7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89.994893767521404</v>
      </c>
      <c r="X79" s="1">
        <f>IF(Batmobile[[#This Row],[Yaw]]&gt;V78,(360-ABS(Batmobile[[#This Row],[Yaw]])-ABS(V78)),ABS(Batmobile[[#This Row],[Yaw]]-V78))</f>
        <v>0.89324038478287093</v>
      </c>
      <c r="Y79" s="1">
        <f>Batmobile[[#This Row],[Degree change]]+Y78</f>
        <v>17.588837673848939</v>
      </c>
    </row>
    <row r="80" spans="1:25">
      <c r="A80">
        <v>79</v>
      </c>
      <c r="B80" s="1">
        <v>51.259998000000003</v>
      </c>
      <c r="C80" s="1">
        <v>2330.2299800000001</v>
      </c>
      <c r="D80" s="1">
        <v>18.649999999999999</v>
      </c>
      <c r="E80" s="1">
        <v>-1667.349976</v>
      </c>
      <c r="F80" s="1">
        <v>1584.25</v>
      </c>
      <c r="G80" s="1">
        <v>8.19</v>
      </c>
      <c r="H80" s="1">
        <v>5.9999999999999995E-4</v>
      </c>
      <c r="I80" s="1">
        <v>-4.0000000000000002E-4</v>
      </c>
      <c r="J80" s="1">
        <v>1.8926000000000001</v>
      </c>
      <c r="K80" s="1">
        <v>-2.7920000000000002E-3</v>
      </c>
      <c r="L80" s="1">
        <v>1.0759999999999999E-3</v>
      </c>
      <c r="M80" s="1">
        <v>0.937693</v>
      </c>
      <c r="N80" s="1">
        <v>0.34744999999999998</v>
      </c>
      <c r="O80">
        <v>1</v>
      </c>
      <c r="P80">
        <v>0</v>
      </c>
      <c r="Q80">
        <v>1</v>
      </c>
      <c r="R80">
        <v>1</v>
      </c>
      <c r="S80">
        <v>1</v>
      </c>
      <c r="T80" s="1">
        <f>SQRT(POWER(Batmobile[[#This Row],[angvel_X]],2) + POWER(Batmobile[[#This Row],[angvel_Y]],2) + POWER(Batmobile[[#This Row],[angvel_Z]],2))</f>
        <v>1.8926001373771482</v>
      </c>
      <c r="U80" s="1">
        <f>DEGREES(ASIN(MAX(-1,MIN(1,2 * (Batmobile[[#This Row],[quart_W]]*Batmobile[[#This Row],[quart_Y]] - Batmobile[[#This Row],[quart_Z]]*Batmobile[[#This Row],[quart_X]])))))</f>
        <v>0.34284796491822084</v>
      </c>
      <c r="V8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-49.336892676105172</v>
      </c>
      <c r="W8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89.995544913485048</v>
      </c>
      <c r="X80" s="1">
        <f>IF(Batmobile[[#This Row],[Yaw]]&gt;V79,(360-ABS(Batmobile[[#This Row],[Yaw]])-ABS(V79)),ABS(Batmobile[[#This Row],[Yaw]]-V79))</f>
        <v>0.89859907892915913</v>
      </c>
      <c r="Y80" s="1">
        <f>Batmobile[[#This Row],[Degree change]]+Y79</f>
        <v>18.487436752778098</v>
      </c>
    </row>
    <row r="81" spans="1:25">
      <c r="A81">
        <v>80</v>
      </c>
      <c r="B81" s="1">
        <v>37.309998</v>
      </c>
      <c r="C81" s="1">
        <v>2343.4799800000001</v>
      </c>
      <c r="D81" s="1">
        <v>18.649999999999999</v>
      </c>
      <c r="E81" s="1">
        <v>-1690.669922</v>
      </c>
      <c r="F81" s="1">
        <v>1559.339966</v>
      </c>
      <c r="G81" s="1">
        <v>8.19</v>
      </c>
      <c r="H81" s="1">
        <v>5.0000000000000001E-4</v>
      </c>
      <c r="I81" s="1">
        <v>-2.9999999999999997E-4</v>
      </c>
      <c r="J81" s="1">
        <v>1.9017999999999999</v>
      </c>
      <c r="K81" s="1">
        <v>-2.8029999999999999E-3</v>
      </c>
      <c r="L81" s="1">
        <v>1.049E-3</v>
      </c>
      <c r="M81" s="1">
        <v>0.94040500000000005</v>
      </c>
      <c r="N81" s="1">
        <v>0.34004299999999998</v>
      </c>
      <c r="O81">
        <v>1</v>
      </c>
      <c r="P81">
        <v>0</v>
      </c>
      <c r="Q81">
        <v>1</v>
      </c>
      <c r="R81">
        <v>1</v>
      </c>
      <c r="S81">
        <v>1</v>
      </c>
      <c r="T81" s="1">
        <f>SQRT(POWER(Batmobile[[#This Row],[angvel_X]],2) + POWER(Batmobile[[#This Row],[angvel_Y]],2) + POWER(Batmobile[[#This Row],[angvel_Z]],2))</f>
        <v>1.9018000893889977</v>
      </c>
      <c r="U81" s="1">
        <f>DEGREES(ASIN(MAX(-1,MIN(1,2 * (Batmobile[[#This Row],[quart_W]]*Batmobile[[#This Row],[quart_Y]] - Batmobile[[#This Row],[quart_Z]]*Batmobile[[#This Row],[quart_X]])))))</f>
        <v>0.34293565951263133</v>
      </c>
      <c r="V8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-50.24082450554134</v>
      </c>
      <c r="W8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89.996178954398758</v>
      </c>
      <c r="X81" s="1">
        <f>IF(Batmobile[[#This Row],[Yaw]]&gt;V80,(360-ABS(Batmobile[[#This Row],[Yaw]])-ABS(V80)),ABS(Batmobile[[#This Row],[Yaw]]-V80))</f>
        <v>0.90393182943616779</v>
      </c>
      <c r="Y81" s="1">
        <f>Batmobile[[#This Row],[Degree change]]+Y80</f>
        <v>19.391368582214266</v>
      </c>
    </row>
    <row r="82" spans="1:25">
      <c r="A82">
        <v>81</v>
      </c>
      <c r="B82" s="1">
        <v>23.17</v>
      </c>
      <c r="C82" s="1">
        <v>2356.5200199999999</v>
      </c>
      <c r="D82" s="1">
        <v>18.649999999999999</v>
      </c>
      <c r="E82" s="1">
        <v>-1713.849976</v>
      </c>
      <c r="F82" s="1">
        <v>1533.829956</v>
      </c>
      <c r="G82" s="1">
        <v>8.19</v>
      </c>
      <c r="H82" s="1">
        <v>4.0000000000000002E-4</v>
      </c>
      <c r="I82" s="1">
        <v>-2.0000000000000001E-4</v>
      </c>
      <c r="J82" s="1">
        <v>1.9101999999999999</v>
      </c>
      <c r="K82" s="1">
        <v>-2.813E-3</v>
      </c>
      <c r="L82" s="1">
        <v>1.0219999999999999E-3</v>
      </c>
      <c r="M82" s="1">
        <v>0.94306900000000005</v>
      </c>
      <c r="N82" s="1">
        <v>0.33258199999999999</v>
      </c>
      <c r="O82">
        <v>1</v>
      </c>
      <c r="P82">
        <v>0</v>
      </c>
      <c r="Q82">
        <v>1</v>
      </c>
      <c r="R82">
        <v>1</v>
      </c>
      <c r="S82">
        <v>1</v>
      </c>
      <c r="T82" s="1">
        <f>SQRT(POWER(Batmobile[[#This Row],[angvel_X]],2) + POWER(Batmobile[[#This Row],[angvel_Y]],2) + POWER(Batmobile[[#This Row],[angvel_Z]],2))</f>
        <v>1.9102000523505385</v>
      </c>
      <c r="U82" s="1">
        <f>DEGREES(ASIN(MAX(-1,MIN(1,2 * (Batmobile[[#This Row],[quart_W]]*Batmobile[[#This Row],[quart_Y]] - Batmobile[[#This Row],[quart_Z]]*Batmobile[[#This Row],[quart_X]])))))</f>
        <v>0.34294615388099825</v>
      </c>
      <c r="V8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-51.148630941799119</v>
      </c>
      <c r="W8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89.996761200411683</v>
      </c>
      <c r="X82" s="1">
        <f>IF(Batmobile[[#This Row],[Yaw]]&gt;V81,(360-ABS(Batmobile[[#This Row],[Yaw]])-ABS(V81)),ABS(Batmobile[[#This Row],[Yaw]]-V81))</f>
        <v>0.90780643625777913</v>
      </c>
      <c r="Y82" s="1">
        <f>Batmobile[[#This Row],[Degree change]]+Y81</f>
        <v>20.299175018472045</v>
      </c>
    </row>
    <row r="83" spans="1:25">
      <c r="A83">
        <v>82</v>
      </c>
      <c r="B83" s="1">
        <v>8.83</v>
      </c>
      <c r="C83" s="1">
        <v>2369.3498540000001</v>
      </c>
      <c r="D83" s="1">
        <v>18.649999999999999</v>
      </c>
      <c r="E83" s="1">
        <v>-1736.849976</v>
      </c>
      <c r="F83" s="1">
        <v>1507.7299800000001</v>
      </c>
      <c r="G83" s="1">
        <v>8.19</v>
      </c>
      <c r="H83" s="1">
        <v>4.0000000000000002E-4</v>
      </c>
      <c r="I83" s="1">
        <v>-2.0000000000000001E-4</v>
      </c>
      <c r="J83" s="1">
        <v>1.9178999999999999</v>
      </c>
      <c r="K83" s="1">
        <v>-2.8240000000000001E-3</v>
      </c>
      <c r="L83" s="1">
        <v>1.0009999999999999E-3</v>
      </c>
      <c r="M83" s="1">
        <v>0.94568600000000003</v>
      </c>
      <c r="N83" s="1">
        <v>0.32506699999999999</v>
      </c>
      <c r="O83">
        <v>1</v>
      </c>
      <c r="P83">
        <v>0</v>
      </c>
      <c r="Q83">
        <v>1</v>
      </c>
      <c r="R83">
        <v>1</v>
      </c>
      <c r="S83">
        <v>1</v>
      </c>
      <c r="T83" s="1">
        <f>SQRT(POWER(Batmobile[[#This Row],[angvel_X]],2) + POWER(Batmobile[[#This Row],[angvel_Y]],2) + POWER(Batmobile[[#This Row],[angvel_Z]],2))</f>
        <v>1.9179000521403611</v>
      </c>
      <c r="U83" s="1">
        <f>DEGREES(ASIN(MAX(-1,MIN(1,2 * (Batmobile[[#This Row],[quart_W]]*Batmobile[[#This Row],[quart_Y]] - Batmobile[[#This Row],[quart_Z]]*Batmobile[[#This Row],[quart_X]])))))</f>
        <v>0.34331943455708203</v>
      </c>
      <c r="V8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-52.060539460321962</v>
      </c>
      <c r="W8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89.996717754865927</v>
      </c>
      <c r="X83" s="1">
        <f>IF(Batmobile[[#This Row],[Yaw]]&gt;V82,(360-ABS(Batmobile[[#This Row],[Yaw]])-ABS(V82)),ABS(Batmobile[[#This Row],[Yaw]]-V82))</f>
        <v>0.91190851852284283</v>
      </c>
      <c r="Y83" s="1">
        <f>Batmobile[[#This Row],[Degree change]]+Y82</f>
        <v>21.211083536994888</v>
      </c>
    </row>
    <row r="84" spans="1:25">
      <c r="A84">
        <v>83</v>
      </c>
      <c r="B84" s="1">
        <v>-5.7</v>
      </c>
      <c r="C84" s="1">
        <v>2381.959961</v>
      </c>
      <c r="D84" s="1">
        <v>18.649999999999999</v>
      </c>
      <c r="E84" s="1">
        <v>-1759.6499020000001</v>
      </c>
      <c r="F84" s="1">
        <v>1481.059937</v>
      </c>
      <c r="G84" s="1">
        <v>8.19</v>
      </c>
      <c r="H84" s="1">
        <v>4.0000000000000002E-4</v>
      </c>
      <c r="I84" s="1">
        <v>-1E-4</v>
      </c>
      <c r="J84" s="1">
        <v>1.9249000000000001</v>
      </c>
      <c r="K84" s="1">
        <v>-2.8349999999999998E-3</v>
      </c>
      <c r="L84" s="1">
        <v>9.7400000000000004E-4</v>
      </c>
      <c r="M84" s="1">
        <v>0.94825400000000004</v>
      </c>
      <c r="N84" s="1">
        <v>0.317498</v>
      </c>
      <c r="O84">
        <v>1</v>
      </c>
      <c r="P84">
        <v>0</v>
      </c>
      <c r="Q84">
        <v>1</v>
      </c>
      <c r="R84">
        <v>1</v>
      </c>
      <c r="S84">
        <v>1</v>
      </c>
      <c r="T84" s="1">
        <f>SQRT(POWER(Batmobile[[#This Row],[angvel_X]],2) + POWER(Batmobile[[#This Row],[angvel_Y]],2) + POWER(Batmobile[[#This Row],[angvel_Z]],2))</f>
        <v>1.9249000441581376</v>
      </c>
      <c r="U84" s="1">
        <f>DEGREES(ASIN(MAX(-1,MIN(1,2 * (Batmobile[[#This Row],[quart_W]]*Batmobile[[#This Row],[quart_Y]] - Batmobile[[#This Row],[quart_Z]]*Batmobile[[#This Row],[quart_X]])))))</f>
        <v>0.34349519950782514</v>
      </c>
      <c r="V8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-52.976451336398192</v>
      </c>
      <c r="W8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89.997307901856658</v>
      </c>
      <c r="X84" s="1">
        <f>IF(Batmobile[[#This Row],[Yaw]]&gt;V83,(360-ABS(Batmobile[[#This Row],[Yaw]])-ABS(V83)),ABS(Batmobile[[#This Row],[Yaw]]-V83))</f>
        <v>0.9159118760762297</v>
      </c>
      <c r="Y84" s="1">
        <f>Batmobile[[#This Row],[Degree change]]+Y83</f>
        <v>22.126995413071118</v>
      </c>
    </row>
    <row r="85" spans="1:25">
      <c r="A85">
        <v>84</v>
      </c>
      <c r="B85" s="1">
        <v>-20.420000000000002</v>
      </c>
      <c r="C85" s="1">
        <v>2394.3398440000001</v>
      </c>
      <c r="D85" s="1">
        <v>18.649999999999999</v>
      </c>
      <c r="E85" s="1">
        <v>-1782.209961</v>
      </c>
      <c r="F85" s="1">
        <v>1453.839966</v>
      </c>
      <c r="G85" s="1">
        <v>8.19</v>
      </c>
      <c r="H85" s="1">
        <v>4.0000000000000002E-4</v>
      </c>
      <c r="I85" s="1">
        <v>0</v>
      </c>
      <c r="J85" s="1">
        <v>1.9313</v>
      </c>
      <c r="K85" s="1">
        <v>-2.8400000000000001E-3</v>
      </c>
      <c r="L85" s="1">
        <v>9.4700000000000003E-4</v>
      </c>
      <c r="M85" s="1">
        <v>0.95077100000000003</v>
      </c>
      <c r="N85" s="1">
        <v>0.30988100000000002</v>
      </c>
      <c r="O85">
        <v>1</v>
      </c>
      <c r="P85">
        <v>0</v>
      </c>
      <c r="Q85">
        <v>1</v>
      </c>
      <c r="R85">
        <v>1</v>
      </c>
      <c r="S85">
        <v>1</v>
      </c>
      <c r="T85" s="1">
        <f>SQRT(POWER(Batmobile[[#This Row],[angvel_X]],2) + POWER(Batmobile[[#This Row],[angvel_Y]],2) + POWER(Batmobile[[#This Row],[angvel_Z]],2))</f>
        <v>1.9313000414228754</v>
      </c>
      <c r="U85" s="1">
        <f>DEGREES(ASIN(MAX(-1,MIN(1,2 * (Batmobile[[#This Row],[quart_W]]*Batmobile[[#This Row],[quart_Y]] - Batmobile[[#This Row],[quart_Z]]*Batmobile[[#This Row],[quart_X]])))))</f>
        <v>0.3430487204353922</v>
      </c>
      <c r="V8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-53.89575754448596</v>
      </c>
      <c r="W8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89.997671675854818</v>
      </c>
      <c r="X85" s="1">
        <f>IF(Batmobile[[#This Row],[Yaw]]&gt;V84,(360-ABS(Batmobile[[#This Row],[Yaw]])-ABS(V84)),ABS(Batmobile[[#This Row],[Yaw]]-V84))</f>
        <v>0.91930620808776808</v>
      </c>
      <c r="Y85" s="1">
        <f>Batmobile[[#This Row],[Degree change]]+Y84</f>
        <v>23.046301621158886</v>
      </c>
    </row>
    <row r="86" spans="1:25">
      <c r="A86">
        <v>85</v>
      </c>
      <c r="B86" s="1">
        <v>-35.329998000000003</v>
      </c>
      <c r="C86" s="1">
        <v>2406.5</v>
      </c>
      <c r="D86" s="1">
        <v>18.649999999999999</v>
      </c>
      <c r="E86" s="1">
        <v>-1804.5</v>
      </c>
      <c r="F86" s="1">
        <v>1426.079956</v>
      </c>
      <c r="G86" s="1">
        <v>8.19</v>
      </c>
      <c r="H86" s="1">
        <v>2.9999999999999997E-4</v>
      </c>
      <c r="I86" s="1">
        <v>0</v>
      </c>
      <c r="J86" s="1">
        <v>1.9371</v>
      </c>
      <c r="K86" s="1">
        <v>-2.846E-3</v>
      </c>
      <c r="L86" s="1">
        <v>9.2000000000000003E-4</v>
      </c>
      <c r="M86" s="1">
        <v>0.953233</v>
      </c>
      <c r="N86" s="1">
        <v>0.30221999999999999</v>
      </c>
      <c r="O86">
        <v>1</v>
      </c>
      <c r="P86">
        <v>0</v>
      </c>
      <c r="Q86">
        <v>1</v>
      </c>
      <c r="R86">
        <v>1</v>
      </c>
      <c r="S86">
        <v>1</v>
      </c>
      <c r="T86" s="1">
        <f>SQRT(POWER(Batmobile[[#This Row],[angvel_X]],2) + POWER(Batmobile[[#This Row],[angvel_Y]],2) + POWER(Batmobile[[#This Row],[angvel_Z]],2))</f>
        <v>1.9371000232306024</v>
      </c>
      <c r="U86" s="1">
        <f>DEGREES(ASIN(MAX(-1,MIN(1,2 * (Batmobile[[#This Row],[quart_W]]*Batmobile[[#This Row],[quart_Y]] - Batmobile[[#This Row],[quart_Z]]*Batmobile[[#This Row],[quart_X]])))))</f>
        <v>0.34273892474379924</v>
      </c>
      <c r="V8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-54.817812715533471</v>
      </c>
      <c r="W8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89.998068382618868</v>
      </c>
      <c r="X86" s="1">
        <f>IF(Batmobile[[#This Row],[Yaw]]&gt;V85,(360-ABS(Batmobile[[#This Row],[Yaw]])-ABS(V85)),ABS(Batmobile[[#This Row],[Yaw]]-V85))</f>
        <v>0.92205517104751067</v>
      </c>
      <c r="Y86" s="1">
        <f>Batmobile[[#This Row],[Degree change]]+Y85</f>
        <v>23.968356792206396</v>
      </c>
    </row>
    <row r="87" spans="1:25">
      <c r="A87">
        <v>86</v>
      </c>
      <c r="B87" s="1">
        <v>-50.419998</v>
      </c>
      <c r="C87" s="1">
        <v>2418.419922</v>
      </c>
      <c r="D87" s="1">
        <v>18.649999999999999</v>
      </c>
      <c r="E87" s="1">
        <v>-1826.48999</v>
      </c>
      <c r="F87" s="1">
        <v>1397.7899170000001</v>
      </c>
      <c r="G87" s="1">
        <v>8.19</v>
      </c>
      <c r="H87" s="1">
        <v>2.0000000000000001E-4</v>
      </c>
      <c r="I87" s="1">
        <v>0</v>
      </c>
      <c r="J87" s="1">
        <v>1.9424999999999999</v>
      </c>
      <c r="K87" s="1">
        <v>-2.8509999999999998E-3</v>
      </c>
      <c r="L87" s="1">
        <v>8.9800000000000004E-4</v>
      </c>
      <c r="M87" s="1">
        <v>0.95564199999999999</v>
      </c>
      <c r="N87" s="1">
        <v>0.29451699999999997</v>
      </c>
      <c r="O87">
        <v>1</v>
      </c>
      <c r="P87">
        <v>0</v>
      </c>
      <c r="Q87">
        <v>1</v>
      </c>
      <c r="R87">
        <v>1</v>
      </c>
      <c r="S87">
        <v>1</v>
      </c>
      <c r="T87" s="1">
        <f>SQRT(POWER(Batmobile[[#This Row],[angvel_X]],2) + POWER(Batmobile[[#This Row],[angvel_Y]],2) + POWER(Batmobile[[#This Row],[angvel_Z]],2))</f>
        <v>1.9425000102960102</v>
      </c>
      <c r="U87" s="1">
        <f>DEGREES(ASIN(MAX(-1,MIN(1,2 * (Batmobile[[#This Row],[quart_W]]*Batmobile[[#This Row],[quart_Y]] - Batmobile[[#This Row],[quart_Z]]*Batmobile[[#This Row],[quart_X]])))))</f>
        <v>0.34251754020662495</v>
      </c>
      <c r="V8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-55.742736308516434</v>
      </c>
      <c r="W8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89.997880184551917</v>
      </c>
      <c r="X87" s="1">
        <f>IF(Batmobile[[#This Row],[Yaw]]&gt;V86,(360-ABS(Batmobile[[#This Row],[Yaw]])-ABS(V86)),ABS(Batmobile[[#This Row],[Yaw]]-V86))</f>
        <v>0.92492359298296378</v>
      </c>
      <c r="Y87" s="1">
        <f>Batmobile[[#This Row],[Degree change]]+Y86</f>
        <v>24.89328038518936</v>
      </c>
    </row>
    <row r="88" spans="1:25">
      <c r="A88">
        <v>87</v>
      </c>
      <c r="B88" s="1">
        <v>-65.699996999999996</v>
      </c>
      <c r="C88" s="1">
        <v>2430.1098630000001</v>
      </c>
      <c r="D88" s="1">
        <v>18.649999999999999</v>
      </c>
      <c r="E88" s="1">
        <v>-1848.169922</v>
      </c>
      <c r="F88" s="1">
        <v>1369</v>
      </c>
      <c r="G88" s="1">
        <v>8.19</v>
      </c>
      <c r="H88" s="1">
        <v>2.0000000000000001E-4</v>
      </c>
      <c r="I88" s="1">
        <v>0</v>
      </c>
      <c r="J88" s="1">
        <v>1.9474</v>
      </c>
      <c r="K88" s="1">
        <v>-2.8570000000000002E-3</v>
      </c>
      <c r="L88" s="1">
        <v>8.7699999999999996E-4</v>
      </c>
      <c r="M88" s="1">
        <v>0.95799299999999998</v>
      </c>
      <c r="N88" s="1">
        <v>0.286775</v>
      </c>
      <c r="O88">
        <v>1</v>
      </c>
      <c r="P88">
        <v>0</v>
      </c>
      <c r="Q88">
        <v>1</v>
      </c>
      <c r="R88">
        <v>1</v>
      </c>
      <c r="S88">
        <v>1</v>
      </c>
      <c r="T88" s="1">
        <f>SQRT(POWER(Batmobile[[#This Row],[angvel_X]],2) + POWER(Batmobile[[#This Row],[angvel_Y]],2) + POWER(Batmobile[[#This Row],[angvel_Z]],2))</f>
        <v>1.9474000102701039</v>
      </c>
      <c r="U88" s="1">
        <f>DEGREES(ASIN(MAX(-1,MIN(1,2 * (Batmobile[[#This Row],[quart_W]]*Batmobile[[#This Row],[quart_Y]] - Batmobile[[#This Row],[quart_Z]]*Batmobile[[#This Row],[quart_X]])))))</f>
        <v>0.3424575009492955</v>
      </c>
      <c r="V8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-56.669869508623414</v>
      </c>
      <c r="W8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89.997611446859693</v>
      </c>
      <c r="X88" s="1">
        <f>IF(Batmobile[[#This Row],[Yaw]]&gt;V87,(360-ABS(Batmobile[[#This Row],[Yaw]])-ABS(V87)),ABS(Batmobile[[#This Row],[Yaw]]-V87))</f>
        <v>0.92713320010697942</v>
      </c>
      <c r="Y88" s="1">
        <f>Batmobile[[#This Row],[Degree change]]+Y87</f>
        <v>25.82041358529634</v>
      </c>
    </row>
    <row r="89" spans="1:25">
      <c r="A89">
        <v>88</v>
      </c>
      <c r="B89" s="1">
        <v>-81.159996000000007</v>
      </c>
      <c r="C89" s="1">
        <v>2441.5600589999999</v>
      </c>
      <c r="D89" s="1">
        <v>18.649999999999999</v>
      </c>
      <c r="E89" s="1">
        <v>-1869.5</v>
      </c>
      <c r="F89" s="1">
        <v>1339.719971</v>
      </c>
      <c r="G89" s="1">
        <v>8.19</v>
      </c>
      <c r="H89" s="1">
        <v>2.0000000000000001E-4</v>
      </c>
      <c r="I89" s="1">
        <v>0</v>
      </c>
      <c r="J89" s="1">
        <v>1.9519</v>
      </c>
      <c r="K89" s="1">
        <v>-2.862E-3</v>
      </c>
      <c r="L89" s="1">
        <v>8.5499999999999997E-4</v>
      </c>
      <c r="M89" s="1">
        <v>0.96028899999999995</v>
      </c>
      <c r="N89" s="1">
        <v>0.27899000000000002</v>
      </c>
      <c r="O89">
        <v>1</v>
      </c>
      <c r="P89">
        <v>0</v>
      </c>
      <c r="Q89">
        <v>1</v>
      </c>
      <c r="R89">
        <v>1</v>
      </c>
      <c r="S89">
        <v>1</v>
      </c>
      <c r="T89" s="1">
        <f>SQRT(POWER(Batmobile[[#This Row],[angvel_X]],2) + POWER(Batmobile[[#This Row],[angvel_Y]],2) + POWER(Batmobile[[#This Row],[angvel_Z]],2))</f>
        <v>1.9519000102464266</v>
      </c>
      <c r="U89" s="1">
        <f>DEGREES(ASIN(MAX(-1,MIN(1,2 * (Batmobile[[#This Row],[quart_W]]*Batmobile[[#This Row],[quart_Y]] - Batmobile[[#This Row],[quart_Z]]*Batmobile[[#This Row],[quart_X]])))))</f>
        <v>0.34227368043103829</v>
      </c>
      <c r="V8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-57.599958320690355</v>
      </c>
      <c r="W8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89.997412738273212</v>
      </c>
      <c r="X89" s="1">
        <f>IF(Batmobile[[#This Row],[Yaw]]&gt;V88,(360-ABS(Batmobile[[#This Row],[Yaw]])-ABS(V88)),ABS(Batmobile[[#This Row],[Yaw]]-V88))</f>
        <v>0.93008881206694127</v>
      </c>
      <c r="Y89" s="1">
        <f>Batmobile[[#This Row],[Degree change]]+Y88</f>
        <v>26.750502397363281</v>
      </c>
    </row>
    <row r="90" spans="1:25">
      <c r="A90">
        <v>89</v>
      </c>
      <c r="B90" s="1">
        <v>-96.799994999999996</v>
      </c>
      <c r="C90" s="1">
        <v>2452.76001</v>
      </c>
      <c r="D90" s="1">
        <v>18.649999999999999</v>
      </c>
      <c r="E90" s="1">
        <v>-1890.4799800000001</v>
      </c>
      <c r="F90" s="1">
        <v>1309.959961</v>
      </c>
      <c r="G90" s="1">
        <v>8.19</v>
      </c>
      <c r="H90" s="1">
        <v>2.0000000000000001E-4</v>
      </c>
      <c r="I90" s="1">
        <v>0</v>
      </c>
      <c r="J90" s="1">
        <v>1.956</v>
      </c>
      <c r="K90" s="1">
        <v>-2.8670000000000002E-3</v>
      </c>
      <c r="L90" s="1">
        <v>8.3299999999999997E-4</v>
      </c>
      <c r="M90" s="1">
        <v>0.96252599999999999</v>
      </c>
      <c r="N90" s="1">
        <v>0.271173</v>
      </c>
      <c r="O90">
        <v>1</v>
      </c>
      <c r="P90">
        <v>0</v>
      </c>
      <c r="Q90">
        <v>1</v>
      </c>
      <c r="R90">
        <v>1</v>
      </c>
      <c r="S90">
        <v>1</v>
      </c>
      <c r="T90" s="1">
        <f>SQRT(POWER(Batmobile[[#This Row],[angvel_X]],2) + POWER(Batmobile[[#This Row],[angvel_Y]],2) + POWER(Batmobile[[#This Row],[angvel_Z]],2))</f>
        <v>1.9560000102249488</v>
      </c>
      <c r="U90" s="1">
        <f>DEGREES(ASIN(MAX(-1,MIN(1,2 * (Batmobile[[#This Row],[quart_W]]*Batmobile[[#This Row],[quart_Y]] - Batmobile[[#This Row],[quart_Z]]*Batmobile[[#This Row],[quart_X]])))))</f>
        <v>0.34210930541916229</v>
      </c>
      <c r="V9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-58.531706699004509</v>
      </c>
      <c r="W9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89.997211803937148</v>
      </c>
      <c r="X90" s="1">
        <f>IF(Batmobile[[#This Row],[Yaw]]&gt;V89,(360-ABS(Batmobile[[#This Row],[Yaw]])-ABS(V89)),ABS(Batmobile[[#This Row],[Yaw]]-V89))</f>
        <v>0.93174837831415402</v>
      </c>
      <c r="Y90" s="1">
        <f>Batmobile[[#This Row],[Degree change]]+Y89</f>
        <v>27.682250775677435</v>
      </c>
    </row>
    <row r="91" spans="1:25">
      <c r="A91">
        <v>90</v>
      </c>
      <c r="B91" s="1">
        <v>-112.610001</v>
      </c>
      <c r="C91" s="1">
        <v>2463.709961</v>
      </c>
      <c r="D91" s="1">
        <v>18.649999999999999</v>
      </c>
      <c r="E91" s="1">
        <v>-1911.059937</v>
      </c>
      <c r="F91" s="1">
        <v>1279.73999</v>
      </c>
      <c r="G91" s="1">
        <v>8.19</v>
      </c>
      <c r="H91" s="1">
        <v>2.0000000000000001E-4</v>
      </c>
      <c r="I91" s="1">
        <v>-1E-4</v>
      </c>
      <c r="J91" s="1">
        <v>1.9598</v>
      </c>
      <c r="K91" s="1">
        <v>-2.8730000000000001E-3</v>
      </c>
      <c r="L91" s="1">
        <v>8.12E-4</v>
      </c>
      <c r="M91" s="1">
        <v>0.96470400000000001</v>
      </c>
      <c r="N91" s="1">
        <v>0.263318</v>
      </c>
      <c r="O91">
        <v>1</v>
      </c>
      <c r="P91">
        <v>0</v>
      </c>
      <c r="Q91">
        <v>1</v>
      </c>
      <c r="R91">
        <v>1</v>
      </c>
      <c r="S91">
        <v>1</v>
      </c>
      <c r="T91" s="1">
        <f>SQRT(POWER(Batmobile[[#This Row],[angvel_X]],2) + POWER(Batmobile[[#This Row],[angvel_Y]],2) + POWER(Batmobile[[#This Row],[angvel_Z]],2))</f>
        <v>1.9598000127564037</v>
      </c>
      <c r="U91" s="1">
        <f>DEGREES(ASIN(MAX(-1,MIN(1,2 * (Batmobile[[#This Row],[quart_W]]*Batmobile[[#This Row],[quart_Y]] - Batmobile[[#This Row],[quart_Z]]*Batmobile[[#This Row],[quart_X]])))))</f>
        <v>0.34210468236948721</v>
      </c>
      <c r="V9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-59.465765047865595</v>
      </c>
      <c r="W9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89.996925793549138</v>
      </c>
      <c r="X91" s="1">
        <f>IF(Batmobile[[#This Row],[Yaw]]&gt;V90,(360-ABS(Batmobile[[#This Row],[Yaw]])-ABS(V90)),ABS(Batmobile[[#This Row],[Yaw]]-V90))</f>
        <v>0.93405834886108607</v>
      </c>
      <c r="Y91" s="1">
        <f>Batmobile[[#This Row],[Degree change]]+Y90</f>
        <v>28.616309124538521</v>
      </c>
    </row>
    <row r="92" spans="1:25">
      <c r="A92">
        <v>91</v>
      </c>
      <c r="B92" s="1">
        <v>-128.58999600000001</v>
      </c>
      <c r="C92" s="1">
        <v>2474.4099120000001</v>
      </c>
      <c r="D92" s="1">
        <v>18.649999999999999</v>
      </c>
      <c r="E92" s="1">
        <v>-1931.25</v>
      </c>
      <c r="F92" s="1">
        <v>1249.0699460000001</v>
      </c>
      <c r="G92" s="1">
        <v>8.19</v>
      </c>
      <c r="H92" s="1">
        <v>2.0000000000000001E-4</v>
      </c>
      <c r="I92" s="1">
        <v>-1E-4</v>
      </c>
      <c r="J92" s="1">
        <v>1.9632000000000001</v>
      </c>
      <c r="K92" s="1">
        <v>-2.8779999999999999E-3</v>
      </c>
      <c r="L92" s="1">
        <v>7.85E-4</v>
      </c>
      <c r="M92" s="1">
        <v>0.96682299999999999</v>
      </c>
      <c r="N92" s="1">
        <v>0.25543100000000002</v>
      </c>
      <c r="O92">
        <v>1</v>
      </c>
      <c r="P92">
        <v>0</v>
      </c>
      <c r="Q92">
        <v>1</v>
      </c>
      <c r="R92">
        <v>1</v>
      </c>
      <c r="S92">
        <v>1</v>
      </c>
      <c r="T92" s="1">
        <f>SQRT(POWER(Batmobile[[#This Row],[angvel_X]],2) + POWER(Batmobile[[#This Row],[angvel_Y]],2) + POWER(Batmobile[[#This Row],[angvel_Z]],2))</f>
        <v>1.9632000127343114</v>
      </c>
      <c r="U92" s="1">
        <f>DEGREES(ASIN(MAX(-1,MIN(1,2 * (Batmobile[[#This Row],[quart_W]]*Batmobile[[#This Row],[quart_Y]] - Batmobile[[#This Row],[quart_Z]]*Batmobile[[#This Row],[quart_X]])))))</f>
        <v>0.3418320780607082</v>
      </c>
      <c r="V9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-60.401649016733806</v>
      </c>
      <c r="W9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89.997269734519591</v>
      </c>
      <c r="X92" s="1">
        <f>IF(Batmobile[[#This Row],[Yaw]]&gt;V91,(360-ABS(Batmobile[[#This Row],[Yaw]])-ABS(V91)),ABS(Batmobile[[#This Row],[Yaw]]-V91))</f>
        <v>0.93588396886821101</v>
      </c>
      <c r="Y92" s="1">
        <f>Batmobile[[#This Row],[Degree change]]+Y91</f>
        <v>29.552193093406732</v>
      </c>
    </row>
    <row r="93" spans="1:25">
      <c r="A93">
        <v>92</v>
      </c>
      <c r="B93" s="1">
        <v>-144.73999000000001</v>
      </c>
      <c r="C93" s="1">
        <v>2484.8498540000001</v>
      </c>
      <c r="D93" s="1">
        <v>18.649999999999999</v>
      </c>
      <c r="E93" s="1">
        <v>-1951.01001</v>
      </c>
      <c r="F93" s="1">
        <v>1217.969971</v>
      </c>
      <c r="G93" s="1">
        <v>8.19</v>
      </c>
      <c r="H93" s="1">
        <v>2.0000000000000001E-4</v>
      </c>
      <c r="I93" s="1">
        <v>-1E-4</v>
      </c>
      <c r="J93" s="1">
        <v>1.9663999999999999</v>
      </c>
      <c r="K93" s="1">
        <v>-2.8839999999999998E-3</v>
      </c>
      <c r="L93" s="1">
        <v>7.5799999999999999E-4</v>
      </c>
      <c r="M93" s="1">
        <v>0.96887999999999996</v>
      </c>
      <c r="N93" s="1">
        <v>0.24751100000000001</v>
      </c>
      <c r="O93">
        <v>1</v>
      </c>
      <c r="P93">
        <v>0</v>
      </c>
      <c r="Q93">
        <v>1</v>
      </c>
      <c r="R93">
        <v>1</v>
      </c>
      <c r="S93">
        <v>1</v>
      </c>
      <c r="T93" s="1">
        <f>SQRT(POWER(Batmobile[[#This Row],[angvel_X]],2) + POWER(Batmobile[[#This Row],[angvel_Y]],2) + POWER(Batmobile[[#This Row],[angvel_Z]],2))</f>
        <v>1.9664000127135881</v>
      </c>
      <c r="U93" s="1">
        <f>DEGREES(ASIN(MAX(-1,MIN(1,2 * (Batmobile[[#This Row],[quart_W]]*Batmobile[[#This Row],[quart_Y]] - Batmobile[[#This Row],[quart_Z]]*Batmobile[[#This Row],[quart_X]])))))</f>
        <v>0.34169838503353067</v>
      </c>
      <c r="V9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-61.339287061249955</v>
      </c>
      <c r="W9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89.997640596221885</v>
      </c>
      <c r="X93" s="1">
        <f>IF(Batmobile[[#This Row],[Yaw]]&gt;V92,(360-ABS(Batmobile[[#This Row],[Yaw]])-ABS(V92)),ABS(Batmobile[[#This Row],[Yaw]]-V92))</f>
        <v>0.93763804451614874</v>
      </c>
      <c r="Y93" s="1">
        <f>Batmobile[[#This Row],[Degree change]]+Y92</f>
        <v>30.489831137922881</v>
      </c>
    </row>
    <row r="94" spans="1:25">
      <c r="A94">
        <v>93</v>
      </c>
      <c r="B94" s="1">
        <v>-161.05999800000001</v>
      </c>
      <c r="C94" s="1">
        <v>2495.030029</v>
      </c>
      <c r="D94" s="1">
        <v>18.649999999999999</v>
      </c>
      <c r="E94" s="1">
        <v>-1970.339966</v>
      </c>
      <c r="F94" s="1">
        <v>1186.4499510000001</v>
      </c>
      <c r="G94" s="1">
        <v>8.19</v>
      </c>
      <c r="H94" s="1">
        <v>2.0000000000000001E-4</v>
      </c>
      <c r="I94" s="1">
        <v>-1E-4</v>
      </c>
      <c r="J94" s="1">
        <v>1.9693000000000001</v>
      </c>
      <c r="K94" s="1">
        <v>-2.8890000000000001E-3</v>
      </c>
      <c r="L94" s="1">
        <v>7.3099999999999999E-4</v>
      </c>
      <c r="M94" s="1">
        <v>0.97087599999999996</v>
      </c>
      <c r="N94" s="1">
        <v>0.239565</v>
      </c>
      <c r="O94">
        <v>1</v>
      </c>
      <c r="P94">
        <v>0</v>
      </c>
      <c r="Q94">
        <v>1</v>
      </c>
      <c r="R94">
        <v>1</v>
      </c>
      <c r="S94">
        <v>1</v>
      </c>
      <c r="T94" s="1">
        <f>SQRT(POWER(Batmobile[[#This Row],[angvel_X]],2) + POWER(Batmobile[[#This Row],[angvel_Y]],2) + POWER(Batmobile[[#This Row],[angvel_Z]],2))</f>
        <v>1.9693000126948663</v>
      </c>
      <c r="U94" s="1">
        <f>DEGREES(ASIN(MAX(-1,MIN(1,2 * (Batmobile[[#This Row],[quart_W]]*Batmobile[[#This Row],[quart_Y]] - Batmobile[[#This Row],[quart_Z]]*Batmobile[[#This Row],[quart_X]])))))</f>
        <v>0.34148289418350947</v>
      </c>
      <c r="V9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-62.278164444841906</v>
      </c>
      <c r="W9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89.997982342448722</v>
      </c>
      <c r="X94" s="1">
        <f>IF(Batmobile[[#This Row],[Yaw]]&gt;V93,(360-ABS(Batmobile[[#This Row],[Yaw]])-ABS(V93)),ABS(Batmobile[[#This Row],[Yaw]]-V93))</f>
        <v>0.93887738359195083</v>
      </c>
      <c r="Y94" s="1">
        <f>Batmobile[[#This Row],[Degree change]]+Y93</f>
        <v>31.428708521514832</v>
      </c>
    </row>
    <row r="95" spans="1:25">
      <c r="A95">
        <v>94</v>
      </c>
      <c r="B95" s="1">
        <v>-177.53999300000001</v>
      </c>
      <c r="C95" s="1">
        <v>2504.9499510000001</v>
      </c>
      <c r="D95" s="1">
        <v>18.649999999999999</v>
      </c>
      <c r="E95" s="1">
        <v>-1989.219971</v>
      </c>
      <c r="F95" s="1">
        <v>1154.5200199999999</v>
      </c>
      <c r="G95" s="1">
        <v>8.19</v>
      </c>
      <c r="H95" s="1">
        <v>1E-4</v>
      </c>
      <c r="I95" s="1">
        <v>-1E-4</v>
      </c>
      <c r="J95" s="1">
        <v>1.9719</v>
      </c>
      <c r="K95" s="1">
        <v>-2.8939999999999999E-3</v>
      </c>
      <c r="L95" s="1">
        <v>7.0399999999999998E-4</v>
      </c>
      <c r="M95" s="1">
        <v>0.97280900000000003</v>
      </c>
      <c r="N95" s="1">
        <v>0.23159099999999999</v>
      </c>
      <c r="O95">
        <v>1</v>
      </c>
      <c r="P95">
        <v>0</v>
      </c>
      <c r="Q95">
        <v>1</v>
      </c>
      <c r="R95">
        <v>1</v>
      </c>
      <c r="S95">
        <v>1</v>
      </c>
      <c r="T95" s="1">
        <f>SQRT(POWER(Batmobile[[#This Row],[angvel_X]],2) + POWER(Batmobile[[#This Row],[angvel_Y]],2) + POWER(Batmobile[[#This Row],[angvel_Z]],2))</f>
        <v>1.971900005071251</v>
      </c>
      <c r="U95" s="1">
        <f>DEGREES(ASIN(MAX(-1,MIN(1,2 * (Batmobile[[#This Row],[quart_W]]*Batmobile[[#This Row],[quart_Y]] - Batmobile[[#This Row],[quart_Z]]*Batmobile[[#This Row],[quart_X]])))))</f>
        <v>0.34129570910145268</v>
      </c>
      <c r="V9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-63.218390811667547</v>
      </c>
      <c r="W9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89.998323131111079</v>
      </c>
      <c r="X95" s="1">
        <f>IF(Batmobile[[#This Row],[Yaw]]&gt;V94,(360-ABS(Batmobile[[#This Row],[Yaw]])-ABS(V94)),ABS(Batmobile[[#This Row],[Yaw]]-V94))</f>
        <v>0.94022636682564098</v>
      </c>
      <c r="Y95" s="1">
        <f>Batmobile[[#This Row],[Degree change]]+Y94</f>
        <v>32.368934888340476</v>
      </c>
    </row>
    <row r="96" spans="1:25">
      <c r="A96">
        <v>95</v>
      </c>
      <c r="B96" s="1">
        <v>-194.179993</v>
      </c>
      <c r="C96" s="1">
        <v>2514.5998540000001</v>
      </c>
      <c r="D96" s="1">
        <v>18.649999999999999</v>
      </c>
      <c r="E96" s="1">
        <v>-2007.630005</v>
      </c>
      <c r="F96" s="1">
        <v>1122.1999510000001</v>
      </c>
      <c r="G96" s="1">
        <v>8.19</v>
      </c>
      <c r="H96" s="1">
        <v>0</v>
      </c>
      <c r="I96" s="1">
        <v>-1E-4</v>
      </c>
      <c r="J96" s="1">
        <v>1.9742999999999999</v>
      </c>
      <c r="K96" s="1">
        <v>-2.8999999999999998E-3</v>
      </c>
      <c r="L96" s="1">
        <v>6.8199999999999999E-4</v>
      </c>
      <c r="M96" s="1">
        <v>0.97467800000000004</v>
      </c>
      <c r="N96" s="1">
        <v>0.22359100000000001</v>
      </c>
      <c r="O96">
        <v>1</v>
      </c>
      <c r="P96">
        <v>0</v>
      </c>
      <c r="Q96">
        <v>1</v>
      </c>
      <c r="R96">
        <v>1</v>
      </c>
      <c r="S96">
        <v>1</v>
      </c>
      <c r="T96" s="1">
        <f>SQRT(POWER(Batmobile[[#This Row],[angvel_X]],2) + POWER(Batmobile[[#This Row],[angvel_Y]],2) + POWER(Batmobile[[#This Row],[angvel_Z]],2))</f>
        <v>1.974300002532543</v>
      </c>
      <c r="U96" s="1">
        <f>DEGREES(ASIN(MAX(-1,MIN(1,2 * (Batmobile[[#This Row],[quart_W]]*Batmobile[[#This Row],[quart_Y]] - Batmobile[[#This Row],[quart_Z]]*Batmobile[[#This Row],[quart_X]])))))</f>
        <v>0.34137660667729758</v>
      </c>
      <c r="V9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-64.159775888730493</v>
      </c>
      <c r="W9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89.998130234097374</v>
      </c>
      <c r="X96" s="1">
        <f>IF(Batmobile[[#This Row],[Yaw]]&gt;V95,(360-ABS(Batmobile[[#This Row],[Yaw]])-ABS(V95)),ABS(Batmobile[[#This Row],[Yaw]]-V95))</f>
        <v>0.94138507706294661</v>
      </c>
      <c r="Y96" s="1">
        <f>Batmobile[[#This Row],[Degree change]]+Y95</f>
        <v>33.310319965403423</v>
      </c>
    </row>
    <row r="97" spans="1:25">
      <c r="A97">
        <v>96</v>
      </c>
      <c r="B97" s="1">
        <v>-210.970001</v>
      </c>
      <c r="C97" s="1">
        <v>2523.9799800000001</v>
      </c>
      <c r="D97" s="1">
        <v>18.649999999999999</v>
      </c>
      <c r="E97" s="1">
        <v>-2025.559937</v>
      </c>
      <c r="F97" s="1">
        <v>1089.5</v>
      </c>
      <c r="G97" s="1">
        <v>8.19</v>
      </c>
      <c r="H97" s="1">
        <v>0</v>
      </c>
      <c r="I97" s="1">
        <v>-1E-4</v>
      </c>
      <c r="J97" s="1">
        <v>1.9764999999999999</v>
      </c>
      <c r="K97" s="1">
        <v>-2.905E-3</v>
      </c>
      <c r="L97" s="1">
        <v>6.6100000000000002E-4</v>
      </c>
      <c r="M97" s="1">
        <v>0.97648500000000005</v>
      </c>
      <c r="N97" s="1">
        <v>0.215563</v>
      </c>
      <c r="O97">
        <v>1</v>
      </c>
      <c r="P97">
        <v>0</v>
      </c>
      <c r="Q97">
        <v>1</v>
      </c>
      <c r="R97">
        <v>1</v>
      </c>
      <c r="S97">
        <v>1</v>
      </c>
      <c r="T97" s="1">
        <f>SQRT(POWER(Batmobile[[#This Row],[angvel_X]],2) + POWER(Batmobile[[#This Row],[angvel_Y]],2) + POWER(Batmobile[[#This Row],[angvel_Z]],2))</f>
        <v>1.9765000025297241</v>
      </c>
      <c r="U97" s="1">
        <f>DEGREES(ASIN(MAX(-1,MIN(1,2 * (Batmobile[[#This Row],[quart_W]]*Batmobile[[#This Row],[quart_Y]] - Batmobile[[#This Row],[quart_Z]]*Batmobile[[#This Row],[quart_X]])))))</f>
        <v>0.34139045027090681</v>
      </c>
      <c r="V9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-65.102747563707496</v>
      </c>
      <c r="W9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89.997794523683297</v>
      </c>
      <c r="X97" s="1">
        <f>IF(Batmobile[[#This Row],[Yaw]]&gt;V96,(360-ABS(Batmobile[[#This Row],[Yaw]])-ABS(V96)),ABS(Batmobile[[#This Row],[Yaw]]-V96))</f>
        <v>0.94297167497700229</v>
      </c>
      <c r="Y97" s="1">
        <f>Batmobile[[#This Row],[Degree change]]+Y96</f>
        <v>34.253291640380425</v>
      </c>
    </row>
    <row r="98" spans="1:25">
      <c r="A98">
        <v>97</v>
      </c>
      <c r="B98" s="1">
        <v>-227.909988</v>
      </c>
      <c r="C98" s="1">
        <v>2533.0898440000001</v>
      </c>
      <c r="D98" s="1">
        <v>18.649999999999999</v>
      </c>
      <c r="E98" s="1">
        <v>-2043</v>
      </c>
      <c r="F98" s="1">
        <v>1056.4399410000001</v>
      </c>
      <c r="G98" s="1">
        <v>8.19</v>
      </c>
      <c r="H98" s="1">
        <v>0</v>
      </c>
      <c r="I98" s="1">
        <v>-1E-4</v>
      </c>
      <c r="J98" s="1">
        <v>1.9785999999999999</v>
      </c>
      <c r="K98" s="1">
        <v>-2.911E-3</v>
      </c>
      <c r="L98" s="1">
        <v>6.3900000000000003E-4</v>
      </c>
      <c r="M98" s="1">
        <v>0.97822699999999996</v>
      </c>
      <c r="N98" s="1">
        <v>0.207514</v>
      </c>
      <c r="O98">
        <v>1</v>
      </c>
      <c r="P98">
        <v>0</v>
      </c>
      <c r="Q98">
        <v>1</v>
      </c>
      <c r="R98">
        <v>1</v>
      </c>
      <c r="S98">
        <v>1</v>
      </c>
      <c r="T98" s="1">
        <f>SQRT(POWER(Batmobile[[#This Row],[angvel_X]],2) + POWER(Batmobile[[#This Row],[angvel_Y]],2) + POWER(Batmobile[[#This Row],[angvel_Z]],2))</f>
        <v>1.9786000025270392</v>
      </c>
      <c r="U98" s="1">
        <f>DEGREES(ASIN(MAX(-1,MIN(1,2 * (Batmobile[[#This Row],[quart_W]]*Batmobile[[#This Row],[quart_Y]] - Batmobile[[#This Row],[quart_Z]]*Batmobile[[#This Row],[quart_X]])))))</f>
        <v>0.34151010603682347</v>
      </c>
      <c r="V9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-66.04645211843517</v>
      </c>
      <c r="W9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89.997591953235244</v>
      </c>
      <c r="X98" s="1">
        <f>IF(Batmobile[[#This Row],[Yaw]]&gt;V97,(360-ABS(Batmobile[[#This Row],[Yaw]])-ABS(V97)),ABS(Batmobile[[#This Row],[Yaw]]-V97))</f>
        <v>0.94370455472767389</v>
      </c>
      <c r="Y98" s="1">
        <f>Batmobile[[#This Row],[Degree change]]+Y97</f>
        <v>35.196996195108099</v>
      </c>
    </row>
    <row r="99" spans="1:25">
      <c r="A99">
        <v>98</v>
      </c>
      <c r="B99" s="1">
        <v>-245</v>
      </c>
      <c r="C99" s="1">
        <v>2541.919922</v>
      </c>
      <c r="D99" s="1">
        <v>18.649999999999999</v>
      </c>
      <c r="E99" s="1">
        <v>-2059.929932</v>
      </c>
      <c r="F99" s="1">
        <v>1023.0299680000001</v>
      </c>
      <c r="G99" s="1">
        <v>8.19</v>
      </c>
      <c r="H99" s="1">
        <v>0</v>
      </c>
      <c r="I99" s="1">
        <v>-1E-4</v>
      </c>
      <c r="J99" s="1">
        <v>1.9804999999999999</v>
      </c>
      <c r="K99" s="1">
        <v>-2.9160000000000002E-3</v>
      </c>
      <c r="L99" s="1">
        <v>6.1799999999999995E-4</v>
      </c>
      <c r="M99" s="1">
        <v>0.97990500000000003</v>
      </c>
      <c r="N99" s="1">
        <v>0.19944400000000001</v>
      </c>
      <c r="O99">
        <v>1</v>
      </c>
      <c r="P99">
        <v>0</v>
      </c>
      <c r="Q99">
        <v>1</v>
      </c>
      <c r="R99">
        <v>1</v>
      </c>
      <c r="S99">
        <v>1</v>
      </c>
      <c r="T99" s="1">
        <f>SQRT(POWER(Batmobile[[#This Row],[angvel_X]],2) + POWER(Batmobile[[#This Row],[angvel_Y]],2) + POWER(Batmobile[[#This Row],[angvel_Z]],2))</f>
        <v>1.9805000025246149</v>
      </c>
      <c r="U99" s="1">
        <f>DEGREES(ASIN(MAX(-1,MIN(1,2 * (Batmobile[[#This Row],[quart_W]]*Batmobile[[#This Row],[quart_Y]] - Batmobile[[#This Row],[quart_Z]]*Batmobile[[#This Row],[quart_X]])))))</f>
        <v>0.3415604274075667</v>
      </c>
      <c r="V9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-66.991030011739625</v>
      </c>
      <c r="W9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89.997249457374679</v>
      </c>
      <c r="X99" s="1">
        <f>IF(Batmobile[[#This Row],[Yaw]]&gt;V98,(360-ABS(Batmobile[[#This Row],[Yaw]])-ABS(V98)),ABS(Batmobile[[#This Row],[Yaw]]-V98))</f>
        <v>0.94457789330445507</v>
      </c>
      <c r="Y99" s="1">
        <f>Batmobile[[#This Row],[Degree change]]+Y98</f>
        <v>36.141574088412554</v>
      </c>
    </row>
    <row r="100" spans="1:25">
      <c r="A100">
        <v>99</v>
      </c>
      <c r="B100" s="1">
        <v>-262.22998000000001</v>
      </c>
      <c r="C100" s="1">
        <v>2550.469971</v>
      </c>
      <c r="D100" s="1">
        <v>18.649999999999999</v>
      </c>
      <c r="E100" s="1">
        <v>-2076.3498540000001</v>
      </c>
      <c r="F100" s="1">
        <v>989.27996800000005</v>
      </c>
      <c r="G100" s="1">
        <v>8.1999999999999993</v>
      </c>
      <c r="H100" s="1">
        <v>0</v>
      </c>
      <c r="I100" s="1">
        <v>-1E-4</v>
      </c>
      <c r="J100" s="1">
        <v>1.9822</v>
      </c>
      <c r="K100" s="1">
        <v>-2.921E-3</v>
      </c>
      <c r="L100" s="1">
        <v>5.9599999999999996E-4</v>
      </c>
      <c r="M100" s="1">
        <v>0.98151699999999997</v>
      </c>
      <c r="N100" s="1">
        <v>0.19135099999999999</v>
      </c>
      <c r="O100">
        <v>1</v>
      </c>
      <c r="P100">
        <v>0</v>
      </c>
      <c r="Q100">
        <v>1</v>
      </c>
      <c r="R100">
        <v>1</v>
      </c>
      <c r="S100">
        <v>1</v>
      </c>
      <c r="T100" s="1">
        <f>SQRT(POWER(Batmobile[[#This Row],[angvel_X]],2) + POWER(Batmobile[[#This Row],[angvel_Y]],2) + POWER(Batmobile[[#This Row],[angvel_Z]],2))</f>
        <v>1.9822000025224498</v>
      </c>
      <c r="U100" s="1">
        <f>DEGREES(ASIN(MAX(-1,MIN(1,2 * (Batmobile[[#This Row],[quart_W]]*Batmobile[[#This Row],[quart_Y]] - Batmobile[[#This Row],[quart_Z]]*Batmobile[[#This Row],[quart_X]])))))</f>
        <v>0.34160591888769798</v>
      </c>
      <c r="V10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-67.936625240961547</v>
      </c>
      <c r="W10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89.997015081944753</v>
      </c>
      <c r="X100" s="1">
        <f>IF(Batmobile[[#This Row],[Yaw]]&gt;V99,(360-ABS(Batmobile[[#This Row],[Yaw]])-ABS(V99)),ABS(Batmobile[[#This Row],[Yaw]]-V99))</f>
        <v>0.9455952292219223</v>
      </c>
      <c r="Y100" s="1">
        <f>Batmobile[[#This Row],[Degree change]]+Y99</f>
        <v>37.087169317634476</v>
      </c>
    </row>
    <row r="101" spans="1:25">
      <c r="A101">
        <v>100</v>
      </c>
      <c r="B101" s="1">
        <v>-279.60000600000001</v>
      </c>
      <c r="C101" s="1">
        <v>2558.73999</v>
      </c>
      <c r="D101" s="1">
        <v>18.649999999999999</v>
      </c>
      <c r="E101" s="1">
        <v>-2092.23999</v>
      </c>
      <c r="F101" s="1">
        <v>955.20996100000002</v>
      </c>
      <c r="G101" s="1">
        <v>8.1999999999999993</v>
      </c>
      <c r="H101" s="1">
        <v>1E-4</v>
      </c>
      <c r="I101" s="1">
        <v>-1E-4</v>
      </c>
      <c r="J101" s="1">
        <v>1.9838</v>
      </c>
      <c r="K101" s="1">
        <v>-2.9269999999999999E-3</v>
      </c>
      <c r="L101" s="1">
        <v>5.7499999999999999E-4</v>
      </c>
      <c r="M101" s="1">
        <v>0.98306400000000005</v>
      </c>
      <c r="N101" s="1">
        <v>0.18323800000000001</v>
      </c>
      <c r="O101">
        <v>1</v>
      </c>
      <c r="P101">
        <v>0</v>
      </c>
      <c r="Q101">
        <v>1</v>
      </c>
      <c r="R101">
        <v>1</v>
      </c>
      <c r="S101">
        <v>1</v>
      </c>
      <c r="T101" s="1">
        <f>SQRT(POWER(Batmobile[[#This Row],[angvel_X]],2) + POWER(Batmobile[[#This Row],[angvel_Y]],2) + POWER(Batmobile[[#This Row],[angvel_Z]],2))</f>
        <v>1.9838000050408306</v>
      </c>
      <c r="U101" s="1">
        <f>DEGREES(ASIN(MAX(-1,MIN(1,2 * (Batmobile[[#This Row],[quart_W]]*Batmobile[[#This Row],[quart_Y]] - Batmobile[[#This Row],[quart_Z]]*Batmobile[[#This Row],[quart_X]])))))</f>
        <v>0.34180460413092328</v>
      </c>
      <c r="V10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-68.883068904633049</v>
      </c>
      <c r="W10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89.996685474826506</v>
      </c>
      <c r="X101" s="1">
        <f>IF(Batmobile[[#This Row],[Yaw]]&gt;V100,(360-ABS(Batmobile[[#This Row],[Yaw]])-ABS(V100)),ABS(Batmobile[[#This Row],[Yaw]]-V100))</f>
        <v>0.94644366367150212</v>
      </c>
      <c r="Y101" s="1">
        <f>Batmobile[[#This Row],[Degree change]]+Y100</f>
        <v>38.033612981305978</v>
      </c>
    </row>
    <row r="102" spans="1:25">
      <c r="A102">
        <v>101</v>
      </c>
      <c r="B102" s="1">
        <v>-297.10000600000001</v>
      </c>
      <c r="C102" s="1">
        <v>2566.719971</v>
      </c>
      <c r="D102" s="1">
        <v>18.649999999999999</v>
      </c>
      <c r="E102" s="1">
        <v>-2107.5998540000001</v>
      </c>
      <c r="F102" s="1">
        <v>920.82000700000003</v>
      </c>
      <c r="G102" s="1">
        <v>8.1999999999999993</v>
      </c>
      <c r="H102" s="1">
        <v>2.0000000000000001E-4</v>
      </c>
      <c r="I102" s="1">
        <v>-1E-4</v>
      </c>
      <c r="J102" s="1">
        <v>1.9853000000000001</v>
      </c>
      <c r="K102" s="1">
        <v>-2.9320000000000001E-3</v>
      </c>
      <c r="L102" s="1">
        <v>5.4799999999999998E-4</v>
      </c>
      <c r="M102" s="1">
        <v>0.984545</v>
      </c>
      <c r="N102" s="1">
        <v>0.17510800000000001</v>
      </c>
      <c r="O102">
        <v>1</v>
      </c>
      <c r="P102">
        <v>0</v>
      </c>
      <c r="Q102">
        <v>1</v>
      </c>
      <c r="R102">
        <v>1</v>
      </c>
      <c r="S102">
        <v>1</v>
      </c>
      <c r="T102" s="1">
        <f>SQRT(POWER(Batmobile[[#This Row],[angvel_X]],2) + POWER(Batmobile[[#This Row],[angvel_Y]],2) + POWER(Batmobile[[#This Row],[angvel_Z]],2))</f>
        <v>1.9853000125925553</v>
      </c>
      <c r="U102" s="1">
        <f>DEGREES(ASIN(MAX(-1,MIN(1,2 * (Batmobile[[#This Row],[quart_W]]*Batmobile[[#This Row],[quart_Y]] - Batmobile[[#This Row],[quart_Z]]*Batmobile[[#This Row],[quart_X]])))))</f>
        <v>0.34178798187115433</v>
      </c>
      <c r="V10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-69.830049001026325</v>
      </c>
      <c r="W10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89.997007502323882</v>
      </c>
      <c r="X102" s="1">
        <f>IF(Batmobile[[#This Row],[Yaw]]&gt;V101,(360-ABS(Batmobile[[#This Row],[Yaw]])-ABS(V101)),ABS(Batmobile[[#This Row],[Yaw]]-V101))</f>
        <v>0.94698009639327552</v>
      </c>
      <c r="Y102" s="1">
        <f>Batmobile[[#This Row],[Degree change]]+Y101</f>
        <v>38.980593077699254</v>
      </c>
    </row>
    <row r="103" spans="1:25">
      <c r="A103">
        <v>102</v>
      </c>
      <c r="B103" s="1">
        <v>-314.72998000000001</v>
      </c>
      <c r="C103" s="1">
        <v>2574.419922</v>
      </c>
      <c r="D103" s="1">
        <v>18.649999999999999</v>
      </c>
      <c r="E103" s="1">
        <v>-2122.419922</v>
      </c>
      <c r="F103" s="1">
        <v>886.13000499999998</v>
      </c>
      <c r="G103" s="1">
        <v>8.1999999999999993</v>
      </c>
      <c r="H103" s="1">
        <v>2.0000000000000001E-4</v>
      </c>
      <c r="I103" s="1">
        <v>-1E-4</v>
      </c>
      <c r="J103" s="1">
        <v>1.9865999999999999</v>
      </c>
      <c r="K103" s="1">
        <v>-2.9369999999999999E-3</v>
      </c>
      <c r="L103" s="1">
        <v>5.2099999999999998E-4</v>
      </c>
      <c r="M103" s="1">
        <v>0.98595999999999995</v>
      </c>
      <c r="N103" s="1">
        <v>0.16695599999999999</v>
      </c>
      <c r="O103">
        <v>1</v>
      </c>
      <c r="P103">
        <v>0</v>
      </c>
      <c r="Q103">
        <v>1</v>
      </c>
      <c r="R103">
        <v>1</v>
      </c>
      <c r="S103">
        <v>1</v>
      </c>
      <c r="T103" s="1">
        <f>SQRT(POWER(Batmobile[[#This Row],[angvel_X]],2) + POWER(Batmobile[[#This Row],[angvel_Y]],2) + POWER(Batmobile[[#This Row],[angvel_Z]],2))</f>
        <v>1.9866000125843148</v>
      </c>
      <c r="U103" s="1">
        <f>DEGREES(ASIN(MAX(-1,MIN(1,2 * (Batmobile[[#This Row],[quart_W]]*Batmobile[[#This Row],[quart_Y]] - Batmobile[[#This Row],[quart_Z]]*Batmobile[[#This Row],[quart_X]])))))</f>
        <v>0.34179983909992701</v>
      </c>
      <c r="V10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-70.778168179527839</v>
      </c>
      <c r="W10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89.997325913925664</v>
      </c>
      <c r="X103" s="1">
        <f>IF(Batmobile[[#This Row],[Yaw]]&gt;V102,(360-ABS(Batmobile[[#This Row],[Yaw]])-ABS(V102)),ABS(Batmobile[[#This Row],[Yaw]]-V102))</f>
        <v>0.94811917850151417</v>
      </c>
      <c r="Y103" s="1">
        <f>Batmobile[[#This Row],[Degree change]]+Y102</f>
        <v>39.928712256200768</v>
      </c>
    </row>
    <row r="104" spans="1:25">
      <c r="A104">
        <v>103</v>
      </c>
      <c r="B104" s="1">
        <v>-332.47998000000001</v>
      </c>
      <c r="C104" s="1">
        <v>2581.8298340000001</v>
      </c>
      <c r="D104" s="1">
        <v>18.649999999999999</v>
      </c>
      <c r="E104" s="1">
        <v>-2136.6899410000001</v>
      </c>
      <c r="F104" s="1">
        <v>851.15997300000004</v>
      </c>
      <c r="G104" s="1">
        <v>8.1999999999999993</v>
      </c>
      <c r="H104" s="1">
        <v>2.0000000000000001E-4</v>
      </c>
      <c r="I104" s="1">
        <v>-1E-4</v>
      </c>
      <c r="J104" s="1">
        <v>1.9878</v>
      </c>
      <c r="K104" s="1">
        <v>-2.9429999999999999E-3</v>
      </c>
      <c r="L104" s="1">
        <v>4.9399999999999997E-4</v>
      </c>
      <c r="M104" s="1">
        <v>0.98730799999999996</v>
      </c>
      <c r="N104" s="1">
        <v>0.15878800000000001</v>
      </c>
      <c r="O104">
        <v>1</v>
      </c>
      <c r="P104">
        <v>0</v>
      </c>
      <c r="Q104">
        <v>1</v>
      </c>
      <c r="R104">
        <v>1</v>
      </c>
      <c r="S104">
        <v>1</v>
      </c>
      <c r="T104" s="1">
        <f>SQRT(POWER(Batmobile[[#This Row],[angvel_X]],2) + POWER(Batmobile[[#This Row],[angvel_Y]],2) + POWER(Batmobile[[#This Row],[angvel_Z]],2))</f>
        <v>1.9878000125767179</v>
      </c>
      <c r="U104" s="1">
        <f>DEGREES(ASIN(MAX(-1,MIN(1,2 * (Batmobile[[#This Row],[quart_W]]*Batmobile[[#This Row],[quart_Y]] - Batmobile[[#This Row],[quart_Z]]*Batmobile[[#This Row],[quart_X]])))))</f>
        <v>0.34195340827380644</v>
      </c>
      <c r="V10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-71.72680579149656</v>
      </c>
      <c r="W10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89.997660334677661</v>
      </c>
      <c r="X104" s="1">
        <f>IF(Batmobile[[#This Row],[Yaw]]&gt;V103,(360-ABS(Batmobile[[#This Row],[Yaw]])-ABS(V103)),ABS(Batmobile[[#This Row],[Yaw]]-V103))</f>
        <v>0.94863761196872076</v>
      </c>
      <c r="Y104" s="1">
        <f>Batmobile[[#This Row],[Degree change]]+Y103</f>
        <v>40.877349868169489</v>
      </c>
    </row>
    <row r="105" spans="1:25">
      <c r="A105">
        <v>104</v>
      </c>
      <c r="B105" s="1">
        <v>-350.35000600000001</v>
      </c>
      <c r="C105" s="1">
        <v>2588.9399410000001</v>
      </c>
      <c r="D105" s="1">
        <v>18.649999999999999</v>
      </c>
      <c r="E105" s="1">
        <v>-2150.389893</v>
      </c>
      <c r="F105" s="1">
        <v>815.90997300000004</v>
      </c>
      <c r="G105" s="1">
        <v>8.1999999999999993</v>
      </c>
      <c r="H105" s="1">
        <v>2.0000000000000001E-4</v>
      </c>
      <c r="I105" s="1">
        <v>-1E-4</v>
      </c>
      <c r="J105" s="1">
        <v>1.9888999999999999</v>
      </c>
      <c r="K105" s="1">
        <v>-2.9480000000000001E-3</v>
      </c>
      <c r="L105" s="1">
        <v>4.6700000000000002E-4</v>
      </c>
      <c r="M105" s="1">
        <v>0.98858999999999997</v>
      </c>
      <c r="N105" s="1">
        <v>0.15060399999999999</v>
      </c>
      <c r="O105">
        <v>1</v>
      </c>
      <c r="P105">
        <v>0</v>
      </c>
      <c r="Q105">
        <v>1</v>
      </c>
      <c r="R105">
        <v>1</v>
      </c>
      <c r="S105">
        <v>1</v>
      </c>
      <c r="T105" s="1">
        <f>SQRT(POWER(Batmobile[[#This Row],[angvel_X]],2) + POWER(Batmobile[[#This Row],[angvel_Y]],2) + POWER(Batmobile[[#This Row],[angvel_Z]],2))</f>
        <v>1.988900012569762</v>
      </c>
      <c r="U105" s="1">
        <f>DEGREES(ASIN(MAX(-1,MIN(1,2 * (Batmobile[[#This Row],[quart_W]]*Batmobile[[#This Row],[quart_Y]] - Batmobile[[#This Row],[quart_Z]]*Batmobile[[#This Row],[quart_X]])))))</f>
        <v>0.34202292900250114</v>
      </c>
      <c r="V10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-72.676083646594321</v>
      </c>
      <c r="W10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89.997972731713759</v>
      </c>
      <c r="X105" s="1">
        <f>IF(Batmobile[[#This Row],[Yaw]]&gt;V104,(360-ABS(Batmobile[[#This Row],[Yaw]])-ABS(V104)),ABS(Batmobile[[#This Row],[Yaw]]-V104))</f>
        <v>0.94927785509776186</v>
      </c>
      <c r="Y105" s="1">
        <f>Batmobile[[#This Row],[Degree change]]+Y104</f>
        <v>41.826627723267251</v>
      </c>
    </row>
    <row r="106" spans="1:25">
      <c r="A106">
        <v>105</v>
      </c>
      <c r="B106" s="1">
        <v>-368.33999599999999</v>
      </c>
      <c r="C106" s="1">
        <v>2595.76001</v>
      </c>
      <c r="D106" s="1">
        <v>18.649999999999999</v>
      </c>
      <c r="E106" s="1">
        <v>-2163.530029</v>
      </c>
      <c r="F106" s="1">
        <v>780.39996299999996</v>
      </c>
      <c r="G106" s="1">
        <v>8.1999999999999993</v>
      </c>
      <c r="H106" s="1">
        <v>2.0000000000000001E-4</v>
      </c>
      <c r="I106" s="1">
        <v>-1E-4</v>
      </c>
      <c r="J106" s="1">
        <v>1.9899</v>
      </c>
      <c r="K106" s="1">
        <v>-2.954E-3</v>
      </c>
      <c r="L106" s="1">
        <v>4.4000000000000002E-4</v>
      </c>
      <c r="M106" s="1">
        <v>0.98980400000000002</v>
      </c>
      <c r="N106" s="1">
        <v>0.142404</v>
      </c>
      <c r="O106">
        <v>1</v>
      </c>
      <c r="P106">
        <v>0</v>
      </c>
      <c r="Q106">
        <v>1</v>
      </c>
      <c r="R106">
        <v>1</v>
      </c>
      <c r="S106">
        <v>1</v>
      </c>
      <c r="T106" s="1">
        <f>SQRT(POWER(Batmobile[[#This Row],[angvel_X]],2) + POWER(Batmobile[[#This Row],[angvel_Y]],2) + POWER(Batmobile[[#This Row],[angvel_Z]],2))</f>
        <v>1.9899000125634454</v>
      </c>
      <c r="U106" s="1">
        <f>DEGREES(ASIN(MAX(-1,MIN(1,2 * (Batmobile[[#This Row],[quart_W]]*Batmobile[[#This Row],[quart_Y]] - Batmobile[[#This Row],[quart_Z]]*Batmobile[[#This Row],[quart_X]])))))</f>
        <v>0.34223416947330176</v>
      </c>
      <c r="V10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-73.625967446881702</v>
      </c>
      <c r="W10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89.998298016383927</v>
      </c>
      <c r="X106" s="1">
        <f>IF(Batmobile[[#This Row],[Yaw]]&gt;V105,(360-ABS(Batmobile[[#This Row],[Yaw]])-ABS(V105)),ABS(Batmobile[[#This Row],[Yaw]]-V105))</f>
        <v>0.94988380028738106</v>
      </c>
      <c r="Y106" s="1">
        <f>Batmobile[[#This Row],[Degree change]]+Y105</f>
        <v>42.776511523554632</v>
      </c>
    </row>
    <row r="107" spans="1:25">
      <c r="A107">
        <v>106</v>
      </c>
      <c r="B107" s="1">
        <v>-386.44000199999999</v>
      </c>
      <c r="C107" s="1">
        <v>2602.280029</v>
      </c>
      <c r="D107" s="1">
        <v>18.649999999999999</v>
      </c>
      <c r="E107" s="1">
        <v>-2176.0998540000001</v>
      </c>
      <c r="F107" s="1">
        <v>744.63995399999999</v>
      </c>
      <c r="G107" s="1">
        <v>8.1999999999999993</v>
      </c>
      <c r="H107" s="1">
        <v>2.0000000000000001E-4</v>
      </c>
      <c r="I107" s="1">
        <v>-1E-4</v>
      </c>
      <c r="J107" s="1">
        <v>1.9908999999999999</v>
      </c>
      <c r="K107" s="1">
        <v>-2.9589999999999998E-3</v>
      </c>
      <c r="L107" s="1">
        <v>4.1300000000000001E-4</v>
      </c>
      <c r="M107" s="1">
        <v>0.99095100000000003</v>
      </c>
      <c r="N107" s="1">
        <v>0.13419300000000001</v>
      </c>
      <c r="O107">
        <v>1</v>
      </c>
      <c r="P107">
        <v>0</v>
      </c>
      <c r="Q107">
        <v>1</v>
      </c>
      <c r="R107">
        <v>1</v>
      </c>
      <c r="S107">
        <v>1</v>
      </c>
      <c r="T107" s="1">
        <f>SQRT(POWER(Batmobile[[#This Row],[angvel_X]],2) + POWER(Batmobile[[#This Row],[angvel_Y]],2) + POWER(Batmobile[[#This Row],[angvel_Z]],2))</f>
        <v>1.9909000125571348</v>
      </c>
      <c r="U107" s="1">
        <f>DEGREES(ASIN(MAX(-1,MIN(1,2 * (Batmobile[[#This Row],[quart_W]]*Batmobile[[#This Row],[quart_Y]] - Batmobile[[#This Row],[quart_Z]]*Batmobile[[#This Row],[quart_X]])))))</f>
        <v>0.3423610179465203</v>
      </c>
      <c r="V10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-74.576032887949069</v>
      </c>
      <c r="W10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89.998603599460409</v>
      </c>
      <c r="X107" s="1">
        <f>IF(Batmobile[[#This Row],[Yaw]]&gt;V106,(360-ABS(Batmobile[[#This Row],[Yaw]])-ABS(V106)),ABS(Batmobile[[#This Row],[Yaw]]-V106))</f>
        <v>0.95006544106736612</v>
      </c>
      <c r="Y107" s="1">
        <f>Batmobile[[#This Row],[Degree change]]+Y106</f>
        <v>43.726576964621998</v>
      </c>
    </row>
    <row r="108" spans="1:25">
      <c r="A108">
        <v>107</v>
      </c>
      <c r="B108" s="1">
        <v>-404.63998400000003</v>
      </c>
      <c r="C108" s="1">
        <v>2608.5</v>
      </c>
      <c r="D108" s="1">
        <v>18.649999999999999</v>
      </c>
      <c r="E108" s="1">
        <v>-2188.0898440000001</v>
      </c>
      <c r="F108" s="1">
        <v>708.64001499999995</v>
      </c>
      <c r="G108" s="1">
        <v>8.1999999999999993</v>
      </c>
      <c r="H108" s="1">
        <v>2.0000000000000001E-4</v>
      </c>
      <c r="I108" s="1">
        <v>0</v>
      </c>
      <c r="J108" s="1">
        <v>1.9918</v>
      </c>
      <c r="K108" s="1">
        <v>-2.9640000000000001E-3</v>
      </c>
      <c r="L108" s="1">
        <v>3.86E-4</v>
      </c>
      <c r="M108" s="1">
        <v>0.99202999999999997</v>
      </c>
      <c r="N108" s="1">
        <v>0.12596599999999999</v>
      </c>
      <c r="O108">
        <v>1</v>
      </c>
      <c r="P108">
        <v>0</v>
      </c>
      <c r="Q108">
        <v>1</v>
      </c>
      <c r="R108">
        <v>1</v>
      </c>
      <c r="S108">
        <v>1</v>
      </c>
      <c r="T108" s="1">
        <f>SQRT(POWER(Batmobile[[#This Row],[angvel_X]],2) + POWER(Batmobile[[#This Row],[angvel_Y]],2) + POWER(Batmobile[[#This Row],[angvel_Z]],2))</f>
        <v>1.9918000100411688</v>
      </c>
      <c r="U108" s="1">
        <f>DEGREES(ASIN(MAX(-1,MIN(1,2 * (Batmobile[[#This Row],[quart_W]]*Batmobile[[#This Row],[quart_Y]] - Batmobile[[#This Row],[quart_Z]]*Batmobile[[#This Row],[quart_X]])))))</f>
        <v>0.34251618662694339</v>
      </c>
      <c r="V10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-75.526846916817277</v>
      </c>
      <c r="W10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89.99890444432522</v>
      </c>
      <c r="X108" s="1">
        <f>IF(Batmobile[[#This Row],[Yaw]]&gt;V107,(360-ABS(Batmobile[[#This Row],[Yaw]])-ABS(V107)),ABS(Batmobile[[#This Row],[Yaw]]-V107))</f>
        <v>0.95081402886820854</v>
      </c>
      <c r="Y108" s="1">
        <f>Batmobile[[#This Row],[Degree change]]+Y107</f>
        <v>44.677390993490206</v>
      </c>
    </row>
    <row r="109" spans="1:25">
      <c r="A109">
        <v>108</v>
      </c>
      <c r="B109" s="1">
        <v>-422.94000199999999</v>
      </c>
      <c r="C109" s="1">
        <v>2614.419922</v>
      </c>
      <c r="D109" s="1">
        <v>18.649999999999999</v>
      </c>
      <c r="E109" s="1">
        <v>-2199.48999</v>
      </c>
      <c r="F109" s="1">
        <v>672.40997300000004</v>
      </c>
      <c r="G109" s="1">
        <v>8.1999999999999993</v>
      </c>
      <c r="H109" s="1">
        <v>1E-4</v>
      </c>
      <c r="I109" s="1">
        <v>0</v>
      </c>
      <c r="J109" s="1">
        <v>1.9925999999999999</v>
      </c>
      <c r="K109" s="1">
        <v>-2.97E-3</v>
      </c>
      <c r="L109" s="1">
        <v>3.59E-4</v>
      </c>
      <c r="M109" s="1">
        <v>0.99304099999999995</v>
      </c>
      <c r="N109" s="1">
        <v>0.117728</v>
      </c>
      <c r="O109">
        <v>1</v>
      </c>
      <c r="P109">
        <v>0</v>
      </c>
      <c r="Q109">
        <v>1</v>
      </c>
      <c r="R109">
        <v>1</v>
      </c>
      <c r="S109">
        <v>1</v>
      </c>
      <c r="T109" s="1">
        <f>SQRT(POWER(Batmobile[[#This Row],[angvel_X]],2) + POWER(Batmobile[[#This Row],[angvel_Y]],2) + POWER(Batmobile[[#This Row],[angvel_Z]],2))</f>
        <v>1.9926000025092843</v>
      </c>
      <c r="U109" s="1">
        <f>DEGREES(ASIN(MAX(-1,MIN(1,2 * (Batmobile[[#This Row],[quart_W]]*Batmobile[[#This Row],[quart_Y]] - Batmobile[[#This Row],[quart_Z]]*Batmobile[[#This Row],[quart_X]])))))</f>
        <v>0.34281370899189123</v>
      </c>
      <c r="V10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-76.477932460226953</v>
      </c>
      <c r="W10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89.999215084305959</v>
      </c>
      <c r="X109" s="1">
        <f>IF(Batmobile[[#This Row],[Yaw]]&gt;V108,(360-ABS(Batmobile[[#This Row],[Yaw]])-ABS(V108)),ABS(Batmobile[[#This Row],[Yaw]]-V108))</f>
        <v>0.95108554340967544</v>
      </c>
      <c r="Y109" s="1">
        <f>Batmobile[[#This Row],[Degree change]]+Y108</f>
        <v>45.628476536899882</v>
      </c>
    </row>
    <row r="110" spans="1:25">
      <c r="A110">
        <v>109</v>
      </c>
      <c r="B110" s="1">
        <v>-441.33999599999999</v>
      </c>
      <c r="C110" s="1">
        <v>2620.040039</v>
      </c>
      <c r="D110" s="1">
        <v>18.649999999999999</v>
      </c>
      <c r="E110" s="1">
        <v>-2210.3100589999999</v>
      </c>
      <c r="F110" s="1">
        <v>635.96997099999999</v>
      </c>
      <c r="G110" s="1">
        <v>8.1999999999999993</v>
      </c>
      <c r="H110" s="1">
        <v>1E-4</v>
      </c>
      <c r="I110" s="1">
        <v>0</v>
      </c>
      <c r="J110" s="1">
        <v>1.9933000000000001</v>
      </c>
      <c r="K110" s="1">
        <v>-2.9750000000000002E-3</v>
      </c>
      <c r="L110" s="1">
        <v>3.3199999999999999E-4</v>
      </c>
      <c r="M110" s="1">
        <v>0.99398399999999998</v>
      </c>
      <c r="N110" s="1">
        <v>0.10947999999999999</v>
      </c>
      <c r="O110">
        <v>1</v>
      </c>
      <c r="P110">
        <v>0</v>
      </c>
      <c r="Q110">
        <v>1</v>
      </c>
      <c r="R110">
        <v>1</v>
      </c>
      <c r="S110">
        <v>1</v>
      </c>
      <c r="T110" s="1">
        <f>SQRT(POWER(Batmobile[[#This Row],[angvel_X]],2) + POWER(Batmobile[[#This Row],[angvel_Y]],2) + POWER(Batmobile[[#This Row],[angvel_Z]],2))</f>
        <v>1.9933000025084031</v>
      </c>
      <c r="U110" s="1">
        <f>DEGREES(ASIN(MAX(-1,MIN(1,2 * (Batmobile[[#This Row],[quart_W]]*Batmobile[[#This Row],[quart_Y]] - Batmobile[[#This Row],[quart_Z]]*Batmobile[[#This Row],[quart_X]])))))</f>
        <v>0.34302612406465172</v>
      </c>
      <c r="V11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-77.429245135025141</v>
      </c>
      <c r="W11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89.999507283218449</v>
      </c>
      <c r="X110" s="1">
        <f>IF(Batmobile[[#This Row],[Yaw]]&gt;V109,(360-ABS(Batmobile[[#This Row],[Yaw]])-ABS(V109)),ABS(Batmobile[[#This Row],[Yaw]]-V109))</f>
        <v>0.9513126747981886</v>
      </c>
      <c r="Y110" s="1">
        <f>Batmobile[[#This Row],[Degree change]]+Y109</f>
        <v>46.579789211698071</v>
      </c>
    </row>
    <row r="111" spans="1:25">
      <c r="A111">
        <v>110</v>
      </c>
      <c r="B111" s="1">
        <v>-459.82998700000002</v>
      </c>
      <c r="C111" s="1">
        <v>2625.3498540000001</v>
      </c>
      <c r="D111" s="1">
        <v>18.649999999999999</v>
      </c>
      <c r="E111" s="1">
        <v>-2220.5200199999999</v>
      </c>
      <c r="F111" s="1">
        <v>599.32000700000003</v>
      </c>
      <c r="G111" s="1">
        <v>8.1999999999999993</v>
      </c>
      <c r="H111" s="1">
        <v>0</v>
      </c>
      <c r="I111" s="1">
        <v>0</v>
      </c>
      <c r="J111" s="1">
        <v>1.994</v>
      </c>
      <c r="K111" s="1">
        <v>-2.9750000000000002E-3</v>
      </c>
      <c r="L111" s="1">
        <v>3.0499999999999999E-4</v>
      </c>
      <c r="M111" s="1">
        <v>0.99485999999999997</v>
      </c>
      <c r="N111" s="1">
        <v>0.10122</v>
      </c>
      <c r="O111">
        <v>1</v>
      </c>
      <c r="P111">
        <v>0</v>
      </c>
      <c r="Q111">
        <v>1</v>
      </c>
      <c r="R111">
        <v>1</v>
      </c>
      <c r="S111">
        <v>1</v>
      </c>
      <c r="T111" s="1">
        <f>SQRT(POWER(Batmobile[[#This Row],[angvel_X]],2) + POWER(Batmobile[[#This Row],[angvel_Y]],2) + POWER(Batmobile[[#This Row],[angvel_Z]],2))</f>
        <v>1.994</v>
      </c>
      <c r="U111" s="1">
        <f>DEGREES(ASIN(MAX(-1,MIN(1,2 * (Batmobile[[#This Row],[quart_W]]*Batmobile[[#This Row],[quart_Y]] - Batmobile[[#This Row],[quart_Z]]*Batmobile[[#This Row],[quart_X]])))))</f>
        <v>0.34269733666039159</v>
      </c>
      <c r="V11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-78.381107799537332</v>
      </c>
      <c r="W11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89.99973611383767</v>
      </c>
      <c r="X111" s="1">
        <f>IF(Batmobile[[#This Row],[Yaw]]&gt;V110,(360-ABS(Batmobile[[#This Row],[Yaw]])-ABS(V110)),ABS(Batmobile[[#This Row],[Yaw]]-V110))</f>
        <v>0.95186266451219126</v>
      </c>
      <c r="Y111" s="1">
        <f>Batmobile[[#This Row],[Degree change]]+Y110</f>
        <v>47.531651876210262</v>
      </c>
    </row>
    <row r="112" spans="1:25">
      <c r="A112">
        <v>111</v>
      </c>
      <c r="B112" s="1">
        <v>-478.39999399999999</v>
      </c>
      <c r="C112" s="1">
        <v>2630.3598630000001</v>
      </c>
      <c r="D112" s="1">
        <v>18.649999999999999</v>
      </c>
      <c r="E112" s="1">
        <v>-2230.139893</v>
      </c>
      <c r="F112" s="1">
        <v>562.48999000000003</v>
      </c>
      <c r="G112" s="1">
        <v>8.1999999999999993</v>
      </c>
      <c r="H112" s="1">
        <v>0</v>
      </c>
      <c r="I112" s="1">
        <v>0</v>
      </c>
      <c r="J112" s="1">
        <v>1.9945999999999999</v>
      </c>
      <c r="K112" s="1">
        <v>-2.9750000000000002E-3</v>
      </c>
      <c r="L112" s="1">
        <v>2.7799999999999998E-4</v>
      </c>
      <c r="M112" s="1">
        <v>0.99566600000000005</v>
      </c>
      <c r="N112" s="1">
        <v>9.2950000000000005E-2</v>
      </c>
      <c r="O112">
        <v>1</v>
      </c>
      <c r="P112">
        <v>0</v>
      </c>
      <c r="Q112">
        <v>1</v>
      </c>
      <c r="R112">
        <v>1</v>
      </c>
      <c r="S112">
        <v>1</v>
      </c>
      <c r="T112" s="1">
        <f>SQRT(POWER(Batmobile[[#This Row],[angvel_X]],2) + POWER(Batmobile[[#This Row],[angvel_Y]],2) + POWER(Batmobile[[#This Row],[angvel_Z]],2))</f>
        <v>1.9945999999999999</v>
      </c>
      <c r="U112" s="1">
        <f>DEGREES(ASIN(MAX(-1,MIN(1,2 * (Batmobile[[#This Row],[quart_W]]*Batmobile[[#This Row],[quart_Y]] - Batmobile[[#This Row],[quart_Z]]*Batmobile[[#This Row],[quart_X]])))))</f>
        <v>0.34239547991053371</v>
      </c>
      <c r="V11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-79.333260316108095</v>
      </c>
      <c r="W11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89.999969186008755</v>
      </c>
      <c r="X112" s="1">
        <f>IF(Batmobile[[#This Row],[Yaw]]&gt;V111,(360-ABS(Batmobile[[#This Row],[Yaw]])-ABS(V111)),ABS(Batmobile[[#This Row],[Yaw]]-V111))</f>
        <v>0.95215251657076294</v>
      </c>
      <c r="Y112" s="1">
        <f>Batmobile[[#This Row],[Degree change]]+Y111</f>
        <v>48.483804392781025</v>
      </c>
    </row>
    <row r="113" spans="1:25">
      <c r="A113">
        <v>112</v>
      </c>
      <c r="B113" s="1">
        <v>-497.04998799999998</v>
      </c>
      <c r="C113" s="1">
        <v>2635.0600589999999</v>
      </c>
      <c r="D113" s="1">
        <v>18.649999999999999</v>
      </c>
      <c r="E113" s="1">
        <v>-2239.1499020000001</v>
      </c>
      <c r="F113" s="1">
        <v>525.47997999999995</v>
      </c>
      <c r="G113" s="1">
        <v>8.1999999999999993</v>
      </c>
      <c r="H113" s="1">
        <v>0</v>
      </c>
      <c r="I113" s="1">
        <v>0</v>
      </c>
      <c r="J113" s="1">
        <v>1.9952000000000001</v>
      </c>
      <c r="K113" s="1">
        <v>-2.9750000000000002E-3</v>
      </c>
      <c r="L113" s="1">
        <v>2.5099999999999998E-4</v>
      </c>
      <c r="M113" s="1">
        <v>0.99640399999999996</v>
      </c>
      <c r="N113" s="1">
        <v>8.4673999999999999E-2</v>
      </c>
      <c r="O113">
        <v>1</v>
      </c>
      <c r="P113">
        <v>0</v>
      </c>
      <c r="Q113">
        <v>1</v>
      </c>
      <c r="R113">
        <v>1</v>
      </c>
      <c r="S113">
        <v>1</v>
      </c>
      <c r="T113" s="1">
        <f>SQRT(POWER(Batmobile[[#This Row],[angvel_X]],2) + POWER(Batmobile[[#This Row],[angvel_Y]],2) + POWER(Batmobile[[#This Row],[angvel_Z]],2))</f>
        <v>1.9952000000000001</v>
      </c>
      <c r="U113" s="1">
        <f>DEGREES(ASIN(MAX(-1,MIN(1,2 * (Batmobile[[#This Row],[quart_W]]*Batmobile[[#This Row],[quart_Y]] - Batmobile[[#This Row],[quart_Z]]*Batmobile[[#This Row],[quart_X]])))))</f>
        <v>0.34212144351725005</v>
      </c>
      <c r="V11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-80.285391438725853</v>
      </c>
      <c r="W11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90.000207156125484</v>
      </c>
      <c r="X113" s="1">
        <f>IF(Batmobile[[#This Row],[Yaw]]&gt;V112,(360-ABS(Batmobile[[#This Row],[Yaw]])-ABS(V112)),ABS(Batmobile[[#This Row],[Yaw]]-V112))</f>
        <v>0.95213112261775734</v>
      </c>
      <c r="Y113" s="1">
        <f>Batmobile[[#This Row],[Degree change]]+Y112</f>
        <v>49.435935515398782</v>
      </c>
    </row>
    <row r="114" spans="1:25">
      <c r="A114">
        <v>113</v>
      </c>
      <c r="B114" s="1">
        <v>-515.77996800000005</v>
      </c>
      <c r="C114" s="1">
        <v>2639.4499510000001</v>
      </c>
      <c r="D114" s="1">
        <v>18.649999999999999</v>
      </c>
      <c r="E114" s="1">
        <v>-2247.5500489999999</v>
      </c>
      <c r="F114" s="1">
        <v>488.29998799999998</v>
      </c>
      <c r="G114" s="1">
        <v>8.1999999999999993</v>
      </c>
      <c r="H114" s="1">
        <v>0</v>
      </c>
      <c r="I114" s="1">
        <v>0</v>
      </c>
      <c r="J114" s="1">
        <v>1.9957</v>
      </c>
      <c r="K114" s="1">
        <v>-2.9750000000000002E-3</v>
      </c>
      <c r="L114" s="1">
        <v>2.24E-4</v>
      </c>
      <c r="M114" s="1">
        <v>0.99707400000000002</v>
      </c>
      <c r="N114" s="1">
        <v>7.6387999999999998E-2</v>
      </c>
      <c r="O114">
        <v>1</v>
      </c>
      <c r="P114">
        <v>0</v>
      </c>
      <c r="Q114">
        <v>1</v>
      </c>
      <c r="R114">
        <v>1</v>
      </c>
      <c r="S114">
        <v>1</v>
      </c>
      <c r="T114" s="1">
        <f>SQRT(POWER(Batmobile[[#This Row],[angvel_X]],2) + POWER(Batmobile[[#This Row],[angvel_Y]],2) + POWER(Batmobile[[#This Row],[angvel_Z]],2))</f>
        <v>1.9957</v>
      </c>
      <c r="U114" s="1">
        <f>DEGREES(ASIN(MAX(-1,MIN(1,2 * (Batmobile[[#This Row],[quart_W]]*Batmobile[[#This Row],[quart_Y]] - Batmobile[[#This Row],[quart_Z]]*Batmobile[[#This Row],[quart_X]])))))</f>
        <v>0.34187518049477417</v>
      </c>
      <c r="V11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-81.238011989012875</v>
      </c>
      <c r="W11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90.000448029344142</v>
      </c>
      <c r="X114" s="1">
        <f>IF(Batmobile[[#This Row],[Yaw]]&gt;V113,(360-ABS(Batmobile[[#This Row],[Yaw]])-ABS(V113)),ABS(Batmobile[[#This Row],[Yaw]]-V113))</f>
        <v>0.95262055028702264</v>
      </c>
      <c r="Y114" s="1">
        <f>Batmobile[[#This Row],[Degree change]]+Y113</f>
        <v>50.388556065685805</v>
      </c>
    </row>
    <row r="115" spans="1:25">
      <c r="A115">
        <v>114</v>
      </c>
      <c r="B115" s="1">
        <v>-534.580017</v>
      </c>
      <c r="C115" s="1">
        <v>2643.530029</v>
      </c>
      <c r="D115" s="1">
        <v>18.649999999999999</v>
      </c>
      <c r="E115" s="1">
        <v>-2255.3298340000001</v>
      </c>
      <c r="F115" s="1">
        <v>450.97000100000002</v>
      </c>
      <c r="G115" s="1">
        <v>8.1999999999999993</v>
      </c>
      <c r="H115" s="1">
        <v>0</v>
      </c>
      <c r="I115" s="1">
        <v>0</v>
      </c>
      <c r="J115" s="1">
        <v>1.9962</v>
      </c>
      <c r="K115" s="1">
        <v>-2.9750000000000002E-3</v>
      </c>
      <c r="L115" s="1">
        <v>1.9699999999999999E-4</v>
      </c>
      <c r="M115" s="1">
        <v>0.99767399999999995</v>
      </c>
      <c r="N115" s="1">
        <v>6.8096000000000004E-2</v>
      </c>
      <c r="O115">
        <v>1</v>
      </c>
      <c r="P115">
        <v>0</v>
      </c>
      <c r="Q115">
        <v>1</v>
      </c>
      <c r="R115">
        <v>1</v>
      </c>
      <c r="S115">
        <v>1</v>
      </c>
      <c r="T115" s="1">
        <f>SQRT(POWER(Batmobile[[#This Row],[angvel_X]],2) + POWER(Batmobile[[#This Row],[angvel_Y]],2) + POWER(Batmobile[[#This Row],[angvel_Z]],2))</f>
        <v>1.9962</v>
      </c>
      <c r="U115" s="1">
        <f>DEGREES(ASIN(MAX(-1,MIN(1,2 * (Batmobile[[#This Row],[quart_W]]*Batmobile[[#This Row],[quart_Y]] - Batmobile[[#This Row],[quart_Z]]*Batmobile[[#This Row],[quart_X]])))))</f>
        <v>0.34165619212963233</v>
      </c>
      <c r="V11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-82.190685642149518</v>
      </c>
      <c r="W11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90.000692583298772</v>
      </c>
      <c r="X115" s="1">
        <f>IF(Batmobile[[#This Row],[Yaw]]&gt;V114,(360-ABS(Batmobile[[#This Row],[Yaw]])-ABS(V114)),ABS(Batmobile[[#This Row],[Yaw]]-V114))</f>
        <v>0.95267365313664243</v>
      </c>
      <c r="Y115" s="1">
        <f>Batmobile[[#This Row],[Degree change]]+Y114</f>
        <v>51.341229718822447</v>
      </c>
    </row>
    <row r="116" spans="1:25">
      <c r="A116">
        <v>115</v>
      </c>
      <c r="B116" s="1">
        <v>-553.44000200000005</v>
      </c>
      <c r="C116" s="1">
        <v>2647.3000489999999</v>
      </c>
      <c r="D116" s="1">
        <v>18.649999999999999</v>
      </c>
      <c r="E116" s="1">
        <v>-2262.5</v>
      </c>
      <c r="F116" s="1">
        <v>413.5</v>
      </c>
      <c r="G116" s="1">
        <v>8.1999999999999993</v>
      </c>
      <c r="H116" s="1">
        <v>0</v>
      </c>
      <c r="I116" s="1">
        <v>0</v>
      </c>
      <c r="J116" s="1">
        <v>1.9965999999999999</v>
      </c>
      <c r="K116" s="1">
        <v>-2.9750000000000002E-3</v>
      </c>
      <c r="L116" s="1">
        <v>1.7000000000000001E-4</v>
      </c>
      <c r="M116" s="1">
        <v>0.99820600000000004</v>
      </c>
      <c r="N116" s="1">
        <v>5.9792999999999999E-2</v>
      </c>
      <c r="O116">
        <v>1</v>
      </c>
      <c r="P116">
        <v>0</v>
      </c>
      <c r="Q116">
        <v>1</v>
      </c>
      <c r="R116">
        <v>1</v>
      </c>
      <c r="S116">
        <v>1</v>
      </c>
      <c r="T116" s="1">
        <f>SQRT(POWER(Batmobile[[#This Row],[angvel_X]],2) + POWER(Batmobile[[#This Row],[angvel_Y]],2) + POWER(Batmobile[[#This Row],[angvel_Z]],2))</f>
        <v>1.9965999999999999</v>
      </c>
      <c r="U116" s="1">
        <f>DEGREES(ASIN(MAX(-1,MIN(1,2 * (Batmobile[[#This Row],[quart_W]]*Batmobile[[#This Row],[quart_Y]] - Batmobile[[#This Row],[quart_Z]]*Batmobile[[#This Row],[quart_X]])))))</f>
        <v>0.34146511853977246</v>
      </c>
      <c r="V11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-83.144097128945418</v>
      </c>
      <c r="W11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90.000938424704003</v>
      </c>
      <c r="X116" s="1">
        <f>IF(Batmobile[[#This Row],[Yaw]]&gt;V115,(360-ABS(Batmobile[[#This Row],[Yaw]])-ABS(V115)),ABS(Batmobile[[#This Row],[Yaw]]-V115))</f>
        <v>0.95341148679590049</v>
      </c>
      <c r="Y116" s="1">
        <f>Batmobile[[#This Row],[Degree change]]+Y115</f>
        <v>52.294641205618348</v>
      </c>
    </row>
    <row r="117" spans="1:25">
      <c r="A117">
        <v>116</v>
      </c>
      <c r="B117" s="1">
        <v>-572.35998500000005</v>
      </c>
      <c r="C117" s="1">
        <v>2650.75</v>
      </c>
      <c r="D117" s="1">
        <v>18.649999999999999</v>
      </c>
      <c r="E117" s="1">
        <v>-2269.0500489999999</v>
      </c>
      <c r="F117" s="1">
        <v>375.89999399999999</v>
      </c>
      <c r="G117" s="1">
        <v>8.1999999999999993</v>
      </c>
      <c r="H117" s="1">
        <v>0</v>
      </c>
      <c r="I117" s="1">
        <v>0</v>
      </c>
      <c r="J117" s="1">
        <v>1.9970000000000001</v>
      </c>
      <c r="K117" s="1">
        <v>-2.9750000000000002E-3</v>
      </c>
      <c r="L117" s="1">
        <v>1.4300000000000001E-4</v>
      </c>
      <c r="M117" s="1">
        <v>0.99866900000000003</v>
      </c>
      <c r="N117" s="1">
        <v>5.1485000000000003E-2</v>
      </c>
      <c r="O117">
        <v>1</v>
      </c>
      <c r="P117">
        <v>0</v>
      </c>
      <c r="Q117">
        <v>1</v>
      </c>
      <c r="R117">
        <v>1</v>
      </c>
      <c r="S117">
        <v>1</v>
      </c>
      <c r="T117" s="1">
        <f>SQRT(POWER(Batmobile[[#This Row],[angvel_X]],2) + POWER(Batmobile[[#This Row],[angvel_Y]],2) + POWER(Batmobile[[#This Row],[angvel_Z]],2))</f>
        <v>1.9970000000000001</v>
      </c>
      <c r="U117" s="1">
        <f>DEGREES(ASIN(MAX(-1,MIN(1,2 * (Batmobile[[#This Row],[quart_W]]*Batmobile[[#This Row],[quart_Y]] - Batmobile[[#This Row],[quart_Z]]*Batmobile[[#This Row],[quart_X]])))))</f>
        <v>0.34130181923178343</v>
      </c>
      <c r="V11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-84.097608547285546</v>
      </c>
      <c r="W11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90.001186984262915</v>
      </c>
      <c r="X117" s="1">
        <f>IF(Batmobile[[#This Row],[Yaw]]&gt;V116,(360-ABS(Batmobile[[#This Row],[Yaw]])-ABS(V116)),ABS(Batmobile[[#This Row],[Yaw]]-V116))</f>
        <v>0.95351141834012765</v>
      </c>
      <c r="Y117" s="1">
        <f>Batmobile[[#This Row],[Degree change]]+Y116</f>
        <v>53.248152623958475</v>
      </c>
    </row>
    <row r="118" spans="1:25">
      <c r="A118">
        <v>117</v>
      </c>
      <c r="B118" s="1">
        <v>-591.339966</v>
      </c>
      <c r="C118" s="1">
        <v>2653.889893</v>
      </c>
      <c r="D118" s="1">
        <v>18.649999999999999</v>
      </c>
      <c r="E118" s="1">
        <v>-2274.9799800000001</v>
      </c>
      <c r="F118" s="1">
        <v>338.17999300000002</v>
      </c>
      <c r="G118" s="1">
        <v>8.1999999999999993</v>
      </c>
      <c r="H118" s="1">
        <v>0</v>
      </c>
      <c r="I118" s="1">
        <v>0</v>
      </c>
      <c r="J118" s="1">
        <v>1.9974000000000001</v>
      </c>
      <c r="K118" s="1">
        <v>-2.9750000000000002E-3</v>
      </c>
      <c r="L118" s="1">
        <v>1.16E-4</v>
      </c>
      <c r="M118" s="1">
        <v>0.99906300000000003</v>
      </c>
      <c r="N118" s="1">
        <v>4.3172000000000002E-2</v>
      </c>
      <c r="O118">
        <v>1</v>
      </c>
      <c r="P118">
        <v>0</v>
      </c>
      <c r="Q118">
        <v>1</v>
      </c>
      <c r="R118">
        <v>1</v>
      </c>
      <c r="S118">
        <v>1</v>
      </c>
      <c r="T118" s="1">
        <f>SQRT(POWER(Batmobile[[#This Row],[angvel_X]],2) + POWER(Batmobile[[#This Row],[angvel_Y]],2) + POWER(Batmobile[[#This Row],[angvel_Z]],2))</f>
        <v>1.9974000000000001</v>
      </c>
      <c r="U118" s="1">
        <f>DEGREES(ASIN(MAX(-1,MIN(1,2 * (Batmobile[[#This Row],[quart_W]]*Batmobile[[#This Row],[quart_Y]] - Batmobile[[#This Row],[quart_Z]]*Batmobile[[#This Row],[quart_X]])))))</f>
        <v>0.34116634061465301</v>
      </c>
      <c r="V11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-85.051285692949492</v>
      </c>
      <c r="W11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90.001437621513958</v>
      </c>
      <c r="X118" s="1">
        <f>IF(Batmobile[[#This Row],[Yaw]]&gt;V117,(360-ABS(Batmobile[[#This Row],[Yaw]])-ABS(V117)),ABS(Batmobile[[#This Row],[Yaw]]-V117))</f>
        <v>0.95367714566394568</v>
      </c>
      <c r="Y118" s="1">
        <f>Batmobile[[#This Row],[Degree change]]+Y117</f>
        <v>54.201829769622421</v>
      </c>
    </row>
    <row r="119" spans="1:25">
      <c r="A119">
        <v>118</v>
      </c>
      <c r="B119" s="1">
        <v>-610.36999500000002</v>
      </c>
      <c r="C119" s="1">
        <v>2656.709961</v>
      </c>
      <c r="D119" s="1">
        <v>18.649999999999999</v>
      </c>
      <c r="E119" s="1">
        <v>-2280.280029</v>
      </c>
      <c r="F119" s="1">
        <v>300.35000600000001</v>
      </c>
      <c r="G119" s="1">
        <v>8.1999999999999993</v>
      </c>
      <c r="H119" s="1">
        <v>0</v>
      </c>
      <c r="I119" s="1">
        <v>-1E-4</v>
      </c>
      <c r="J119" s="1">
        <v>1.9977</v>
      </c>
      <c r="K119" s="1">
        <v>-2.9750000000000002E-3</v>
      </c>
      <c r="L119" s="1">
        <v>8.8999999999999995E-5</v>
      </c>
      <c r="M119" s="1">
        <v>0.99938800000000005</v>
      </c>
      <c r="N119" s="1">
        <v>3.4859000000000001E-2</v>
      </c>
      <c r="O119">
        <v>1</v>
      </c>
      <c r="P119">
        <v>0</v>
      </c>
      <c r="Q119">
        <v>1</v>
      </c>
      <c r="R119">
        <v>1</v>
      </c>
      <c r="S119">
        <v>1</v>
      </c>
      <c r="T119" s="1">
        <f>SQRT(POWER(Batmobile[[#This Row],[angvel_X]],2) + POWER(Batmobile[[#This Row],[angvel_Y]],2) + POWER(Batmobile[[#This Row],[angvel_Z]],2))</f>
        <v>1.9977000025028784</v>
      </c>
      <c r="U119" s="1">
        <f>DEGREES(ASIN(MAX(-1,MIN(1,2 * (Batmobile[[#This Row],[quart_W]]*Batmobile[[#This Row],[quart_Y]] - Batmobile[[#This Row],[quart_Z]]*Batmobile[[#This Row],[quart_X]])))))</f>
        <v>0.34105878009175605</v>
      </c>
      <c r="V11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-86.004622961960948</v>
      </c>
      <c r="W11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90.001691400575282</v>
      </c>
      <c r="X119" s="1">
        <f>IF(Batmobile[[#This Row],[Yaw]]&gt;V118,(360-ABS(Batmobile[[#This Row],[Yaw]])-ABS(V118)),ABS(Batmobile[[#This Row],[Yaw]]-V118))</f>
        <v>0.9533372690114561</v>
      </c>
      <c r="Y119" s="1">
        <f>Batmobile[[#This Row],[Degree change]]+Y118</f>
        <v>55.155167038633877</v>
      </c>
    </row>
    <row r="120" spans="1:25">
      <c r="A120">
        <v>119</v>
      </c>
      <c r="B120" s="1">
        <v>-629.44000200000005</v>
      </c>
      <c r="C120" s="1">
        <v>2659.219971</v>
      </c>
      <c r="D120" s="1">
        <v>18.649999999999999</v>
      </c>
      <c r="E120" s="1">
        <v>-2284.959961</v>
      </c>
      <c r="F120" s="1">
        <v>262.419983</v>
      </c>
      <c r="G120" s="1">
        <v>8.1999999999999993</v>
      </c>
      <c r="H120" s="1">
        <v>0</v>
      </c>
      <c r="I120" s="1">
        <v>-1E-4</v>
      </c>
      <c r="J120" s="1">
        <v>1.998</v>
      </c>
      <c r="K120" s="1">
        <v>-2.9750000000000002E-3</v>
      </c>
      <c r="L120" s="1">
        <v>6.2000000000000003E-5</v>
      </c>
      <c r="M120" s="1">
        <v>0.99964299999999995</v>
      </c>
      <c r="N120" s="1">
        <v>2.6540000000000001E-2</v>
      </c>
      <c r="O120">
        <v>1</v>
      </c>
      <c r="P120">
        <v>0</v>
      </c>
      <c r="Q120">
        <v>1</v>
      </c>
      <c r="R120">
        <v>1</v>
      </c>
      <c r="S120">
        <v>1</v>
      </c>
      <c r="T120" s="1">
        <f>SQRT(POWER(Batmobile[[#This Row],[angvel_X]],2) + POWER(Batmobile[[#This Row],[angvel_Y]],2) + POWER(Batmobile[[#This Row],[angvel_Z]],2))</f>
        <v>1.9980000025025024</v>
      </c>
      <c r="U120" s="1">
        <f>DEGREES(ASIN(MAX(-1,MIN(1,2 * (Batmobile[[#This Row],[quart_W]]*Batmobile[[#This Row],[quart_Y]] - Batmobile[[#This Row],[quart_Z]]*Batmobile[[#This Row],[quart_X]])))))</f>
        <v>0.34097875411741563</v>
      </c>
      <c r="V12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-86.958360673122385</v>
      </c>
      <c r="W12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90.001945642594706</v>
      </c>
      <c r="X120" s="1">
        <f>IF(Batmobile[[#This Row],[Yaw]]&gt;V119,(360-ABS(Batmobile[[#This Row],[Yaw]])-ABS(V119)),ABS(Batmobile[[#This Row],[Yaw]]-V119))</f>
        <v>0.95373771116143757</v>
      </c>
      <c r="Y120" s="1">
        <f>Batmobile[[#This Row],[Degree change]]+Y119</f>
        <v>56.108904749795315</v>
      </c>
    </row>
    <row r="121" spans="1:25">
      <c r="A121">
        <v>120</v>
      </c>
      <c r="B121" s="1">
        <v>-648.54998799999998</v>
      </c>
      <c r="C121" s="1">
        <v>2661.4099120000001</v>
      </c>
      <c r="D121" s="1">
        <v>18.649999999999999</v>
      </c>
      <c r="E121" s="1">
        <v>-2289.01001</v>
      </c>
      <c r="F121" s="1">
        <v>224.409988</v>
      </c>
      <c r="G121" s="1">
        <v>8.1999999999999993</v>
      </c>
      <c r="H121" s="1">
        <v>-1E-4</v>
      </c>
      <c r="I121" s="1">
        <v>-1E-4</v>
      </c>
      <c r="J121" s="1">
        <v>1.9983</v>
      </c>
      <c r="K121" s="1">
        <v>-2.9750000000000002E-3</v>
      </c>
      <c r="L121" s="1">
        <v>3.4999999999999997E-5</v>
      </c>
      <c r="M121" s="1">
        <v>0.99983</v>
      </c>
      <c r="N121" s="1">
        <v>1.8216E-2</v>
      </c>
      <c r="O121">
        <v>1</v>
      </c>
      <c r="P121">
        <v>0</v>
      </c>
      <c r="Q121">
        <v>1</v>
      </c>
      <c r="R121">
        <v>1</v>
      </c>
      <c r="S121">
        <v>1</v>
      </c>
      <c r="T121" s="1">
        <f>SQRT(POWER(Batmobile[[#This Row],[angvel_X]],2) + POWER(Batmobile[[#This Row],[angvel_Y]],2) + POWER(Batmobile[[#This Row],[angvel_Z]],2))</f>
        <v>1.9983000050042536</v>
      </c>
      <c r="U121" s="1">
        <f>DEGREES(ASIN(MAX(-1,MIN(1,2 * (Batmobile[[#This Row],[quart_W]]*Batmobile[[#This Row],[quart_Y]] - Batmobile[[#This Row],[quart_Z]]*Batmobile[[#This Row],[quart_X]])))))</f>
        <v>0.34092700422605116</v>
      </c>
      <c r="V12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-87.912471119101809</v>
      </c>
      <c r="W12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90.002200030723131</v>
      </c>
      <c r="X121" s="1">
        <f>IF(Batmobile[[#This Row],[Yaw]]&gt;V120,(360-ABS(Batmobile[[#This Row],[Yaw]])-ABS(V120)),ABS(Batmobile[[#This Row],[Yaw]]-V120))</f>
        <v>0.95411044597942407</v>
      </c>
      <c r="Y121" s="1">
        <f>Batmobile[[#This Row],[Degree change]]+Y120</f>
        <v>57.063015195774739</v>
      </c>
    </row>
    <row r="122" spans="1:25">
      <c r="A122">
        <v>121</v>
      </c>
      <c r="B122" s="1">
        <v>-667.69000200000005</v>
      </c>
      <c r="C122" s="1">
        <v>2663.280029</v>
      </c>
      <c r="D122" s="1">
        <v>18.649999999999999</v>
      </c>
      <c r="E122" s="1">
        <v>-2292.419922</v>
      </c>
      <c r="F122" s="1">
        <v>186.33000200000001</v>
      </c>
      <c r="G122" s="1">
        <v>8.1999999999999993</v>
      </c>
      <c r="H122" s="1">
        <v>-1E-4</v>
      </c>
      <c r="I122" s="1">
        <v>-1E-4</v>
      </c>
      <c r="J122" s="1">
        <v>1.9985999999999999</v>
      </c>
      <c r="K122" s="1">
        <v>-2.9750000000000002E-3</v>
      </c>
      <c r="L122" s="1">
        <v>7.9999999999999996E-6</v>
      </c>
      <c r="M122" s="1">
        <v>0.99994700000000003</v>
      </c>
      <c r="N122" s="1">
        <v>9.8910000000000005E-3</v>
      </c>
      <c r="O122">
        <v>1</v>
      </c>
      <c r="P122">
        <v>0</v>
      </c>
      <c r="Q122">
        <v>1</v>
      </c>
      <c r="R122">
        <v>1</v>
      </c>
      <c r="S122">
        <v>1</v>
      </c>
      <c r="T122" s="1">
        <f>SQRT(POWER(Batmobile[[#This Row],[angvel_X]],2) + POWER(Batmobile[[#This Row],[angvel_Y]],2) + POWER(Batmobile[[#This Row],[angvel_Z]],2))</f>
        <v>1.9986000050035024</v>
      </c>
      <c r="U122" s="1">
        <f>DEGREES(ASIN(MAX(-1,MIN(1,2 * (Batmobile[[#This Row],[quart_W]]*Batmobile[[#This Row],[quart_Y]] - Batmobile[[#This Row],[quart_Z]]*Batmobile[[#This Row],[quart_X]])))))</f>
        <v>0.34090289866275908</v>
      </c>
      <c r="V12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-88.866545252799895</v>
      </c>
      <c r="W12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90.002455299278523</v>
      </c>
      <c r="X122" s="1">
        <f>IF(Batmobile[[#This Row],[Yaw]]&gt;V121,(360-ABS(Batmobile[[#This Row],[Yaw]])-ABS(V121)),ABS(Batmobile[[#This Row],[Yaw]]-V121))</f>
        <v>0.9540741336980858</v>
      </c>
      <c r="Y122" s="1">
        <f>Batmobile[[#This Row],[Degree change]]+Y121</f>
        <v>58.017089329472824</v>
      </c>
    </row>
    <row r="123" spans="1:25">
      <c r="A123">
        <v>122</v>
      </c>
      <c r="B123" s="1">
        <v>-686.85998500000005</v>
      </c>
      <c r="C123" s="1">
        <v>2664.8298340000001</v>
      </c>
      <c r="D123" s="1">
        <v>18.649999999999999</v>
      </c>
      <c r="E123" s="1">
        <v>-2295.1999510000001</v>
      </c>
      <c r="F123" s="1">
        <v>148.19000199999999</v>
      </c>
      <c r="G123" s="1">
        <v>8.1999999999999993</v>
      </c>
      <c r="H123" s="1">
        <v>-2.0000000000000001E-4</v>
      </c>
      <c r="I123" s="1">
        <v>-1E-4</v>
      </c>
      <c r="J123" s="1">
        <v>1.9987999999999999</v>
      </c>
      <c r="K123" s="1">
        <v>-2.9750000000000002E-3</v>
      </c>
      <c r="L123" s="1">
        <v>-1.9000000000000001E-5</v>
      </c>
      <c r="M123" s="1">
        <v>0.99999400000000005</v>
      </c>
      <c r="N123" s="1">
        <v>1.562E-3</v>
      </c>
      <c r="O123">
        <v>1</v>
      </c>
      <c r="P123">
        <v>0</v>
      </c>
      <c r="Q123">
        <v>1</v>
      </c>
      <c r="R123">
        <v>1</v>
      </c>
      <c r="S123">
        <v>1</v>
      </c>
      <c r="T123" s="1">
        <f>SQRT(POWER(Batmobile[[#This Row],[angvel_X]],2) + POWER(Batmobile[[#This Row],[angvel_Y]],2) + POWER(Batmobile[[#This Row],[angvel_Z]],2))</f>
        <v>1.9988000125075045</v>
      </c>
      <c r="U123" s="1">
        <f>DEGREES(ASIN(MAX(-1,MIN(1,2 * (Batmobile[[#This Row],[quart_W]]*Batmobile[[#This Row],[quart_Y]] - Batmobile[[#This Row],[quart_Z]]*Batmobile[[#This Row],[quart_X]])))))</f>
        <v>0.34090645324124697</v>
      </c>
      <c r="V12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-89.820998867941043</v>
      </c>
      <c r="W12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90.002709775769631</v>
      </c>
      <c r="X123" s="1">
        <f>IF(Batmobile[[#This Row],[Yaw]]&gt;V122,(360-ABS(Batmobile[[#This Row],[Yaw]])-ABS(V122)),ABS(Batmobile[[#This Row],[Yaw]]-V122))</f>
        <v>0.95445361514114779</v>
      </c>
      <c r="Y123" s="1">
        <f>Batmobile[[#This Row],[Degree change]]+Y122</f>
        <v>58.971542944613972</v>
      </c>
    </row>
    <row r="124" spans="1:25">
      <c r="A124">
        <v>123</v>
      </c>
      <c r="B124" s="1">
        <v>-706.05999799999995</v>
      </c>
      <c r="C124" s="1">
        <v>2666.0698240000002</v>
      </c>
      <c r="D124" s="1">
        <v>18.649999999999999</v>
      </c>
      <c r="E124" s="1">
        <v>-2297.3498540000001</v>
      </c>
      <c r="F124" s="1">
        <v>109.989998</v>
      </c>
      <c r="G124" s="1">
        <v>8.1999999999999993</v>
      </c>
      <c r="H124" s="1">
        <v>-2.0000000000000001E-4</v>
      </c>
      <c r="I124" s="1">
        <v>-1E-4</v>
      </c>
      <c r="J124" s="1">
        <v>1.9990000000000001</v>
      </c>
      <c r="K124" s="1">
        <v>-2.9750000000000002E-3</v>
      </c>
      <c r="L124" s="1">
        <v>-4.0000000000000003E-5</v>
      </c>
      <c r="M124" s="1">
        <v>0.999973</v>
      </c>
      <c r="N124" s="1">
        <v>-6.7679999999999997E-3</v>
      </c>
      <c r="O124">
        <v>1</v>
      </c>
      <c r="P124">
        <v>0</v>
      </c>
      <c r="Q124">
        <v>1</v>
      </c>
      <c r="R124">
        <v>1</v>
      </c>
      <c r="S124">
        <v>1</v>
      </c>
      <c r="T124" s="1">
        <f>SQRT(POWER(Batmobile[[#This Row],[angvel_X]],2) + POWER(Batmobile[[#This Row],[angvel_Y]],2) + POWER(Batmobile[[#This Row],[angvel_Z]],2))</f>
        <v>1.9990000125062533</v>
      </c>
      <c r="U124" s="1">
        <f>DEGREES(ASIN(MAX(-1,MIN(1,2 * (Batmobile[[#This Row],[quart_W]]*Batmobile[[#This Row],[quart_Y]] - Batmobile[[#This Row],[quart_Z]]*Batmobile[[#This Row],[quart_X]])))))</f>
        <v>0.34093371769138736</v>
      </c>
      <c r="V12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-90.775557486375774</v>
      </c>
      <c r="W12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90.002276300778931</v>
      </c>
      <c r="X124" s="1">
        <f>IF(Batmobile[[#This Row],[Yaw]]&gt;V123,(360-ABS(Batmobile[[#This Row],[Yaw]])-ABS(V123)),ABS(Batmobile[[#This Row],[Yaw]]-V123))</f>
        <v>0.95455861843473144</v>
      </c>
      <c r="Y124" s="1">
        <f>Batmobile[[#This Row],[Degree change]]+Y123</f>
        <v>59.926101563048704</v>
      </c>
    </row>
    <row r="125" spans="1:25">
      <c r="A125">
        <v>124</v>
      </c>
      <c r="B125" s="1">
        <v>-725.26995799999997</v>
      </c>
      <c r="C125" s="1">
        <v>2666.98999</v>
      </c>
      <c r="D125" s="1">
        <v>18.649999999999999</v>
      </c>
      <c r="E125" s="1">
        <v>-2298.8598630000001</v>
      </c>
      <c r="F125" s="1">
        <v>71.75</v>
      </c>
      <c r="G125" s="1">
        <v>8.1999999999999993</v>
      </c>
      <c r="H125" s="1">
        <v>-2.0000000000000001E-4</v>
      </c>
      <c r="I125" s="1">
        <v>-1E-4</v>
      </c>
      <c r="J125" s="1">
        <v>1.9992000000000001</v>
      </c>
      <c r="K125" s="1">
        <v>-2.9750000000000002E-3</v>
      </c>
      <c r="L125" s="1">
        <v>-6.2000000000000003E-5</v>
      </c>
      <c r="M125" s="1">
        <v>0.99988200000000005</v>
      </c>
      <c r="N125" s="1">
        <v>-1.5096999999999999E-2</v>
      </c>
      <c r="O125">
        <v>1</v>
      </c>
      <c r="P125">
        <v>0</v>
      </c>
      <c r="Q125">
        <v>1</v>
      </c>
      <c r="R125">
        <v>1</v>
      </c>
      <c r="S125">
        <v>1</v>
      </c>
      <c r="T125" s="1">
        <f>SQRT(POWER(Batmobile[[#This Row],[angvel_X]],2) + POWER(Batmobile[[#This Row],[angvel_Y]],2) + POWER(Batmobile[[#This Row],[angvel_Z]],2))</f>
        <v>1.999200012505002</v>
      </c>
      <c r="U125" s="1">
        <f>DEGREES(ASIN(MAX(-1,MIN(1,2 * (Batmobile[[#This Row],[quart_W]]*Batmobile[[#This Row],[quart_Y]] - Batmobile[[#This Row],[quart_Z]]*Batmobile[[#This Row],[quart_X]])))))</f>
        <v>0.3409789327688198</v>
      </c>
      <c r="V12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-91.730054281670732</v>
      </c>
      <c r="W12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90.001957156385487</v>
      </c>
      <c r="X125" s="1">
        <f>IF(Batmobile[[#This Row],[Yaw]]&gt;V124,(360-ABS(Batmobile[[#This Row],[Yaw]])-ABS(V124)),ABS(Batmobile[[#This Row],[Yaw]]-V124))</f>
        <v>0.95449679529495768</v>
      </c>
      <c r="Y125" s="1">
        <f>Batmobile[[#This Row],[Degree change]]+Y124</f>
        <v>60.880598358343661</v>
      </c>
    </row>
    <row r="126" spans="1:25">
      <c r="A126">
        <v>125</v>
      </c>
      <c r="B126" s="1">
        <v>-744.5</v>
      </c>
      <c r="C126" s="1">
        <v>2667.5898440000001</v>
      </c>
      <c r="D126" s="1">
        <v>18.649999999999999</v>
      </c>
      <c r="E126" s="1">
        <v>-2299.73999</v>
      </c>
      <c r="F126" s="1">
        <v>33.489998</v>
      </c>
      <c r="G126" s="1">
        <v>8.1999999999999993</v>
      </c>
      <c r="H126" s="1">
        <v>-2.0000000000000001E-4</v>
      </c>
      <c r="I126" s="1">
        <v>-1E-4</v>
      </c>
      <c r="J126" s="1">
        <v>1.9994000000000001</v>
      </c>
      <c r="K126" s="1">
        <v>-2.9750000000000002E-3</v>
      </c>
      <c r="L126" s="1">
        <v>-8.3999999999999995E-5</v>
      </c>
      <c r="M126" s="1">
        <v>0.99972099999999997</v>
      </c>
      <c r="N126" s="1">
        <v>-2.3427E-2</v>
      </c>
      <c r="O126">
        <v>1</v>
      </c>
      <c r="P126">
        <v>0</v>
      </c>
      <c r="Q126">
        <v>1</v>
      </c>
      <c r="R126">
        <v>1</v>
      </c>
      <c r="S126">
        <v>1</v>
      </c>
      <c r="T126" s="1">
        <f>SQRT(POWER(Batmobile[[#This Row],[angvel_X]],2) + POWER(Batmobile[[#This Row],[angvel_Y]],2) + POWER(Batmobile[[#This Row],[angvel_Z]],2))</f>
        <v>1.9994000125037512</v>
      </c>
      <c r="U126" s="1">
        <f>DEGREES(ASIN(MAX(-1,MIN(1,2 * (Batmobile[[#This Row],[quart_W]]*Batmobile[[#This Row],[quart_Y]] - Batmobile[[#This Row],[quart_Z]]*Batmobile[[#This Row],[quart_X]])))))</f>
        <v>0.34104228915752938</v>
      </c>
      <c r="V12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-92.68479005953715</v>
      </c>
      <c r="W12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90.00163653843326</v>
      </c>
      <c r="X126" s="1">
        <f>IF(Batmobile[[#This Row],[Yaw]]&gt;V125,(360-ABS(Batmobile[[#This Row],[Yaw]])-ABS(V125)),ABS(Batmobile[[#This Row],[Yaw]]-V125))</f>
        <v>0.95473577786641783</v>
      </c>
      <c r="Y126" s="1">
        <f>Batmobile[[#This Row],[Degree change]]+Y125</f>
        <v>61.835334136210079</v>
      </c>
    </row>
    <row r="127" spans="1:25">
      <c r="A127">
        <v>126</v>
      </c>
      <c r="B127" s="1">
        <v>-763.72997999999995</v>
      </c>
      <c r="C127" s="1">
        <v>2667.8698730000001</v>
      </c>
      <c r="D127" s="1">
        <v>18.649999999999999</v>
      </c>
      <c r="E127" s="1">
        <v>-2299.9799800000001</v>
      </c>
      <c r="F127" s="1">
        <v>-4.78</v>
      </c>
      <c r="G127" s="1">
        <v>8.1999999999999993</v>
      </c>
      <c r="H127" s="1">
        <v>-2.0000000000000001E-4</v>
      </c>
      <c r="I127" s="1">
        <v>-1E-4</v>
      </c>
      <c r="J127" s="1">
        <v>1.9996</v>
      </c>
      <c r="K127" s="1">
        <v>-2.9750000000000002E-3</v>
      </c>
      <c r="L127" s="1">
        <v>-1.05E-4</v>
      </c>
      <c r="M127" s="1">
        <v>0.99949100000000002</v>
      </c>
      <c r="N127" s="1">
        <v>-3.1757000000000001E-2</v>
      </c>
      <c r="O127">
        <v>1</v>
      </c>
      <c r="P127">
        <v>0</v>
      </c>
      <c r="Q127">
        <v>1</v>
      </c>
      <c r="R127">
        <v>1</v>
      </c>
      <c r="S127">
        <v>1</v>
      </c>
      <c r="T127" s="1">
        <f>SQRT(POWER(Batmobile[[#This Row],[angvel_X]],2) + POWER(Batmobile[[#This Row],[angvel_Y]],2) + POWER(Batmobile[[#This Row],[angvel_Z]],2))</f>
        <v>1.9996000125025004</v>
      </c>
      <c r="U127" s="1">
        <f>DEGREES(ASIN(MAX(-1,MIN(1,2 * (Batmobile[[#This Row],[quart_W]]*Batmobile[[#This Row],[quart_Y]] - Batmobile[[#This Row],[quart_Z]]*Batmobile[[#This Row],[quart_X]])))))</f>
        <v>0.34112048404142353</v>
      </c>
      <c r="V12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-93.639710683889248</v>
      </c>
      <c r="W12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90.001199735298485</v>
      </c>
      <c r="X127" s="1">
        <f>IF(Batmobile[[#This Row],[Yaw]]&gt;V126,(360-ABS(Batmobile[[#This Row],[Yaw]])-ABS(V126)),ABS(Batmobile[[#This Row],[Yaw]]-V126))</f>
        <v>0.95492062435209846</v>
      </c>
      <c r="Y127" s="1">
        <f>Batmobile[[#This Row],[Degree change]]+Y126</f>
        <v>62.790254760562178</v>
      </c>
    </row>
    <row r="128" spans="1:25">
      <c r="A128">
        <v>127</v>
      </c>
      <c r="B128" s="1">
        <v>-782.96997099999999</v>
      </c>
      <c r="C128" s="1">
        <v>2667.8298340000001</v>
      </c>
      <c r="D128" s="1">
        <v>18.649999999999999</v>
      </c>
      <c r="E128" s="1">
        <v>-2299.5798340000001</v>
      </c>
      <c r="F128" s="1">
        <v>-43.059998</v>
      </c>
      <c r="G128" s="1">
        <v>8.1999999999999993</v>
      </c>
      <c r="H128" s="1">
        <v>-2.0000000000000001E-4</v>
      </c>
      <c r="I128" s="1">
        <v>-1E-4</v>
      </c>
      <c r="J128" s="1">
        <v>1.9998</v>
      </c>
      <c r="K128" s="1">
        <v>-2.9750000000000002E-3</v>
      </c>
      <c r="L128" s="1">
        <v>-1.27E-4</v>
      </c>
      <c r="M128" s="1">
        <v>0.99919199999999997</v>
      </c>
      <c r="N128" s="1">
        <v>-4.0080999999999999E-2</v>
      </c>
      <c r="O128">
        <v>1</v>
      </c>
      <c r="P128">
        <v>0</v>
      </c>
      <c r="Q128">
        <v>1</v>
      </c>
      <c r="R128">
        <v>1</v>
      </c>
      <c r="S128">
        <v>1</v>
      </c>
      <c r="T128" s="1">
        <f>SQRT(POWER(Batmobile[[#This Row],[angvel_X]],2) + POWER(Batmobile[[#This Row],[angvel_Y]],2) + POWER(Batmobile[[#This Row],[angvel_Z]],2))</f>
        <v>1.9998000125012503</v>
      </c>
      <c r="U128" s="1">
        <f>DEGREES(ASIN(MAX(-1,MIN(1,2 * (Batmobile[[#This Row],[quart_W]]*Batmobile[[#This Row],[quart_Y]] - Batmobile[[#This Row],[quart_Z]]*Batmobile[[#This Row],[quart_X]])))))</f>
        <v>0.34121975383327996</v>
      </c>
      <c r="V12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-94.594192641365098</v>
      </c>
      <c r="W12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90.000877375402723</v>
      </c>
      <c r="X128" s="1">
        <f>IF(Batmobile[[#This Row],[Yaw]]&gt;V127,(360-ABS(Batmobile[[#This Row],[Yaw]])-ABS(V127)),ABS(Batmobile[[#This Row],[Yaw]]-V127))</f>
        <v>0.95448195747584919</v>
      </c>
      <c r="Y128" s="1">
        <f>Batmobile[[#This Row],[Degree change]]+Y127</f>
        <v>63.744736718038027</v>
      </c>
    </row>
    <row r="129" spans="1:25">
      <c r="A129">
        <v>128</v>
      </c>
      <c r="B129" s="1">
        <v>-802.20001200000002</v>
      </c>
      <c r="C129" s="1">
        <v>2667.469971</v>
      </c>
      <c r="D129" s="1">
        <v>18.649999999999999</v>
      </c>
      <c r="E129" s="1">
        <v>-2298.540039</v>
      </c>
      <c r="F129" s="1">
        <v>-81.330001999999993</v>
      </c>
      <c r="G129" s="1">
        <v>8.1999999999999993</v>
      </c>
      <c r="H129" s="1">
        <v>-1E-4</v>
      </c>
      <c r="I129" s="1">
        <v>-1E-4</v>
      </c>
      <c r="J129" s="1">
        <v>1.9999</v>
      </c>
      <c r="K129" s="1">
        <v>-2.9750000000000002E-3</v>
      </c>
      <c r="L129" s="1">
        <v>-1.4799999999999999E-4</v>
      </c>
      <c r="M129" s="1">
        <v>0.99882300000000002</v>
      </c>
      <c r="N129" s="1">
        <v>-4.8404999999999997E-2</v>
      </c>
      <c r="O129">
        <v>1</v>
      </c>
      <c r="P129">
        <v>0</v>
      </c>
      <c r="Q129">
        <v>1</v>
      </c>
      <c r="R129">
        <v>1</v>
      </c>
      <c r="S129">
        <v>1</v>
      </c>
      <c r="T129" s="1">
        <f>SQRT(POWER(Batmobile[[#This Row],[angvel_X]],2) + POWER(Batmobile[[#This Row],[angvel_Y]],2) + POWER(Batmobile[[#This Row],[angvel_Z]],2))</f>
        <v>1.99990000500025</v>
      </c>
      <c r="U129" s="1">
        <f>DEGREES(ASIN(MAX(-1,MIN(1,2 * (Batmobile[[#This Row],[quart_W]]*Batmobile[[#This Row],[quart_Y]] - Batmobile[[#This Row],[quart_Z]]*Batmobile[[#This Row],[quart_X]])))))</f>
        <v>0.34133158319848317</v>
      </c>
      <c r="V12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-95.549001907742607</v>
      </c>
      <c r="W12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90.00043785398077</v>
      </c>
      <c r="X129" s="1">
        <f>IF(Batmobile[[#This Row],[Yaw]]&gt;V128,(360-ABS(Batmobile[[#This Row],[Yaw]])-ABS(V128)),ABS(Batmobile[[#This Row],[Yaw]]-V128))</f>
        <v>0.9548092663775094</v>
      </c>
      <c r="Y129" s="1">
        <f>Batmobile[[#This Row],[Degree change]]+Y128</f>
        <v>64.699545984415536</v>
      </c>
    </row>
    <row r="130" spans="1:25">
      <c r="A130">
        <v>129</v>
      </c>
      <c r="B130" s="1">
        <v>-821.419983</v>
      </c>
      <c r="C130" s="1">
        <v>2666.790039</v>
      </c>
      <c r="D130" s="1">
        <v>18.649999999999999</v>
      </c>
      <c r="E130" s="1">
        <v>-2296.8698730000001</v>
      </c>
      <c r="F130" s="1">
        <v>-119.589996</v>
      </c>
      <c r="G130" s="1">
        <v>8.1999999999999993</v>
      </c>
      <c r="H130" s="1">
        <v>0</v>
      </c>
      <c r="I130" s="1">
        <v>-1E-4</v>
      </c>
      <c r="J130" s="1">
        <v>2</v>
      </c>
      <c r="K130" s="1">
        <v>-2.9750000000000002E-3</v>
      </c>
      <c r="L130" s="1">
        <v>-1.75E-4</v>
      </c>
      <c r="M130" s="1">
        <v>0.99838499999999997</v>
      </c>
      <c r="N130" s="1">
        <v>-5.6723999999999997E-2</v>
      </c>
      <c r="O130">
        <v>1</v>
      </c>
      <c r="P130">
        <v>0</v>
      </c>
      <c r="Q130">
        <v>1</v>
      </c>
      <c r="R130">
        <v>1</v>
      </c>
      <c r="S130">
        <v>1</v>
      </c>
      <c r="T130" s="1">
        <f>SQRT(POWER(Batmobile[[#This Row],[angvel_X]],2) + POWER(Batmobile[[#This Row],[angvel_Y]],2) + POWER(Batmobile[[#This Row],[angvel_Z]],2))</f>
        <v>2.0000000024999998</v>
      </c>
      <c r="U130" s="1">
        <f>DEGREES(ASIN(MAX(-1,MIN(1,2 * (Batmobile[[#This Row],[quart_W]]*Batmobile[[#This Row],[quart_Y]] - Batmobile[[#This Row],[quart_Z]]*Batmobile[[#This Row],[quart_X]])))))</f>
        <v>0.34149885661283352</v>
      </c>
      <c r="V13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-96.503618075863699</v>
      </c>
      <c r="W13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90.000683376035894</v>
      </c>
      <c r="X130" s="1">
        <f>IF(Batmobile[[#This Row],[Yaw]]&gt;V129,(360-ABS(Batmobile[[#This Row],[Yaw]])-ABS(V129)),ABS(Batmobile[[#This Row],[Yaw]]-V129))</f>
        <v>0.95461616812109185</v>
      </c>
      <c r="Y130" s="1">
        <f>Batmobile[[#This Row],[Degree change]]+Y129</f>
        <v>65.654162152536628</v>
      </c>
    </row>
    <row r="131" spans="1:25">
      <c r="A131">
        <v>130</v>
      </c>
      <c r="B131" s="1">
        <v>-840.63000499999998</v>
      </c>
      <c r="C131" s="1">
        <v>2665.790039</v>
      </c>
      <c r="D131" s="1">
        <v>18.649999999999999</v>
      </c>
      <c r="E131" s="1">
        <v>-2294.5600589999999</v>
      </c>
      <c r="F131" s="1">
        <v>-157.81999200000001</v>
      </c>
      <c r="G131" s="1">
        <v>8.1999999999999993</v>
      </c>
      <c r="H131" s="1">
        <v>0</v>
      </c>
      <c r="I131" s="1">
        <v>-1E-4</v>
      </c>
      <c r="J131" s="1">
        <v>2.0001000000000002</v>
      </c>
      <c r="K131" s="1">
        <v>-2.9750000000000002E-3</v>
      </c>
      <c r="L131" s="1">
        <v>-2.02E-4</v>
      </c>
      <c r="M131" s="1">
        <v>0.99787800000000004</v>
      </c>
      <c r="N131" s="1">
        <v>-6.5043000000000004E-2</v>
      </c>
      <c r="O131">
        <v>1</v>
      </c>
      <c r="P131">
        <v>0</v>
      </c>
      <c r="Q131">
        <v>1</v>
      </c>
      <c r="R131">
        <v>1</v>
      </c>
      <c r="S131">
        <v>1</v>
      </c>
      <c r="T131" s="1">
        <f>SQRT(POWER(Batmobile[[#This Row],[angvel_X]],2) + POWER(Batmobile[[#This Row],[angvel_Y]],2) + POWER(Batmobile[[#This Row],[angvel_Z]],2))</f>
        <v>2.0001000024998752</v>
      </c>
      <c r="U131" s="1">
        <f>DEGREES(ASIN(MAX(-1,MIN(1,2 * (Batmobile[[#This Row],[quart_W]]*Batmobile[[#This Row],[quart_Y]] - Batmobile[[#This Row],[quart_Z]]*Batmobile[[#This Row],[quart_X]])))))</f>
        <v>0.34169408525259021</v>
      </c>
      <c r="V13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-97.458674774987372</v>
      </c>
      <c r="W13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90.000924590528953</v>
      </c>
      <c r="X131" s="1">
        <f>IF(Batmobile[[#This Row],[Yaw]]&gt;V130,(360-ABS(Batmobile[[#This Row],[Yaw]])-ABS(V130)),ABS(Batmobile[[#This Row],[Yaw]]-V130))</f>
        <v>0.95505669912367352</v>
      </c>
      <c r="Y131" s="1">
        <f>Batmobile[[#This Row],[Degree change]]+Y130</f>
        <v>66.609218851660302</v>
      </c>
    </row>
    <row r="132" spans="1:25">
      <c r="A132">
        <v>131</v>
      </c>
      <c r="B132" s="1">
        <v>-859.82000700000003</v>
      </c>
      <c r="C132" s="1">
        <v>2664.469971</v>
      </c>
      <c r="D132" s="1">
        <v>18.649999999999999</v>
      </c>
      <c r="E132" s="1">
        <v>-2291.6098630000001</v>
      </c>
      <c r="F132" s="1">
        <v>-196.009995</v>
      </c>
      <c r="G132" s="1">
        <v>8.1999999999999993</v>
      </c>
      <c r="H132" s="1">
        <v>0</v>
      </c>
      <c r="I132" s="1">
        <v>-1E-4</v>
      </c>
      <c r="J132" s="1">
        <v>2.0002</v>
      </c>
      <c r="K132" s="1">
        <v>-2.9750000000000002E-3</v>
      </c>
      <c r="L132" s="1">
        <v>-2.2900000000000001E-4</v>
      </c>
      <c r="M132" s="1">
        <v>0.99730099999999999</v>
      </c>
      <c r="N132" s="1">
        <v>-7.3356000000000005E-2</v>
      </c>
      <c r="O132">
        <v>1</v>
      </c>
      <c r="P132">
        <v>0</v>
      </c>
      <c r="Q132">
        <v>1</v>
      </c>
      <c r="R132">
        <v>1</v>
      </c>
      <c r="S132">
        <v>1</v>
      </c>
      <c r="T132" s="1">
        <f>SQRT(POWER(Batmobile[[#This Row],[angvel_X]],2) + POWER(Batmobile[[#This Row],[angvel_Y]],2) + POWER(Batmobile[[#This Row],[angvel_Z]],2))</f>
        <v>2.0002000024997497</v>
      </c>
      <c r="U132" s="1">
        <f>DEGREES(ASIN(MAX(-1,MIN(1,2 * (Batmobile[[#This Row],[quart_W]]*Batmobile[[#This Row],[quart_Y]] - Batmobile[[#This Row],[quart_Z]]*Batmobile[[#This Row],[quart_X]])))))</f>
        <v>0.34191677075189481</v>
      </c>
      <c r="V13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-98.413578614099805</v>
      </c>
      <c r="W13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90.001162876251996</v>
      </c>
      <c r="X132" s="1">
        <f>IF(Batmobile[[#This Row],[Yaw]]&gt;V131,(360-ABS(Batmobile[[#This Row],[Yaw]])-ABS(V131)),ABS(Batmobile[[#This Row],[Yaw]]-V131))</f>
        <v>0.95490383911243271</v>
      </c>
      <c r="Y132" s="1">
        <f>Batmobile[[#This Row],[Degree change]]+Y131</f>
        <v>67.564122690772734</v>
      </c>
    </row>
    <row r="133" spans="1:25">
      <c r="A133">
        <v>132</v>
      </c>
      <c r="B133" s="1">
        <v>-878.97997999999995</v>
      </c>
      <c r="C133" s="1">
        <v>2662.8298340000001</v>
      </c>
      <c r="D133" s="1">
        <v>18.649999999999999</v>
      </c>
      <c r="E133" s="1">
        <v>-2288.030029</v>
      </c>
      <c r="F133" s="1">
        <v>-234.14999399999999</v>
      </c>
      <c r="G133" s="1">
        <v>8.1999999999999993</v>
      </c>
      <c r="H133" s="1">
        <v>0</v>
      </c>
      <c r="I133" s="1">
        <v>-1E-4</v>
      </c>
      <c r="J133" s="1">
        <v>2.0003000000000002</v>
      </c>
      <c r="K133" s="1">
        <v>-2.9750000000000002E-3</v>
      </c>
      <c r="L133" s="1">
        <v>-2.5599999999999999E-4</v>
      </c>
      <c r="M133" s="1">
        <v>0.99665499999999996</v>
      </c>
      <c r="N133" s="1">
        <v>-8.1664E-2</v>
      </c>
      <c r="O133">
        <v>1</v>
      </c>
      <c r="P133">
        <v>0</v>
      </c>
      <c r="Q133">
        <v>1</v>
      </c>
      <c r="R133">
        <v>1</v>
      </c>
      <c r="S133">
        <v>1</v>
      </c>
      <c r="T133" s="1">
        <f>SQRT(POWER(Batmobile[[#This Row],[angvel_X]],2) + POWER(Batmobile[[#This Row],[angvel_Y]],2) + POWER(Batmobile[[#This Row],[angvel_Z]],2))</f>
        <v>2.0003000024996251</v>
      </c>
      <c r="U133" s="1">
        <f>DEGREES(ASIN(MAX(-1,MIN(1,2 * (Batmobile[[#This Row],[quart_W]]*Batmobile[[#This Row],[quart_Y]] - Batmobile[[#This Row],[quart_Z]]*Batmobile[[#This Row],[quart_X]])))))</f>
        <v>0.34216722767209973</v>
      </c>
      <c r="V13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-99.368487961273601</v>
      </c>
      <c r="W13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90.001397271881174</v>
      </c>
      <c r="X133" s="1">
        <f>IF(Batmobile[[#This Row],[Yaw]]&gt;V132,(360-ABS(Batmobile[[#This Row],[Yaw]])-ABS(V132)),ABS(Batmobile[[#This Row],[Yaw]]-V132))</f>
        <v>0.95490934717379616</v>
      </c>
      <c r="Y133" s="1">
        <f>Batmobile[[#This Row],[Degree change]]+Y132</f>
        <v>68.519032037946531</v>
      </c>
    </row>
    <row r="134" spans="1:25">
      <c r="A134">
        <v>133</v>
      </c>
      <c r="B134" s="1">
        <v>-898.10998500000005</v>
      </c>
      <c r="C134" s="1">
        <v>2660.8698730000001</v>
      </c>
      <c r="D134" s="1">
        <v>18.649999999999999</v>
      </c>
      <c r="E134" s="1">
        <v>-2283.8100589999999</v>
      </c>
      <c r="F134" s="1">
        <v>-272.22998000000001</v>
      </c>
      <c r="G134" s="1">
        <v>8.1999999999999993</v>
      </c>
      <c r="H134" s="1">
        <v>0</v>
      </c>
      <c r="I134" s="1">
        <v>0</v>
      </c>
      <c r="J134" s="1">
        <v>2.0004</v>
      </c>
      <c r="K134" s="1">
        <v>-2.9750000000000002E-3</v>
      </c>
      <c r="L134" s="1">
        <v>-2.8299999999999999E-4</v>
      </c>
      <c r="M134" s="1">
        <v>0.99594000000000005</v>
      </c>
      <c r="N134" s="1">
        <v>-8.9967000000000005E-2</v>
      </c>
      <c r="O134">
        <v>1</v>
      </c>
      <c r="P134">
        <v>0</v>
      </c>
      <c r="Q134">
        <v>1</v>
      </c>
      <c r="R134">
        <v>1</v>
      </c>
      <c r="S134">
        <v>1</v>
      </c>
      <c r="T134" s="1">
        <f>SQRT(POWER(Batmobile[[#This Row],[angvel_X]],2) + POWER(Batmobile[[#This Row],[angvel_Y]],2) + POWER(Batmobile[[#This Row],[angvel_Z]],2))</f>
        <v>2.0004</v>
      </c>
      <c r="U134" s="1">
        <f>DEGREES(ASIN(MAX(-1,MIN(1,2 * (Batmobile[[#This Row],[quart_W]]*Batmobile[[#This Row],[quart_Y]] - Batmobile[[#This Row],[quart_Z]]*Batmobile[[#This Row],[quart_X]])))))</f>
        <v>0.34244540960497361</v>
      </c>
      <c r="V13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-100.32346671941639</v>
      </c>
      <c r="W13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90.001627136954511</v>
      </c>
      <c r="X134" s="1">
        <f>IF(Batmobile[[#This Row],[Yaw]]&gt;V133,(360-ABS(Batmobile[[#This Row],[Yaw]])-ABS(V133)),ABS(Batmobile[[#This Row],[Yaw]]-V133))</f>
        <v>0.95497875814278643</v>
      </c>
      <c r="Y134" s="1">
        <f>Batmobile[[#This Row],[Degree change]]+Y133</f>
        <v>69.474010796089317</v>
      </c>
    </row>
    <row r="135" spans="1:25">
      <c r="A135">
        <v>134</v>
      </c>
      <c r="B135" s="1">
        <v>-917.20996100000002</v>
      </c>
      <c r="C135" s="1">
        <v>2658.5898440000001</v>
      </c>
      <c r="D135" s="1">
        <v>18.649999999999999</v>
      </c>
      <c r="E135" s="1">
        <v>-2278.959961</v>
      </c>
      <c r="F135" s="1">
        <v>-310.23998999999998</v>
      </c>
      <c r="G135" s="1">
        <v>8.1999999999999993</v>
      </c>
      <c r="H135" s="1">
        <v>0</v>
      </c>
      <c r="I135" s="1">
        <v>0</v>
      </c>
      <c r="J135" s="1">
        <v>2.0005000000000002</v>
      </c>
      <c r="K135" s="1">
        <v>-2.9750000000000002E-3</v>
      </c>
      <c r="L135" s="1">
        <v>-3.1E-4</v>
      </c>
      <c r="M135" s="1">
        <v>0.99515600000000004</v>
      </c>
      <c r="N135" s="1">
        <v>-9.8264000000000004E-2</v>
      </c>
      <c r="O135">
        <v>1</v>
      </c>
      <c r="P135">
        <v>0</v>
      </c>
      <c r="Q135">
        <v>1</v>
      </c>
      <c r="R135">
        <v>1</v>
      </c>
      <c r="S135">
        <v>1</v>
      </c>
      <c r="T135" s="1">
        <f>SQRT(POWER(Batmobile[[#This Row],[angvel_X]],2) + POWER(Batmobile[[#This Row],[angvel_Y]],2) + POWER(Batmobile[[#This Row],[angvel_Z]],2))</f>
        <v>2.0005000000000002</v>
      </c>
      <c r="U135" s="1">
        <f>DEGREES(ASIN(MAX(-1,MIN(1,2 * (Batmobile[[#This Row],[quart_W]]*Batmobile[[#This Row],[quart_Y]] - Batmobile[[#This Row],[quart_Z]]*Batmobile[[#This Row],[quart_X]])))))</f>
        <v>0.34275123461850476</v>
      </c>
      <c r="V13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-101.27846654191153</v>
      </c>
      <c r="W13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90.001852171925975</v>
      </c>
      <c r="X135" s="1">
        <f>IF(Batmobile[[#This Row],[Yaw]]&gt;V134,(360-ABS(Batmobile[[#This Row],[Yaw]])-ABS(V134)),ABS(Batmobile[[#This Row],[Yaw]]-V134))</f>
        <v>0.95499982249513948</v>
      </c>
      <c r="Y135" s="1">
        <f>Batmobile[[#This Row],[Degree change]]+Y134</f>
        <v>70.429010618584456</v>
      </c>
    </row>
    <row r="136" spans="1:25">
      <c r="A136">
        <v>135</v>
      </c>
      <c r="B136" s="1">
        <v>-936.26995799999997</v>
      </c>
      <c r="C136" s="1">
        <v>2655.98999</v>
      </c>
      <c r="D136" s="1">
        <v>18.649999999999999</v>
      </c>
      <c r="E136" s="1">
        <v>-2273.469971</v>
      </c>
      <c r="F136" s="1">
        <v>-348.169983</v>
      </c>
      <c r="G136" s="1">
        <v>8.1999999999999993</v>
      </c>
      <c r="H136" s="1">
        <v>-1E-4</v>
      </c>
      <c r="I136" s="1">
        <v>0</v>
      </c>
      <c r="J136" s="1">
        <v>2.0005999999999999</v>
      </c>
      <c r="K136" s="1">
        <v>-2.97E-3</v>
      </c>
      <c r="L136" s="1">
        <v>-3.3700000000000001E-4</v>
      </c>
      <c r="M136" s="1">
        <v>0.99430200000000002</v>
      </c>
      <c r="N136" s="1">
        <v>-0.106556</v>
      </c>
      <c r="O136">
        <v>1</v>
      </c>
      <c r="P136">
        <v>0</v>
      </c>
      <c r="Q136">
        <v>1</v>
      </c>
      <c r="R136">
        <v>1</v>
      </c>
      <c r="S136">
        <v>1</v>
      </c>
      <c r="T136" s="1">
        <f>SQRT(POWER(Batmobile[[#This Row],[angvel_X]],2) + POWER(Batmobile[[#This Row],[angvel_Y]],2) + POWER(Batmobile[[#This Row],[angvel_Z]],2))</f>
        <v>2.0006000024992501</v>
      </c>
      <c r="U136" s="1">
        <f>DEGREES(ASIN(MAX(-1,MIN(1,2 * (Batmobile[[#This Row],[quart_W]]*Batmobile[[#This Row],[quart_Y]] - Batmobile[[#This Row],[quart_Z]]*Batmobile[[#This Row],[quart_X]])))))</f>
        <v>0.3425146414467517</v>
      </c>
      <c r="V13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-102.23369969036166</v>
      </c>
      <c r="W13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90.002132409857836</v>
      </c>
      <c r="X136" s="1">
        <f>IF(Batmobile[[#This Row],[Yaw]]&gt;V135,(360-ABS(Batmobile[[#This Row],[Yaw]])-ABS(V135)),ABS(Batmobile[[#This Row],[Yaw]]-V135))</f>
        <v>0.95523314845013374</v>
      </c>
      <c r="Y136" s="1">
        <f>Batmobile[[#This Row],[Degree change]]+Y135</f>
        <v>71.38424376703459</v>
      </c>
    </row>
    <row r="137" spans="1:25">
      <c r="A137">
        <v>136</v>
      </c>
      <c r="B137" s="1">
        <v>-955.27996800000005</v>
      </c>
      <c r="C137" s="1">
        <v>2653.0698240000002</v>
      </c>
      <c r="D137" s="1">
        <v>18.649999999999999</v>
      </c>
      <c r="E137" s="1">
        <v>-2267.3598630000001</v>
      </c>
      <c r="F137" s="1">
        <v>-386</v>
      </c>
      <c r="G137" s="1">
        <v>8.1999999999999993</v>
      </c>
      <c r="H137" s="1">
        <v>-1E-4</v>
      </c>
      <c r="I137" s="1">
        <v>0</v>
      </c>
      <c r="J137" s="1">
        <v>2.0007000000000001</v>
      </c>
      <c r="K137" s="1">
        <v>-2.9640000000000001E-3</v>
      </c>
      <c r="L137" s="1">
        <v>-3.6400000000000001E-4</v>
      </c>
      <c r="M137" s="1">
        <v>0.99337900000000001</v>
      </c>
      <c r="N137" s="1">
        <v>-0.114842</v>
      </c>
      <c r="O137">
        <v>1</v>
      </c>
      <c r="P137">
        <v>0</v>
      </c>
      <c r="Q137">
        <v>1</v>
      </c>
      <c r="R137">
        <v>1</v>
      </c>
      <c r="S137">
        <v>1</v>
      </c>
      <c r="T137" s="1">
        <f>SQRT(POWER(Batmobile[[#This Row],[angvel_X]],2) + POWER(Batmobile[[#This Row],[angvel_Y]],2) + POWER(Batmobile[[#This Row],[angvel_Z]],2))</f>
        <v>2.0007000024991255</v>
      </c>
      <c r="U137" s="1">
        <f>DEGREES(ASIN(MAX(-1,MIN(1,2 * (Batmobile[[#This Row],[quart_W]]*Batmobile[[#This Row],[quart_Y]] - Batmobile[[#This Row],[quart_Z]]*Batmobile[[#This Row],[quart_X]])))))</f>
        <v>0.34219280897497911</v>
      </c>
      <c r="V13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-103.1890867141466</v>
      </c>
      <c r="W13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90.002429185903267</v>
      </c>
      <c r="X137" s="1">
        <f>IF(Batmobile[[#This Row],[Yaw]]&gt;V136,(360-ABS(Batmobile[[#This Row],[Yaw]])-ABS(V136)),ABS(Batmobile[[#This Row],[Yaw]]-V136))</f>
        <v>0.95538702378493667</v>
      </c>
      <c r="Y137" s="1">
        <f>Batmobile[[#This Row],[Degree change]]+Y136</f>
        <v>72.339630790819527</v>
      </c>
    </row>
    <row r="138" spans="1:25">
      <c r="A138">
        <v>137</v>
      </c>
      <c r="B138" s="1">
        <v>-974.23999000000003</v>
      </c>
      <c r="C138" s="1">
        <v>2649.8398440000001</v>
      </c>
      <c r="D138" s="1">
        <v>18.649999999999999</v>
      </c>
      <c r="E138" s="1">
        <v>-2260.6098630000001</v>
      </c>
      <c r="F138" s="1">
        <v>-423.72998000000001</v>
      </c>
      <c r="G138" s="1">
        <v>8.1999999999999993</v>
      </c>
      <c r="H138" s="1">
        <v>-1E-4</v>
      </c>
      <c r="I138" s="1">
        <v>0</v>
      </c>
      <c r="J138" s="1">
        <v>2.0007999999999999</v>
      </c>
      <c r="K138" s="1">
        <v>-2.9589999999999998E-3</v>
      </c>
      <c r="L138" s="1">
        <v>-3.86E-4</v>
      </c>
      <c r="M138" s="1">
        <v>0.99238800000000005</v>
      </c>
      <c r="N138" s="1">
        <v>-0.12311800000000001</v>
      </c>
      <c r="O138">
        <v>1</v>
      </c>
      <c r="P138">
        <v>0</v>
      </c>
      <c r="Q138">
        <v>1</v>
      </c>
      <c r="R138">
        <v>1</v>
      </c>
      <c r="S138">
        <v>1</v>
      </c>
      <c r="T138" s="1">
        <f>SQRT(POWER(Batmobile[[#This Row],[angvel_X]],2) + POWER(Batmobile[[#This Row],[angvel_Y]],2) + POWER(Batmobile[[#This Row],[angvel_Z]],2))</f>
        <v>2.000800002499</v>
      </c>
      <c r="U138" s="1">
        <f>DEGREES(ASIN(MAX(-1,MIN(1,2 * (Batmobile[[#This Row],[quart_W]]*Batmobile[[#This Row],[quart_Y]] - Batmobile[[#This Row],[quart_Z]]*Batmobile[[#This Row],[quart_X]])))))</f>
        <v>0.34194320073430651</v>
      </c>
      <c r="V13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-104.14420934074668</v>
      </c>
      <c r="W13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90.002149272408161</v>
      </c>
      <c r="X138" s="1">
        <f>IF(Batmobile[[#This Row],[Yaw]]&gt;V137,(360-ABS(Batmobile[[#This Row],[Yaw]])-ABS(V137)),ABS(Batmobile[[#This Row],[Yaw]]-V137))</f>
        <v>0.95512262660008673</v>
      </c>
      <c r="Y138" s="1">
        <f>Batmobile[[#This Row],[Degree change]]+Y137</f>
        <v>73.294753417419614</v>
      </c>
    </row>
    <row r="139" spans="1:25">
      <c r="A139">
        <v>138</v>
      </c>
      <c r="B139" s="1">
        <v>-993.14996299999996</v>
      </c>
      <c r="C139" s="1">
        <v>2646.290039</v>
      </c>
      <c r="D139" s="1">
        <v>18.649999999999999</v>
      </c>
      <c r="E139" s="1">
        <v>-2253.23999</v>
      </c>
      <c r="F139" s="1">
        <v>-461.33999599999999</v>
      </c>
      <c r="G139" s="1">
        <v>8.1999999999999993</v>
      </c>
      <c r="H139" s="1">
        <v>-1E-4</v>
      </c>
      <c r="I139" s="1">
        <v>0</v>
      </c>
      <c r="J139" s="1">
        <v>2.0009000000000001</v>
      </c>
      <c r="K139" s="1">
        <v>-2.954E-3</v>
      </c>
      <c r="L139" s="1">
        <v>-4.0700000000000003E-4</v>
      </c>
      <c r="M139" s="1">
        <v>0.99132699999999996</v>
      </c>
      <c r="N139" s="1">
        <v>-0.131388</v>
      </c>
      <c r="O139">
        <v>1</v>
      </c>
      <c r="P139">
        <v>0</v>
      </c>
      <c r="Q139">
        <v>1</v>
      </c>
      <c r="R139">
        <v>1</v>
      </c>
      <c r="S139">
        <v>1</v>
      </c>
      <c r="T139" s="1">
        <f>SQRT(POWER(Batmobile[[#This Row],[angvel_X]],2) + POWER(Batmobile[[#This Row],[angvel_Y]],2) + POWER(Batmobile[[#This Row],[angvel_Z]],2))</f>
        <v>2.0009000024988759</v>
      </c>
      <c r="U139" s="1">
        <f>DEGREES(ASIN(MAX(-1,MIN(1,2 * (Batmobile[[#This Row],[quart_W]]*Batmobile[[#This Row],[quart_Y]] - Batmobile[[#This Row],[quart_Z]]*Batmobile[[#This Row],[quart_X]])))))</f>
        <v>0.34169742428081468</v>
      </c>
      <c r="V13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-105.09965534728761</v>
      </c>
      <c r="W13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90.001759004492541</v>
      </c>
      <c r="X139" s="1">
        <f>IF(Batmobile[[#This Row],[Yaw]]&gt;V138,(360-ABS(Batmobile[[#This Row],[Yaw]])-ABS(V138)),ABS(Batmobile[[#This Row],[Yaw]]-V138))</f>
        <v>0.95544600654092449</v>
      </c>
      <c r="Y139" s="1">
        <f>Batmobile[[#This Row],[Degree change]]+Y138</f>
        <v>74.250199423960538</v>
      </c>
    </row>
    <row r="140" spans="1:25">
      <c r="A140">
        <v>139</v>
      </c>
      <c r="B140" s="1">
        <v>-1011.98999</v>
      </c>
      <c r="C140" s="1">
        <v>2642.429932</v>
      </c>
      <c r="D140" s="1">
        <v>18.649999999999999</v>
      </c>
      <c r="E140" s="1">
        <v>-2245.2299800000001</v>
      </c>
      <c r="F140" s="1">
        <v>-498.82998700000002</v>
      </c>
      <c r="G140" s="1">
        <v>8.1999999999999993</v>
      </c>
      <c r="H140" s="1">
        <v>-1E-4</v>
      </c>
      <c r="I140" s="1">
        <v>-1E-4</v>
      </c>
      <c r="J140" s="1">
        <v>2.0009999999999999</v>
      </c>
      <c r="K140" s="1">
        <v>-2.9480000000000001E-3</v>
      </c>
      <c r="L140" s="1">
        <v>-4.2900000000000002E-4</v>
      </c>
      <c r="M140" s="1">
        <v>0.99019699999999999</v>
      </c>
      <c r="N140" s="1">
        <v>-0.13964799999999999</v>
      </c>
      <c r="O140">
        <v>1</v>
      </c>
      <c r="P140">
        <v>0</v>
      </c>
      <c r="Q140">
        <v>1</v>
      </c>
      <c r="R140">
        <v>1</v>
      </c>
      <c r="S140">
        <v>1</v>
      </c>
      <c r="T140" s="1">
        <f>SQRT(POWER(Batmobile[[#This Row],[angvel_X]],2) + POWER(Batmobile[[#This Row],[angvel_Y]],2) + POWER(Batmobile[[#This Row],[angvel_Z]],2))</f>
        <v>2.001000004997501</v>
      </c>
      <c r="U140" s="1">
        <f>DEGREES(ASIN(MAX(-1,MIN(1,2 * (Batmobile[[#This Row],[quart_W]]*Batmobile[[#This Row],[quart_Y]] - Batmobile[[#This Row],[quart_Z]]*Batmobile[[#This Row],[quart_X]])))))</f>
        <v>0.34137139106450592</v>
      </c>
      <c r="V14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-106.05501046274526</v>
      </c>
      <c r="W14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90.001502575141174</v>
      </c>
      <c r="X140" s="1">
        <f>IF(Batmobile[[#This Row],[Yaw]]&gt;V139,(360-ABS(Batmobile[[#This Row],[Yaw]])-ABS(V139)),ABS(Batmobile[[#This Row],[Yaw]]-V139))</f>
        <v>0.95535511545764962</v>
      </c>
      <c r="Y140" s="1">
        <f>Batmobile[[#This Row],[Degree change]]+Y139</f>
        <v>75.205554539418188</v>
      </c>
    </row>
    <row r="141" spans="1:25">
      <c r="A141">
        <v>140</v>
      </c>
      <c r="B141" s="1">
        <v>-1030.7700199999999</v>
      </c>
      <c r="C141" s="1">
        <v>2638.25</v>
      </c>
      <c r="D141" s="1">
        <v>18.649999999999999</v>
      </c>
      <c r="E141" s="1">
        <v>-2236.6098630000001</v>
      </c>
      <c r="F141" s="1">
        <v>-536.17999299999997</v>
      </c>
      <c r="G141" s="1">
        <v>8.1999999999999993</v>
      </c>
      <c r="H141" s="1">
        <v>-1E-4</v>
      </c>
      <c r="I141" s="1">
        <v>-1E-4</v>
      </c>
      <c r="J141" s="1">
        <v>2.0009999999999999</v>
      </c>
      <c r="K141" s="1">
        <v>-2.9429999999999999E-3</v>
      </c>
      <c r="L141" s="1">
        <v>-4.4999999999999999E-4</v>
      </c>
      <c r="M141" s="1">
        <v>0.98899800000000004</v>
      </c>
      <c r="N141" s="1">
        <v>-0.147896</v>
      </c>
      <c r="O141">
        <v>1</v>
      </c>
      <c r="P141">
        <v>0</v>
      </c>
      <c r="Q141">
        <v>1</v>
      </c>
      <c r="R141">
        <v>1</v>
      </c>
      <c r="S141">
        <v>1</v>
      </c>
      <c r="T141" s="1">
        <f>SQRT(POWER(Batmobile[[#This Row],[angvel_X]],2) + POWER(Batmobile[[#This Row],[angvel_Y]],2) + POWER(Batmobile[[#This Row],[angvel_Z]],2))</f>
        <v>2.001000004997501</v>
      </c>
      <c r="U141" s="1">
        <f>DEGREES(ASIN(MAX(-1,MIN(1,2 * (Batmobile[[#This Row],[quart_W]]*Batmobile[[#This Row],[quart_Y]] - Batmobile[[#This Row],[quart_Z]]*Batmobile[[#This Row],[quart_X]])))))</f>
        <v>0.34116106209009417</v>
      </c>
      <c r="V14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-107.01012714446574</v>
      </c>
      <c r="W14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90.001122005554379</v>
      </c>
      <c r="X141" s="1">
        <f>IF(Batmobile[[#This Row],[Yaw]]&gt;V140,(360-ABS(Batmobile[[#This Row],[Yaw]])-ABS(V140)),ABS(Batmobile[[#This Row],[Yaw]]-V140))</f>
        <v>0.95511668172048303</v>
      </c>
      <c r="Y141" s="1">
        <f>Batmobile[[#This Row],[Degree change]]+Y140</f>
        <v>76.160671221138671</v>
      </c>
    </row>
    <row r="142" spans="1:25">
      <c r="A142">
        <v>141</v>
      </c>
      <c r="B142" s="1">
        <v>-1049.469971</v>
      </c>
      <c r="C142" s="1">
        <v>2633.76001</v>
      </c>
      <c r="D142" s="1">
        <v>18.649999999999999</v>
      </c>
      <c r="E142" s="1">
        <v>-2227.3598630000001</v>
      </c>
      <c r="F142" s="1">
        <v>-573.39001499999995</v>
      </c>
      <c r="G142" s="1">
        <v>8.1999999999999993</v>
      </c>
      <c r="H142" s="1">
        <v>0</v>
      </c>
      <c r="I142" s="1">
        <v>-1E-4</v>
      </c>
      <c r="J142" s="1">
        <v>2.0009999999999999</v>
      </c>
      <c r="K142" s="1">
        <v>-2.9369999999999999E-3</v>
      </c>
      <c r="L142" s="1">
        <v>-4.7199999999999998E-4</v>
      </c>
      <c r="M142" s="1">
        <v>0.98773100000000003</v>
      </c>
      <c r="N142" s="1">
        <v>-0.156134</v>
      </c>
      <c r="O142">
        <v>1</v>
      </c>
      <c r="P142">
        <v>0</v>
      </c>
      <c r="Q142">
        <v>1</v>
      </c>
      <c r="R142">
        <v>1</v>
      </c>
      <c r="S142">
        <v>1</v>
      </c>
      <c r="T142" s="1">
        <f>SQRT(POWER(Batmobile[[#This Row],[angvel_X]],2) + POWER(Batmobile[[#This Row],[angvel_Y]],2) + POWER(Batmobile[[#This Row],[angvel_Z]],2))</f>
        <v>2.0010000024987504</v>
      </c>
      <c r="U142" s="1">
        <f>DEGREES(ASIN(MAX(-1,MIN(1,2 * (Batmobile[[#This Row],[quart_W]]*Batmobile[[#This Row],[quart_Y]] - Batmobile[[#This Row],[quart_Z]]*Batmobile[[#This Row],[quart_X]])))))</f>
        <v>0.34087307476493911</v>
      </c>
      <c r="V14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-107.9652397370274</v>
      </c>
      <c r="W14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90.000875893103085</v>
      </c>
      <c r="X142" s="1">
        <f>IF(Batmobile[[#This Row],[Yaw]]&gt;V141,(360-ABS(Batmobile[[#This Row],[Yaw]])-ABS(V141)),ABS(Batmobile[[#This Row],[Yaw]]-V141))</f>
        <v>0.9551125925616617</v>
      </c>
      <c r="Y142" s="1">
        <f>Batmobile[[#This Row],[Degree change]]+Y141</f>
        <v>77.115783813700332</v>
      </c>
    </row>
    <row r="143" spans="1:25">
      <c r="A143">
        <v>142</v>
      </c>
      <c r="B143" s="1">
        <v>-1068.099976</v>
      </c>
      <c r="C143" s="1">
        <v>2628.959961</v>
      </c>
      <c r="D143" s="1">
        <v>18.649999999999999</v>
      </c>
      <c r="E143" s="1">
        <v>-2217.48999</v>
      </c>
      <c r="F143" s="1">
        <v>-610.44000200000005</v>
      </c>
      <c r="G143" s="1">
        <v>8.1999999999999993</v>
      </c>
      <c r="H143" s="1">
        <v>0</v>
      </c>
      <c r="I143" s="1">
        <v>-2.0000000000000001E-4</v>
      </c>
      <c r="J143" s="1">
        <v>2.0009999999999999</v>
      </c>
      <c r="K143" s="1">
        <v>-2.9320000000000001E-3</v>
      </c>
      <c r="L143" s="1">
        <v>-4.9899999999999999E-4</v>
      </c>
      <c r="M143" s="1">
        <v>0.98639600000000005</v>
      </c>
      <c r="N143" s="1">
        <v>-0.16436100000000001</v>
      </c>
      <c r="O143">
        <v>1</v>
      </c>
      <c r="P143">
        <v>0</v>
      </c>
      <c r="Q143">
        <v>1</v>
      </c>
      <c r="R143">
        <v>1</v>
      </c>
      <c r="S143">
        <v>1</v>
      </c>
      <c r="T143" s="1">
        <f>SQRT(POWER(Batmobile[[#This Row],[angvel_X]],2) + POWER(Batmobile[[#This Row],[angvel_Y]],2) + POWER(Batmobile[[#This Row],[angvel_Z]],2))</f>
        <v>2.0010000099950025</v>
      </c>
      <c r="U143" s="1">
        <f>DEGREES(ASIN(MAX(-1,MIN(1,2 * (Batmobile[[#This Row],[quart_W]]*Batmobile[[#This Row],[quart_Y]] - Batmobile[[#This Row],[quart_Z]]*Batmobile[[#This Row],[quart_X]])))))</f>
        <v>0.34081211281032858</v>
      </c>
      <c r="V14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-108.92029956464263</v>
      </c>
      <c r="W14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90.001180904325182</v>
      </c>
      <c r="X143" s="1">
        <f>IF(Batmobile[[#This Row],[Yaw]]&gt;V142,(360-ABS(Batmobile[[#This Row],[Yaw]])-ABS(V142)),ABS(Batmobile[[#This Row],[Yaw]]-V142))</f>
        <v>0.95505982761523001</v>
      </c>
      <c r="Y143" s="1">
        <f>Batmobile[[#This Row],[Degree change]]+Y142</f>
        <v>78.070843641315562</v>
      </c>
    </row>
    <row r="144" spans="1:25">
      <c r="A144">
        <v>143</v>
      </c>
      <c r="B144" s="1">
        <v>-1086.6400149999999</v>
      </c>
      <c r="C144" s="1">
        <v>2623.8498540000001</v>
      </c>
      <c r="D144" s="1">
        <v>18.649999999999999</v>
      </c>
      <c r="E144" s="1">
        <v>-2207.01001</v>
      </c>
      <c r="F144" s="1">
        <v>-647.32000700000003</v>
      </c>
      <c r="G144" s="1">
        <v>8.1999999999999993</v>
      </c>
      <c r="H144" s="1">
        <v>0</v>
      </c>
      <c r="I144" s="1">
        <v>-2.0000000000000001E-4</v>
      </c>
      <c r="J144" s="1">
        <v>2.0009999999999999</v>
      </c>
      <c r="K144" s="1">
        <v>-2.9269999999999999E-3</v>
      </c>
      <c r="L144" s="1">
        <v>-5.2099999999999998E-4</v>
      </c>
      <c r="M144" s="1">
        <v>0.98499099999999995</v>
      </c>
      <c r="N144" s="1">
        <v>-0.17257800000000001</v>
      </c>
      <c r="O144">
        <v>1</v>
      </c>
      <c r="P144">
        <v>0</v>
      </c>
      <c r="Q144">
        <v>1</v>
      </c>
      <c r="R144">
        <v>1</v>
      </c>
      <c r="S144">
        <v>1</v>
      </c>
      <c r="T144" s="1">
        <f>SQRT(POWER(Batmobile[[#This Row],[angvel_X]],2) + POWER(Batmobile[[#This Row],[angvel_Y]],2) + POWER(Batmobile[[#This Row],[angvel_Z]],2))</f>
        <v>2.0010000099950025</v>
      </c>
      <c r="U144" s="1">
        <f>DEGREES(ASIN(MAX(-1,MIN(1,2 * (Batmobile[[#This Row],[quart_W]]*Batmobile[[#This Row],[quart_Y]] - Batmobile[[#This Row],[quart_Z]]*Batmobile[[#This Row],[quart_X]])))))</f>
        <v>0.34068062629680035</v>
      </c>
      <c r="V14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-109.87559415117173</v>
      </c>
      <c r="W14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90.00092184866547</v>
      </c>
      <c r="X144" s="1">
        <f>IF(Batmobile[[#This Row],[Yaw]]&gt;V143,(360-ABS(Batmobile[[#This Row],[Yaw]])-ABS(V143)),ABS(Batmobile[[#This Row],[Yaw]]-V143))</f>
        <v>0.95529458652909227</v>
      </c>
      <c r="Y144" s="1">
        <f>Batmobile[[#This Row],[Degree change]]+Y143</f>
        <v>79.026138227844655</v>
      </c>
    </row>
    <row r="145" spans="1:25">
      <c r="A145">
        <v>144</v>
      </c>
      <c r="B145" s="1">
        <v>-1105.099976</v>
      </c>
      <c r="C145" s="1">
        <v>2618.429932</v>
      </c>
      <c r="D145" s="1">
        <v>18.649999999999999</v>
      </c>
      <c r="E145" s="1">
        <v>-2195.9099120000001</v>
      </c>
      <c r="F145" s="1">
        <v>-684.01995799999997</v>
      </c>
      <c r="G145" s="1">
        <v>8.1999999999999993</v>
      </c>
      <c r="H145" s="1">
        <v>0</v>
      </c>
      <c r="I145" s="1">
        <v>-2.0000000000000001E-4</v>
      </c>
      <c r="J145" s="1">
        <v>2.0009999999999999</v>
      </c>
      <c r="K145" s="1">
        <v>-2.921E-3</v>
      </c>
      <c r="L145" s="1">
        <v>-5.4199999999999995E-4</v>
      </c>
      <c r="M145" s="1">
        <v>0.983518</v>
      </c>
      <c r="N145" s="1">
        <v>-0.180783</v>
      </c>
      <c r="O145">
        <v>1</v>
      </c>
      <c r="P145">
        <v>0</v>
      </c>
      <c r="Q145">
        <v>1</v>
      </c>
      <c r="R145">
        <v>1</v>
      </c>
      <c r="S145">
        <v>1</v>
      </c>
      <c r="T145" s="1">
        <f>SQRT(POWER(Batmobile[[#This Row],[angvel_X]],2) + POWER(Batmobile[[#This Row],[angvel_Y]],2) + POWER(Batmobile[[#This Row],[angvel_Z]],2))</f>
        <v>2.0010000099950025</v>
      </c>
      <c r="U145" s="1">
        <f>DEGREES(ASIN(MAX(-1,MIN(1,2 * (Batmobile[[#This Row],[quart_W]]*Batmobile[[#This Row],[quart_Y]] - Batmobile[[#This Row],[quart_Z]]*Batmobile[[#This Row],[quart_X]])))))</f>
        <v>0.34043524350451365</v>
      </c>
      <c r="V14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-110.83086422395078</v>
      </c>
      <c r="W14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90.000572923561421</v>
      </c>
      <c r="X145" s="1">
        <f>IF(Batmobile[[#This Row],[Yaw]]&gt;V144,(360-ABS(Batmobile[[#This Row],[Yaw]])-ABS(V144)),ABS(Batmobile[[#This Row],[Yaw]]-V144))</f>
        <v>0.95527007277905795</v>
      </c>
      <c r="Y145" s="1">
        <f>Batmobile[[#This Row],[Degree change]]+Y144</f>
        <v>79.981408300623713</v>
      </c>
    </row>
    <row r="146" spans="1:25">
      <c r="A146">
        <v>145</v>
      </c>
      <c r="B146" s="1">
        <v>-1123.459961</v>
      </c>
      <c r="C146" s="1">
        <v>2612.709961</v>
      </c>
      <c r="D146" s="1">
        <v>18.649999999999999</v>
      </c>
      <c r="E146" s="1">
        <v>-2184.1999510000001</v>
      </c>
      <c r="F146" s="1">
        <v>-720.52996800000005</v>
      </c>
      <c r="G146" s="1">
        <v>8.1999999999999993</v>
      </c>
      <c r="H146" s="1">
        <v>0</v>
      </c>
      <c r="I146" s="1">
        <v>-2.0000000000000001E-4</v>
      </c>
      <c r="J146" s="1">
        <v>2.0009999999999999</v>
      </c>
      <c r="K146" s="1">
        <v>-2.9160000000000002E-3</v>
      </c>
      <c r="L146" s="1">
        <v>-5.6400000000000005E-4</v>
      </c>
      <c r="M146" s="1">
        <v>0.98197699999999999</v>
      </c>
      <c r="N146" s="1">
        <v>-0.18897800000000001</v>
      </c>
      <c r="O146">
        <v>1</v>
      </c>
      <c r="P146">
        <v>0</v>
      </c>
      <c r="Q146">
        <v>1</v>
      </c>
      <c r="R146">
        <v>1</v>
      </c>
      <c r="S146">
        <v>1</v>
      </c>
      <c r="T146" s="1">
        <f>SQRT(POWER(Batmobile[[#This Row],[angvel_X]],2) + POWER(Batmobile[[#This Row],[angvel_Y]],2) + POWER(Batmobile[[#This Row],[angvel_Z]],2))</f>
        <v>2.0010000099950025</v>
      </c>
      <c r="U146" s="1">
        <f>DEGREES(ASIN(MAX(-1,MIN(1,2 * (Batmobile[[#This Row],[quart_W]]*Batmobile[[#This Row],[quart_Y]] - Batmobile[[#This Row],[quart_Z]]*Batmobile[[#This Row],[quart_X]])))))</f>
        <v>0.34034220039213525</v>
      </c>
      <c r="V14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-111.78638045251664</v>
      </c>
      <c r="W14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90.000318017813342</v>
      </c>
      <c r="X146" s="1">
        <f>IF(Batmobile[[#This Row],[Yaw]]&gt;V145,(360-ABS(Batmobile[[#This Row],[Yaw]])-ABS(V145)),ABS(Batmobile[[#This Row],[Yaw]]-V145))</f>
        <v>0.95551622856585539</v>
      </c>
      <c r="Y146" s="1">
        <f>Batmobile[[#This Row],[Degree change]]+Y145</f>
        <v>80.936924529189568</v>
      </c>
    </row>
    <row r="147" spans="1:25">
      <c r="A147">
        <v>146</v>
      </c>
      <c r="B147" s="1">
        <v>-1141.7299800000001</v>
      </c>
      <c r="C147" s="1">
        <v>2606.679932</v>
      </c>
      <c r="D147" s="1">
        <v>18.649999999999999</v>
      </c>
      <c r="E147" s="1">
        <v>-2171.889893</v>
      </c>
      <c r="F147" s="1">
        <v>-756.839966</v>
      </c>
      <c r="G147" s="1">
        <v>8.1999999999999993</v>
      </c>
      <c r="H147" s="1">
        <v>0</v>
      </c>
      <c r="I147" s="1">
        <v>-2.0000000000000001E-4</v>
      </c>
      <c r="J147" s="1">
        <v>2.0009999999999999</v>
      </c>
      <c r="K147" s="1">
        <v>-2.911E-3</v>
      </c>
      <c r="L147" s="1">
        <v>-5.8500000000000002E-4</v>
      </c>
      <c r="M147" s="1">
        <v>0.98036800000000002</v>
      </c>
      <c r="N147" s="1">
        <v>-0.197156</v>
      </c>
      <c r="O147">
        <v>1</v>
      </c>
      <c r="P147">
        <v>0</v>
      </c>
      <c r="Q147">
        <v>1</v>
      </c>
      <c r="R147">
        <v>1</v>
      </c>
      <c r="S147">
        <v>1</v>
      </c>
      <c r="T147" s="1">
        <f>SQRT(POWER(Batmobile[[#This Row],[angvel_X]],2) + POWER(Batmobile[[#This Row],[angvel_Y]],2) + POWER(Batmobile[[#This Row],[angvel_Z]],2))</f>
        <v>2.0010000099950025</v>
      </c>
      <c r="U147" s="1">
        <f>DEGREES(ASIN(MAX(-1,MIN(1,2 * (Batmobile[[#This Row],[quart_W]]*Batmobile[[#This Row],[quart_Y]] - Batmobile[[#This Row],[quart_Z]]*Batmobile[[#This Row],[quart_X]])))))</f>
        <v>0.3402458253577339</v>
      </c>
      <c r="V14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-112.74147490471313</v>
      </c>
      <c r="W14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89.999953493800049</v>
      </c>
      <c r="X147" s="1">
        <f>IF(Batmobile[[#This Row],[Yaw]]&gt;V146,(360-ABS(Batmobile[[#This Row],[Yaw]])-ABS(V146)),ABS(Batmobile[[#This Row],[Yaw]]-V146))</f>
        <v>0.95509445219649081</v>
      </c>
      <c r="Y147" s="1">
        <f>Batmobile[[#This Row],[Degree change]]+Y146</f>
        <v>81.892018981386059</v>
      </c>
    </row>
    <row r="148" spans="1:25">
      <c r="A148">
        <v>147</v>
      </c>
      <c r="B148" s="1">
        <v>-1159.8900149999999</v>
      </c>
      <c r="C148" s="1">
        <v>2600.3498540000001</v>
      </c>
      <c r="D148" s="1">
        <v>18.649999999999999</v>
      </c>
      <c r="E148" s="1">
        <v>-2158.969971</v>
      </c>
      <c r="F148" s="1">
        <v>-792.94000200000005</v>
      </c>
      <c r="G148" s="1">
        <v>8.1999999999999993</v>
      </c>
      <c r="H148" s="1">
        <v>0</v>
      </c>
      <c r="I148" s="1">
        <v>-2.0000000000000001E-4</v>
      </c>
      <c r="J148" s="1">
        <v>2.0009999999999999</v>
      </c>
      <c r="K148" s="1">
        <v>-2.905E-3</v>
      </c>
      <c r="L148" s="1">
        <v>-6.0700000000000001E-4</v>
      </c>
      <c r="M148" s="1">
        <v>0.97868900000000003</v>
      </c>
      <c r="N148" s="1">
        <v>-0.20532400000000001</v>
      </c>
      <c r="O148">
        <v>1</v>
      </c>
      <c r="P148">
        <v>0</v>
      </c>
      <c r="Q148">
        <v>1</v>
      </c>
      <c r="R148">
        <v>1</v>
      </c>
      <c r="S148">
        <v>1</v>
      </c>
      <c r="T148" s="1">
        <f>SQRT(POWER(Batmobile[[#This Row],[angvel_X]],2) + POWER(Batmobile[[#This Row],[angvel_Y]],2) + POWER(Batmobile[[#This Row],[angvel_Z]],2))</f>
        <v>2.0010000099950025</v>
      </c>
      <c r="U148" s="1">
        <f>DEGREES(ASIN(MAX(-1,MIN(1,2 * (Batmobile[[#This Row],[quart_W]]*Batmobile[[#This Row],[quart_Y]] - Batmobile[[#This Row],[quart_Z]]*Batmobile[[#This Row],[quart_X]])))))</f>
        <v>0.34007802655358904</v>
      </c>
      <c r="V14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-113.69707755412935</v>
      </c>
      <c r="W14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89.999724746570422</v>
      </c>
      <c r="X148" s="1">
        <f>IF(Batmobile[[#This Row],[Yaw]]&gt;V147,(360-ABS(Batmobile[[#This Row],[Yaw]])-ABS(V147)),ABS(Batmobile[[#This Row],[Yaw]]-V147))</f>
        <v>0.95560264941622108</v>
      </c>
      <c r="Y148" s="1">
        <f>Batmobile[[#This Row],[Degree change]]+Y147</f>
        <v>82.84762163080228</v>
      </c>
    </row>
    <row r="149" spans="1:25">
      <c r="A149">
        <v>148</v>
      </c>
      <c r="B149" s="1">
        <v>-1177.9399410000001</v>
      </c>
      <c r="C149" s="1">
        <v>2593.709961</v>
      </c>
      <c r="D149" s="1">
        <v>18.649999999999999</v>
      </c>
      <c r="E149" s="1">
        <v>-2145.4499510000001</v>
      </c>
      <c r="F149" s="1">
        <v>-828.82000700000003</v>
      </c>
      <c r="G149" s="1">
        <v>8.1999999999999993</v>
      </c>
      <c r="H149" s="1">
        <v>0</v>
      </c>
      <c r="I149" s="1">
        <v>-2.0000000000000001E-4</v>
      </c>
      <c r="J149" s="1">
        <v>2.0009999999999999</v>
      </c>
      <c r="K149" s="1">
        <v>-2.8999999999999998E-3</v>
      </c>
      <c r="L149" s="1">
        <v>-6.2799999999999998E-4</v>
      </c>
      <c r="M149" s="1">
        <v>0.97694400000000003</v>
      </c>
      <c r="N149" s="1">
        <v>-0.213476</v>
      </c>
      <c r="O149">
        <v>1</v>
      </c>
      <c r="P149">
        <v>0</v>
      </c>
      <c r="Q149">
        <v>1</v>
      </c>
      <c r="R149">
        <v>1</v>
      </c>
      <c r="S149">
        <v>1</v>
      </c>
      <c r="T149" s="1">
        <f>SQRT(POWER(Batmobile[[#This Row],[angvel_X]],2) + POWER(Batmobile[[#This Row],[angvel_Y]],2) + POWER(Batmobile[[#This Row],[angvel_Z]],2))</f>
        <v>2.0010000099950025</v>
      </c>
      <c r="U149" s="1">
        <f>DEGREES(ASIN(MAX(-1,MIN(1,2 * (Batmobile[[#This Row],[quart_W]]*Batmobile[[#This Row],[quart_Y]] - Batmobile[[#This Row],[quart_Z]]*Batmobile[[#This Row],[quart_X]])))))</f>
        <v>0.34001813020967608</v>
      </c>
      <c r="V14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-114.65236390452171</v>
      </c>
      <c r="W14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89.999362909217012</v>
      </c>
      <c r="X149" s="1">
        <f>IF(Batmobile[[#This Row],[Yaw]]&gt;V148,(360-ABS(Batmobile[[#This Row],[Yaw]])-ABS(V148)),ABS(Batmobile[[#This Row],[Yaw]]-V148))</f>
        <v>0.9552863503923561</v>
      </c>
      <c r="Y149" s="1">
        <f>Batmobile[[#This Row],[Degree change]]+Y148</f>
        <v>83.802907981194636</v>
      </c>
    </row>
    <row r="150" spans="1:25">
      <c r="A150">
        <v>149</v>
      </c>
      <c r="B150" s="1">
        <v>-1195.880005</v>
      </c>
      <c r="C150" s="1">
        <v>2586.7700199999999</v>
      </c>
      <c r="D150" s="1">
        <v>18.649999999999999</v>
      </c>
      <c r="E150" s="1">
        <v>-2131.3398440000001</v>
      </c>
      <c r="F150" s="1">
        <v>-864.46997099999999</v>
      </c>
      <c r="G150" s="1">
        <v>8.1999999999999993</v>
      </c>
      <c r="H150" s="1">
        <v>1E-4</v>
      </c>
      <c r="I150" s="1">
        <v>-2.0000000000000001E-4</v>
      </c>
      <c r="J150" s="1">
        <v>2.0009999999999999</v>
      </c>
      <c r="K150" s="1">
        <v>-2.8939999999999999E-3</v>
      </c>
      <c r="L150" s="1">
        <v>-6.4999999999999997E-4</v>
      </c>
      <c r="M150" s="1">
        <v>0.97513099999999997</v>
      </c>
      <c r="N150" s="1">
        <v>-0.221611</v>
      </c>
      <c r="O150">
        <v>1</v>
      </c>
      <c r="P150">
        <v>0</v>
      </c>
      <c r="Q150">
        <v>1</v>
      </c>
      <c r="R150">
        <v>1</v>
      </c>
      <c r="S150">
        <v>1</v>
      </c>
      <c r="T150" s="1">
        <f>SQRT(POWER(Batmobile[[#This Row],[angvel_X]],2) + POWER(Batmobile[[#This Row],[angvel_Y]],2) + POWER(Batmobile[[#This Row],[angvel_Z]],2))</f>
        <v>2.001000012493753</v>
      </c>
      <c r="U150" s="1">
        <f>DEGREES(ASIN(MAX(-1,MIN(1,2 * (Batmobile[[#This Row],[quart_W]]*Batmobile[[#This Row],[quart_Y]] - Batmobile[[#This Row],[quart_Z]]*Batmobile[[#This Row],[quart_X]])))))</f>
        <v>0.33988929677742752</v>
      </c>
      <c r="V15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-115.60743547208041</v>
      </c>
      <c r="W15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89.999139736404018</v>
      </c>
      <c r="X150" s="1">
        <f>IF(Batmobile[[#This Row],[Yaw]]&gt;V149,(360-ABS(Batmobile[[#This Row],[Yaw]])-ABS(V149)),ABS(Batmobile[[#This Row],[Yaw]]-V149))</f>
        <v>0.95507156755870426</v>
      </c>
      <c r="Y150" s="1">
        <f>Batmobile[[#This Row],[Degree change]]+Y149</f>
        <v>84.75797954875334</v>
      </c>
    </row>
    <row r="151" spans="1:25">
      <c r="A151">
        <v>150</v>
      </c>
      <c r="B151" s="1">
        <v>-1213.6999510000001</v>
      </c>
      <c r="C151" s="1">
        <v>2579.540039</v>
      </c>
      <c r="D151" s="1">
        <v>18.649999999999999</v>
      </c>
      <c r="E151" s="1">
        <v>-2116.6298830000001</v>
      </c>
      <c r="F151" s="1">
        <v>-899.88000499999998</v>
      </c>
      <c r="G151" s="1">
        <v>8.1999999999999993</v>
      </c>
      <c r="H151" s="1">
        <v>1E-4</v>
      </c>
      <c r="I151" s="1">
        <v>-2.0000000000000001E-4</v>
      </c>
      <c r="J151" s="1">
        <v>2.0009999999999999</v>
      </c>
      <c r="K151" s="1">
        <v>-2.8890000000000001E-3</v>
      </c>
      <c r="L151" s="1">
        <v>-6.7699999999999998E-4</v>
      </c>
      <c r="M151" s="1">
        <v>0.97324900000000003</v>
      </c>
      <c r="N151" s="1">
        <v>-0.229736</v>
      </c>
      <c r="O151">
        <v>1</v>
      </c>
      <c r="P151">
        <v>0</v>
      </c>
      <c r="Q151">
        <v>1</v>
      </c>
      <c r="R151">
        <v>1</v>
      </c>
      <c r="S151">
        <v>1</v>
      </c>
      <c r="T151" s="1">
        <f>SQRT(POWER(Batmobile[[#This Row],[angvel_X]],2) + POWER(Batmobile[[#This Row],[angvel_Y]],2) + POWER(Batmobile[[#This Row],[angvel_Z]],2))</f>
        <v>2.001000012493753</v>
      </c>
      <c r="U151" s="1">
        <f>DEGREES(ASIN(MAX(-1,MIN(1,2 * (Batmobile[[#This Row],[quart_W]]*Batmobile[[#This Row],[quart_Y]] - Batmobile[[#This Row],[quart_Z]]*Batmobile[[#This Row],[quart_X]])))))</f>
        <v>0.3400235281401161</v>
      </c>
      <c r="V15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-116.56313853549825</v>
      </c>
      <c r="W15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89.99944791897201</v>
      </c>
      <c r="X151" s="1">
        <f>IF(Batmobile[[#This Row],[Yaw]]&gt;V150,(360-ABS(Batmobile[[#This Row],[Yaw]])-ABS(V150)),ABS(Batmobile[[#This Row],[Yaw]]-V150))</f>
        <v>0.95570306341784317</v>
      </c>
      <c r="Y151" s="1">
        <f>Batmobile[[#This Row],[Degree change]]+Y150</f>
        <v>85.713682612171183</v>
      </c>
    </row>
    <row r="152" spans="1:25">
      <c r="A152">
        <v>151</v>
      </c>
      <c r="B152" s="1">
        <v>-1231.400024</v>
      </c>
      <c r="C152" s="1">
        <v>2572.01001</v>
      </c>
      <c r="D152" s="1">
        <v>18.649999999999999</v>
      </c>
      <c r="E152" s="1">
        <v>-2101.3298340000001</v>
      </c>
      <c r="F152" s="1">
        <v>-935.03997800000002</v>
      </c>
      <c r="G152" s="1">
        <v>8.1999999999999993</v>
      </c>
      <c r="H152" s="1">
        <v>1E-4</v>
      </c>
      <c r="I152" s="1">
        <v>-2.0000000000000001E-4</v>
      </c>
      <c r="J152" s="1">
        <v>2.0009999999999999</v>
      </c>
      <c r="K152" s="1">
        <v>-2.8839999999999998E-3</v>
      </c>
      <c r="L152" s="1">
        <v>-6.9899999999999997E-4</v>
      </c>
      <c r="M152" s="1">
        <v>0.97129900000000002</v>
      </c>
      <c r="N152" s="1">
        <v>-0.237844</v>
      </c>
      <c r="O152">
        <v>1</v>
      </c>
      <c r="P152">
        <v>0</v>
      </c>
      <c r="Q152">
        <v>1</v>
      </c>
      <c r="R152">
        <v>1</v>
      </c>
      <c r="S152">
        <v>1</v>
      </c>
      <c r="T152" s="1">
        <f>SQRT(POWER(Batmobile[[#This Row],[angvel_X]],2) + POWER(Batmobile[[#This Row],[angvel_Y]],2) + POWER(Batmobile[[#This Row],[angvel_Z]],2))</f>
        <v>2.001000012493753</v>
      </c>
      <c r="U152" s="1">
        <f>DEGREES(ASIN(MAX(-1,MIN(1,2 * (Batmobile[[#This Row],[quart_W]]*Batmobile[[#This Row],[quart_Y]] - Batmobile[[#This Row],[quart_Z]]*Batmobile[[#This Row],[quart_X]])))))</f>
        <v>0.34005007248172042</v>
      </c>
      <c r="V15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-117.51876561235267</v>
      </c>
      <c r="W15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89.999197375698529</v>
      </c>
      <c r="X152" s="1">
        <f>IF(Batmobile[[#This Row],[Yaw]]&gt;V151,(360-ABS(Batmobile[[#This Row],[Yaw]])-ABS(V151)),ABS(Batmobile[[#This Row],[Yaw]]-V151))</f>
        <v>0.95562707685441239</v>
      </c>
      <c r="Y152" s="1">
        <f>Batmobile[[#This Row],[Degree change]]+Y151</f>
        <v>86.669309689025596</v>
      </c>
    </row>
    <row r="153" spans="1:25">
      <c r="A153">
        <v>152</v>
      </c>
      <c r="B153" s="1">
        <v>-1248.969971</v>
      </c>
      <c r="C153" s="1">
        <v>2564.1899410000001</v>
      </c>
      <c r="D153" s="1">
        <v>18.649999999999999</v>
      </c>
      <c r="E153" s="1">
        <v>-2085.4499510000001</v>
      </c>
      <c r="F153" s="1">
        <v>-969.94995100000006</v>
      </c>
      <c r="G153" s="1">
        <v>8.1999999999999993</v>
      </c>
      <c r="H153" s="1">
        <v>1E-4</v>
      </c>
      <c r="I153" s="1">
        <v>-2.0000000000000001E-4</v>
      </c>
      <c r="J153" s="1">
        <v>2.0009999999999999</v>
      </c>
      <c r="K153" s="1">
        <v>-2.8779999999999999E-3</v>
      </c>
      <c r="L153" s="1">
        <v>-7.2000000000000005E-4</v>
      </c>
      <c r="M153" s="1">
        <v>0.96928099999999995</v>
      </c>
      <c r="N153" s="1">
        <v>-0.24593599999999999</v>
      </c>
      <c r="O153">
        <v>1</v>
      </c>
      <c r="P153">
        <v>0</v>
      </c>
      <c r="Q153">
        <v>1</v>
      </c>
      <c r="R153">
        <v>1</v>
      </c>
      <c r="S153">
        <v>1</v>
      </c>
      <c r="T153" s="1">
        <f>SQRT(POWER(Batmobile[[#This Row],[angvel_X]],2) + POWER(Batmobile[[#This Row],[angvel_Y]],2) + POWER(Batmobile[[#This Row],[angvel_Z]],2))</f>
        <v>2.001000012493753</v>
      </c>
      <c r="U153" s="1">
        <f>DEGREES(ASIN(MAX(-1,MIN(1,2 * (Batmobile[[#This Row],[quart_W]]*Batmobile[[#This Row],[quart_Y]] - Batmobile[[#This Row],[quart_Z]]*Batmobile[[#This Row],[quart_X]])))))</f>
        <v>0.33995672065796168</v>
      </c>
      <c r="V15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-118.47448456578513</v>
      </c>
      <c r="W15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89.99886306120932</v>
      </c>
      <c r="X153" s="1">
        <f>IF(Batmobile[[#This Row],[Yaw]]&gt;V152,(360-ABS(Batmobile[[#This Row],[Yaw]])-ABS(V152)),ABS(Batmobile[[#This Row],[Yaw]]-V152))</f>
        <v>0.95571895343246638</v>
      </c>
      <c r="Y153" s="1">
        <f>Batmobile[[#This Row],[Degree change]]+Y152</f>
        <v>87.625028642458062</v>
      </c>
    </row>
    <row r="154" spans="1:25">
      <c r="A154">
        <v>153</v>
      </c>
      <c r="B154" s="1">
        <v>-1266.4099120000001</v>
      </c>
      <c r="C154" s="1">
        <v>2556.0698240000002</v>
      </c>
      <c r="D154" s="1">
        <v>18.649999999999999</v>
      </c>
      <c r="E154" s="1">
        <v>-2068.98999</v>
      </c>
      <c r="F154" s="1">
        <v>-1004.589966</v>
      </c>
      <c r="G154" s="1">
        <v>8.1999999999999993</v>
      </c>
      <c r="H154" s="1">
        <v>2.0000000000000001E-4</v>
      </c>
      <c r="I154" s="1">
        <v>-2.0000000000000001E-4</v>
      </c>
      <c r="J154" s="1">
        <v>2.0009999999999999</v>
      </c>
      <c r="K154" s="1">
        <v>-2.8730000000000001E-3</v>
      </c>
      <c r="L154" s="1">
        <v>-7.4200000000000004E-4</v>
      </c>
      <c r="M154" s="1">
        <v>0.967198</v>
      </c>
      <c r="N154" s="1">
        <v>-0.25400699999999998</v>
      </c>
      <c r="O154">
        <v>1</v>
      </c>
      <c r="P154">
        <v>0</v>
      </c>
      <c r="Q154">
        <v>1</v>
      </c>
      <c r="R154">
        <v>1</v>
      </c>
      <c r="S154">
        <v>1</v>
      </c>
      <c r="T154" s="1">
        <f>SQRT(POWER(Batmobile[[#This Row],[angvel_X]],2) + POWER(Batmobile[[#This Row],[angvel_Y]],2) + POWER(Batmobile[[#This Row],[angvel_Z]],2))</f>
        <v>2.0010000199900051</v>
      </c>
      <c r="U154" s="1">
        <f>DEGREES(ASIN(MAX(-1,MIN(1,2 * (Batmobile[[#This Row],[quart_W]]*Batmobile[[#This Row],[quart_Y]] - Batmobile[[#This Row],[quart_Z]]*Batmobile[[#This Row],[quart_X]])))))</f>
        <v>0.34002185679279662</v>
      </c>
      <c r="V15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-119.42962868421439</v>
      </c>
      <c r="W15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89.998613280779878</v>
      </c>
      <c r="X154" s="1">
        <f>IF(Batmobile[[#This Row],[Yaw]]&gt;V153,(360-ABS(Batmobile[[#This Row],[Yaw]])-ABS(V153)),ABS(Batmobile[[#This Row],[Yaw]]-V153))</f>
        <v>0.95514411842925995</v>
      </c>
      <c r="Y154" s="1">
        <f>Batmobile[[#This Row],[Degree change]]+Y153</f>
        <v>88.580172760887322</v>
      </c>
    </row>
    <row r="155" spans="1:25">
      <c r="A155">
        <v>154</v>
      </c>
      <c r="B155" s="1">
        <v>-1283.709961</v>
      </c>
      <c r="C155" s="1">
        <v>2547.6599120000001</v>
      </c>
      <c r="D155" s="1">
        <v>18.649999999999999</v>
      </c>
      <c r="E155" s="1">
        <v>-2051.9499510000001</v>
      </c>
      <c r="F155" s="1">
        <v>-1038.9499510000001</v>
      </c>
      <c r="G155" s="1">
        <v>8.1999999999999993</v>
      </c>
      <c r="H155" s="1">
        <v>2.0000000000000001E-4</v>
      </c>
      <c r="I155" s="1">
        <v>-2.0000000000000001E-4</v>
      </c>
      <c r="J155" s="1">
        <v>2.0009999999999999</v>
      </c>
      <c r="K155" s="1">
        <v>-2.8670000000000002E-3</v>
      </c>
      <c r="L155" s="1">
        <v>-7.6900000000000004E-4</v>
      </c>
      <c r="M155" s="1">
        <v>0.96504699999999999</v>
      </c>
      <c r="N155" s="1">
        <v>-0.26206099999999999</v>
      </c>
      <c r="O155">
        <v>1</v>
      </c>
      <c r="P155">
        <v>0</v>
      </c>
      <c r="Q155">
        <v>1</v>
      </c>
      <c r="R155">
        <v>1</v>
      </c>
      <c r="S155">
        <v>1</v>
      </c>
      <c r="T155" s="1">
        <f>SQRT(POWER(Batmobile[[#This Row],[angvel_X]],2) + POWER(Batmobile[[#This Row],[angvel_Y]],2) + POWER(Batmobile[[#This Row],[angvel_Z]],2))</f>
        <v>2.0010000199900051</v>
      </c>
      <c r="U155" s="1">
        <f>DEGREES(ASIN(MAX(-1,MIN(1,2 * (Batmobile[[#This Row],[quart_W]]*Batmobile[[#This Row],[quart_Y]] - Batmobile[[#This Row],[quart_Z]]*Batmobile[[#This Row],[quart_X]])))))</f>
        <v>0.34014580235232028</v>
      </c>
      <c r="V15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-120.38489796577163</v>
      </c>
      <c r="W15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89.998944851666124</v>
      </c>
      <c r="X155" s="1">
        <f>IF(Batmobile[[#This Row],[Yaw]]&gt;V154,(360-ABS(Batmobile[[#This Row],[Yaw]])-ABS(V154)),ABS(Batmobile[[#This Row],[Yaw]]-V154))</f>
        <v>0.95526928155723567</v>
      </c>
      <c r="Y155" s="1">
        <f>Batmobile[[#This Row],[Degree change]]+Y154</f>
        <v>89.535442042444558</v>
      </c>
    </row>
    <row r="156" spans="1:25">
      <c r="A156">
        <v>155</v>
      </c>
      <c r="B156" s="1">
        <v>-1300.869995</v>
      </c>
      <c r="C156" s="1">
        <v>2538.969971</v>
      </c>
      <c r="D156" s="1">
        <v>18.649999999999999</v>
      </c>
      <c r="E156" s="1">
        <v>-2034.339966</v>
      </c>
      <c r="F156" s="1">
        <v>-1073.0200199999999</v>
      </c>
      <c r="G156" s="1">
        <v>8.1999999999999993</v>
      </c>
      <c r="H156" s="1">
        <v>2.0000000000000001E-4</v>
      </c>
      <c r="I156" s="1">
        <v>-2.0000000000000001E-4</v>
      </c>
      <c r="J156" s="1">
        <v>2.0009999999999999</v>
      </c>
      <c r="K156" s="1">
        <v>-2.862E-3</v>
      </c>
      <c r="L156" s="1">
        <v>-7.9600000000000005E-4</v>
      </c>
      <c r="M156" s="1">
        <v>0.96282800000000002</v>
      </c>
      <c r="N156" s="1">
        <v>-0.27010000000000001</v>
      </c>
      <c r="O156">
        <v>1</v>
      </c>
      <c r="P156">
        <v>0</v>
      </c>
      <c r="Q156">
        <v>1</v>
      </c>
      <c r="R156">
        <v>1</v>
      </c>
      <c r="S156">
        <v>1</v>
      </c>
      <c r="T156" s="1">
        <f>SQRT(POWER(Batmobile[[#This Row],[angvel_X]],2) + POWER(Batmobile[[#This Row],[angvel_Y]],2) + POWER(Batmobile[[#This Row],[angvel_Z]],2))</f>
        <v>2.0010000199900051</v>
      </c>
      <c r="U156" s="1">
        <f>DEGREES(ASIN(MAX(-1,MIN(1,2 * (Batmobile[[#This Row],[quart_W]]*Batmobile[[#This Row],[quart_Y]] - Batmobile[[#This Row],[quart_Z]]*Batmobile[[#This Row],[quart_X]])))))</f>
        <v>0.340409216093496</v>
      </c>
      <c r="V15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-121.34055195980311</v>
      </c>
      <c r="W15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89.99924195062377</v>
      </c>
      <c r="X156" s="1">
        <f>IF(Batmobile[[#This Row],[Yaw]]&gt;V155,(360-ABS(Batmobile[[#This Row],[Yaw]])-ABS(V155)),ABS(Batmobile[[#This Row],[Yaw]]-V155))</f>
        <v>0.95565399403147921</v>
      </c>
      <c r="Y156" s="1">
        <f>Batmobile[[#This Row],[Degree change]]+Y155</f>
        <v>90.491096036476037</v>
      </c>
    </row>
    <row r="157" spans="1:25">
      <c r="A157">
        <v>156</v>
      </c>
      <c r="B157" s="1">
        <v>-1317.880005</v>
      </c>
      <c r="C157" s="1">
        <v>2529.98999</v>
      </c>
      <c r="D157" s="1">
        <v>18.649999999999999</v>
      </c>
      <c r="E157" s="1">
        <v>-2016.1599120000001</v>
      </c>
      <c r="F157" s="1">
        <v>-1106.7899170000001</v>
      </c>
      <c r="G157" s="1">
        <v>8.1999999999999993</v>
      </c>
      <c r="H157" s="1">
        <v>2.0000000000000001E-4</v>
      </c>
      <c r="I157" s="1">
        <v>-2.0000000000000001E-4</v>
      </c>
      <c r="J157" s="1">
        <v>2.0009999999999999</v>
      </c>
      <c r="K157" s="1">
        <v>-2.8570000000000002E-3</v>
      </c>
      <c r="L157" s="1">
        <v>-8.2299999999999995E-4</v>
      </c>
      <c r="M157" s="1">
        <v>0.96054300000000004</v>
      </c>
      <c r="N157" s="1">
        <v>-0.27811599999999997</v>
      </c>
      <c r="O157">
        <v>1</v>
      </c>
      <c r="P157">
        <v>0</v>
      </c>
      <c r="Q157">
        <v>1</v>
      </c>
      <c r="R157">
        <v>1</v>
      </c>
      <c r="S157">
        <v>1</v>
      </c>
      <c r="T157" s="1">
        <f>SQRT(POWER(Batmobile[[#This Row],[angvel_X]],2) + POWER(Batmobile[[#This Row],[angvel_Y]],2) + POWER(Batmobile[[#This Row],[angvel_Z]],2))</f>
        <v>2.0010000199900051</v>
      </c>
      <c r="U157" s="1">
        <f>DEGREES(ASIN(MAX(-1,MIN(1,2 * (Batmobile[[#This Row],[quart_W]]*Batmobile[[#This Row],[quart_Y]] - Batmobile[[#This Row],[quart_Z]]*Batmobile[[#This Row],[quart_X]])))))</f>
        <v>0.34070114129873713</v>
      </c>
      <c r="V15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-122.29572605702943</v>
      </c>
      <c r="W15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89.999535836048352</v>
      </c>
      <c r="X157" s="1">
        <f>IF(Batmobile[[#This Row],[Yaw]]&gt;V156,(360-ABS(Batmobile[[#This Row],[Yaw]])-ABS(V156)),ABS(Batmobile[[#This Row],[Yaw]]-V156))</f>
        <v>0.95517409722631896</v>
      </c>
      <c r="Y157" s="1">
        <f>Batmobile[[#This Row],[Degree change]]+Y156</f>
        <v>91.446270133702356</v>
      </c>
    </row>
    <row r="158" spans="1:25">
      <c r="A158">
        <v>157</v>
      </c>
      <c r="B158" s="1">
        <v>-1334.73999</v>
      </c>
      <c r="C158" s="1">
        <v>2520.7299800000001</v>
      </c>
      <c r="D158" s="1">
        <v>18.649999999999999</v>
      </c>
      <c r="E158" s="1">
        <v>-1997.429932</v>
      </c>
      <c r="F158" s="1">
        <v>-1140.25</v>
      </c>
      <c r="G158" s="1">
        <v>8.1999999999999993</v>
      </c>
      <c r="H158" s="1">
        <v>2.0000000000000001E-4</v>
      </c>
      <c r="I158" s="1">
        <v>-2.0000000000000001E-4</v>
      </c>
      <c r="J158" s="1">
        <v>2.0009999999999999</v>
      </c>
      <c r="K158" s="1">
        <v>-2.8509999999999998E-3</v>
      </c>
      <c r="L158" s="1">
        <v>-8.4999999999999995E-4</v>
      </c>
      <c r="M158" s="1">
        <v>0.95818999999999999</v>
      </c>
      <c r="N158" s="1">
        <v>-0.28611700000000001</v>
      </c>
      <c r="O158">
        <v>1</v>
      </c>
      <c r="P158">
        <v>0</v>
      </c>
      <c r="Q158">
        <v>1</v>
      </c>
      <c r="R158">
        <v>1</v>
      </c>
      <c r="S158">
        <v>1</v>
      </c>
      <c r="T158" s="1">
        <f>SQRT(POWER(Batmobile[[#This Row],[angvel_X]],2) + POWER(Batmobile[[#This Row],[angvel_Y]],2) + POWER(Batmobile[[#This Row],[angvel_Z]],2))</f>
        <v>2.0010000199900051</v>
      </c>
      <c r="U158" s="1">
        <f>DEGREES(ASIN(MAX(-1,MIN(1,2 * (Batmobile[[#This Row],[quart_W]]*Batmobile[[#This Row],[quart_Y]] - Batmobile[[#This Row],[quart_Z]]*Batmobile[[#This Row],[quart_X]])))))</f>
        <v>0.34091180109478642</v>
      </c>
      <c r="V15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-123.25141565115477</v>
      </c>
      <c r="W15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89.999855833589166</v>
      </c>
      <c r="X158" s="1">
        <f>IF(Batmobile[[#This Row],[Yaw]]&gt;V157,(360-ABS(Batmobile[[#This Row],[Yaw]])-ABS(V157)),ABS(Batmobile[[#This Row],[Yaw]]-V157))</f>
        <v>0.95568959412534582</v>
      </c>
      <c r="Y158" s="1">
        <f>Batmobile[[#This Row],[Degree change]]+Y157</f>
        <v>92.401959727827702</v>
      </c>
    </row>
    <row r="159" spans="1:25">
      <c r="A159">
        <v>158</v>
      </c>
      <c r="B159" s="1">
        <v>-1351.4399410000001</v>
      </c>
      <c r="C159" s="1">
        <v>2511.1899410000001</v>
      </c>
      <c r="D159" s="1">
        <v>18.649999999999999</v>
      </c>
      <c r="E159" s="1">
        <v>-1978.1400149999999</v>
      </c>
      <c r="F159" s="1">
        <v>-1173.400024</v>
      </c>
      <c r="G159" s="1">
        <v>8.1999999999999993</v>
      </c>
      <c r="H159" s="1">
        <v>2.0000000000000001E-4</v>
      </c>
      <c r="I159" s="1">
        <v>-2.0000000000000001E-4</v>
      </c>
      <c r="J159" s="1">
        <v>2.0011000000000001</v>
      </c>
      <c r="K159" s="1">
        <v>-2.846E-3</v>
      </c>
      <c r="L159" s="1">
        <v>-8.7699999999999996E-4</v>
      </c>
      <c r="M159" s="1">
        <v>0.95577100000000004</v>
      </c>
      <c r="N159" s="1">
        <v>-0.29409600000000002</v>
      </c>
      <c r="O159">
        <v>1</v>
      </c>
      <c r="P159">
        <v>0</v>
      </c>
      <c r="Q159">
        <v>1</v>
      </c>
      <c r="R159">
        <v>1</v>
      </c>
      <c r="S159">
        <v>1</v>
      </c>
      <c r="T159" s="1">
        <f>SQRT(POWER(Batmobile[[#This Row],[angvel_X]],2) + POWER(Batmobile[[#This Row],[angvel_Y]],2) + POWER(Batmobile[[#This Row],[angvel_Z]],2))</f>
        <v>2.0011000199890061</v>
      </c>
      <c r="U159" s="1">
        <f>DEGREES(ASIN(MAX(-1,MIN(1,2 * (Batmobile[[#This Row],[quart_W]]*Batmobile[[#This Row],[quart_Y]] - Batmobile[[#This Row],[quart_Z]]*Batmobile[[#This Row],[quart_X]])))))</f>
        <v>0.34126100420297151</v>
      </c>
      <c r="V15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-124.20685434338763</v>
      </c>
      <c r="W15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90.000139111005183</v>
      </c>
      <c r="X159" s="1">
        <f>IF(Batmobile[[#This Row],[Yaw]]&gt;V158,(360-ABS(Batmobile[[#This Row],[Yaw]])-ABS(V158)),ABS(Batmobile[[#This Row],[Yaw]]-V158))</f>
        <v>0.95543869223286038</v>
      </c>
      <c r="Y159" s="1">
        <f>Batmobile[[#This Row],[Degree change]]+Y158</f>
        <v>93.357398420060562</v>
      </c>
    </row>
    <row r="160" spans="1:25">
      <c r="A160">
        <v>159</v>
      </c>
      <c r="B160" s="1">
        <v>-1367.9799800000001</v>
      </c>
      <c r="C160" s="1">
        <v>2501.3698730000001</v>
      </c>
      <c r="D160" s="1">
        <v>18.649999999999999</v>
      </c>
      <c r="E160" s="1">
        <v>-1958.299927</v>
      </c>
      <c r="F160" s="1">
        <v>-1206.219971</v>
      </c>
      <c r="G160" s="1">
        <v>8.1999999999999993</v>
      </c>
      <c r="H160" s="1">
        <v>1E-4</v>
      </c>
      <c r="I160" s="1">
        <v>-2.0000000000000001E-4</v>
      </c>
      <c r="J160" s="1">
        <v>2.0011000000000001</v>
      </c>
      <c r="K160" s="1">
        <v>-2.8400000000000001E-3</v>
      </c>
      <c r="L160" s="1">
        <v>-8.9800000000000004E-4</v>
      </c>
      <c r="M160" s="1">
        <v>0.95328599999999997</v>
      </c>
      <c r="N160" s="1">
        <v>-0.30205300000000002</v>
      </c>
      <c r="O160">
        <v>1</v>
      </c>
      <c r="P160">
        <v>0</v>
      </c>
      <c r="Q160">
        <v>1</v>
      </c>
      <c r="R160">
        <v>1</v>
      </c>
      <c r="S160">
        <v>1</v>
      </c>
      <c r="T160" s="1">
        <f>SQRT(POWER(Batmobile[[#This Row],[angvel_X]],2) + POWER(Batmobile[[#This Row],[angvel_Y]],2) + POWER(Batmobile[[#This Row],[angvel_Z]],2))</f>
        <v>2.0011000124931289</v>
      </c>
      <c r="U160" s="1">
        <f>DEGREES(ASIN(MAX(-1,MIN(1,2 * (Batmobile[[#This Row],[quart_W]]*Batmobile[[#This Row],[quart_Y]] - Batmobile[[#This Row],[quart_Z]]*Batmobile[[#This Row],[quart_X]])))))</f>
        <v>0.34132166730033631</v>
      </c>
      <c r="V16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-125.1621142393798</v>
      </c>
      <c r="W16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89.999796058700397</v>
      </c>
      <c r="X160" s="1">
        <f>IF(Batmobile[[#This Row],[Yaw]]&gt;V159,(360-ABS(Batmobile[[#This Row],[Yaw]])-ABS(V159)),ABS(Batmobile[[#This Row],[Yaw]]-V159))</f>
        <v>0.95525989599217098</v>
      </c>
      <c r="Y160" s="1">
        <f>Batmobile[[#This Row],[Degree change]]+Y159</f>
        <v>94.312658316052733</v>
      </c>
    </row>
    <row r="161" spans="1:25">
      <c r="A161">
        <v>160</v>
      </c>
      <c r="B161" s="1">
        <v>-1384.3599850000001</v>
      </c>
      <c r="C161" s="1">
        <v>2491.280029</v>
      </c>
      <c r="D161" s="1">
        <v>18.649999999999999</v>
      </c>
      <c r="E161" s="1">
        <v>-1937.9099120000001</v>
      </c>
      <c r="F161" s="1">
        <v>-1238.709961</v>
      </c>
      <c r="G161" s="1">
        <v>8.1999999999999993</v>
      </c>
      <c r="H161" s="1">
        <v>1E-4</v>
      </c>
      <c r="I161" s="1">
        <v>-1E-4</v>
      </c>
      <c r="J161" s="1">
        <v>2.0011000000000001</v>
      </c>
      <c r="K161" s="1">
        <v>-2.8349999999999998E-3</v>
      </c>
      <c r="L161" s="1">
        <v>-9.2000000000000003E-4</v>
      </c>
      <c r="M161" s="1">
        <v>0.950735</v>
      </c>
      <c r="N161" s="1">
        <v>-0.30998900000000001</v>
      </c>
      <c r="O161">
        <v>1</v>
      </c>
      <c r="P161">
        <v>0</v>
      </c>
      <c r="Q161">
        <v>1</v>
      </c>
      <c r="R161">
        <v>1</v>
      </c>
      <c r="S161">
        <v>1</v>
      </c>
      <c r="T161" s="1">
        <f>SQRT(POWER(Batmobile[[#This Row],[angvel_X]],2) + POWER(Batmobile[[#This Row],[angvel_Y]],2) + POWER(Batmobile[[#This Row],[angvel_Z]],2))</f>
        <v>2.0011000049972516</v>
      </c>
      <c r="U161" s="1">
        <f>DEGREES(ASIN(MAX(-1,MIN(1,2 * (Batmobile[[#This Row],[quart_W]]*Batmobile[[#This Row],[quart_Y]] - Batmobile[[#This Row],[quart_Z]]*Batmobile[[#This Row],[quart_X]])))))</f>
        <v>0.34154486937893713</v>
      </c>
      <c r="V16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-126.1173495370182</v>
      </c>
      <c r="W16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89.999525282854307</v>
      </c>
      <c r="X161" s="1">
        <f>IF(Batmobile[[#This Row],[Yaw]]&gt;V160,(360-ABS(Batmobile[[#This Row],[Yaw]])-ABS(V160)),ABS(Batmobile[[#This Row],[Yaw]]-V160))</f>
        <v>0.95523529763839576</v>
      </c>
      <c r="Y161" s="1">
        <f>Batmobile[[#This Row],[Degree change]]+Y160</f>
        <v>95.267893613691129</v>
      </c>
    </row>
    <row r="162" spans="1:25">
      <c r="A162">
        <v>161</v>
      </c>
      <c r="B162" s="1">
        <v>-1400.559937</v>
      </c>
      <c r="C162" s="1">
        <v>2480.919922</v>
      </c>
      <c r="D162" s="1">
        <v>18.649999999999999</v>
      </c>
      <c r="E162" s="1">
        <v>-1916.98999</v>
      </c>
      <c r="F162" s="1">
        <v>-1270.849976</v>
      </c>
      <c r="G162" s="1">
        <v>8.1999999999999993</v>
      </c>
      <c r="H162" s="1">
        <v>1E-4</v>
      </c>
      <c r="I162" s="1">
        <v>-1E-4</v>
      </c>
      <c r="J162" s="1">
        <v>2.0011000000000001</v>
      </c>
      <c r="K162" s="1">
        <v>-2.8300000000000001E-3</v>
      </c>
      <c r="L162" s="1">
        <v>-9.41E-4</v>
      </c>
      <c r="M162" s="1">
        <v>0.94811800000000002</v>
      </c>
      <c r="N162" s="1">
        <v>-0.31790299999999999</v>
      </c>
      <c r="O162">
        <v>1</v>
      </c>
      <c r="P162">
        <v>0</v>
      </c>
      <c r="Q162">
        <v>1</v>
      </c>
      <c r="R162">
        <v>1</v>
      </c>
      <c r="S162">
        <v>1</v>
      </c>
      <c r="T162" s="1">
        <f>SQRT(POWER(Batmobile[[#This Row],[angvel_X]],2) + POWER(Batmobile[[#This Row],[angvel_Y]],2) + POWER(Batmobile[[#This Row],[angvel_Z]],2))</f>
        <v>2.0011000049972516</v>
      </c>
      <c r="U162" s="1">
        <f>DEGREES(ASIN(MAX(-1,MIN(1,2 * (Batmobile[[#This Row],[quart_W]]*Batmobile[[#This Row],[quart_Y]] - Batmobile[[#This Row],[quart_Z]]*Batmobile[[#This Row],[quart_X]])))))</f>
        <v>0.34175080071784736</v>
      </c>
      <c r="V16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-127.07253870560707</v>
      </c>
      <c r="W16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89.99914210053285</v>
      </c>
      <c r="X162" s="1">
        <f>IF(Batmobile[[#This Row],[Yaw]]&gt;V161,(360-ABS(Batmobile[[#This Row],[Yaw]])-ABS(V161)),ABS(Batmobile[[#This Row],[Yaw]]-V161))</f>
        <v>0.95518916858887337</v>
      </c>
      <c r="Y162" s="1">
        <f>Batmobile[[#This Row],[Degree change]]+Y161</f>
        <v>96.223082782280002</v>
      </c>
    </row>
    <row r="163" spans="1:25">
      <c r="A163">
        <v>162</v>
      </c>
      <c r="B163" s="1">
        <v>-1416.589966</v>
      </c>
      <c r="C163" s="1">
        <v>2470.290039</v>
      </c>
      <c r="D163" s="1">
        <v>18.649999999999999</v>
      </c>
      <c r="E163" s="1">
        <v>-1895.5299070000001</v>
      </c>
      <c r="F163" s="1">
        <v>-1302.630005</v>
      </c>
      <c r="G163" s="1">
        <v>8.1999999999999993</v>
      </c>
      <c r="H163" s="1">
        <v>1E-4</v>
      </c>
      <c r="I163" s="1">
        <v>0</v>
      </c>
      <c r="J163" s="1">
        <v>2.0011000000000001</v>
      </c>
      <c r="K163" s="1">
        <v>-2.8240000000000001E-3</v>
      </c>
      <c r="L163" s="1">
        <v>-9.6299999999999999E-4</v>
      </c>
      <c r="M163" s="1">
        <v>0.94543500000000003</v>
      </c>
      <c r="N163" s="1">
        <v>-0.32579599999999997</v>
      </c>
      <c r="O163">
        <v>1</v>
      </c>
      <c r="P163">
        <v>0</v>
      </c>
      <c r="Q163">
        <v>1</v>
      </c>
      <c r="R163">
        <v>1</v>
      </c>
      <c r="S163">
        <v>1</v>
      </c>
      <c r="T163" s="1">
        <f>SQRT(POWER(Batmobile[[#This Row],[angvel_X]],2) + POWER(Batmobile[[#This Row],[angvel_Y]],2) + POWER(Batmobile[[#This Row],[angvel_Z]],2))</f>
        <v>2.0011000024986259</v>
      </c>
      <c r="U163" s="1">
        <f>DEGREES(ASIN(MAX(-1,MIN(1,2 * (Batmobile[[#This Row],[quart_W]]*Batmobile[[#This Row],[quart_Y]] - Batmobile[[#This Row],[quart_Z]]*Batmobile[[#This Row],[quart_X]])))))</f>
        <v>0.34190313285303803</v>
      </c>
      <c r="V16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-128.02783369449085</v>
      </c>
      <c r="W16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89.998900589122755</v>
      </c>
      <c r="X163" s="1">
        <f>IF(Batmobile[[#This Row],[Yaw]]&gt;V162,(360-ABS(Batmobile[[#This Row],[Yaw]])-ABS(V162)),ABS(Batmobile[[#This Row],[Yaw]]-V162))</f>
        <v>0.95529498888377873</v>
      </c>
      <c r="Y163" s="1">
        <f>Batmobile[[#This Row],[Degree change]]+Y162</f>
        <v>97.178377771163781</v>
      </c>
    </row>
    <row r="164" spans="1:25">
      <c r="A164">
        <v>163</v>
      </c>
      <c r="B164" s="1">
        <v>-1432.4399410000001</v>
      </c>
      <c r="C164" s="1">
        <v>2459.389893</v>
      </c>
      <c r="D164" s="1">
        <v>18.649999999999999</v>
      </c>
      <c r="E164" s="1">
        <v>-1873.549927</v>
      </c>
      <c r="F164" s="1">
        <v>-1334.059937</v>
      </c>
      <c r="G164" s="1">
        <v>8.1999999999999993</v>
      </c>
      <c r="H164" s="1">
        <v>1E-4</v>
      </c>
      <c r="I164" s="1">
        <v>0</v>
      </c>
      <c r="J164" s="1">
        <v>2.0011000000000001</v>
      </c>
      <c r="K164" s="1">
        <v>-2.8189999999999999E-3</v>
      </c>
      <c r="L164" s="1">
        <v>-9.8499999999999998E-4</v>
      </c>
      <c r="M164" s="1">
        <v>0.94268600000000002</v>
      </c>
      <c r="N164" s="1">
        <v>-0.33366699999999999</v>
      </c>
      <c r="O164">
        <v>1</v>
      </c>
      <c r="P164">
        <v>0</v>
      </c>
      <c r="Q164">
        <v>1</v>
      </c>
      <c r="R164">
        <v>1</v>
      </c>
      <c r="S164">
        <v>1</v>
      </c>
      <c r="T164" s="1">
        <f>SQRT(POWER(Batmobile[[#This Row],[angvel_X]],2) + POWER(Batmobile[[#This Row],[angvel_Y]],2) + POWER(Batmobile[[#This Row],[angvel_Z]],2))</f>
        <v>2.0011000024986259</v>
      </c>
      <c r="U164" s="1">
        <f>DEGREES(ASIN(MAX(-1,MIN(1,2 * (Batmobile[[#This Row],[quart_W]]*Batmobile[[#This Row],[quart_Y]] - Batmobile[[#This Row],[quart_Z]]*Batmobile[[#This Row],[quart_X]])))))</f>
        <v>0.34218318139344756</v>
      </c>
      <c r="V16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-128.98321289555659</v>
      </c>
      <c r="W16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89.998617822042078</v>
      </c>
      <c r="X164" s="1">
        <f>IF(Batmobile[[#This Row],[Yaw]]&gt;V163,(360-ABS(Batmobile[[#This Row],[Yaw]])-ABS(V163)),ABS(Batmobile[[#This Row],[Yaw]]-V163))</f>
        <v>0.95537920106573893</v>
      </c>
      <c r="Y164" s="1">
        <f>Batmobile[[#This Row],[Degree change]]+Y163</f>
        <v>98.13375697222952</v>
      </c>
    </row>
    <row r="165" spans="1:25">
      <c r="A165">
        <v>164</v>
      </c>
      <c r="B165" s="1">
        <v>-1448.1099850000001</v>
      </c>
      <c r="C165" s="1">
        <v>2448.2299800000001</v>
      </c>
      <c r="D165" s="1">
        <v>18.649999999999999</v>
      </c>
      <c r="E165" s="1">
        <v>-1851.049927</v>
      </c>
      <c r="F165" s="1">
        <v>-1365.1099850000001</v>
      </c>
      <c r="G165" s="1">
        <v>8.1999999999999993</v>
      </c>
      <c r="H165" s="1">
        <v>1E-4</v>
      </c>
      <c r="I165" s="1">
        <v>0</v>
      </c>
      <c r="J165" s="1">
        <v>2.0011999999999999</v>
      </c>
      <c r="K165" s="1">
        <v>-2.8080000000000002E-3</v>
      </c>
      <c r="L165" s="1">
        <v>-1.0059999999999999E-3</v>
      </c>
      <c r="M165" s="1">
        <v>0.93987100000000001</v>
      </c>
      <c r="N165" s="1">
        <v>-0.34151599999999999</v>
      </c>
      <c r="O165">
        <v>1</v>
      </c>
      <c r="P165">
        <v>0</v>
      </c>
      <c r="Q165">
        <v>1</v>
      </c>
      <c r="R165">
        <v>1</v>
      </c>
      <c r="S165">
        <v>1</v>
      </c>
      <c r="T165" s="1">
        <f>SQRT(POWER(Batmobile[[#This Row],[angvel_X]],2) + POWER(Batmobile[[#This Row],[angvel_Y]],2) + POWER(Batmobile[[#This Row],[angvel_Z]],2))</f>
        <v>2.0012000024985008</v>
      </c>
      <c r="U165" s="1">
        <f>DEGREES(ASIN(MAX(-1,MIN(1,2 * (Batmobile[[#This Row],[quart_W]]*Batmobile[[#This Row],[quart_Y]] - Batmobile[[#This Row],[quart_Z]]*Batmobile[[#This Row],[quart_X]])))))</f>
        <v>0.34179689037746175</v>
      </c>
      <c r="V16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-129.93874233780295</v>
      </c>
      <c r="W16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89.998456802163901</v>
      </c>
      <c r="X165" s="1">
        <f>IF(Batmobile[[#This Row],[Yaw]]&gt;V164,(360-ABS(Batmobile[[#This Row],[Yaw]])-ABS(V164)),ABS(Batmobile[[#This Row],[Yaw]]-V164))</f>
        <v>0.95552944224635894</v>
      </c>
      <c r="Y165" s="1">
        <f>Batmobile[[#This Row],[Degree change]]+Y164</f>
        <v>99.089286414475879</v>
      </c>
    </row>
    <row r="166" spans="1:25">
      <c r="A166">
        <v>165</v>
      </c>
      <c r="B166" s="1">
        <v>-1463.589966</v>
      </c>
      <c r="C166" s="1">
        <v>2436.8100589999999</v>
      </c>
      <c r="D166" s="1">
        <v>18.649999999999999</v>
      </c>
      <c r="E166" s="1">
        <v>-1828.0299070000001</v>
      </c>
      <c r="F166" s="1">
        <v>-1395.780029</v>
      </c>
      <c r="G166" s="1">
        <v>8.1999999999999993</v>
      </c>
      <c r="H166" s="1">
        <v>1E-4</v>
      </c>
      <c r="I166" s="1">
        <v>0</v>
      </c>
      <c r="J166" s="1">
        <v>2.0011999999999999</v>
      </c>
      <c r="K166" s="1">
        <v>-2.797E-3</v>
      </c>
      <c r="L166" s="1">
        <v>-1.0280000000000001E-3</v>
      </c>
      <c r="M166" s="1">
        <v>0.93699200000000005</v>
      </c>
      <c r="N166" s="1">
        <v>-0.34933900000000001</v>
      </c>
      <c r="O166">
        <v>1</v>
      </c>
      <c r="P166">
        <v>0</v>
      </c>
      <c r="Q166">
        <v>1</v>
      </c>
      <c r="R166">
        <v>1</v>
      </c>
      <c r="S166">
        <v>1</v>
      </c>
      <c r="T166" s="1">
        <f>SQRT(POWER(Batmobile[[#This Row],[angvel_X]],2) + POWER(Batmobile[[#This Row],[angvel_Y]],2) + POWER(Batmobile[[#This Row],[angvel_Z]],2))</f>
        <v>2.0012000024985008</v>
      </c>
      <c r="U166" s="1">
        <f>DEGREES(ASIN(MAX(-1,MIN(1,2 * (Batmobile[[#This Row],[quart_W]]*Batmobile[[#This Row],[quart_Y]] - Batmobile[[#This Row],[quart_Z]]*Batmobile[[#This Row],[quart_X]])))))</f>
        <v>0.3414719318165047</v>
      </c>
      <c r="V16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-130.89393911235933</v>
      </c>
      <c r="W16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89.998410196428381</v>
      </c>
      <c r="X166" s="1">
        <f>IF(Batmobile[[#This Row],[Yaw]]&gt;V165,(360-ABS(Batmobile[[#This Row],[Yaw]])-ABS(V165)),ABS(Batmobile[[#This Row],[Yaw]]-V165))</f>
        <v>0.9551967745563843</v>
      </c>
      <c r="Y166" s="1">
        <f>Batmobile[[#This Row],[Degree change]]+Y165</f>
        <v>100.04448318903226</v>
      </c>
    </row>
    <row r="167" spans="1:25">
      <c r="A167">
        <v>166</v>
      </c>
      <c r="B167" s="1">
        <v>-1478.880005</v>
      </c>
      <c r="C167" s="1">
        <v>2425.1298830000001</v>
      </c>
      <c r="D167" s="1">
        <v>18.649999999999999</v>
      </c>
      <c r="E167" s="1">
        <v>-1804.5</v>
      </c>
      <c r="F167" s="1">
        <v>-1426.0699460000001</v>
      </c>
      <c r="G167" s="1">
        <v>8.1999999999999993</v>
      </c>
      <c r="H167" s="1">
        <v>1E-4</v>
      </c>
      <c r="I167" s="1">
        <v>0</v>
      </c>
      <c r="J167" s="1">
        <v>2.0011999999999999</v>
      </c>
      <c r="K167" s="1">
        <v>-2.7859999999999998E-3</v>
      </c>
      <c r="L167" s="1">
        <v>-1.049E-3</v>
      </c>
      <c r="M167" s="1">
        <v>0.93404600000000004</v>
      </c>
      <c r="N167" s="1">
        <v>-0.35714000000000001</v>
      </c>
      <c r="O167">
        <v>1</v>
      </c>
      <c r="P167">
        <v>0</v>
      </c>
      <c r="Q167">
        <v>1</v>
      </c>
      <c r="R167">
        <v>1</v>
      </c>
      <c r="S167">
        <v>1</v>
      </c>
      <c r="T167" s="1">
        <f>SQRT(POWER(Batmobile[[#This Row],[angvel_X]],2) + POWER(Batmobile[[#This Row],[angvel_Y]],2) + POWER(Batmobile[[#This Row],[angvel_Z]],2))</f>
        <v>2.0012000024985008</v>
      </c>
      <c r="U167" s="1">
        <f>DEGREES(ASIN(MAX(-1,MIN(1,2 * (Batmobile[[#This Row],[quart_W]]*Batmobile[[#This Row],[quart_Y]] - Batmobile[[#This Row],[quart_Z]]*Batmobile[[#This Row],[quart_X]])))))</f>
        <v>0.34112871254874888</v>
      </c>
      <c r="V16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-131.84952737665276</v>
      </c>
      <c r="W16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89.998260723012592</v>
      </c>
      <c r="X167" s="1">
        <f>IF(Batmobile[[#This Row],[Yaw]]&gt;V166,(360-ABS(Batmobile[[#This Row],[Yaw]])-ABS(V166)),ABS(Batmobile[[#This Row],[Yaw]]-V166))</f>
        <v>0.95558826429342503</v>
      </c>
      <c r="Y167" s="1">
        <f>Batmobile[[#This Row],[Degree change]]+Y166</f>
        <v>101.00007145332569</v>
      </c>
    </row>
    <row r="168" spans="1:25">
      <c r="A168">
        <v>167</v>
      </c>
      <c r="B168" s="1">
        <v>-1493.969971</v>
      </c>
      <c r="C168" s="1">
        <v>2413.1999510000001</v>
      </c>
      <c r="D168" s="1">
        <v>18.649999999999999</v>
      </c>
      <c r="E168" s="1">
        <v>-1780.469971</v>
      </c>
      <c r="F168" s="1">
        <v>-1455.959961</v>
      </c>
      <c r="G168" s="1">
        <v>8.1999999999999993</v>
      </c>
      <c r="H168" s="1">
        <v>2.0000000000000001E-4</v>
      </c>
      <c r="I168" s="1">
        <v>0</v>
      </c>
      <c r="J168" s="1">
        <v>2.0011999999999999</v>
      </c>
      <c r="K168" s="1">
        <v>-2.7759999999999998E-3</v>
      </c>
      <c r="L168" s="1">
        <v>-1.0709999999999999E-3</v>
      </c>
      <c r="M168" s="1">
        <v>0.931037</v>
      </c>
      <c r="N168" s="1">
        <v>-0.36491400000000002</v>
      </c>
      <c r="O168">
        <v>1</v>
      </c>
      <c r="P168">
        <v>0</v>
      </c>
      <c r="Q168">
        <v>1</v>
      </c>
      <c r="R168">
        <v>1</v>
      </c>
      <c r="S168">
        <v>1</v>
      </c>
      <c r="T168" s="1">
        <f>SQRT(POWER(Batmobile[[#This Row],[angvel_X]],2) + POWER(Batmobile[[#This Row],[angvel_Y]],2) + POWER(Batmobile[[#This Row],[angvel_Z]],2))</f>
        <v>2.0012000099940033</v>
      </c>
      <c r="U168" s="1">
        <f>DEGREES(ASIN(MAX(-1,MIN(1,2 * (Batmobile[[#This Row],[quart_W]]*Batmobile[[#This Row],[quart_Y]] - Batmobile[[#This Row],[quart_Z]]*Batmobile[[#This Row],[quart_X]])))))</f>
        <v>0.34095562924592021</v>
      </c>
      <c r="V16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-132.80472473489894</v>
      </c>
      <c r="W16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89.998182472697707</v>
      </c>
      <c r="X168" s="1">
        <f>IF(Batmobile[[#This Row],[Yaw]]&gt;V167,(360-ABS(Batmobile[[#This Row],[Yaw]])-ABS(V167)),ABS(Batmobile[[#This Row],[Yaw]]-V167))</f>
        <v>0.95519735824618124</v>
      </c>
      <c r="Y168" s="1">
        <f>Batmobile[[#This Row],[Degree change]]+Y167</f>
        <v>101.95526881157187</v>
      </c>
    </row>
    <row r="169" spans="1:25">
      <c r="A169">
        <v>168</v>
      </c>
      <c r="B169" s="1">
        <v>-1508.8599850000001</v>
      </c>
      <c r="C169" s="1">
        <v>2401.0200199999999</v>
      </c>
      <c r="D169" s="1">
        <v>18.649999999999999</v>
      </c>
      <c r="E169" s="1">
        <v>-1755.9499510000001</v>
      </c>
      <c r="F169" s="1">
        <v>-1485.4499510000001</v>
      </c>
      <c r="G169" s="1">
        <v>8.1999999999999993</v>
      </c>
      <c r="H169" s="1">
        <v>2.0000000000000001E-4</v>
      </c>
      <c r="I169" s="1">
        <v>0</v>
      </c>
      <c r="J169" s="1">
        <v>2.0011999999999999</v>
      </c>
      <c r="K169" s="1">
        <v>-2.7650000000000001E-3</v>
      </c>
      <c r="L169" s="1">
        <v>-1.0920000000000001E-3</v>
      </c>
      <c r="M169" s="1">
        <v>0.92796100000000004</v>
      </c>
      <c r="N169" s="1">
        <v>-0.372666</v>
      </c>
      <c r="O169">
        <v>1</v>
      </c>
      <c r="P169">
        <v>0</v>
      </c>
      <c r="Q169">
        <v>1</v>
      </c>
      <c r="R169">
        <v>1</v>
      </c>
      <c r="S169">
        <v>1</v>
      </c>
      <c r="T169" s="1">
        <f>SQRT(POWER(Batmobile[[#This Row],[angvel_X]],2) + POWER(Batmobile[[#This Row],[angvel_Y]],2) + POWER(Batmobile[[#This Row],[angvel_Z]],2))</f>
        <v>2.0012000099940033</v>
      </c>
      <c r="U169" s="1">
        <f>DEGREES(ASIN(MAX(-1,MIN(1,2 * (Batmobile[[#This Row],[quart_W]]*Batmobile[[#This Row],[quart_Y]] - Batmobile[[#This Row],[quart_Z]]*Batmobile[[#This Row],[quart_X]])))))</f>
        <v>0.34065560387085564</v>
      </c>
      <c r="V16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-133.76044525570376</v>
      </c>
      <c r="W16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89.998041815890346</v>
      </c>
      <c r="X169" s="1">
        <f>IF(Batmobile[[#This Row],[Yaw]]&gt;V168,(360-ABS(Batmobile[[#This Row],[Yaw]])-ABS(V168)),ABS(Batmobile[[#This Row],[Yaw]]-V168))</f>
        <v>0.9557205208048174</v>
      </c>
      <c r="Y169" s="1">
        <f>Batmobile[[#This Row],[Degree change]]+Y168</f>
        <v>102.91098933237669</v>
      </c>
    </row>
    <row r="170" spans="1:25">
      <c r="A170">
        <v>169</v>
      </c>
      <c r="B170" s="1">
        <v>-1523.5399170000001</v>
      </c>
      <c r="C170" s="1">
        <v>2388.5898440000001</v>
      </c>
      <c r="D170" s="1">
        <v>18.649999999999999</v>
      </c>
      <c r="E170" s="1">
        <v>-1730.929932</v>
      </c>
      <c r="F170" s="1">
        <v>-1514.5200199999999</v>
      </c>
      <c r="G170" s="1">
        <v>8.1999999999999993</v>
      </c>
      <c r="H170" s="1">
        <v>2.9999999999999997E-4</v>
      </c>
      <c r="I170" s="1">
        <v>0</v>
      </c>
      <c r="J170" s="1">
        <v>2.0011999999999999</v>
      </c>
      <c r="K170" s="1">
        <v>-2.7539999999999999E-3</v>
      </c>
      <c r="L170" s="1">
        <v>-1.114E-3</v>
      </c>
      <c r="M170" s="1">
        <v>0.924821</v>
      </c>
      <c r="N170" s="1">
        <v>-0.38039099999999998</v>
      </c>
      <c r="O170">
        <v>1</v>
      </c>
      <c r="P170">
        <v>0</v>
      </c>
      <c r="Q170">
        <v>1</v>
      </c>
      <c r="R170">
        <v>1</v>
      </c>
      <c r="S170">
        <v>1</v>
      </c>
      <c r="T170" s="1">
        <f>SQRT(POWER(Batmobile[[#This Row],[angvel_X]],2) + POWER(Batmobile[[#This Row],[angvel_Y]],2) + POWER(Batmobile[[#This Row],[angvel_Z]],2))</f>
        <v>2.0012000224865081</v>
      </c>
      <c r="U170" s="1">
        <f>DEGREES(ASIN(MAX(-1,MIN(1,2 * (Batmobile[[#This Row],[quart_W]]*Batmobile[[#This Row],[quart_Y]] - Batmobile[[#This Row],[quart_Z]]*Batmobile[[#This Row],[quart_X]])))))</f>
        <v>0.34042059202752689</v>
      </c>
      <c r="V17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-134.71602097965646</v>
      </c>
      <c r="W17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89.998012234521696</v>
      </c>
      <c r="X170" s="1">
        <f>IF(Batmobile[[#This Row],[Yaw]]&gt;V169,(360-ABS(Batmobile[[#This Row],[Yaw]])-ABS(V169)),ABS(Batmobile[[#This Row],[Yaw]]-V169))</f>
        <v>0.9555757239527054</v>
      </c>
      <c r="Y170" s="1">
        <f>Batmobile[[#This Row],[Degree change]]+Y169</f>
        <v>103.86656505632939</v>
      </c>
    </row>
    <row r="171" spans="1:25">
      <c r="A171">
        <v>170</v>
      </c>
      <c r="B171" s="1">
        <v>-1538.01001</v>
      </c>
      <c r="C171" s="1">
        <v>2375.919922</v>
      </c>
      <c r="D171" s="1">
        <v>18.649999999999999</v>
      </c>
      <c r="E171" s="1">
        <v>-1705.4399410000001</v>
      </c>
      <c r="F171" s="1">
        <v>-1543.169922</v>
      </c>
      <c r="G171" s="1">
        <v>8.1999999999999993</v>
      </c>
      <c r="H171" s="1">
        <v>2.9999999999999997E-4</v>
      </c>
      <c r="I171" s="1">
        <v>0</v>
      </c>
      <c r="J171" s="1">
        <v>2.0011999999999999</v>
      </c>
      <c r="K171" s="1">
        <v>-2.7430000000000002E-3</v>
      </c>
      <c r="L171" s="1">
        <v>-1.1360000000000001E-3</v>
      </c>
      <c r="M171" s="1">
        <v>0.92161700000000002</v>
      </c>
      <c r="N171" s="1">
        <v>-0.38808999999999999</v>
      </c>
      <c r="O171">
        <v>1</v>
      </c>
      <c r="P171">
        <v>0</v>
      </c>
      <c r="Q171">
        <v>1</v>
      </c>
      <c r="R171">
        <v>1</v>
      </c>
      <c r="S171">
        <v>1</v>
      </c>
      <c r="T171" s="1">
        <f>SQRT(POWER(Batmobile[[#This Row],[angvel_X]],2) + POWER(Batmobile[[#This Row],[angvel_Y]],2) + POWER(Batmobile[[#This Row],[angvel_Z]],2))</f>
        <v>2.0012000224865081</v>
      </c>
      <c r="U171" s="1">
        <f>DEGREES(ASIN(MAX(-1,MIN(1,2 * (Batmobile[[#This Row],[quart_W]]*Batmobile[[#This Row],[quart_Y]] - Batmobile[[#This Row],[quart_Z]]*Batmobile[[#This Row],[quart_X]])))))</f>
        <v>0.34020894490393472</v>
      </c>
      <c r="V17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-135.67159379354689</v>
      </c>
      <c r="W17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89.997986137252781</v>
      </c>
      <c r="X171" s="1">
        <f>IF(Batmobile[[#This Row],[Yaw]]&gt;V170,(360-ABS(Batmobile[[#This Row],[Yaw]])-ABS(V170)),ABS(Batmobile[[#This Row],[Yaw]]-V170))</f>
        <v>0.95557281389042714</v>
      </c>
      <c r="Y171" s="1">
        <f>Batmobile[[#This Row],[Degree change]]+Y170</f>
        <v>104.82213787021982</v>
      </c>
    </row>
    <row r="172" spans="1:25">
      <c r="A172">
        <v>171</v>
      </c>
      <c r="B172" s="1">
        <v>-1552.2700199999999</v>
      </c>
      <c r="C172" s="1">
        <v>2363.01001</v>
      </c>
      <c r="D172" s="1">
        <v>18.649999999999999</v>
      </c>
      <c r="E172" s="1">
        <v>-1679.469971</v>
      </c>
      <c r="F172" s="1">
        <v>-1571.400024</v>
      </c>
      <c r="G172" s="1">
        <v>8.1999999999999993</v>
      </c>
      <c r="H172" s="1">
        <v>4.0000000000000002E-4</v>
      </c>
      <c r="I172" s="1">
        <v>0</v>
      </c>
      <c r="J172" s="1">
        <v>2.0011999999999999</v>
      </c>
      <c r="K172" s="1">
        <v>-2.7320000000000001E-3</v>
      </c>
      <c r="L172" s="1">
        <v>-1.157E-3</v>
      </c>
      <c r="M172" s="1">
        <v>0.91834899999999997</v>
      </c>
      <c r="N172" s="1">
        <v>-0.39576099999999997</v>
      </c>
      <c r="O172">
        <v>1</v>
      </c>
      <c r="P172">
        <v>0</v>
      </c>
      <c r="Q172">
        <v>1</v>
      </c>
      <c r="R172">
        <v>1</v>
      </c>
      <c r="S172">
        <v>1</v>
      </c>
      <c r="T172" s="1">
        <f>SQRT(POWER(Batmobile[[#This Row],[angvel_X]],2) + POWER(Batmobile[[#This Row],[angvel_Y]],2) + POWER(Batmobile[[#This Row],[angvel_Z]],2))</f>
        <v>2.0012000399760139</v>
      </c>
      <c r="U172" s="1">
        <f>DEGREES(ASIN(MAX(-1,MIN(1,2 * (Batmobile[[#This Row],[quart_W]]*Batmobile[[#This Row],[quart_Y]] - Batmobile[[#This Row],[quart_Z]]*Batmobile[[#This Row],[quart_X]])))))</f>
        <v>0.33997509081038985</v>
      </c>
      <c r="V17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-136.6270816280979</v>
      </c>
      <c r="W17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89.997858330971184</v>
      </c>
      <c r="X172" s="1">
        <f>IF(Batmobile[[#This Row],[Yaw]]&gt;V171,(360-ABS(Batmobile[[#This Row],[Yaw]])-ABS(V171)),ABS(Batmobile[[#This Row],[Yaw]]-V171))</f>
        <v>0.95548783455100761</v>
      </c>
      <c r="Y172" s="1">
        <f>Batmobile[[#This Row],[Degree change]]+Y171</f>
        <v>105.77762570477083</v>
      </c>
    </row>
    <row r="173" spans="1:25">
      <c r="A173">
        <v>172</v>
      </c>
      <c r="B173" s="1">
        <v>-1566.309937</v>
      </c>
      <c r="C173" s="1">
        <v>2349.8698730000001</v>
      </c>
      <c r="D173" s="1">
        <v>18.649999999999999</v>
      </c>
      <c r="E173" s="1">
        <v>-1653.0299070000001</v>
      </c>
      <c r="F173" s="1">
        <v>-1599.1899410000001</v>
      </c>
      <c r="G173" s="1">
        <v>8.1999999999999993</v>
      </c>
      <c r="H173" s="1">
        <v>4.0000000000000002E-4</v>
      </c>
      <c r="I173" s="1">
        <v>0</v>
      </c>
      <c r="J173" s="1">
        <v>2.0011999999999999</v>
      </c>
      <c r="K173" s="1">
        <v>-2.722E-3</v>
      </c>
      <c r="L173" s="1">
        <v>-1.1789999999999999E-3</v>
      </c>
      <c r="M173" s="1">
        <v>0.91501600000000005</v>
      </c>
      <c r="N173" s="1">
        <v>-0.40340500000000001</v>
      </c>
      <c r="O173">
        <v>1</v>
      </c>
      <c r="P173">
        <v>0</v>
      </c>
      <c r="Q173">
        <v>1</v>
      </c>
      <c r="R173">
        <v>1</v>
      </c>
      <c r="S173">
        <v>1</v>
      </c>
      <c r="T173" s="1">
        <f>SQRT(POWER(Batmobile[[#This Row],[angvel_X]],2) + POWER(Batmobile[[#This Row],[angvel_Y]],2) + POWER(Batmobile[[#This Row],[angvel_Z]],2))</f>
        <v>2.0012000399760139</v>
      </c>
      <c r="U173" s="1">
        <f>DEGREES(ASIN(MAX(-1,MIN(1,2 * (Batmobile[[#This Row],[quart_W]]*Batmobile[[#This Row],[quart_Y]] - Batmobile[[#This Row],[quart_Z]]*Batmobile[[#This Row],[quart_X]])))))</f>
        <v>0.33991356574862486</v>
      </c>
      <c r="V17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-137.58274800221139</v>
      </c>
      <c r="W17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89.997792406790353</v>
      </c>
      <c r="X173" s="1">
        <f>IF(Batmobile[[#This Row],[Yaw]]&gt;V172,(360-ABS(Batmobile[[#This Row],[Yaw]])-ABS(V172)),ABS(Batmobile[[#This Row],[Yaw]]-V172))</f>
        <v>0.9556663741134912</v>
      </c>
      <c r="Y173" s="1">
        <f>Batmobile[[#This Row],[Degree change]]+Y172</f>
        <v>106.73329207888432</v>
      </c>
    </row>
    <row r="174" spans="1:25">
      <c r="A174">
        <v>173</v>
      </c>
      <c r="B174" s="1">
        <v>-1580.130005</v>
      </c>
      <c r="C174" s="1">
        <v>2336.48999</v>
      </c>
      <c r="D174" s="1">
        <v>18.649999999999999</v>
      </c>
      <c r="E174" s="1">
        <v>-1626.130005</v>
      </c>
      <c r="F174" s="1">
        <v>-1626.5299070000001</v>
      </c>
      <c r="G174" s="1">
        <v>8.1999999999999993</v>
      </c>
      <c r="H174" s="1">
        <v>4.0000000000000002E-4</v>
      </c>
      <c r="I174" s="1">
        <v>0</v>
      </c>
      <c r="J174" s="1">
        <v>2.0011999999999999</v>
      </c>
      <c r="K174" s="1">
        <v>-2.7109999999999999E-3</v>
      </c>
      <c r="L174" s="1">
        <v>-1.1999999999999999E-3</v>
      </c>
      <c r="M174" s="1">
        <v>0.91161999999999999</v>
      </c>
      <c r="N174" s="1">
        <v>-0.41102300000000003</v>
      </c>
      <c r="O174">
        <v>1</v>
      </c>
      <c r="P174">
        <v>0</v>
      </c>
      <c r="Q174">
        <v>1</v>
      </c>
      <c r="R174">
        <v>1</v>
      </c>
      <c r="S174">
        <v>1</v>
      </c>
      <c r="T174" s="1">
        <f>SQRT(POWER(Batmobile[[#This Row],[angvel_X]],2) + POWER(Batmobile[[#This Row],[angvel_Y]],2) + POWER(Batmobile[[#This Row],[angvel_Z]],2))</f>
        <v>2.0012000399760139</v>
      </c>
      <c r="U174" s="1">
        <f>DEGREES(ASIN(MAX(-1,MIN(1,2 * (Batmobile[[#This Row],[quart_W]]*Batmobile[[#This Row],[quart_Y]] - Batmobile[[#This Row],[quart_Z]]*Batmobile[[#This Row],[quart_X]])))))</f>
        <v>0.33972349775192728</v>
      </c>
      <c r="V17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-138.53848174723933</v>
      </c>
      <c r="W17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89.997669240858926</v>
      </c>
      <c r="X174" s="1">
        <f>IF(Batmobile[[#This Row],[Yaw]]&gt;V173,(360-ABS(Batmobile[[#This Row],[Yaw]])-ABS(V173)),ABS(Batmobile[[#This Row],[Yaw]]-V173))</f>
        <v>0.95573374502794195</v>
      </c>
      <c r="Y174" s="1">
        <f>Batmobile[[#This Row],[Degree change]]+Y173</f>
        <v>107.68902582391226</v>
      </c>
    </row>
    <row r="175" spans="1:25">
      <c r="A175">
        <v>174</v>
      </c>
      <c r="B175" s="1">
        <v>-1593.7299800000001</v>
      </c>
      <c r="C175" s="1">
        <v>2322.8798830000001</v>
      </c>
      <c r="D175" s="1">
        <v>18.649999999999999</v>
      </c>
      <c r="E175" s="1">
        <v>-1598.7799070000001</v>
      </c>
      <c r="F175" s="1">
        <v>-1653.419922</v>
      </c>
      <c r="G175" s="1">
        <v>8.1999999999999993</v>
      </c>
      <c r="H175" s="1">
        <v>5.0000000000000001E-4</v>
      </c>
      <c r="I175" s="1">
        <v>0</v>
      </c>
      <c r="J175" s="1">
        <v>2.0011999999999999</v>
      </c>
      <c r="K175" s="1">
        <v>-2.7000000000000001E-3</v>
      </c>
      <c r="L175" s="1">
        <v>-1.222E-3</v>
      </c>
      <c r="M175" s="1">
        <v>0.90816200000000002</v>
      </c>
      <c r="N175" s="1">
        <v>-0.41860799999999998</v>
      </c>
      <c r="O175">
        <v>1</v>
      </c>
      <c r="P175">
        <v>0</v>
      </c>
      <c r="Q175">
        <v>1</v>
      </c>
      <c r="R175">
        <v>1</v>
      </c>
      <c r="S175">
        <v>1</v>
      </c>
      <c r="T175" s="1">
        <f>SQRT(POWER(Batmobile[[#This Row],[angvel_X]],2) + POWER(Batmobile[[#This Row],[angvel_Y]],2) + POWER(Batmobile[[#This Row],[angvel_Z]],2))</f>
        <v>2.0012000624625217</v>
      </c>
      <c r="U175" s="1">
        <f>DEGREES(ASIN(MAX(-1,MIN(1,2 * (Batmobile[[#This Row],[quart_W]]*Batmobile[[#This Row],[quart_Y]] - Batmobile[[#This Row],[quart_Z]]*Batmobile[[#This Row],[quart_X]])))))</f>
        <v>0.33960282567779854</v>
      </c>
      <c r="V17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-139.4937344913356</v>
      </c>
      <c r="W17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89.997654540480809</v>
      </c>
      <c r="X175" s="1">
        <f>IF(Batmobile[[#This Row],[Yaw]]&gt;V174,(360-ABS(Batmobile[[#This Row],[Yaw]])-ABS(V174)),ABS(Batmobile[[#This Row],[Yaw]]-V174))</f>
        <v>0.95525274409627059</v>
      </c>
      <c r="Y175" s="1">
        <f>Batmobile[[#This Row],[Degree change]]+Y174</f>
        <v>108.64427856800853</v>
      </c>
    </row>
    <row r="176" spans="1:25">
      <c r="A176">
        <v>175</v>
      </c>
      <c r="B176" s="1">
        <v>-1607.099976</v>
      </c>
      <c r="C176" s="1">
        <v>2309.0500489999999</v>
      </c>
      <c r="D176" s="1">
        <v>18.649999999999999</v>
      </c>
      <c r="E176" s="1">
        <v>-1570.98999</v>
      </c>
      <c r="F176" s="1">
        <v>-1679.849976</v>
      </c>
      <c r="G176" s="1">
        <v>8.1999999999999993</v>
      </c>
      <c r="H176" s="1">
        <v>5.0000000000000001E-4</v>
      </c>
      <c r="I176" s="1">
        <v>0</v>
      </c>
      <c r="J176" s="1">
        <v>2.0011999999999999</v>
      </c>
      <c r="K176" s="1">
        <v>-2.689E-3</v>
      </c>
      <c r="L176" s="1">
        <v>-1.2489999999999999E-3</v>
      </c>
      <c r="M176" s="1">
        <v>0.90464</v>
      </c>
      <c r="N176" s="1">
        <v>-0.42616599999999999</v>
      </c>
      <c r="O176">
        <v>1</v>
      </c>
      <c r="P176">
        <v>0</v>
      </c>
      <c r="Q176">
        <v>1</v>
      </c>
      <c r="R176">
        <v>1</v>
      </c>
      <c r="S176">
        <v>1</v>
      </c>
      <c r="T176" s="1">
        <f>SQRT(POWER(Batmobile[[#This Row],[angvel_X]],2) + POWER(Batmobile[[#This Row],[angvel_Y]],2) + POWER(Batmobile[[#This Row],[angvel_Z]],2))</f>
        <v>2.0012000624625217</v>
      </c>
      <c r="U176" s="1">
        <f>DEGREES(ASIN(MAX(-1,MIN(1,2 * (Batmobile[[#This Row],[quart_W]]*Batmobile[[#This Row],[quart_Y]] - Batmobile[[#This Row],[quart_Z]]*Batmobile[[#This Row],[quart_X]])))))</f>
        <v>0.33974972524147573</v>
      </c>
      <c r="V17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-140.44923790337251</v>
      </c>
      <c r="W17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89.99815905263408</v>
      </c>
      <c r="X176" s="1">
        <f>IF(Batmobile[[#This Row],[Yaw]]&gt;V175,(360-ABS(Batmobile[[#This Row],[Yaw]])-ABS(V175)),ABS(Batmobile[[#This Row],[Yaw]]-V175))</f>
        <v>0.95550341203690436</v>
      </c>
      <c r="Y176" s="1">
        <f>Batmobile[[#This Row],[Degree change]]+Y175</f>
        <v>109.59978198004544</v>
      </c>
    </row>
    <row r="177" spans="1:25">
      <c r="A177">
        <v>176</v>
      </c>
      <c r="B177" s="1">
        <v>-1620.23999</v>
      </c>
      <c r="C177" s="1">
        <v>2295</v>
      </c>
      <c r="D177" s="1">
        <v>18.649999999999999</v>
      </c>
      <c r="E177" s="1">
        <v>-1542.76001</v>
      </c>
      <c r="F177" s="1">
        <v>-1705.809937</v>
      </c>
      <c r="G177" s="1">
        <v>8.1999999999999993</v>
      </c>
      <c r="H177" s="1">
        <v>5.0000000000000001E-4</v>
      </c>
      <c r="I177" s="1">
        <v>0</v>
      </c>
      <c r="J177" s="1">
        <v>2.0011999999999999</v>
      </c>
      <c r="K177" s="1">
        <v>-2.679E-3</v>
      </c>
      <c r="L177" s="1">
        <v>-1.2700000000000001E-3</v>
      </c>
      <c r="M177" s="1">
        <v>0.90105599999999997</v>
      </c>
      <c r="N177" s="1">
        <v>-0.43369200000000002</v>
      </c>
      <c r="O177">
        <v>1</v>
      </c>
      <c r="P177">
        <v>0</v>
      </c>
      <c r="Q177">
        <v>1</v>
      </c>
      <c r="R177">
        <v>1</v>
      </c>
      <c r="S177">
        <v>1</v>
      </c>
      <c r="T177" s="1">
        <f>SQRT(POWER(Batmobile[[#This Row],[angvel_X]],2) + POWER(Batmobile[[#This Row],[angvel_Y]],2) + POWER(Batmobile[[#This Row],[angvel_Z]],2))</f>
        <v>2.0012000624625217</v>
      </c>
      <c r="U177" s="1">
        <f>DEGREES(ASIN(MAX(-1,MIN(1,2 * (Batmobile[[#This Row],[quart_W]]*Batmobile[[#This Row],[quart_Y]] - Batmobile[[#This Row],[quart_Z]]*Batmobile[[#This Row],[quart_X]])))))</f>
        <v>0.33973363286593633</v>
      </c>
      <c r="V17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-141.40447367123431</v>
      </c>
      <c r="W17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89.997992349469499</v>
      </c>
      <c r="X177" s="1">
        <f>IF(Batmobile[[#This Row],[Yaw]]&gt;V176,(360-ABS(Batmobile[[#This Row],[Yaw]])-ABS(V176)),ABS(Batmobile[[#This Row],[Yaw]]-V176))</f>
        <v>0.95523576786180797</v>
      </c>
      <c r="Y177" s="1">
        <f>Batmobile[[#This Row],[Degree change]]+Y176</f>
        <v>110.55501774790724</v>
      </c>
    </row>
    <row r="178" spans="1:25">
      <c r="A178">
        <v>177</v>
      </c>
      <c r="B178" s="1">
        <v>-1633.1400149999999</v>
      </c>
      <c r="C178" s="1">
        <v>2280.7299800000001</v>
      </c>
      <c r="D178" s="1">
        <v>18.649999999999999</v>
      </c>
      <c r="E178" s="1">
        <v>-1514.099976</v>
      </c>
      <c r="F178" s="1">
        <v>-1731.299927</v>
      </c>
      <c r="G178" s="1">
        <v>8.1999999999999993</v>
      </c>
      <c r="H178" s="1">
        <v>5.0000000000000001E-4</v>
      </c>
      <c r="I178" s="1">
        <v>0</v>
      </c>
      <c r="J178" s="1">
        <v>2.0011999999999999</v>
      </c>
      <c r="K178" s="1">
        <v>-2.6679999999999998E-3</v>
      </c>
      <c r="L178" s="1">
        <v>-1.292E-3</v>
      </c>
      <c r="M178" s="1">
        <v>0.89740799999999998</v>
      </c>
      <c r="N178" s="1">
        <v>-0.441191</v>
      </c>
      <c r="O178">
        <v>1</v>
      </c>
      <c r="P178">
        <v>0</v>
      </c>
      <c r="Q178">
        <v>1</v>
      </c>
      <c r="R178">
        <v>1</v>
      </c>
      <c r="S178">
        <v>1</v>
      </c>
      <c r="T178" s="1">
        <f>SQRT(POWER(Batmobile[[#This Row],[angvel_X]],2) + POWER(Batmobile[[#This Row],[angvel_Y]],2) + POWER(Batmobile[[#This Row],[angvel_Z]],2))</f>
        <v>2.0012000624625217</v>
      </c>
      <c r="U178" s="1">
        <f>DEGREES(ASIN(MAX(-1,MIN(1,2 * (Batmobile[[#This Row],[quart_W]]*Batmobile[[#This Row],[quart_Y]] - Batmobile[[#This Row],[quart_Z]]*Batmobile[[#This Row],[quart_X]])))))</f>
        <v>0.33968612832934736</v>
      </c>
      <c r="V17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-142.36008999564953</v>
      </c>
      <c r="W17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89.997977830015287</v>
      </c>
      <c r="X178" s="1">
        <f>IF(Batmobile[[#This Row],[Yaw]]&gt;V177,(360-ABS(Batmobile[[#This Row],[Yaw]])-ABS(V177)),ABS(Batmobile[[#This Row],[Yaw]]-V177))</f>
        <v>0.95561632441521738</v>
      </c>
      <c r="Y178" s="1">
        <f>Batmobile[[#This Row],[Degree change]]+Y177</f>
        <v>111.51063407232246</v>
      </c>
    </row>
    <row r="179" spans="1:25">
      <c r="A179">
        <v>178</v>
      </c>
      <c r="B179" s="1">
        <v>-1645.799927</v>
      </c>
      <c r="C179" s="1">
        <v>2266.25</v>
      </c>
      <c r="D179" s="1">
        <v>18.649999999999999</v>
      </c>
      <c r="E179" s="1">
        <v>-1485.0200199999999</v>
      </c>
      <c r="F179" s="1">
        <v>-1756.309937</v>
      </c>
      <c r="G179" s="1">
        <v>8.1999999999999993</v>
      </c>
      <c r="H179" s="1">
        <v>5.0000000000000001E-4</v>
      </c>
      <c r="I179" s="1">
        <v>0</v>
      </c>
      <c r="J179" s="1">
        <v>2.0011999999999999</v>
      </c>
      <c r="K179" s="1">
        <v>-2.6570000000000001E-3</v>
      </c>
      <c r="L179" s="1">
        <v>-1.3140000000000001E-3</v>
      </c>
      <c r="M179" s="1">
        <v>0.89369900000000002</v>
      </c>
      <c r="N179" s="1">
        <v>-0.44865699999999997</v>
      </c>
      <c r="O179">
        <v>1</v>
      </c>
      <c r="P179">
        <v>0</v>
      </c>
      <c r="Q179">
        <v>1</v>
      </c>
      <c r="R179">
        <v>1</v>
      </c>
      <c r="S179">
        <v>1</v>
      </c>
      <c r="T179" s="1">
        <f>SQRT(POWER(Batmobile[[#This Row],[angvel_X]],2) + POWER(Batmobile[[#This Row],[angvel_Y]],2) + POWER(Batmobile[[#This Row],[angvel_Z]],2))</f>
        <v>2.0012000624625217</v>
      </c>
      <c r="U179" s="1">
        <f>DEGREES(ASIN(MAX(-1,MIN(1,2 * (Batmobile[[#This Row],[quart_W]]*Batmobile[[#This Row],[quart_Y]] - Batmobile[[#This Row],[quart_Z]]*Batmobile[[#This Row],[quart_X]])))))</f>
        <v>0.33966208946261522</v>
      </c>
      <c r="V17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-143.31537639017847</v>
      </c>
      <c r="W17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89.997964684877019</v>
      </c>
      <c r="X179" s="1">
        <f>IF(Batmobile[[#This Row],[Yaw]]&gt;V178,(360-ABS(Batmobile[[#This Row],[Yaw]])-ABS(V178)),ABS(Batmobile[[#This Row],[Yaw]]-V178))</f>
        <v>0.95528639452894026</v>
      </c>
      <c r="Y179" s="1">
        <f>Batmobile[[#This Row],[Degree change]]+Y178</f>
        <v>112.4659204668514</v>
      </c>
    </row>
    <row r="180" spans="1:25">
      <c r="A180">
        <v>179</v>
      </c>
      <c r="B180" s="1">
        <v>-1658.219971</v>
      </c>
      <c r="C180" s="1">
        <v>2251.5600589999999</v>
      </c>
      <c r="D180" s="1">
        <v>18.649999999999999</v>
      </c>
      <c r="E180" s="1">
        <v>-1455.5200199999999</v>
      </c>
      <c r="F180" s="1">
        <v>-1780.829956</v>
      </c>
      <c r="G180" s="1">
        <v>8.1999999999999993</v>
      </c>
      <c r="H180" s="1">
        <v>5.0000000000000001E-4</v>
      </c>
      <c r="I180" s="1">
        <v>0</v>
      </c>
      <c r="J180" s="1">
        <v>2.0011999999999999</v>
      </c>
      <c r="K180" s="1">
        <v>-2.6459999999999999E-3</v>
      </c>
      <c r="L180" s="1">
        <v>-1.335E-3</v>
      </c>
      <c r="M180" s="1">
        <v>0.88992800000000005</v>
      </c>
      <c r="N180" s="1">
        <v>-0.45609100000000002</v>
      </c>
      <c r="O180">
        <v>1</v>
      </c>
      <c r="P180">
        <v>0</v>
      </c>
      <c r="Q180">
        <v>1</v>
      </c>
      <c r="R180">
        <v>1</v>
      </c>
      <c r="S180">
        <v>1</v>
      </c>
      <c r="T180" s="1">
        <f>SQRT(POWER(Batmobile[[#This Row],[angvel_X]],2) + POWER(Batmobile[[#This Row],[angvel_Y]],2) + POWER(Batmobile[[#This Row],[angvel_Z]],2))</f>
        <v>2.0012000624625217</v>
      </c>
      <c r="U180" s="1">
        <f>DEGREES(ASIN(MAX(-1,MIN(1,2 * (Batmobile[[#This Row],[quart_W]]*Batmobile[[#This Row],[quart_Y]] - Batmobile[[#This Row],[quart_Z]]*Batmobile[[#This Row],[quart_X]])))))</f>
        <v>0.33960908214304808</v>
      </c>
      <c r="V18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-144.27059861223464</v>
      </c>
      <c r="W18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89.997849891579477</v>
      </c>
      <c r="X180" s="1">
        <f>IF(Batmobile[[#This Row],[Yaw]]&gt;V179,(360-ABS(Batmobile[[#This Row],[Yaw]])-ABS(V179)),ABS(Batmobile[[#This Row],[Yaw]]-V179))</f>
        <v>0.95522222205616458</v>
      </c>
      <c r="Y180" s="1">
        <f>Batmobile[[#This Row],[Degree change]]+Y179</f>
        <v>113.42114268890757</v>
      </c>
    </row>
    <row r="181" spans="1:25">
      <c r="A181">
        <v>180</v>
      </c>
      <c r="B181" s="1">
        <v>-1670.3900149999999</v>
      </c>
      <c r="C181" s="1">
        <v>2236.6599120000001</v>
      </c>
      <c r="D181" s="1">
        <v>18.649999999999999</v>
      </c>
      <c r="E181" s="1">
        <v>-1425.619995</v>
      </c>
      <c r="F181" s="1">
        <v>-1804.849976</v>
      </c>
      <c r="G181" s="1">
        <v>8.1999999999999993</v>
      </c>
      <c r="H181" s="1">
        <v>5.0000000000000001E-4</v>
      </c>
      <c r="I181" s="1">
        <v>0</v>
      </c>
      <c r="J181" s="1">
        <v>2.0011999999999999</v>
      </c>
      <c r="K181" s="1">
        <v>-2.6350000000000002E-3</v>
      </c>
      <c r="L181" s="1">
        <v>-1.3569999999999999E-3</v>
      </c>
      <c r="M181" s="1">
        <v>0.88609300000000002</v>
      </c>
      <c r="N181" s="1">
        <v>-0.46349800000000002</v>
      </c>
      <c r="O181">
        <v>1</v>
      </c>
      <c r="P181">
        <v>0</v>
      </c>
      <c r="Q181">
        <v>1</v>
      </c>
      <c r="R181">
        <v>1</v>
      </c>
      <c r="S181">
        <v>1</v>
      </c>
      <c r="T181" s="1">
        <f>SQRT(POWER(Batmobile[[#This Row],[angvel_X]],2) + POWER(Batmobile[[#This Row],[angvel_Y]],2) + POWER(Batmobile[[#This Row],[angvel_Z]],2))</f>
        <v>2.0012000624625217</v>
      </c>
      <c r="U181" s="1">
        <f>DEGREES(ASIN(MAX(-1,MIN(1,2 * (Batmobile[[#This Row],[quart_W]]*Batmobile[[#This Row],[quart_Y]] - Batmobile[[#This Row],[quart_Z]]*Batmobile[[#This Row],[quart_X]])))))</f>
        <v>0.339630954388977</v>
      </c>
      <c r="V18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-145.22638767960524</v>
      </c>
      <c r="W18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89.997835438689506</v>
      </c>
      <c r="X181" s="1">
        <f>IF(Batmobile[[#This Row],[Yaw]]&gt;V180,(360-ABS(Batmobile[[#This Row],[Yaw]])-ABS(V180)),ABS(Batmobile[[#This Row],[Yaw]]-V180))</f>
        <v>0.95578906737060265</v>
      </c>
      <c r="Y181" s="1">
        <f>Batmobile[[#This Row],[Degree change]]+Y180</f>
        <v>114.37693175627817</v>
      </c>
    </row>
    <row r="182" spans="1:25">
      <c r="A182">
        <v>181</v>
      </c>
      <c r="B182" s="1">
        <v>-1682.309937</v>
      </c>
      <c r="C182" s="1">
        <v>2221.5600589999999</v>
      </c>
      <c r="D182" s="1">
        <v>18.649999999999999</v>
      </c>
      <c r="E182" s="1">
        <v>-1395.329956</v>
      </c>
      <c r="F182" s="1">
        <v>-1828.380005</v>
      </c>
      <c r="G182" s="1">
        <v>8.1999999999999993</v>
      </c>
      <c r="H182" s="1">
        <v>5.0000000000000001E-4</v>
      </c>
      <c r="I182" s="1">
        <v>0</v>
      </c>
      <c r="J182" s="1">
        <v>2.0011999999999999</v>
      </c>
      <c r="K182" s="1">
        <v>-2.6250000000000002E-3</v>
      </c>
      <c r="L182" s="1">
        <v>-1.3780000000000001E-3</v>
      </c>
      <c r="M182" s="1">
        <v>0.88219599999999998</v>
      </c>
      <c r="N182" s="1">
        <v>-0.47087299999999999</v>
      </c>
      <c r="O182">
        <v>1</v>
      </c>
      <c r="P182">
        <v>0</v>
      </c>
      <c r="Q182">
        <v>1</v>
      </c>
      <c r="R182">
        <v>1</v>
      </c>
      <c r="S182">
        <v>1</v>
      </c>
      <c r="T182" s="1">
        <f>SQRT(POWER(Batmobile[[#This Row],[angvel_X]],2) + POWER(Batmobile[[#This Row],[angvel_Y]],2) + POWER(Batmobile[[#This Row],[angvel_Z]],2))</f>
        <v>2.0012000624625217</v>
      </c>
      <c r="U182" s="1">
        <f>DEGREES(ASIN(MAX(-1,MIN(1,2 * (Batmobile[[#This Row],[quart_W]]*Batmobile[[#This Row],[quart_Y]] - Batmobile[[#This Row],[quart_Z]]*Batmobile[[#This Row],[quart_X]])))))</f>
        <v>0.33972327704470495</v>
      </c>
      <c r="V18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-146.18223888434019</v>
      </c>
      <c r="W18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89.997665094405122</v>
      </c>
      <c r="X182" s="1">
        <f>IF(Batmobile[[#This Row],[Yaw]]&gt;V181,(360-ABS(Batmobile[[#This Row],[Yaw]])-ABS(V181)),ABS(Batmobile[[#This Row],[Yaw]]-V181))</f>
        <v>0.95585120473495522</v>
      </c>
      <c r="Y182" s="1">
        <f>Batmobile[[#This Row],[Degree change]]+Y181</f>
        <v>115.33278296101312</v>
      </c>
    </row>
    <row r="183" spans="1:25">
      <c r="A183">
        <v>182</v>
      </c>
      <c r="B183" s="1">
        <v>-1693.9799800000001</v>
      </c>
      <c r="C183" s="1">
        <v>2206.2700199999999</v>
      </c>
      <c r="D183" s="1">
        <v>18.649999999999999</v>
      </c>
      <c r="E183" s="1">
        <v>-1364.6400149999999</v>
      </c>
      <c r="F183" s="1">
        <v>-1851.3900149999999</v>
      </c>
      <c r="G183" s="1">
        <v>8.1999999999999993</v>
      </c>
      <c r="H183" s="1">
        <v>5.0000000000000001E-4</v>
      </c>
      <c r="I183" s="1">
        <v>0</v>
      </c>
      <c r="J183" s="1">
        <v>2.0011999999999999</v>
      </c>
      <c r="K183" s="1">
        <v>-2.614E-3</v>
      </c>
      <c r="L183" s="1">
        <v>-1.4E-3</v>
      </c>
      <c r="M183" s="1">
        <v>0.87824000000000002</v>
      </c>
      <c r="N183" s="1">
        <v>-0.47821000000000002</v>
      </c>
      <c r="O183">
        <v>1</v>
      </c>
      <c r="P183">
        <v>0</v>
      </c>
      <c r="Q183">
        <v>1</v>
      </c>
      <c r="R183">
        <v>1</v>
      </c>
      <c r="S183">
        <v>1</v>
      </c>
      <c r="T183" s="1">
        <f>SQRT(POWER(Batmobile[[#This Row],[angvel_X]],2) + POWER(Batmobile[[#This Row],[angvel_Y]],2) + POWER(Batmobile[[#This Row],[angvel_Z]],2))</f>
        <v>2.0012000624625217</v>
      </c>
      <c r="U183" s="1">
        <f>DEGREES(ASIN(MAX(-1,MIN(1,2 * (Batmobile[[#This Row],[quart_W]]*Batmobile[[#This Row],[quart_Y]] - Batmobile[[#This Row],[quart_Z]]*Batmobile[[#This Row],[quart_X]])))))</f>
        <v>0.33979041352339628</v>
      </c>
      <c r="V18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-147.13747193701121</v>
      </c>
      <c r="W18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89.99765026563658</v>
      </c>
      <c r="X183" s="1">
        <f>IF(Batmobile[[#This Row],[Yaw]]&gt;V182,(360-ABS(Batmobile[[#This Row],[Yaw]])-ABS(V182)),ABS(Batmobile[[#This Row],[Yaw]]-V182))</f>
        <v>0.95523305267101932</v>
      </c>
      <c r="Y183" s="1">
        <f>Batmobile[[#This Row],[Degree change]]+Y182</f>
        <v>116.28801601368414</v>
      </c>
    </row>
    <row r="184" spans="1:25">
      <c r="A184">
        <v>183</v>
      </c>
      <c r="B184" s="1">
        <v>-1705.3900149999999</v>
      </c>
      <c r="C184" s="1">
        <v>2190.780029</v>
      </c>
      <c r="D184" s="1">
        <v>18.649999999999999</v>
      </c>
      <c r="E184" s="1">
        <v>-1333.579956</v>
      </c>
      <c r="F184" s="1">
        <v>-1873.8900149999999</v>
      </c>
      <c r="G184" s="1">
        <v>8.1999999999999993</v>
      </c>
      <c r="H184" s="1">
        <v>5.0000000000000001E-4</v>
      </c>
      <c r="I184" s="1">
        <v>0</v>
      </c>
      <c r="J184" s="1">
        <v>2.0011999999999999</v>
      </c>
      <c r="K184" s="1">
        <v>-2.6029999999999998E-3</v>
      </c>
      <c r="L184" s="1">
        <v>-1.4220000000000001E-3</v>
      </c>
      <c r="M184" s="1">
        <v>0.87422299999999997</v>
      </c>
      <c r="N184" s="1">
        <v>-0.48551499999999997</v>
      </c>
      <c r="O184">
        <v>1</v>
      </c>
      <c r="P184">
        <v>0</v>
      </c>
      <c r="Q184">
        <v>1</v>
      </c>
      <c r="R184">
        <v>1</v>
      </c>
      <c r="S184">
        <v>1</v>
      </c>
      <c r="T184" s="1">
        <f>SQRT(POWER(Batmobile[[#This Row],[angvel_X]],2) + POWER(Batmobile[[#This Row],[angvel_Y]],2) + POWER(Batmobile[[#This Row],[angvel_Z]],2))</f>
        <v>2.0012000624625217</v>
      </c>
      <c r="U184" s="1">
        <f>DEGREES(ASIN(MAX(-1,MIN(1,2 * (Batmobile[[#This Row],[quart_W]]*Batmobile[[#This Row],[quart_Y]] - Batmobile[[#This Row],[quart_Z]]*Batmobile[[#This Row],[quart_X]])))))</f>
        <v>0.33988110734756921</v>
      </c>
      <c r="V18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-148.09276851028017</v>
      </c>
      <c r="W18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89.997633592363911</v>
      </c>
      <c r="X184" s="1">
        <f>IF(Batmobile[[#This Row],[Yaw]]&gt;V183,(360-ABS(Batmobile[[#This Row],[Yaw]])-ABS(V183)),ABS(Batmobile[[#This Row],[Yaw]]-V183))</f>
        <v>0.9552965732689529</v>
      </c>
      <c r="Y184" s="1">
        <f>Batmobile[[#This Row],[Degree change]]+Y183</f>
        <v>117.2433125869531</v>
      </c>
    </row>
    <row r="185" spans="1:25">
      <c r="A185">
        <v>184</v>
      </c>
      <c r="B185" s="1">
        <v>-1716.5399170000001</v>
      </c>
      <c r="C185" s="1">
        <v>2175.1098630000001</v>
      </c>
      <c r="D185" s="1">
        <v>18.649999999999999</v>
      </c>
      <c r="E185" s="1">
        <v>-1302.150024</v>
      </c>
      <c r="F185" s="1">
        <v>-1895.869995</v>
      </c>
      <c r="G185" s="1">
        <v>8.1999999999999993</v>
      </c>
      <c r="H185" s="1">
        <v>5.0000000000000001E-4</v>
      </c>
      <c r="I185" s="1">
        <v>0</v>
      </c>
      <c r="J185" s="1">
        <v>2.0011999999999999</v>
      </c>
      <c r="K185" s="1">
        <v>-2.5920000000000001E-3</v>
      </c>
      <c r="L185" s="1">
        <v>-1.4430000000000001E-3</v>
      </c>
      <c r="M185" s="1">
        <v>0.87014499999999995</v>
      </c>
      <c r="N185" s="1">
        <v>-0.49278699999999998</v>
      </c>
      <c r="O185">
        <v>1</v>
      </c>
      <c r="P185">
        <v>0</v>
      </c>
      <c r="Q185">
        <v>1</v>
      </c>
      <c r="R185">
        <v>1</v>
      </c>
      <c r="S185">
        <v>1</v>
      </c>
      <c r="T185" s="1">
        <f>SQRT(POWER(Batmobile[[#This Row],[angvel_X]],2) + POWER(Batmobile[[#This Row],[angvel_Y]],2) + POWER(Batmobile[[#This Row],[angvel_Z]],2))</f>
        <v>2.0012000624625217</v>
      </c>
      <c r="U185" s="1">
        <f>DEGREES(ASIN(MAX(-1,MIN(1,2 * (Batmobile[[#This Row],[quart_W]]*Batmobile[[#This Row],[quart_Y]] - Batmobile[[#This Row],[quart_Z]]*Batmobile[[#This Row],[quart_X]])))))</f>
        <v>0.33993871147533261</v>
      </c>
      <c r="V18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-149.04813714652207</v>
      </c>
      <c r="W18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89.997515076235672</v>
      </c>
      <c r="X185" s="1">
        <f>IF(Batmobile[[#This Row],[Yaw]]&gt;V184,(360-ABS(Batmobile[[#This Row],[Yaw]])-ABS(V184)),ABS(Batmobile[[#This Row],[Yaw]]-V184))</f>
        <v>0.95536863624190005</v>
      </c>
      <c r="Y185" s="1">
        <f>Batmobile[[#This Row],[Degree change]]+Y184</f>
        <v>118.198681223195</v>
      </c>
    </row>
    <row r="186" spans="1:25">
      <c r="A186">
        <v>185</v>
      </c>
      <c r="B186" s="1">
        <v>-1727.429932</v>
      </c>
      <c r="C186" s="1">
        <v>2159.25</v>
      </c>
      <c r="D186" s="1">
        <v>18.649999999999999</v>
      </c>
      <c r="E186" s="1">
        <v>-1270.349976</v>
      </c>
      <c r="F186" s="1">
        <v>-1917.3199460000001</v>
      </c>
      <c r="G186" s="1">
        <v>8.1999999999999993</v>
      </c>
      <c r="H186" s="1">
        <v>5.0000000000000001E-4</v>
      </c>
      <c r="I186" s="1">
        <v>0</v>
      </c>
      <c r="J186" s="1">
        <v>2.0011999999999999</v>
      </c>
      <c r="K186" s="1">
        <v>-2.581E-3</v>
      </c>
      <c r="L186" s="1">
        <v>-1.4649999999999999E-3</v>
      </c>
      <c r="M186" s="1">
        <v>0.86600500000000002</v>
      </c>
      <c r="N186" s="1">
        <v>-0.500027</v>
      </c>
      <c r="O186">
        <v>1</v>
      </c>
      <c r="P186">
        <v>0</v>
      </c>
      <c r="Q186">
        <v>1</v>
      </c>
      <c r="R186">
        <v>1</v>
      </c>
      <c r="S186">
        <v>1</v>
      </c>
      <c r="T186" s="1">
        <f>SQRT(POWER(Batmobile[[#This Row],[angvel_X]],2) + POWER(Batmobile[[#This Row],[angvel_Y]],2) + POWER(Batmobile[[#This Row],[angvel_Z]],2))</f>
        <v>2.0012000624625217</v>
      </c>
      <c r="U186" s="1">
        <f>DEGREES(ASIN(MAX(-1,MIN(1,2 * (Batmobile[[#This Row],[quart_W]]*Batmobile[[#This Row],[quart_Y]] - Batmobile[[#This Row],[quart_Z]]*Batmobile[[#This Row],[quart_X]])))))</f>
        <v>0.34007519001876341</v>
      </c>
      <c r="V18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-150.00383271354323</v>
      </c>
      <c r="W18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89.997493567788212</v>
      </c>
      <c r="X186" s="1">
        <f>IF(Batmobile[[#This Row],[Yaw]]&gt;V185,(360-ABS(Batmobile[[#This Row],[Yaw]])-ABS(V185)),ABS(Batmobile[[#This Row],[Yaw]]-V185))</f>
        <v>0.95569556702116643</v>
      </c>
      <c r="Y186" s="1">
        <f>Batmobile[[#This Row],[Degree change]]+Y185</f>
        <v>119.15437679021616</v>
      </c>
    </row>
    <row r="187" spans="1:25">
      <c r="A187">
        <v>186</v>
      </c>
      <c r="B187" s="1">
        <v>-1738.049927</v>
      </c>
      <c r="C187" s="1">
        <v>2143.209961</v>
      </c>
      <c r="D187" s="1">
        <v>18.649999999999999</v>
      </c>
      <c r="E187" s="1">
        <v>-1238.1999510000001</v>
      </c>
      <c r="F187" s="1">
        <v>-1938.23999</v>
      </c>
      <c r="G187" s="1">
        <v>8.1999999999999993</v>
      </c>
      <c r="H187" s="1">
        <v>5.0000000000000001E-4</v>
      </c>
      <c r="I187" s="1">
        <v>0</v>
      </c>
      <c r="J187" s="1">
        <v>2.0011999999999999</v>
      </c>
      <c r="K187" s="1">
        <v>-2.5709999999999999E-3</v>
      </c>
      <c r="L187" s="1">
        <v>-1.4859999999999999E-3</v>
      </c>
      <c r="M187" s="1">
        <v>0.86180599999999996</v>
      </c>
      <c r="N187" s="1">
        <v>-0.50722900000000004</v>
      </c>
      <c r="O187">
        <v>1</v>
      </c>
      <c r="P187">
        <v>0</v>
      </c>
      <c r="Q187">
        <v>1</v>
      </c>
      <c r="R187">
        <v>1</v>
      </c>
      <c r="S187">
        <v>1</v>
      </c>
      <c r="T187" s="1">
        <f>SQRT(POWER(Batmobile[[#This Row],[angvel_X]],2) + POWER(Batmobile[[#This Row],[angvel_Y]],2) + POWER(Batmobile[[#This Row],[angvel_Z]],2))</f>
        <v>2.0012000624625217</v>
      </c>
      <c r="U187" s="1">
        <f>DEGREES(ASIN(MAX(-1,MIN(1,2 * (Batmobile[[#This Row],[quart_W]]*Batmobile[[#This Row],[quart_Y]] - Batmobile[[#This Row],[quart_Z]]*Batmobile[[#This Row],[quart_X]])))))</f>
        <v>0.34027539187643258</v>
      </c>
      <c r="V18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-150.95919490043838</v>
      </c>
      <c r="W18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89.997313692370852</v>
      </c>
      <c r="X187" s="1">
        <f>IF(Batmobile[[#This Row],[Yaw]]&gt;V186,(360-ABS(Batmobile[[#This Row],[Yaw]])-ABS(V186)),ABS(Batmobile[[#This Row],[Yaw]]-V186))</f>
        <v>0.95536218689514385</v>
      </c>
      <c r="Y187" s="1">
        <f>Batmobile[[#This Row],[Degree change]]+Y186</f>
        <v>120.10973897711131</v>
      </c>
    </row>
    <row r="188" spans="1:25">
      <c r="A188">
        <v>187</v>
      </c>
      <c r="B188" s="1">
        <v>-1748.3999020000001</v>
      </c>
      <c r="C188" s="1">
        <v>2127</v>
      </c>
      <c r="D188" s="1">
        <v>18.649999999999999</v>
      </c>
      <c r="E188" s="1">
        <v>-1205.709961</v>
      </c>
      <c r="F188" s="1">
        <v>-1958.619995</v>
      </c>
      <c r="G188" s="1">
        <v>8.1999999999999993</v>
      </c>
      <c r="H188" s="1">
        <v>5.0000000000000001E-4</v>
      </c>
      <c r="I188" s="1">
        <v>0</v>
      </c>
      <c r="J188" s="1">
        <v>2.0011999999999999</v>
      </c>
      <c r="K188" s="1">
        <v>-2.5600000000000002E-3</v>
      </c>
      <c r="L188" s="1">
        <v>-1.508E-3</v>
      </c>
      <c r="M188" s="1">
        <v>0.85754600000000003</v>
      </c>
      <c r="N188" s="1">
        <v>-0.51439800000000002</v>
      </c>
      <c r="O188">
        <v>1</v>
      </c>
      <c r="P188">
        <v>0</v>
      </c>
      <c r="Q188">
        <v>1</v>
      </c>
      <c r="R188">
        <v>1</v>
      </c>
      <c r="S188">
        <v>1</v>
      </c>
      <c r="T188" s="1">
        <f>SQRT(POWER(Batmobile[[#This Row],[angvel_X]],2) + POWER(Batmobile[[#This Row],[angvel_Y]],2) + POWER(Batmobile[[#This Row],[angvel_Z]],2))</f>
        <v>2.0012000624625217</v>
      </c>
      <c r="U188" s="1">
        <f>DEGREES(ASIN(MAX(-1,MIN(1,2 * (Batmobile[[#This Row],[quart_W]]*Batmobile[[#This Row],[quart_Y]] - Batmobile[[#This Row],[quart_Z]]*Batmobile[[#This Row],[quart_X]])))))</f>
        <v>0.34045695669642251</v>
      </c>
      <c r="V18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-151.91482317237219</v>
      </c>
      <c r="W18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89.997286479896886</v>
      </c>
      <c r="X188" s="1">
        <f>IF(Batmobile[[#This Row],[Yaw]]&gt;V187,(360-ABS(Batmobile[[#This Row],[Yaw]])-ABS(V187)),ABS(Batmobile[[#This Row],[Yaw]]-V187))</f>
        <v>0.9556282719338185</v>
      </c>
      <c r="Y188" s="1">
        <f>Batmobile[[#This Row],[Degree change]]+Y187</f>
        <v>121.06536724904512</v>
      </c>
    </row>
    <row r="189" spans="1:25">
      <c r="A189">
        <v>188</v>
      </c>
      <c r="B189" s="1">
        <v>-1758.4799800000001</v>
      </c>
      <c r="C189" s="1">
        <v>2110.6198730000001</v>
      </c>
      <c r="D189" s="1">
        <v>18.649999999999999</v>
      </c>
      <c r="E189" s="1">
        <v>-1172.880005</v>
      </c>
      <c r="F189" s="1">
        <v>-1978.4499510000001</v>
      </c>
      <c r="G189" s="1">
        <v>8.1999999999999993</v>
      </c>
      <c r="H189" s="1">
        <v>5.0000000000000001E-4</v>
      </c>
      <c r="I189" s="1">
        <v>0</v>
      </c>
      <c r="J189" s="1">
        <v>2.0011999999999999</v>
      </c>
      <c r="K189" s="1">
        <v>-2.5490000000000001E-3</v>
      </c>
      <c r="L189" s="1">
        <v>-1.529E-3</v>
      </c>
      <c r="M189" s="1">
        <v>0.85322699999999996</v>
      </c>
      <c r="N189" s="1">
        <v>-0.52153000000000005</v>
      </c>
      <c r="O189">
        <v>1</v>
      </c>
      <c r="P189">
        <v>0</v>
      </c>
      <c r="Q189">
        <v>1</v>
      </c>
      <c r="R189">
        <v>1</v>
      </c>
      <c r="S189">
        <v>1</v>
      </c>
      <c r="T189" s="1">
        <f>SQRT(POWER(Batmobile[[#This Row],[angvel_X]],2) + POWER(Batmobile[[#This Row],[angvel_Y]],2) + POWER(Batmobile[[#This Row],[angvel_Z]],2))</f>
        <v>2.0012000624625217</v>
      </c>
      <c r="U189" s="1">
        <f>DEGREES(ASIN(MAX(-1,MIN(1,2 * (Batmobile[[#This Row],[quart_W]]*Batmobile[[#This Row],[quart_Y]] - Batmobile[[#This Row],[quart_Z]]*Batmobile[[#This Row],[quart_X]])))))</f>
        <v>0.3406019231939334</v>
      </c>
      <c r="V18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-152.87030445380273</v>
      </c>
      <c r="W18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89.997158550443771</v>
      </c>
      <c r="X189" s="1">
        <f>IF(Batmobile[[#This Row],[Yaw]]&gt;V188,(360-ABS(Batmobile[[#This Row],[Yaw]])-ABS(V188)),ABS(Batmobile[[#This Row],[Yaw]]-V188))</f>
        <v>0.95548128143053646</v>
      </c>
      <c r="Y189" s="1">
        <f>Batmobile[[#This Row],[Degree change]]+Y188</f>
        <v>122.02084853047566</v>
      </c>
    </row>
    <row r="190" spans="1:25">
      <c r="A190">
        <v>189</v>
      </c>
      <c r="B190" s="1">
        <v>-1768.2899170000001</v>
      </c>
      <c r="C190" s="1">
        <v>2094.070068</v>
      </c>
      <c r="D190" s="1">
        <v>18.649999999999999</v>
      </c>
      <c r="E190" s="1">
        <v>-1139.719971</v>
      </c>
      <c r="F190" s="1">
        <v>-1997.7299800000001</v>
      </c>
      <c r="G190" s="1">
        <v>8.1999999999999993</v>
      </c>
      <c r="H190" s="1">
        <v>5.0000000000000001E-4</v>
      </c>
      <c r="I190" s="1">
        <v>0</v>
      </c>
      <c r="J190" s="1">
        <v>2.0011999999999999</v>
      </c>
      <c r="K190" s="1">
        <v>-2.5379999999999999E-3</v>
      </c>
      <c r="L190" s="1">
        <v>-1.5510000000000001E-3</v>
      </c>
      <c r="M190" s="1">
        <v>0.84884999999999999</v>
      </c>
      <c r="N190" s="1">
        <v>-0.52862500000000001</v>
      </c>
      <c r="O190">
        <v>1</v>
      </c>
      <c r="P190">
        <v>0</v>
      </c>
      <c r="Q190">
        <v>1</v>
      </c>
      <c r="R190">
        <v>1</v>
      </c>
      <c r="S190">
        <v>1</v>
      </c>
      <c r="T190" s="1">
        <f>SQRT(POWER(Batmobile[[#This Row],[angvel_X]],2) + POWER(Batmobile[[#This Row],[angvel_Y]],2) + POWER(Batmobile[[#This Row],[angvel_Z]],2))</f>
        <v>2.0012000624625217</v>
      </c>
      <c r="U190" s="1">
        <f>DEGREES(ASIN(MAX(-1,MIN(1,2 * (Batmobile[[#This Row],[quart_W]]*Batmobile[[#This Row],[quart_Y]] - Batmobile[[#This Row],[quart_Z]]*Batmobile[[#This Row],[quart_X]])))))</f>
        <v>0.34082924042612744</v>
      </c>
      <c r="V19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-153.82555975681299</v>
      </c>
      <c r="W19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89.997125545934111</v>
      </c>
      <c r="X190" s="1">
        <f>IF(Batmobile[[#This Row],[Yaw]]&gt;V189,(360-ABS(Batmobile[[#This Row],[Yaw]])-ABS(V189)),ABS(Batmobile[[#This Row],[Yaw]]-V189))</f>
        <v>0.95525530301026151</v>
      </c>
      <c r="Y190" s="1">
        <f>Batmobile[[#This Row],[Degree change]]+Y189</f>
        <v>122.97610383348592</v>
      </c>
    </row>
    <row r="191" spans="1:25">
      <c r="A191">
        <v>190</v>
      </c>
      <c r="B191" s="1">
        <v>-1777.8199460000001</v>
      </c>
      <c r="C191" s="1">
        <v>2077.3598630000001</v>
      </c>
      <c r="D191" s="1">
        <v>18.649999999999999</v>
      </c>
      <c r="E191" s="1">
        <v>-1106.25</v>
      </c>
      <c r="F191" s="1">
        <v>-2016.459961</v>
      </c>
      <c r="G191" s="1">
        <v>8.1999999999999993</v>
      </c>
      <c r="H191" s="1">
        <v>4.0000000000000002E-4</v>
      </c>
      <c r="I191" s="1">
        <v>1E-4</v>
      </c>
      <c r="J191" s="1">
        <v>2.0011999999999999</v>
      </c>
      <c r="K191" s="1">
        <v>-2.5270000000000002E-3</v>
      </c>
      <c r="L191" s="1">
        <v>-1.573E-3</v>
      </c>
      <c r="M191" s="1">
        <v>0.84441200000000005</v>
      </c>
      <c r="N191" s="1">
        <v>-0.535686</v>
      </c>
      <c r="O191">
        <v>1</v>
      </c>
      <c r="P191">
        <v>0</v>
      </c>
      <c r="Q191">
        <v>1</v>
      </c>
      <c r="R191">
        <v>1</v>
      </c>
      <c r="S191">
        <v>1</v>
      </c>
      <c r="T191" s="1">
        <f>SQRT(POWER(Batmobile[[#This Row],[angvel_X]],2) + POWER(Batmobile[[#This Row],[angvel_Y]],2) + POWER(Batmobile[[#This Row],[angvel_Z]],2))</f>
        <v>2.0012000424745149</v>
      </c>
      <c r="U191" s="1">
        <f>DEGREES(ASIN(MAX(-1,MIN(1,2 * (Batmobile[[#This Row],[quart_W]]*Batmobile[[#This Row],[quart_Y]] - Batmobile[[#This Row],[quart_Z]]*Batmobile[[#This Row],[quart_X]])))))</f>
        <v>0.34107957321314003</v>
      </c>
      <c r="V19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-154.78122521644241</v>
      </c>
      <c r="W19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89.997087209032358</v>
      </c>
      <c r="X191" s="1">
        <f>IF(Batmobile[[#This Row],[Yaw]]&gt;V190,(360-ABS(Batmobile[[#This Row],[Yaw]])-ABS(V190)),ABS(Batmobile[[#This Row],[Yaw]]-V190))</f>
        <v>0.95566545962941518</v>
      </c>
      <c r="Y191" s="1">
        <f>Batmobile[[#This Row],[Degree change]]+Y190</f>
        <v>123.93176929311534</v>
      </c>
    </row>
    <row r="192" spans="1:25">
      <c r="A192">
        <v>191</v>
      </c>
      <c r="B192" s="1">
        <v>-1787.0699460000001</v>
      </c>
      <c r="C192" s="1">
        <v>2060.48999</v>
      </c>
      <c r="D192" s="1">
        <v>18.649999999999999</v>
      </c>
      <c r="E192" s="1">
        <v>-1072.469971</v>
      </c>
      <c r="F192" s="1">
        <v>-2034.630005</v>
      </c>
      <c r="G192" s="1">
        <v>8.1999999999999993</v>
      </c>
      <c r="H192" s="1">
        <v>4.0000000000000002E-4</v>
      </c>
      <c r="I192" s="1">
        <v>1E-4</v>
      </c>
      <c r="J192" s="1">
        <v>2.0011999999999999</v>
      </c>
      <c r="K192" s="1">
        <v>-2.5170000000000001E-3</v>
      </c>
      <c r="L192" s="1">
        <v>-1.5939999999999999E-3</v>
      </c>
      <c r="M192" s="1">
        <v>0.83991499999999997</v>
      </c>
      <c r="N192" s="1">
        <v>-0.54271000000000003</v>
      </c>
      <c r="O192">
        <v>1</v>
      </c>
      <c r="P192">
        <v>0</v>
      </c>
      <c r="Q192">
        <v>1</v>
      </c>
      <c r="R192">
        <v>1</v>
      </c>
      <c r="S192">
        <v>1</v>
      </c>
      <c r="T192" s="1">
        <f>SQRT(POWER(Batmobile[[#This Row],[angvel_X]],2) + POWER(Batmobile[[#This Row],[angvel_Y]],2) + POWER(Batmobile[[#This Row],[angvel_Z]],2))</f>
        <v>2.0012000424745149</v>
      </c>
      <c r="U192" s="1">
        <f>DEGREES(ASIN(MAX(-1,MIN(1,2 * (Batmobile[[#This Row],[quart_W]]*Batmobile[[#This Row],[quart_Y]] - Batmobile[[#This Row],[quart_Z]]*Batmobile[[#This Row],[quart_X]])))))</f>
        <v>0.34138698117906074</v>
      </c>
      <c r="V19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-155.73694065783684</v>
      </c>
      <c r="W19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89.996885740338584</v>
      </c>
      <c r="X192" s="1">
        <f>IF(Batmobile[[#This Row],[Yaw]]&gt;V191,(360-ABS(Batmobile[[#This Row],[Yaw]])-ABS(V191)),ABS(Batmobile[[#This Row],[Yaw]]-V191))</f>
        <v>0.95571544139443176</v>
      </c>
      <c r="Y192" s="1">
        <f>Batmobile[[#This Row],[Degree change]]+Y191</f>
        <v>124.88748473450977</v>
      </c>
    </row>
    <row r="193" spans="1:25">
      <c r="A193">
        <v>192</v>
      </c>
      <c r="B193" s="1">
        <v>-1796.0399170000001</v>
      </c>
      <c r="C193" s="1">
        <v>2043.469971</v>
      </c>
      <c r="D193" s="1">
        <v>18.649999999999999</v>
      </c>
      <c r="E193" s="1">
        <v>-1038.3900149999999</v>
      </c>
      <c r="F193" s="1">
        <v>-2052.2299800000001</v>
      </c>
      <c r="G193" s="1">
        <v>8.1999999999999993</v>
      </c>
      <c r="H193" s="1">
        <v>2.9999999999999997E-4</v>
      </c>
      <c r="I193" s="1">
        <v>2.0000000000000001E-4</v>
      </c>
      <c r="J193" s="1">
        <v>2.0011999999999999</v>
      </c>
      <c r="K193" s="1">
        <v>-2.506E-3</v>
      </c>
      <c r="L193" s="1">
        <v>-1.616E-3</v>
      </c>
      <c r="M193" s="1">
        <v>0.83535899999999996</v>
      </c>
      <c r="N193" s="1">
        <v>-0.54969699999999999</v>
      </c>
      <c r="O193">
        <v>1</v>
      </c>
      <c r="P193">
        <v>0</v>
      </c>
      <c r="Q193">
        <v>1</v>
      </c>
      <c r="R193">
        <v>1</v>
      </c>
      <c r="S193">
        <v>1</v>
      </c>
      <c r="T193" s="1">
        <f>SQRT(POWER(Batmobile[[#This Row],[angvel_X]],2) + POWER(Batmobile[[#This Row],[angvel_Y]],2) + POWER(Batmobile[[#This Row],[angvel_Z]],2))</f>
        <v>2.0012000324805115</v>
      </c>
      <c r="U193" s="1">
        <f>DEGREES(ASIN(MAX(-1,MIN(1,2 * (Batmobile[[#This Row],[quart_W]]*Batmobile[[#This Row],[quart_Y]] - Batmobile[[#This Row],[quart_Z]]*Batmobile[[#This Row],[quart_X]])))))</f>
        <v>0.34168196927160671</v>
      </c>
      <c r="V19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-156.69277053227353</v>
      </c>
      <c r="W19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89.996837155079007</v>
      </c>
      <c r="X193" s="1">
        <f>IF(Batmobile[[#This Row],[Yaw]]&gt;V192,(360-ABS(Batmobile[[#This Row],[Yaw]])-ABS(V192)),ABS(Batmobile[[#This Row],[Yaw]]-V192))</f>
        <v>0.95582987443668799</v>
      </c>
      <c r="Y193" s="1">
        <f>Batmobile[[#This Row],[Degree change]]+Y192</f>
        <v>125.84331460894646</v>
      </c>
    </row>
    <row r="194" spans="1:25">
      <c r="A194">
        <v>193</v>
      </c>
      <c r="B194" s="1">
        <v>-1804.719971</v>
      </c>
      <c r="C194" s="1">
        <v>2026.299927</v>
      </c>
      <c r="D194" s="1">
        <v>18.649999999999999</v>
      </c>
      <c r="E194" s="1">
        <v>-1004.019958</v>
      </c>
      <c r="F194" s="1">
        <v>-2069.26001</v>
      </c>
      <c r="G194" s="1">
        <v>8.1999999999999993</v>
      </c>
      <c r="H194" s="1">
        <v>2.9999999999999997E-4</v>
      </c>
      <c r="I194" s="1">
        <v>2.0000000000000001E-4</v>
      </c>
      <c r="J194" s="1">
        <v>2.0011999999999999</v>
      </c>
      <c r="K194" s="1">
        <v>-2.49E-3</v>
      </c>
      <c r="L194" s="1">
        <v>-1.637E-3</v>
      </c>
      <c r="M194" s="1">
        <v>0.83074499999999996</v>
      </c>
      <c r="N194" s="1">
        <v>-0.55664499999999995</v>
      </c>
      <c r="O194">
        <v>1</v>
      </c>
      <c r="P194">
        <v>0</v>
      </c>
      <c r="Q194">
        <v>1</v>
      </c>
      <c r="R194">
        <v>1</v>
      </c>
      <c r="S194">
        <v>1</v>
      </c>
      <c r="T194" s="1">
        <f>SQRT(POWER(Batmobile[[#This Row],[angvel_X]],2) + POWER(Batmobile[[#This Row],[angvel_Y]],2) + POWER(Batmobile[[#This Row],[angvel_Z]],2))</f>
        <v>2.0012000324805115</v>
      </c>
      <c r="U194" s="1">
        <f>DEGREES(ASIN(MAX(-1,MIN(1,2 * (Batmobile[[#This Row],[quart_W]]*Batmobile[[#This Row],[quart_Y]] - Batmobile[[#This Row],[quart_Z]]*Batmobile[[#This Row],[quart_X]])))))</f>
        <v>0.3414599910494065</v>
      </c>
      <c r="V19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-157.64855533692983</v>
      </c>
      <c r="W19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89.997007218119265</v>
      </c>
      <c r="X194" s="1">
        <f>IF(Batmobile[[#This Row],[Yaw]]&gt;V193,(360-ABS(Batmobile[[#This Row],[Yaw]])-ABS(V193)),ABS(Batmobile[[#This Row],[Yaw]]-V193))</f>
        <v>0.95578480465630378</v>
      </c>
      <c r="Y194" s="1">
        <f>Batmobile[[#This Row],[Degree change]]+Y193</f>
        <v>126.79909941360276</v>
      </c>
    </row>
    <row r="195" spans="1:25">
      <c r="A195">
        <v>194</v>
      </c>
      <c r="B195" s="1">
        <v>-1813.1099850000001</v>
      </c>
      <c r="C195" s="1">
        <v>2008.98999</v>
      </c>
      <c r="D195" s="1">
        <v>18.649999999999999</v>
      </c>
      <c r="E195" s="1">
        <v>-969.36999500000002</v>
      </c>
      <c r="F195" s="1">
        <v>-2085.719971</v>
      </c>
      <c r="G195" s="1">
        <v>8.1999999999999993</v>
      </c>
      <c r="H195" s="1">
        <v>2.9999999999999997E-4</v>
      </c>
      <c r="I195" s="1">
        <v>2.0000000000000001E-4</v>
      </c>
      <c r="J195" s="1">
        <v>2.0011999999999999</v>
      </c>
      <c r="K195" s="1">
        <v>-2.4740000000000001E-3</v>
      </c>
      <c r="L195" s="1">
        <v>-1.6590000000000001E-3</v>
      </c>
      <c r="M195" s="1">
        <v>0.82607600000000003</v>
      </c>
      <c r="N195" s="1">
        <v>-0.56355100000000002</v>
      </c>
      <c r="O195">
        <v>1</v>
      </c>
      <c r="P195">
        <v>0</v>
      </c>
      <c r="Q195">
        <v>1</v>
      </c>
      <c r="R195">
        <v>1</v>
      </c>
      <c r="S195">
        <v>1</v>
      </c>
      <c r="T195" s="1">
        <f>SQRT(POWER(Batmobile[[#This Row],[angvel_X]],2) + POWER(Batmobile[[#This Row],[angvel_Y]],2) + POWER(Batmobile[[#This Row],[angvel_Z]],2))</f>
        <v>2.0012000324805115</v>
      </c>
      <c r="U195" s="1">
        <f>DEGREES(ASIN(MAX(-1,MIN(1,2 * (Batmobile[[#This Row],[quart_W]]*Batmobile[[#This Row],[quart_Y]] - Batmobile[[#This Row],[quart_Z]]*Batmobile[[#This Row],[quart_X]])))))</f>
        <v>0.34132937933451252</v>
      </c>
      <c r="V19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-158.60380121402312</v>
      </c>
      <c r="W19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89.997276672960638</v>
      </c>
      <c r="X195" s="1">
        <f>IF(Batmobile[[#This Row],[Yaw]]&gt;V194,(360-ABS(Batmobile[[#This Row],[Yaw]])-ABS(V194)),ABS(Batmobile[[#This Row],[Yaw]]-V194))</f>
        <v>0.95524587709329012</v>
      </c>
      <c r="Y195" s="1">
        <f>Batmobile[[#This Row],[Degree change]]+Y194</f>
        <v>127.75434529069605</v>
      </c>
    </row>
    <row r="196" spans="1:25">
      <c r="A196">
        <v>195</v>
      </c>
      <c r="B196" s="1">
        <v>-1821.209961</v>
      </c>
      <c r="C196" s="1">
        <v>1991.5399170000001</v>
      </c>
      <c r="D196" s="1">
        <v>18.649999999999999</v>
      </c>
      <c r="E196" s="1">
        <v>-934.44995100000006</v>
      </c>
      <c r="F196" s="1">
        <v>-2101.5998540000001</v>
      </c>
      <c r="G196" s="1">
        <v>8.1999999999999993</v>
      </c>
      <c r="H196" s="1">
        <v>2.9999999999999997E-4</v>
      </c>
      <c r="I196" s="1">
        <v>2.0000000000000001E-4</v>
      </c>
      <c r="J196" s="1">
        <v>2.0011999999999999</v>
      </c>
      <c r="K196" s="1">
        <v>-2.457E-3</v>
      </c>
      <c r="L196" s="1">
        <v>-1.6800000000000001E-3</v>
      </c>
      <c r="M196" s="1">
        <v>0.821349</v>
      </c>
      <c r="N196" s="1">
        <v>-0.57041799999999998</v>
      </c>
      <c r="O196">
        <v>1</v>
      </c>
      <c r="P196">
        <v>0</v>
      </c>
      <c r="Q196">
        <v>1</v>
      </c>
      <c r="R196">
        <v>1</v>
      </c>
      <c r="S196">
        <v>1</v>
      </c>
      <c r="T196" s="1">
        <f>SQRT(POWER(Batmobile[[#This Row],[angvel_X]],2) + POWER(Batmobile[[#This Row],[angvel_Y]],2) + POWER(Batmobile[[#This Row],[angvel_Z]],2))</f>
        <v>2.0012000324805115</v>
      </c>
      <c r="U196" s="1">
        <f>DEGREES(ASIN(MAX(-1,MIN(1,2 * (Batmobile[[#This Row],[quart_W]]*Batmobile[[#This Row],[quart_Y]] - Batmobile[[#This Row],[quart_Z]]*Batmobile[[#This Row],[quart_X]])))))</f>
        <v>0.34106737254826824</v>
      </c>
      <c r="V19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-159.55914341231312</v>
      </c>
      <c r="W19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89.997518967886833</v>
      </c>
      <c r="X196" s="1">
        <f>IF(Batmobile[[#This Row],[Yaw]]&gt;V195,(360-ABS(Batmobile[[#This Row],[Yaw]])-ABS(V195)),ABS(Batmobile[[#This Row],[Yaw]]-V195))</f>
        <v>0.95534219828999767</v>
      </c>
      <c r="Y196" s="1">
        <f>Batmobile[[#This Row],[Degree change]]+Y195</f>
        <v>128.70968748898605</v>
      </c>
    </row>
    <row r="197" spans="1:25">
      <c r="A197">
        <v>196</v>
      </c>
      <c r="B197" s="1">
        <v>-1829.0200199999999</v>
      </c>
      <c r="C197" s="1">
        <v>1973.959961</v>
      </c>
      <c r="D197" s="1">
        <v>18.649999999999999</v>
      </c>
      <c r="E197" s="1">
        <v>-899.26995799999997</v>
      </c>
      <c r="F197" s="1">
        <v>-2116.889893</v>
      </c>
      <c r="G197" s="1">
        <v>8.1999999999999993</v>
      </c>
      <c r="H197" s="1">
        <v>2.9999999999999997E-4</v>
      </c>
      <c r="I197" s="1">
        <v>2.0000000000000001E-4</v>
      </c>
      <c r="J197" s="1">
        <v>2.0011999999999999</v>
      </c>
      <c r="K197" s="1">
        <v>-2.441E-3</v>
      </c>
      <c r="L197" s="1">
        <v>-1.702E-3</v>
      </c>
      <c r="M197" s="1">
        <v>0.81656300000000004</v>
      </c>
      <c r="N197" s="1">
        <v>-0.57724799999999998</v>
      </c>
      <c r="O197">
        <v>1</v>
      </c>
      <c r="P197">
        <v>0</v>
      </c>
      <c r="Q197">
        <v>1</v>
      </c>
      <c r="R197">
        <v>1</v>
      </c>
      <c r="S197">
        <v>1</v>
      </c>
      <c r="T197" s="1">
        <f>SQRT(POWER(Batmobile[[#This Row],[angvel_X]],2) + POWER(Batmobile[[#This Row],[angvel_Y]],2) + POWER(Batmobile[[#This Row],[angvel_Z]],2))</f>
        <v>2.0012000324805115</v>
      </c>
      <c r="U197" s="1">
        <f>DEGREES(ASIN(MAX(-1,MIN(1,2 * (Batmobile[[#This Row],[quart_W]]*Batmobile[[#This Row],[quart_Y]] - Batmobile[[#This Row],[quart_Z]]*Batmobile[[#This Row],[quart_X]])))))</f>
        <v>0.34099284614935232</v>
      </c>
      <c r="V19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-160.5148639012107</v>
      </c>
      <c r="W19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89.997791536090389</v>
      </c>
      <c r="X197" s="1">
        <f>IF(Batmobile[[#This Row],[Yaw]]&gt;V196,(360-ABS(Batmobile[[#This Row],[Yaw]])-ABS(V196)),ABS(Batmobile[[#This Row],[Yaw]]-V196))</f>
        <v>0.95572048889758321</v>
      </c>
      <c r="Y197" s="1">
        <f>Batmobile[[#This Row],[Degree change]]+Y196</f>
        <v>129.66540797788363</v>
      </c>
    </row>
    <row r="198" spans="1:25">
      <c r="A198">
        <v>197</v>
      </c>
      <c r="B198" s="1">
        <v>-1836.5399170000001</v>
      </c>
      <c r="C198" s="1">
        <v>1956.25</v>
      </c>
      <c r="D198" s="1">
        <v>18.649999999999999</v>
      </c>
      <c r="E198" s="1">
        <v>-863.839966</v>
      </c>
      <c r="F198" s="1">
        <v>-2131.5898440000001</v>
      </c>
      <c r="G198" s="1">
        <v>8.1999999999999993</v>
      </c>
      <c r="H198" s="1">
        <v>2.9999999999999997E-4</v>
      </c>
      <c r="I198" s="1">
        <v>2.0000000000000001E-4</v>
      </c>
      <c r="J198" s="1">
        <v>2.0011999999999999</v>
      </c>
      <c r="K198" s="1">
        <v>-2.4250000000000001E-3</v>
      </c>
      <c r="L198" s="1">
        <v>-1.7240000000000001E-3</v>
      </c>
      <c r="M198" s="1">
        <v>0.81172299999999997</v>
      </c>
      <c r="N198" s="1">
        <v>-0.58403499999999997</v>
      </c>
      <c r="O198">
        <v>1</v>
      </c>
      <c r="P198">
        <v>0</v>
      </c>
      <c r="Q198">
        <v>1</v>
      </c>
      <c r="R198">
        <v>1</v>
      </c>
      <c r="S198">
        <v>1</v>
      </c>
      <c r="T198" s="1">
        <f>SQRT(POWER(Batmobile[[#This Row],[angvel_X]],2) + POWER(Batmobile[[#This Row],[angvel_Y]],2) + POWER(Batmobile[[#This Row],[angvel_Z]],2))</f>
        <v>2.0012000324805115</v>
      </c>
      <c r="U198" s="1">
        <f>DEGREES(ASIN(MAX(-1,MIN(1,2 * (Batmobile[[#This Row],[quart_W]]*Batmobile[[#This Row],[quart_Y]] - Batmobile[[#This Row],[quart_Z]]*Batmobile[[#This Row],[quart_X]])))))</f>
        <v>0.34094680657098947</v>
      </c>
      <c r="V19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-161.47006707105911</v>
      </c>
      <c r="W19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89.998066299324165</v>
      </c>
      <c r="X198" s="1">
        <f>IF(Batmobile[[#This Row],[Yaw]]&gt;V197,(360-ABS(Batmobile[[#This Row],[Yaw]])-ABS(V197)),ABS(Batmobile[[#This Row],[Yaw]]-V197))</f>
        <v>0.95520316984840292</v>
      </c>
      <c r="Y198" s="1">
        <f>Batmobile[[#This Row],[Degree change]]+Y197</f>
        <v>130.62061114773203</v>
      </c>
    </row>
    <row r="199" spans="1:25">
      <c r="A199">
        <v>198</v>
      </c>
      <c r="B199" s="1">
        <v>-1843.76001</v>
      </c>
      <c r="C199" s="1">
        <v>1938.419922</v>
      </c>
      <c r="D199" s="1">
        <v>18.649999999999999</v>
      </c>
      <c r="E199" s="1">
        <v>-828.169983</v>
      </c>
      <c r="F199" s="1">
        <v>-2145.6999510000001</v>
      </c>
      <c r="G199" s="1">
        <v>8.1999999999999993</v>
      </c>
      <c r="H199" s="1">
        <v>2.9999999999999997E-4</v>
      </c>
      <c r="I199" s="1">
        <v>2.0000000000000001E-4</v>
      </c>
      <c r="J199" s="1">
        <v>2.0011999999999999</v>
      </c>
      <c r="K199" s="1">
        <v>-2.4090000000000001E-3</v>
      </c>
      <c r="L199" s="1">
        <v>-1.745E-3</v>
      </c>
      <c r="M199" s="1">
        <v>0.80682399999999999</v>
      </c>
      <c r="N199" s="1">
        <v>-0.59078399999999998</v>
      </c>
      <c r="O199">
        <v>1</v>
      </c>
      <c r="P199">
        <v>0</v>
      </c>
      <c r="Q199">
        <v>1</v>
      </c>
      <c r="R199">
        <v>1</v>
      </c>
      <c r="S199">
        <v>1</v>
      </c>
      <c r="T199" s="1">
        <f>SQRT(POWER(Batmobile[[#This Row],[angvel_X]],2) + POWER(Batmobile[[#This Row],[angvel_Y]],2) + POWER(Batmobile[[#This Row],[angvel_Z]],2))</f>
        <v>2.0012000324805115</v>
      </c>
      <c r="U199" s="1">
        <f>DEGREES(ASIN(MAX(-1,MIN(1,2 * (Batmobile[[#This Row],[quart_W]]*Batmobile[[#This Row],[quart_Y]] - Batmobile[[#This Row],[quart_Z]]*Batmobile[[#This Row],[quart_X]])))))</f>
        <v>0.34086114568713005</v>
      </c>
      <c r="V19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-162.42574585158539</v>
      </c>
      <c r="W19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89.998247775131546</v>
      </c>
      <c r="X199" s="1">
        <f>IF(Batmobile[[#This Row],[Yaw]]&gt;V198,(360-ABS(Batmobile[[#This Row],[Yaw]])-ABS(V198)),ABS(Batmobile[[#This Row],[Yaw]]-V198))</f>
        <v>0.9556787805262843</v>
      </c>
      <c r="Y199" s="1">
        <f>Batmobile[[#This Row],[Degree change]]+Y198</f>
        <v>131.57628992825832</v>
      </c>
    </row>
    <row r="200" spans="1:25">
      <c r="A200">
        <v>199</v>
      </c>
      <c r="B200" s="1">
        <v>-1850.679932</v>
      </c>
      <c r="C200" s="1">
        <v>1920.469971</v>
      </c>
      <c r="D200" s="1">
        <v>18.649999999999999</v>
      </c>
      <c r="E200" s="1">
        <v>-792.26995799999997</v>
      </c>
      <c r="F200" s="1">
        <v>-2159.209961</v>
      </c>
      <c r="G200" s="1">
        <v>8.1999999999999993</v>
      </c>
      <c r="H200" s="1">
        <v>2.9999999999999997E-4</v>
      </c>
      <c r="I200" s="1">
        <v>1E-4</v>
      </c>
      <c r="J200" s="1">
        <v>2.0011999999999999</v>
      </c>
      <c r="K200" s="1">
        <v>-2.3930000000000002E-3</v>
      </c>
      <c r="L200" s="1">
        <v>-1.7669999999999999E-3</v>
      </c>
      <c r="M200" s="1">
        <v>0.801871</v>
      </c>
      <c r="N200" s="1">
        <v>-0.59748900000000005</v>
      </c>
      <c r="O200">
        <v>1</v>
      </c>
      <c r="P200">
        <v>0</v>
      </c>
      <c r="Q200">
        <v>1</v>
      </c>
      <c r="R200">
        <v>1</v>
      </c>
      <c r="S200">
        <v>1</v>
      </c>
      <c r="T200" s="1">
        <f>SQRT(POWER(Batmobile[[#This Row],[angvel_X]],2) + POWER(Batmobile[[#This Row],[angvel_Y]],2) + POWER(Batmobile[[#This Row],[angvel_Z]],2))</f>
        <v>2.0012000249850086</v>
      </c>
      <c r="U200" s="1">
        <f>DEGREES(ASIN(MAX(-1,MIN(1,2 * (Batmobile[[#This Row],[quart_W]]*Batmobile[[#This Row],[quart_Y]] - Batmobile[[#This Row],[quart_Z]]*Batmobile[[#This Row],[quart_X]])))))</f>
        <v>0.3408706878951151</v>
      </c>
      <c r="V20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-163.38101724351296</v>
      </c>
      <c r="W20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89.998523447880046</v>
      </c>
      <c r="X200" s="1">
        <f>IF(Batmobile[[#This Row],[Yaw]]&gt;V199,(360-ABS(Batmobile[[#This Row],[Yaw]])-ABS(V199)),ABS(Batmobile[[#This Row],[Yaw]]-V199))</f>
        <v>0.95527139192756749</v>
      </c>
      <c r="Y200" s="1">
        <f>Batmobile[[#This Row],[Degree change]]+Y199</f>
        <v>132.53156132018589</v>
      </c>
    </row>
    <row r="201" spans="1:25">
      <c r="A201">
        <v>200</v>
      </c>
      <c r="B201" s="1">
        <v>-1857.299927</v>
      </c>
      <c r="C201" s="1">
        <v>1902.4099120000001</v>
      </c>
      <c r="D201" s="1">
        <v>18.649999999999999</v>
      </c>
      <c r="E201" s="1">
        <v>-756.15997300000004</v>
      </c>
      <c r="F201" s="1">
        <v>-2172.1298830000001</v>
      </c>
      <c r="G201" s="1">
        <v>8.1999999999999993</v>
      </c>
      <c r="H201" s="1">
        <v>2.9999999999999997E-4</v>
      </c>
      <c r="I201" s="1">
        <v>1E-4</v>
      </c>
      <c r="J201" s="1">
        <v>2.0011999999999999</v>
      </c>
      <c r="K201" s="1">
        <v>-2.3760000000000001E-3</v>
      </c>
      <c r="L201" s="1">
        <v>-1.7880000000000001E-3</v>
      </c>
      <c r="M201" s="1">
        <v>0.79686299999999999</v>
      </c>
      <c r="N201" s="1">
        <v>-0.60415200000000002</v>
      </c>
      <c r="O201">
        <v>1</v>
      </c>
      <c r="P201">
        <v>0</v>
      </c>
      <c r="Q201">
        <v>1</v>
      </c>
      <c r="R201">
        <v>1</v>
      </c>
      <c r="S201">
        <v>1</v>
      </c>
      <c r="T201" s="1">
        <f>SQRT(POWER(Batmobile[[#This Row],[angvel_X]],2) + POWER(Batmobile[[#This Row],[angvel_Y]],2) + POWER(Batmobile[[#This Row],[angvel_Z]],2))</f>
        <v>2.0012000249850086</v>
      </c>
      <c r="U201" s="1">
        <f>DEGREES(ASIN(MAX(-1,MIN(1,2 * (Batmobile[[#This Row],[quart_W]]*Batmobile[[#This Row],[quart_Y]] - Batmobile[[#This Row],[quart_Z]]*Batmobile[[#This Row],[quart_X]])))))</f>
        <v>0.34074806106925615</v>
      </c>
      <c r="V20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-164.33616450103406</v>
      </c>
      <c r="W20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89.99877681569167</v>
      </c>
      <c r="X201" s="1">
        <f>IF(Batmobile[[#This Row],[Yaw]]&gt;V200,(360-ABS(Batmobile[[#This Row],[Yaw]])-ABS(V200)),ABS(Batmobile[[#This Row],[Yaw]]-V200))</f>
        <v>0.95514725752110508</v>
      </c>
      <c r="Y201" s="1">
        <f>Batmobile[[#This Row],[Degree change]]+Y200</f>
        <v>133.48670857770699</v>
      </c>
    </row>
    <row r="202" spans="1:25">
      <c r="A202">
        <v>201</v>
      </c>
      <c r="B202" s="1">
        <v>-1863.619995</v>
      </c>
      <c r="C202" s="1">
        <v>1884.23999</v>
      </c>
      <c r="D202" s="1">
        <v>18.649999999999999</v>
      </c>
      <c r="E202" s="1">
        <v>-719.82995600000004</v>
      </c>
      <c r="F202" s="1">
        <v>-2184.429932</v>
      </c>
      <c r="G202" s="1">
        <v>8.1999999999999993</v>
      </c>
      <c r="H202" s="1">
        <v>2.9999999999999997E-4</v>
      </c>
      <c r="I202" s="1">
        <v>1E-4</v>
      </c>
      <c r="J202" s="1">
        <v>2.0011999999999999</v>
      </c>
      <c r="K202" s="1">
        <v>-2.3600000000000001E-3</v>
      </c>
      <c r="L202" s="1">
        <v>-1.81E-3</v>
      </c>
      <c r="M202" s="1">
        <v>0.79179699999999997</v>
      </c>
      <c r="N202" s="1">
        <v>-0.61077700000000001</v>
      </c>
      <c r="O202">
        <v>1</v>
      </c>
      <c r="P202">
        <v>0</v>
      </c>
      <c r="Q202">
        <v>1</v>
      </c>
      <c r="R202">
        <v>1</v>
      </c>
      <c r="S202">
        <v>1</v>
      </c>
      <c r="T202" s="1">
        <f>SQRT(POWER(Batmobile[[#This Row],[angvel_X]],2) + POWER(Batmobile[[#This Row],[angvel_Y]],2) + POWER(Batmobile[[#This Row],[angvel_Z]],2))</f>
        <v>2.0012000249850086</v>
      </c>
      <c r="U202" s="1">
        <f>DEGREES(ASIN(MAX(-1,MIN(1,2 * (Batmobile[[#This Row],[quart_W]]*Batmobile[[#This Row],[quart_Y]] - Batmobile[[#This Row],[quart_Z]]*Batmobile[[#This Row],[quart_X]])))))</f>
        <v>0.34081418454777562</v>
      </c>
      <c r="V20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-165.29181856759732</v>
      </c>
      <c r="W20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89.999051033322502</v>
      </c>
      <c r="X202" s="1">
        <f>IF(Batmobile[[#This Row],[Yaw]]&gt;V201,(360-ABS(Batmobile[[#This Row],[Yaw]])-ABS(V201)),ABS(Batmobile[[#This Row],[Yaw]]-V201))</f>
        <v>0.95565406656325536</v>
      </c>
      <c r="Y202" s="1">
        <f>Batmobile[[#This Row],[Degree change]]+Y201</f>
        <v>134.44236264427025</v>
      </c>
    </row>
    <row r="203" spans="1:25">
      <c r="A203">
        <v>202</v>
      </c>
      <c r="B203" s="1">
        <v>-1869.6400149999999</v>
      </c>
      <c r="C203" s="1">
        <v>1865.969971</v>
      </c>
      <c r="D203" s="1">
        <v>18.649999999999999</v>
      </c>
      <c r="E203" s="1">
        <v>-683.30999799999995</v>
      </c>
      <c r="F203" s="1">
        <v>-2196.1298830000001</v>
      </c>
      <c r="G203" s="1">
        <v>8.1999999999999993</v>
      </c>
      <c r="H203" s="1">
        <v>2.9999999999999997E-4</v>
      </c>
      <c r="I203" s="1">
        <v>0</v>
      </c>
      <c r="J203" s="1">
        <v>2.0011999999999999</v>
      </c>
      <c r="K203" s="1">
        <v>-2.3440000000000002E-3</v>
      </c>
      <c r="L203" s="1">
        <v>-1.8320000000000001E-3</v>
      </c>
      <c r="M203" s="1">
        <v>0.78667600000000004</v>
      </c>
      <c r="N203" s="1">
        <v>-0.61735899999999999</v>
      </c>
      <c r="O203">
        <v>1</v>
      </c>
      <c r="P203">
        <v>0</v>
      </c>
      <c r="Q203">
        <v>1</v>
      </c>
      <c r="R203">
        <v>1</v>
      </c>
      <c r="S203">
        <v>1</v>
      </c>
      <c r="T203" s="1">
        <f>SQRT(POWER(Batmobile[[#This Row],[angvel_X]],2) + POWER(Batmobile[[#This Row],[angvel_Y]],2) + POWER(Batmobile[[#This Row],[angvel_Z]],2))</f>
        <v>2.0012000224865081</v>
      </c>
      <c r="U203" s="1">
        <f>DEGREES(ASIN(MAX(-1,MIN(1,2 * (Batmobile[[#This Row],[quart_W]]*Batmobile[[#This Row],[quart_Y]] - Batmobile[[#This Row],[quart_Z]]*Batmobile[[#This Row],[quart_X]])))))</f>
        <v>0.34090848842335986</v>
      </c>
      <c r="V20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-166.24744868758984</v>
      </c>
      <c r="W20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89.999324005093612</v>
      </c>
      <c r="X203" s="1">
        <f>IF(Batmobile[[#This Row],[Yaw]]&gt;V202,(360-ABS(Batmobile[[#This Row],[Yaw]])-ABS(V202)),ABS(Batmobile[[#This Row],[Yaw]]-V202))</f>
        <v>0.95563011999252012</v>
      </c>
      <c r="Y203" s="1">
        <f>Batmobile[[#This Row],[Degree change]]+Y202</f>
        <v>135.39799276426277</v>
      </c>
    </row>
    <row r="204" spans="1:25">
      <c r="A204">
        <v>203</v>
      </c>
      <c r="B204" s="1">
        <v>-1875.349976</v>
      </c>
      <c r="C204" s="1">
        <v>1847.599976</v>
      </c>
      <c r="D204" s="1">
        <v>18.649999999999999</v>
      </c>
      <c r="E204" s="1">
        <v>-646.589966</v>
      </c>
      <c r="F204" s="1">
        <v>-2207.219971</v>
      </c>
      <c r="G204" s="1">
        <v>8.1999999999999993</v>
      </c>
      <c r="H204" s="1">
        <v>2.9999999999999997E-4</v>
      </c>
      <c r="I204" s="1">
        <v>0</v>
      </c>
      <c r="J204" s="1">
        <v>2.0011999999999999</v>
      </c>
      <c r="K204" s="1">
        <v>-2.3280000000000002E-3</v>
      </c>
      <c r="L204" s="1">
        <v>-1.853E-3</v>
      </c>
      <c r="M204" s="1">
        <v>0.781501</v>
      </c>
      <c r="N204" s="1">
        <v>-0.62389700000000003</v>
      </c>
      <c r="O204">
        <v>1</v>
      </c>
      <c r="P204">
        <v>0</v>
      </c>
      <c r="Q204">
        <v>1</v>
      </c>
      <c r="R204">
        <v>1</v>
      </c>
      <c r="S204">
        <v>1</v>
      </c>
      <c r="T204" s="1">
        <f>SQRT(POWER(Batmobile[[#This Row],[angvel_X]],2) + POWER(Batmobile[[#This Row],[angvel_Y]],2) + POWER(Batmobile[[#This Row],[angvel_Z]],2))</f>
        <v>2.0012000224865081</v>
      </c>
      <c r="U204" s="1">
        <f>DEGREES(ASIN(MAX(-1,MIN(1,2 * (Batmobile[[#This Row],[quart_W]]*Batmobile[[#This Row],[quart_Y]] - Batmobile[[#This Row],[quart_Z]]*Batmobile[[#This Row],[quart_X]])))))</f>
        <v>0.3409595097285919</v>
      </c>
      <c r="V20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-167.20294473476801</v>
      </c>
      <c r="W20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89.999506002741185</v>
      </c>
      <c r="X204" s="1">
        <f>IF(Batmobile[[#This Row],[Yaw]]&gt;V203,(360-ABS(Batmobile[[#This Row],[Yaw]])-ABS(V203)),ABS(Batmobile[[#This Row],[Yaw]]-V203))</f>
        <v>0.9554960471781726</v>
      </c>
      <c r="Y204" s="1">
        <f>Batmobile[[#This Row],[Degree change]]+Y203</f>
        <v>136.35348881144094</v>
      </c>
    </row>
    <row r="205" spans="1:25">
      <c r="A205">
        <v>204</v>
      </c>
      <c r="B205" s="1">
        <v>-1880.75</v>
      </c>
      <c r="C205" s="1">
        <v>1829.1400149999999</v>
      </c>
      <c r="D205" s="1">
        <v>18.649999999999999</v>
      </c>
      <c r="E205" s="1">
        <v>-609.69000200000005</v>
      </c>
      <c r="F205" s="1">
        <v>-2217.6999510000001</v>
      </c>
      <c r="G205" s="1">
        <v>8.1999999999999993</v>
      </c>
      <c r="H205" s="1">
        <v>2.9999999999999997E-4</v>
      </c>
      <c r="I205" s="1">
        <v>0</v>
      </c>
      <c r="J205" s="1">
        <v>2.0011999999999999</v>
      </c>
      <c r="K205" s="1">
        <v>-2.3119999999999998E-3</v>
      </c>
      <c r="L205" s="1">
        <v>-1.8749999999999999E-3</v>
      </c>
      <c r="M205" s="1">
        <v>0.77627100000000004</v>
      </c>
      <c r="N205" s="1">
        <v>-0.63039199999999995</v>
      </c>
      <c r="O205">
        <v>1</v>
      </c>
      <c r="P205">
        <v>0</v>
      </c>
      <c r="Q205">
        <v>1</v>
      </c>
      <c r="R205">
        <v>1</v>
      </c>
      <c r="S205">
        <v>1</v>
      </c>
      <c r="T205" s="1">
        <f>SQRT(POWER(Batmobile[[#This Row],[angvel_X]],2) + POWER(Batmobile[[#This Row],[angvel_Y]],2) + POWER(Batmobile[[#This Row],[angvel_Z]],2))</f>
        <v>2.0012000224865081</v>
      </c>
      <c r="U205" s="1">
        <f>DEGREES(ASIN(MAX(-1,MIN(1,2 * (Batmobile[[#This Row],[quart_W]]*Batmobile[[#This Row],[quart_Y]] - Batmobile[[#This Row],[quart_Z]]*Batmobile[[#This Row],[quart_X]])))))</f>
        <v>0.34110940765420988</v>
      </c>
      <c r="V20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-168.15855301113749</v>
      </c>
      <c r="W20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89.999775605238838</v>
      </c>
      <c r="X205" s="1">
        <f>IF(Batmobile[[#This Row],[Yaw]]&gt;V204,(360-ABS(Batmobile[[#This Row],[Yaw]])-ABS(V204)),ABS(Batmobile[[#This Row],[Yaw]]-V204))</f>
        <v>0.95560827636947465</v>
      </c>
      <c r="Y205" s="1">
        <f>Batmobile[[#This Row],[Degree change]]+Y204</f>
        <v>137.30909708781041</v>
      </c>
    </row>
    <row r="206" spans="1:25">
      <c r="A206">
        <v>205</v>
      </c>
      <c r="B206" s="1">
        <v>-1885.839966</v>
      </c>
      <c r="C206" s="1">
        <v>1810.589966</v>
      </c>
      <c r="D206" s="1">
        <v>18.649999999999999</v>
      </c>
      <c r="E206" s="1">
        <v>-572.61999500000002</v>
      </c>
      <c r="F206" s="1">
        <v>-2227.5600589999999</v>
      </c>
      <c r="G206" s="1">
        <v>8.1999999999999993</v>
      </c>
      <c r="H206" s="1">
        <v>2.0000000000000001E-4</v>
      </c>
      <c r="I206" s="1">
        <v>0</v>
      </c>
      <c r="J206" s="1">
        <v>2.0011999999999999</v>
      </c>
      <c r="K206" s="1">
        <v>-2.2950000000000002E-3</v>
      </c>
      <c r="L206" s="1">
        <v>-1.8959999999999999E-3</v>
      </c>
      <c r="M206" s="1">
        <v>0.77098599999999995</v>
      </c>
      <c r="N206" s="1">
        <v>-0.63684499999999999</v>
      </c>
      <c r="O206">
        <v>1</v>
      </c>
      <c r="P206">
        <v>0</v>
      </c>
      <c r="Q206">
        <v>1</v>
      </c>
      <c r="R206">
        <v>1</v>
      </c>
      <c r="S206">
        <v>1</v>
      </c>
      <c r="T206" s="1">
        <f>SQRT(POWER(Batmobile[[#This Row],[angvel_X]],2) + POWER(Batmobile[[#This Row],[angvel_Y]],2) + POWER(Batmobile[[#This Row],[angvel_Z]],2))</f>
        <v>2.0012000099940033</v>
      </c>
      <c r="U206" s="1">
        <f>DEGREES(ASIN(MAX(-1,MIN(1,2 * (Batmobile[[#This Row],[quart_W]]*Batmobile[[#This Row],[quart_Y]] - Batmobile[[#This Row],[quart_Z]]*Batmobile[[#This Row],[quart_X]])))))</f>
        <v>0.34112630310392422</v>
      </c>
      <c r="V20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-169.11435589915459</v>
      </c>
      <c r="W20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90.000026377267147</v>
      </c>
      <c r="X206" s="1">
        <f>IF(Batmobile[[#This Row],[Yaw]]&gt;V205,(360-ABS(Batmobile[[#This Row],[Yaw]])-ABS(V205)),ABS(Batmobile[[#This Row],[Yaw]]-V205))</f>
        <v>0.95580288801710367</v>
      </c>
      <c r="Y206" s="1">
        <f>Batmobile[[#This Row],[Degree change]]+Y205</f>
        <v>138.26489997582752</v>
      </c>
    </row>
    <row r="207" spans="1:25">
      <c r="A207">
        <v>206</v>
      </c>
      <c r="B207" s="1">
        <v>-1890.619995</v>
      </c>
      <c r="C207" s="1">
        <v>1791.959961</v>
      </c>
      <c r="D207" s="1">
        <v>18.649999999999999</v>
      </c>
      <c r="E207" s="1">
        <v>-535.39001499999995</v>
      </c>
      <c r="F207" s="1">
        <v>-2236.8000489999999</v>
      </c>
      <c r="G207" s="1">
        <v>8.1999999999999993</v>
      </c>
      <c r="H207" s="1">
        <v>2.0000000000000001E-4</v>
      </c>
      <c r="I207" s="1">
        <v>0</v>
      </c>
      <c r="J207" s="1">
        <v>2.0011999999999999</v>
      </c>
      <c r="K207" s="1">
        <v>-2.2790000000000002E-3</v>
      </c>
      <c r="L207" s="1">
        <v>-1.918E-3</v>
      </c>
      <c r="M207" s="1">
        <v>0.76564699999999997</v>
      </c>
      <c r="N207" s="1">
        <v>-0.64325399999999999</v>
      </c>
      <c r="O207">
        <v>1</v>
      </c>
      <c r="P207">
        <v>0</v>
      </c>
      <c r="Q207">
        <v>1</v>
      </c>
      <c r="R207">
        <v>1</v>
      </c>
      <c r="S207">
        <v>1</v>
      </c>
      <c r="T207" s="1">
        <f>SQRT(POWER(Batmobile[[#This Row],[angvel_X]],2) + POWER(Batmobile[[#This Row],[angvel_Y]],2) + POWER(Batmobile[[#This Row],[angvel_Z]],2))</f>
        <v>2.0012000099940033</v>
      </c>
      <c r="U207" s="1">
        <f>DEGREES(ASIN(MAX(-1,MIN(1,2 * (Batmobile[[#This Row],[quart_W]]*Batmobile[[#This Row],[quart_Y]] - Batmobile[[#This Row],[quart_Z]]*Batmobile[[#This Row],[quart_X]])))))</f>
        <v>0.34133253661717272</v>
      </c>
      <c r="V20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-170.07022020997232</v>
      </c>
      <c r="W20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90.000290503924475</v>
      </c>
      <c r="X207" s="1">
        <f>IF(Batmobile[[#This Row],[Yaw]]&gt;V206,(360-ABS(Batmobile[[#This Row],[Yaw]])-ABS(V206)),ABS(Batmobile[[#This Row],[Yaw]]-V206))</f>
        <v>0.95586431081773071</v>
      </c>
      <c r="Y207" s="1">
        <f>Batmobile[[#This Row],[Degree change]]+Y206</f>
        <v>139.22076428664525</v>
      </c>
    </row>
    <row r="208" spans="1:25">
      <c r="A208">
        <v>207</v>
      </c>
      <c r="B208" s="1">
        <v>-1895.089966</v>
      </c>
      <c r="C208" s="1">
        <v>1773.25</v>
      </c>
      <c r="D208" s="1">
        <v>18.649999999999999</v>
      </c>
      <c r="E208" s="1">
        <v>-498.00997899999999</v>
      </c>
      <c r="F208" s="1">
        <v>-2245.419922</v>
      </c>
      <c r="G208" s="1">
        <v>8.1999999999999993</v>
      </c>
      <c r="H208" s="1">
        <v>2.0000000000000001E-4</v>
      </c>
      <c r="I208" s="1">
        <v>0</v>
      </c>
      <c r="J208" s="1">
        <v>2.0011999999999999</v>
      </c>
      <c r="K208" s="1">
        <v>-2.2629999999999998E-3</v>
      </c>
      <c r="L208" s="1">
        <v>-1.939E-3</v>
      </c>
      <c r="M208" s="1">
        <v>0.76025799999999999</v>
      </c>
      <c r="N208" s="1">
        <v>-0.64961400000000002</v>
      </c>
      <c r="O208">
        <v>1</v>
      </c>
      <c r="P208">
        <v>0</v>
      </c>
      <c r="Q208">
        <v>1</v>
      </c>
      <c r="R208">
        <v>1</v>
      </c>
      <c r="S208">
        <v>1</v>
      </c>
      <c r="T208" s="1">
        <f>SQRT(POWER(Batmobile[[#This Row],[angvel_X]],2) + POWER(Batmobile[[#This Row],[angvel_Y]],2) + POWER(Batmobile[[#This Row],[angvel_Z]],2))</f>
        <v>2.0012000099940033</v>
      </c>
      <c r="U208" s="1">
        <f>DEGREES(ASIN(MAX(-1,MIN(1,2 * (Batmobile[[#This Row],[quart_W]]*Batmobile[[#This Row],[quart_Y]] - Batmobile[[#This Row],[quart_Z]]*Batmobile[[#This Row],[quart_X]])))))</f>
        <v>0.34149236202086825</v>
      </c>
      <c r="V20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-171.02550166406482</v>
      </c>
      <c r="W20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90.000465683157088</v>
      </c>
      <c r="X208" s="1">
        <f>IF(Batmobile[[#This Row],[Yaw]]&gt;V207,(360-ABS(Batmobile[[#This Row],[Yaw]])-ABS(V207)),ABS(Batmobile[[#This Row],[Yaw]]-V207))</f>
        <v>0.95528145409249987</v>
      </c>
      <c r="Y208" s="1">
        <f>Batmobile[[#This Row],[Degree change]]+Y207</f>
        <v>140.17604574073775</v>
      </c>
    </row>
    <row r="209" spans="1:25">
      <c r="A209">
        <v>208</v>
      </c>
      <c r="B209" s="1">
        <v>-1899.25</v>
      </c>
      <c r="C209" s="1">
        <v>1754.469971</v>
      </c>
      <c r="D209" s="1">
        <v>18.649999999999999</v>
      </c>
      <c r="E209" s="1">
        <v>-460.5</v>
      </c>
      <c r="F209" s="1">
        <v>-2253.4099120000001</v>
      </c>
      <c r="G209" s="1">
        <v>8.1999999999999993</v>
      </c>
      <c r="H209" s="1">
        <v>1E-4</v>
      </c>
      <c r="I209" s="1">
        <v>0</v>
      </c>
      <c r="J209" s="1">
        <v>2.0011999999999999</v>
      </c>
      <c r="K209" s="1">
        <v>-2.2469999999999999E-3</v>
      </c>
      <c r="L209" s="1">
        <v>-1.9610000000000001E-3</v>
      </c>
      <c r="M209" s="1">
        <v>0.75481399999999998</v>
      </c>
      <c r="N209" s="1">
        <v>-0.65593199999999996</v>
      </c>
      <c r="O209">
        <v>1</v>
      </c>
      <c r="P209">
        <v>0</v>
      </c>
      <c r="Q209">
        <v>1</v>
      </c>
      <c r="R209">
        <v>1</v>
      </c>
      <c r="S209">
        <v>1</v>
      </c>
      <c r="T209" s="1">
        <f>SQRT(POWER(Batmobile[[#This Row],[angvel_X]],2) + POWER(Batmobile[[#This Row],[angvel_Y]],2) + POWER(Batmobile[[#This Row],[angvel_Z]],2))</f>
        <v>2.0012000024985008</v>
      </c>
      <c r="U209" s="1">
        <f>DEGREES(ASIN(MAX(-1,MIN(1,2 * (Batmobile[[#This Row],[quart_W]]*Batmobile[[#This Row],[quart_Y]] - Batmobile[[#This Row],[quart_Z]]*Batmobile[[#This Row],[quart_X]])))))</f>
        <v>0.34175412931807414</v>
      </c>
      <c r="V20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-171.98116978003191</v>
      </c>
      <c r="W20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90.000723205923691</v>
      </c>
      <c r="X209" s="1">
        <f>IF(Batmobile[[#This Row],[Yaw]]&gt;V208,(360-ABS(Batmobile[[#This Row],[Yaw]])-ABS(V208)),ABS(Batmobile[[#This Row],[Yaw]]-V208))</f>
        <v>0.9556681159670859</v>
      </c>
      <c r="Y209" s="1">
        <f>Batmobile[[#This Row],[Degree change]]+Y208</f>
        <v>141.13171385670483</v>
      </c>
    </row>
    <row r="210" spans="1:25">
      <c r="A210">
        <v>209</v>
      </c>
      <c r="B210" s="1">
        <v>-1903.099976</v>
      </c>
      <c r="C210" s="1">
        <v>1735.619995</v>
      </c>
      <c r="D210" s="1">
        <v>18.649999999999999</v>
      </c>
      <c r="E210" s="1">
        <v>-422.85998499999999</v>
      </c>
      <c r="F210" s="1">
        <v>-2260.7700199999999</v>
      </c>
      <c r="G210" s="1">
        <v>8.1999999999999993</v>
      </c>
      <c r="H210" s="1">
        <v>1E-4</v>
      </c>
      <c r="I210" s="1">
        <v>0</v>
      </c>
      <c r="J210" s="1">
        <v>2.0011999999999999</v>
      </c>
      <c r="K210" s="1">
        <v>-2.2309999999999999E-3</v>
      </c>
      <c r="L210" s="1">
        <v>-1.983E-3</v>
      </c>
      <c r="M210" s="1">
        <v>0.74932100000000001</v>
      </c>
      <c r="N210" s="1">
        <v>-0.66220000000000001</v>
      </c>
      <c r="O210">
        <v>1</v>
      </c>
      <c r="P210">
        <v>0</v>
      </c>
      <c r="Q210">
        <v>1</v>
      </c>
      <c r="R210">
        <v>1</v>
      </c>
      <c r="S210">
        <v>1</v>
      </c>
      <c r="T210" s="1">
        <f>SQRT(POWER(Batmobile[[#This Row],[angvel_X]],2) + POWER(Batmobile[[#This Row],[angvel_Y]],2) + POWER(Batmobile[[#This Row],[angvel_Z]],2))</f>
        <v>2.0012000024985008</v>
      </c>
      <c r="U210" s="1">
        <f>DEGREES(ASIN(MAX(-1,MIN(1,2 * (Batmobile[[#This Row],[quart_W]]*Batmobile[[#This Row],[quart_Y]] - Batmobile[[#This Row],[quart_Z]]*Batmobile[[#This Row],[quart_X]])))))</f>
        <v>0.34204382663533506</v>
      </c>
      <c r="V21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-172.93622712167817</v>
      </c>
      <c r="W21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90.000978095690073</v>
      </c>
      <c r="X210" s="1">
        <f>IF(Batmobile[[#This Row],[Yaw]]&gt;V209,(360-ABS(Batmobile[[#This Row],[Yaw]])-ABS(V209)),ABS(Batmobile[[#This Row],[Yaw]]-V209))</f>
        <v>0.95505734164626688</v>
      </c>
      <c r="Y210" s="1">
        <f>Batmobile[[#This Row],[Degree change]]+Y209</f>
        <v>142.0867711983511</v>
      </c>
    </row>
    <row r="211" spans="1:25">
      <c r="A211">
        <v>210</v>
      </c>
      <c r="B211" s="1">
        <v>-1906.630005</v>
      </c>
      <c r="C211" s="1">
        <v>1716.709961</v>
      </c>
      <c r="D211" s="1">
        <v>18.649999999999999</v>
      </c>
      <c r="E211" s="1">
        <v>-385.10000600000001</v>
      </c>
      <c r="F211" s="1">
        <v>-2267.51001</v>
      </c>
      <c r="G211" s="1">
        <v>8.1999999999999993</v>
      </c>
      <c r="H211" s="1">
        <v>0</v>
      </c>
      <c r="I211" s="1">
        <v>0</v>
      </c>
      <c r="J211" s="1">
        <v>2.0011999999999999</v>
      </c>
      <c r="K211" s="1">
        <v>-2.215E-3</v>
      </c>
      <c r="L211" s="1">
        <v>-1.9989999999999999E-3</v>
      </c>
      <c r="M211" s="1">
        <v>0.74377300000000002</v>
      </c>
      <c r="N211" s="1">
        <v>-0.66842599999999996</v>
      </c>
      <c r="O211">
        <v>1</v>
      </c>
      <c r="P211">
        <v>0</v>
      </c>
      <c r="Q211">
        <v>1</v>
      </c>
      <c r="R211">
        <v>1</v>
      </c>
      <c r="S211">
        <v>1</v>
      </c>
      <c r="T211" s="1">
        <f>SQRT(POWER(Batmobile[[#This Row],[angvel_X]],2) + POWER(Batmobile[[#This Row],[angvel_Y]],2) + POWER(Batmobile[[#This Row],[angvel_Z]],2))</f>
        <v>2.0011999999999999</v>
      </c>
      <c r="U211" s="1">
        <f>DEGREES(ASIN(MAX(-1,MIN(1,2 * (Batmobile[[#This Row],[quart_W]]*Batmobile[[#This Row],[quart_Y]] - Batmobile[[#This Row],[quart_Z]]*Batmobile[[#This Row],[quart_X]])))))</f>
        <v>0.34190207641464604</v>
      </c>
      <c r="V21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-173.89179986479311</v>
      </c>
      <c r="W21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90.000714907868527</v>
      </c>
      <c r="X211" s="1">
        <f>IF(Batmobile[[#This Row],[Yaw]]&gt;V210,(360-ABS(Batmobile[[#This Row],[Yaw]])-ABS(V210)),ABS(Batmobile[[#This Row],[Yaw]]-V210))</f>
        <v>0.95557274311494211</v>
      </c>
      <c r="Y211" s="1">
        <f>Batmobile[[#This Row],[Degree change]]+Y210</f>
        <v>143.04234394146604</v>
      </c>
    </row>
    <row r="212" spans="1:25">
      <c r="A212">
        <v>211</v>
      </c>
      <c r="B212" s="1">
        <v>-1909.849976</v>
      </c>
      <c r="C212" s="1">
        <v>1697.75</v>
      </c>
      <c r="D212" s="1">
        <v>18.649999999999999</v>
      </c>
      <c r="E212" s="1">
        <v>-347.22998000000001</v>
      </c>
      <c r="F212" s="1">
        <v>-2273.6198730000001</v>
      </c>
      <c r="G212" s="1">
        <v>8.1999999999999993</v>
      </c>
      <c r="H212" s="1">
        <v>0</v>
      </c>
      <c r="I212" s="1">
        <v>0</v>
      </c>
      <c r="J212" s="1">
        <v>2.0011999999999999</v>
      </c>
      <c r="K212" s="1">
        <v>-2.1979999999999999E-3</v>
      </c>
      <c r="L212" s="1">
        <v>-2.0149999999999999E-3</v>
      </c>
      <c r="M212" s="1">
        <v>0.73817500000000003</v>
      </c>
      <c r="N212" s="1">
        <v>-0.67460299999999995</v>
      </c>
      <c r="O212">
        <v>1</v>
      </c>
      <c r="P212">
        <v>0</v>
      </c>
      <c r="Q212">
        <v>1</v>
      </c>
      <c r="R212">
        <v>1</v>
      </c>
      <c r="S212">
        <v>1</v>
      </c>
      <c r="T212" s="1">
        <f>SQRT(POWER(Batmobile[[#This Row],[angvel_X]],2) + POWER(Batmobile[[#This Row],[angvel_Y]],2) + POWER(Batmobile[[#This Row],[angvel_Z]],2))</f>
        <v>2.0011999999999999</v>
      </c>
      <c r="U212" s="1">
        <f>DEGREES(ASIN(MAX(-1,MIN(1,2 * (Batmobile[[#This Row],[quart_W]]*Batmobile[[#This Row],[quart_Y]] - Batmobile[[#This Row],[quart_Z]]*Batmobile[[#This Row],[quart_X]])))))</f>
        <v>0.34169499730302716</v>
      </c>
      <c r="V21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-174.84707388352001</v>
      </c>
      <c r="W21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90.000532313728371</v>
      </c>
      <c r="X212" s="1">
        <f>IF(Batmobile[[#This Row],[Yaw]]&gt;V211,(360-ABS(Batmobile[[#This Row],[Yaw]])-ABS(V211)),ABS(Batmobile[[#This Row],[Yaw]]-V211))</f>
        <v>0.95527401872689666</v>
      </c>
      <c r="Y212" s="1">
        <f>Batmobile[[#This Row],[Degree change]]+Y211</f>
        <v>143.99761796019294</v>
      </c>
    </row>
    <row r="213" spans="1:25">
      <c r="A213">
        <v>212</v>
      </c>
      <c r="B213" s="1">
        <v>-1912.75</v>
      </c>
      <c r="C213" s="1">
        <v>1678.7299800000001</v>
      </c>
      <c r="D213" s="1">
        <v>18.649999999999999</v>
      </c>
      <c r="E213" s="1">
        <v>-309.26998900000001</v>
      </c>
      <c r="F213" s="1">
        <v>-2279.0898440000001</v>
      </c>
      <c r="G213" s="1">
        <v>8.1999999999999993</v>
      </c>
      <c r="H213" s="1">
        <v>0</v>
      </c>
      <c r="I213" s="1">
        <v>0</v>
      </c>
      <c r="J213" s="1">
        <v>2.0011999999999999</v>
      </c>
      <c r="K213" s="1">
        <v>-2.1819999999999999E-3</v>
      </c>
      <c r="L213" s="1">
        <v>-2.0309999999999998E-3</v>
      </c>
      <c r="M213" s="1">
        <v>0.73252200000000001</v>
      </c>
      <c r="N213" s="1">
        <v>-0.68073700000000004</v>
      </c>
      <c r="O213">
        <v>1</v>
      </c>
      <c r="P213">
        <v>0</v>
      </c>
      <c r="Q213">
        <v>1</v>
      </c>
      <c r="R213">
        <v>1</v>
      </c>
      <c r="S213">
        <v>1</v>
      </c>
      <c r="T213" s="1">
        <f>SQRT(POWER(Batmobile[[#This Row],[angvel_X]],2) + POWER(Batmobile[[#This Row],[angvel_Y]],2) + POWER(Batmobile[[#This Row],[angvel_Z]],2))</f>
        <v>2.0011999999999999</v>
      </c>
      <c r="U213" s="1">
        <f>DEGREES(ASIN(MAX(-1,MIN(1,2 * (Batmobile[[#This Row],[quart_W]]*Batmobile[[#This Row],[quart_Y]] - Batmobile[[#This Row],[quart_Z]]*Batmobile[[#This Row],[quart_X]])))))</f>
        <v>0.34159256850461384</v>
      </c>
      <c r="V21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-175.80297036941764</v>
      </c>
      <c r="W21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90.000273196632406</v>
      </c>
      <c r="X213" s="1">
        <f>IF(Batmobile[[#This Row],[Yaw]]&gt;V212,(360-ABS(Batmobile[[#This Row],[Yaw]])-ABS(V212)),ABS(Batmobile[[#This Row],[Yaw]]-V212))</f>
        <v>0.95589648589762533</v>
      </c>
      <c r="Y213" s="1">
        <f>Batmobile[[#This Row],[Degree change]]+Y212</f>
        <v>144.95351444609057</v>
      </c>
    </row>
    <row r="214" spans="1:25">
      <c r="A214">
        <v>213</v>
      </c>
      <c r="B214" s="1">
        <v>-1915.329956</v>
      </c>
      <c r="C214" s="1">
        <v>1659.669922</v>
      </c>
      <c r="D214" s="1">
        <v>18.649999999999999</v>
      </c>
      <c r="E214" s="1">
        <v>-271.22000100000002</v>
      </c>
      <c r="F214" s="1">
        <v>-2283.929932</v>
      </c>
      <c r="G214" s="1">
        <v>8.1999999999999993</v>
      </c>
      <c r="H214" s="1">
        <v>0</v>
      </c>
      <c r="I214" s="1">
        <v>0</v>
      </c>
      <c r="J214" s="1">
        <v>2.0011999999999999</v>
      </c>
      <c r="K214" s="1">
        <v>-2.166E-3</v>
      </c>
      <c r="L214" s="1">
        <v>-2.0470000000000002E-3</v>
      </c>
      <c r="M214" s="1">
        <v>0.72681899999999999</v>
      </c>
      <c r="N214" s="1">
        <v>-0.68682200000000004</v>
      </c>
      <c r="O214">
        <v>1</v>
      </c>
      <c r="P214">
        <v>0</v>
      </c>
      <c r="Q214">
        <v>1</v>
      </c>
      <c r="R214">
        <v>1</v>
      </c>
      <c r="S214">
        <v>1</v>
      </c>
      <c r="T214" s="1">
        <f>SQRT(POWER(Batmobile[[#This Row],[angvel_X]],2) + POWER(Batmobile[[#This Row],[angvel_Y]],2) + POWER(Batmobile[[#This Row],[angvel_Z]],2))</f>
        <v>2.0011999999999999</v>
      </c>
      <c r="U214" s="1">
        <f>DEGREES(ASIN(MAX(-1,MIN(1,2 * (Batmobile[[#This Row],[quart_W]]*Batmobile[[#This Row],[quart_Y]] - Batmobile[[#This Row],[quart_Z]]*Batmobile[[#This Row],[quart_X]])))))</f>
        <v>0.34150945801004601</v>
      </c>
      <c r="V21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-176.75870214582193</v>
      </c>
      <c r="W21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90.000016276988774</v>
      </c>
      <c r="X214" s="1">
        <f>IF(Batmobile[[#This Row],[Yaw]]&gt;V213,(360-ABS(Batmobile[[#This Row],[Yaw]])-ABS(V213)),ABS(Batmobile[[#This Row],[Yaw]]-V213))</f>
        <v>0.95573177640429208</v>
      </c>
      <c r="Y214" s="1">
        <f>Batmobile[[#This Row],[Degree change]]+Y213</f>
        <v>145.90924622249486</v>
      </c>
    </row>
    <row r="215" spans="1:25">
      <c r="A215">
        <v>214</v>
      </c>
      <c r="B215" s="1">
        <v>-1917.589966</v>
      </c>
      <c r="C215" s="1">
        <v>1640.5699460000001</v>
      </c>
      <c r="D215" s="1">
        <v>18.649999999999999</v>
      </c>
      <c r="E215" s="1">
        <v>-233.08999600000001</v>
      </c>
      <c r="F215" s="1">
        <v>-2288.139893</v>
      </c>
      <c r="G215" s="1">
        <v>8.1999999999999993</v>
      </c>
      <c r="H215" s="1">
        <v>0</v>
      </c>
      <c r="I215" s="1">
        <v>0</v>
      </c>
      <c r="J215" s="1">
        <v>2.0011999999999999</v>
      </c>
      <c r="K215" s="1">
        <v>-2.15E-3</v>
      </c>
      <c r="L215" s="1">
        <v>-2.0639999999999999E-3</v>
      </c>
      <c r="M215" s="1">
        <v>0.72106700000000001</v>
      </c>
      <c r="N215" s="1">
        <v>-0.692859</v>
      </c>
      <c r="O215">
        <v>1</v>
      </c>
      <c r="P215">
        <v>0</v>
      </c>
      <c r="Q215">
        <v>1</v>
      </c>
      <c r="R215">
        <v>1</v>
      </c>
      <c r="S215">
        <v>1</v>
      </c>
      <c r="T215" s="1">
        <f>SQRT(POWER(Batmobile[[#This Row],[angvel_X]],2) + POWER(Batmobile[[#This Row],[angvel_Y]],2) + POWER(Batmobile[[#This Row],[angvel_Z]],2))</f>
        <v>2.0011999999999999</v>
      </c>
      <c r="U215" s="1">
        <f>DEGREES(ASIN(MAX(-1,MIN(1,2 * (Batmobile[[#This Row],[quart_W]]*Batmobile[[#This Row],[quart_Y]] - Batmobile[[#This Row],[quart_Z]]*Batmobile[[#This Row],[quart_X]])))))</f>
        <v>0.34152555130529938</v>
      </c>
      <c r="V21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-177.71418236299155</v>
      </c>
      <c r="W21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89.999843629935086</v>
      </c>
      <c r="X215" s="1">
        <f>IF(Batmobile[[#This Row],[Yaw]]&gt;V214,(360-ABS(Batmobile[[#This Row],[Yaw]])-ABS(V214)),ABS(Batmobile[[#This Row],[Yaw]]-V214))</f>
        <v>0.95548021716962239</v>
      </c>
      <c r="Y215" s="1">
        <f>Batmobile[[#This Row],[Degree change]]+Y214</f>
        <v>146.86472643966448</v>
      </c>
    </row>
    <row r="216" spans="1:25">
      <c r="A216">
        <v>215</v>
      </c>
      <c r="B216" s="1">
        <v>-1919.5299070000001</v>
      </c>
      <c r="C216" s="1">
        <v>1621.429932</v>
      </c>
      <c r="D216" s="1">
        <v>18.649999999999999</v>
      </c>
      <c r="E216" s="1">
        <v>-194.89999399999999</v>
      </c>
      <c r="F216" s="1">
        <v>-2291.709961</v>
      </c>
      <c r="G216" s="1">
        <v>8.1999999999999993</v>
      </c>
      <c r="H216" s="1">
        <v>0</v>
      </c>
      <c r="I216" s="1">
        <v>0</v>
      </c>
      <c r="J216" s="1">
        <v>2.0011999999999999</v>
      </c>
      <c r="K216" s="1">
        <v>-2.134E-3</v>
      </c>
      <c r="L216" s="1">
        <v>-2.0799999999999998E-3</v>
      </c>
      <c r="M216" s="1">
        <v>0.71526500000000004</v>
      </c>
      <c r="N216" s="1">
        <v>-0.698847</v>
      </c>
      <c r="O216">
        <v>1</v>
      </c>
      <c r="P216">
        <v>0</v>
      </c>
      <c r="Q216">
        <v>1</v>
      </c>
      <c r="R216">
        <v>1</v>
      </c>
      <c r="S216">
        <v>1</v>
      </c>
      <c r="T216" s="1">
        <f>SQRT(POWER(Batmobile[[#This Row],[angvel_X]],2) + POWER(Batmobile[[#This Row],[angvel_Y]],2) + POWER(Batmobile[[#This Row],[angvel_Z]],2))</f>
        <v>2.0011999999999999</v>
      </c>
      <c r="U216" s="1">
        <f>DEGREES(ASIN(MAX(-1,MIN(1,2 * (Batmobile[[#This Row],[quart_W]]*Batmobile[[#This Row],[quart_Y]] - Batmobile[[#This Row],[quart_Z]]*Batmobile[[#This Row],[quart_X]])))))</f>
        <v>0.34148226288739841</v>
      </c>
      <c r="V21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-178.66963834072155</v>
      </c>
      <c r="W21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89.999588804034815</v>
      </c>
      <c r="X216" s="1">
        <f>IF(Batmobile[[#This Row],[Yaw]]&gt;V215,(360-ABS(Batmobile[[#This Row],[Yaw]])-ABS(V215)),ABS(Batmobile[[#This Row],[Yaw]]-V215))</f>
        <v>0.95545597772999713</v>
      </c>
      <c r="Y216" s="1">
        <f>Batmobile[[#This Row],[Degree change]]+Y215</f>
        <v>147.82018241739448</v>
      </c>
    </row>
    <row r="217" spans="1:25">
      <c r="A217">
        <v>216</v>
      </c>
      <c r="B217" s="1">
        <v>-1921.1599120000001</v>
      </c>
      <c r="C217" s="1">
        <v>1602.26001</v>
      </c>
      <c r="D217" s="1">
        <v>18.649999999999999</v>
      </c>
      <c r="E217" s="1">
        <v>-156.64999399999999</v>
      </c>
      <c r="F217" s="1">
        <v>-2294.639893</v>
      </c>
      <c r="G217" s="1">
        <v>8.1999999999999993</v>
      </c>
      <c r="H217" s="1">
        <v>0</v>
      </c>
      <c r="I217" s="1">
        <v>0</v>
      </c>
      <c r="J217" s="1">
        <v>2.0011999999999999</v>
      </c>
      <c r="K217" s="1">
        <v>-2.117E-3</v>
      </c>
      <c r="L217" s="1">
        <v>-2.0960000000000002E-3</v>
      </c>
      <c r="M217" s="1">
        <v>0.70941299999999996</v>
      </c>
      <c r="N217" s="1">
        <v>-0.70478700000000005</v>
      </c>
      <c r="O217">
        <v>1</v>
      </c>
      <c r="P217">
        <v>0</v>
      </c>
      <c r="Q217">
        <v>1</v>
      </c>
      <c r="R217">
        <v>1</v>
      </c>
      <c r="S217">
        <v>1</v>
      </c>
      <c r="T217" s="1">
        <f>SQRT(POWER(Batmobile[[#This Row],[angvel_X]],2) + POWER(Batmobile[[#This Row],[angvel_Y]],2) + POWER(Batmobile[[#This Row],[angvel_Z]],2))</f>
        <v>2.0011999999999999</v>
      </c>
      <c r="U217" s="1">
        <f>DEGREES(ASIN(MAX(-1,MIN(1,2 * (Batmobile[[#This Row],[quart_W]]*Batmobile[[#This Row],[quart_Y]] - Batmobile[[#This Row],[quart_Z]]*Batmobile[[#This Row],[quart_X]])))))</f>
        <v>0.34137724966194805</v>
      </c>
      <c r="V21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-179.62513916695463</v>
      </c>
      <c r="W21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89.999415064911304</v>
      </c>
      <c r="X217" s="1">
        <f>IF(Batmobile[[#This Row],[Yaw]]&gt;V216,(360-ABS(Batmobile[[#This Row],[Yaw]])-ABS(V216)),ABS(Batmobile[[#This Row],[Yaw]]-V216))</f>
        <v>0.95550082623307731</v>
      </c>
      <c r="Y217" s="1">
        <f>Batmobile[[#This Row],[Degree change]]+Y216</f>
        <v>148.77568324362755</v>
      </c>
    </row>
    <row r="218" spans="1:25">
      <c r="A218">
        <v>217</v>
      </c>
      <c r="B218" s="1">
        <v>-1922.469971</v>
      </c>
      <c r="C218" s="1">
        <v>1583.0699460000001</v>
      </c>
      <c r="D218" s="1">
        <v>18.649999999999999</v>
      </c>
      <c r="E218" s="1">
        <v>-118.360001</v>
      </c>
      <c r="F218" s="1">
        <v>-2296.929932</v>
      </c>
      <c r="G218" s="1">
        <v>8.1999999999999993</v>
      </c>
      <c r="H218" s="1">
        <v>0</v>
      </c>
      <c r="I218" s="1">
        <v>0</v>
      </c>
      <c r="J218" s="1">
        <v>2.0011999999999999</v>
      </c>
      <c r="K218" s="1">
        <v>2.101E-3</v>
      </c>
      <c r="L218" s="1">
        <v>2.1120000000000002E-3</v>
      </c>
      <c r="M218" s="1">
        <v>-0.70351399999999997</v>
      </c>
      <c r="N218" s="1">
        <v>0.71067499999999995</v>
      </c>
      <c r="O218">
        <v>1</v>
      </c>
      <c r="P218">
        <v>0</v>
      </c>
      <c r="Q218">
        <v>1</v>
      </c>
      <c r="R218">
        <v>1</v>
      </c>
      <c r="S218">
        <v>1</v>
      </c>
      <c r="T218" s="1">
        <f>SQRT(POWER(Batmobile[[#This Row],[angvel_X]],2) + POWER(Batmobile[[#This Row],[angvel_Y]],2) + POWER(Batmobile[[#This Row],[angvel_Z]],2))</f>
        <v>2.0011999999999999</v>
      </c>
      <c r="U218" s="1">
        <f>DEGREES(ASIN(MAX(-1,MIN(1,2 * (Batmobile[[#This Row],[quart_W]]*Batmobile[[#This Row],[quart_Y]] - Batmobile[[#This Row],[quart_Z]]*Batmobile[[#This Row],[quart_X]])))))</f>
        <v>0.34137354152787175</v>
      </c>
      <c r="V21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179.41973483759193</v>
      </c>
      <c r="W21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89.999162709651273</v>
      </c>
      <c r="X218" s="1">
        <f>IF(Batmobile[[#This Row],[Yaw]]&gt;V217,(360-ABS(Batmobile[[#This Row],[Yaw]])-ABS(V217)),ABS(Batmobile[[#This Row],[Yaw]]-V217))</f>
        <v>0.95512599545344301</v>
      </c>
      <c r="Y218" s="1">
        <f>Batmobile[[#This Row],[Degree change]]+Y217</f>
        <v>149.730809239081</v>
      </c>
    </row>
    <row r="219" spans="1:25">
      <c r="A219">
        <v>218</v>
      </c>
      <c r="B219" s="1">
        <v>-1923.459961</v>
      </c>
      <c r="C219" s="1">
        <v>1563.8599850000001</v>
      </c>
      <c r="D219" s="1">
        <v>18.649999999999999</v>
      </c>
      <c r="E219" s="1">
        <v>-80.040001000000004</v>
      </c>
      <c r="F219" s="1">
        <v>-2298.5898440000001</v>
      </c>
      <c r="G219" s="1">
        <v>8.1999999999999993</v>
      </c>
      <c r="H219" s="1">
        <v>0</v>
      </c>
      <c r="I219" s="1">
        <v>0</v>
      </c>
      <c r="J219" s="1">
        <v>2.0011999999999999</v>
      </c>
      <c r="K219" s="1">
        <v>2.085E-3</v>
      </c>
      <c r="L219" s="1">
        <v>2.1280000000000001E-3</v>
      </c>
      <c r="M219" s="1">
        <v>-0.69756300000000004</v>
      </c>
      <c r="N219" s="1">
        <v>0.71651699999999996</v>
      </c>
      <c r="O219">
        <v>1</v>
      </c>
      <c r="P219">
        <v>0</v>
      </c>
      <c r="Q219">
        <v>1</v>
      </c>
      <c r="R219">
        <v>1</v>
      </c>
      <c r="S219">
        <v>1</v>
      </c>
      <c r="T219" s="1">
        <f>SQRT(POWER(Batmobile[[#This Row],[angvel_X]],2) + POWER(Batmobile[[#This Row],[angvel_Y]],2) + POWER(Batmobile[[#This Row],[angvel_Z]],2))</f>
        <v>2.0011999999999999</v>
      </c>
      <c r="U219" s="1">
        <f>DEGREES(ASIN(MAX(-1,MIN(1,2 * (Batmobile[[#This Row],[quart_W]]*Batmobile[[#This Row],[quart_Y]] - Batmobile[[#This Row],[quart_Z]]*Batmobile[[#This Row],[quart_X]])))))</f>
        <v>0.34138941468860523</v>
      </c>
      <c r="V21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178.46410864227923</v>
      </c>
      <c r="W21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89.998908624255122</v>
      </c>
      <c r="X219" s="1">
        <f>IF(Batmobile[[#This Row],[Yaw]]&gt;V218,(360-ABS(Batmobile[[#This Row],[Yaw]])-ABS(V218)),ABS(Batmobile[[#This Row],[Yaw]]-V218))</f>
        <v>0.95562619531270343</v>
      </c>
      <c r="Y219" s="1">
        <f>Batmobile[[#This Row],[Degree change]]+Y218</f>
        <v>150.6864354343937</v>
      </c>
    </row>
    <row r="220" spans="1:25">
      <c r="A220">
        <v>219</v>
      </c>
      <c r="B220" s="1">
        <v>-1924.130005</v>
      </c>
      <c r="C220" s="1">
        <v>1544.6400149999999</v>
      </c>
      <c r="D220" s="1">
        <v>18.649999999999999</v>
      </c>
      <c r="E220" s="1">
        <v>-41.700001</v>
      </c>
      <c r="F220" s="1">
        <v>-2299.5998540000001</v>
      </c>
      <c r="G220" s="1">
        <v>8.1999999999999993</v>
      </c>
      <c r="H220" s="1">
        <v>0</v>
      </c>
      <c r="I220" s="1">
        <v>0</v>
      </c>
      <c r="J220" s="1">
        <v>2.0011999999999999</v>
      </c>
      <c r="K220" s="1">
        <v>2.0690000000000001E-3</v>
      </c>
      <c r="L220" s="1">
        <v>2.1440000000000001E-3</v>
      </c>
      <c r="M220" s="1">
        <v>-0.69156399999999996</v>
      </c>
      <c r="N220" s="1">
        <v>0.72230899999999998</v>
      </c>
      <c r="O220">
        <v>1</v>
      </c>
      <c r="P220">
        <v>0</v>
      </c>
      <c r="Q220">
        <v>1</v>
      </c>
      <c r="R220">
        <v>1</v>
      </c>
      <c r="S220">
        <v>1</v>
      </c>
      <c r="T220" s="1">
        <f>SQRT(POWER(Batmobile[[#This Row],[angvel_X]],2) + POWER(Batmobile[[#This Row],[angvel_Y]],2) + POWER(Batmobile[[#This Row],[angvel_Z]],2))</f>
        <v>2.0011999999999999</v>
      </c>
      <c r="U220" s="1">
        <f>DEGREES(ASIN(MAX(-1,MIN(1,2 * (Batmobile[[#This Row],[quart_W]]*Batmobile[[#This Row],[quart_Y]] - Batmobile[[#This Row],[quart_Z]]*Batmobile[[#This Row],[quart_X]])))))</f>
        <v>0.34142486776912234</v>
      </c>
      <c r="V22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177.50856459126106</v>
      </c>
      <c r="W22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89.998654200804282</v>
      </c>
      <c r="X220" s="1">
        <f>IF(Batmobile[[#This Row],[Yaw]]&gt;V219,(360-ABS(Batmobile[[#This Row],[Yaw]])-ABS(V219)),ABS(Batmobile[[#This Row],[Yaw]]-V219))</f>
        <v>0.95554405101816542</v>
      </c>
      <c r="Y220" s="1">
        <f>Batmobile[[#This Row],[Degree change]]+Y219</f>
        <v>151.64197948541187</v>
      </c>
    </row>
    <row r="221" spans="1:25">
      <c r="A221">
        <v>220</v>
      </c>
      <c r="B221" s="1">
        <v>-1924.469971</v>
      </c>
      <c r="C221" s="1">
        <v>1525.4099120000001</v>
      </c>
      <c r="D221" s="1">
        <v>18.649999999999999</v>
      </c>
      <c r="E221" s="1">
        <v>-3.35</v>
      </c>
      <c r="F221" s="1">
        <v>-2299.9799800000001</v>
      </c>
      <c r="G221" s="1">
        <v>8.1999999999999993</v>
      </c>
      <c r="H221" s="1">
        <v>0</v>
      </c>
      <c r="I221" s="1">
        <v>0</v>
      </c>
      <c r="J221" s="1">
        <v>2.0011999999999999</v>
      </c>
      <c r="K221" s="1">
        <v>2.0530000000000001E-3</v>
      </c>
      <c r="L221" s="1">
        <v>2.1610000000000002E-3</v>
      </c>
      <c r="M221" s="1">
        <v>-0.68551700000000004</v>
      </c>
      <c r="N221" s="1">
        <v>0.728051</v>
      </c>
      <c r="O221">
        <v>1</v>
      </c>
      <c r="P221">
        <v>0</v>
      </c>
      <c r="Q221">
        <v>1</v>
      </c>
      <c r="R221">
        <v>1</v>
      </c>
      <c r="S221">
        <v>1</v>
      </c>
      <c r="T221" s="1">
        <f>SQRT(POWER(Batmobile[[#This Row],[angvel_X]],2) + POWER(Batmobile[[#This Row],[angvel_Y]],2) + POWER(Batmobile[[#This Row],[angvel_Z]],2))</f>
        <v>2.0011999999999999</v>
      </c>
      <c r="U221" s="1">
        <f>DEGREES(ASIN(MAX(-1,MIN(1,2 * (Batmobile[[#This Row],[quart_W]]*Batmobile[[#This Row],[quart_Y]] - Batmobile[[#This Row],[quart_Z]]*Batmobile[[#This Row],[quart_X]])))))</f>
        <v>0.3415633197499105</v>
      </c>
      <c r="V22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176.5530367388117</v>
      </c>
      <c r="W22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89.998477456092701</v>
      </c>
      <c r="X221" s="1">
        <f>IF(Batmobile[[#This Row],[Yaw]]&gt;V220,(360-ABS(Batmobile[[#This Row],[Yaw]])-ABS(V220)),ABS(Batmobile[[#This Row],[Yaw]]-V220))</f>
        <v>0.95552785244936445</v>
      </c>
      <c r="Y221" s="1">
        <f>Batmobile[[#This Row],[Degree change]]+Y220</f>
        <v>152.59750733786123</v>
      </c>
    </row>
    <row r="222" spans="1:25">
      <c r="A222">
        <v>221</v>
      </c>
      <c r="B222" s="1">
        <v>-1924.48999</v>
      </c>
      <c r="C222" s="1">
        <v>1506.169922</v>
      </c>
      <c r="D222" s="1">
        <v>18.649999999999999</v>
      </c>
      <c r="E222" s="1">
        <v>35</v>
      </c>
      <c r="F222" s="1">
        <v>-2299.709961</v>
      </c>
      <c r="G222" s="1">
        <v>8.1999999999999993</v>
      </c>
      <c r="H222" s="1">
        <v>0</v>
      </c>
      <c r="I222" s="1">
        <v>0</v>
      </c>
      <c r="J222" s="1">
        <v>2.0011999999999999</v>
      </c>
      <c r="K222" s="1">
        <v>2.0370000000000002E-3</v>
      </c>
      <c r="L222" s="1">
        <v>2.1770000000000001E-3</v>
      </c>
      <c r="M222" s="1">
        <v>-0.67942100000000005</v>
      </c>
      <c r="N222" s="1">
        <v>0.73374300000000003</v>
      </c>
      <c r="O222">
        <v>1</v>
      </c>
      <c r="P222">
        <v>0</v>
      </c>
      <c r="Q222">
        <v>1</v>
      </c>
      <c r="R222">
        <v>1</v>
      </c>
      <c r="S222">
        <v>1</v>
      </c>
      <c r="T222" s="1">
        <f>SQRT(POWER(Batmobile[[#This Row],[angvel_X]],2) + POWER(Batmobile[[#This Row],[angvel_Y]],2) + POWER(Batmobile[[#This Row],[angvel_Z]],2))</f>
        <v>2.0011999999999999</v>
      </c>
      <c r="U222" s="1">
        <f>DEGREES(ASIN(MAX(-1,MIN(1,2 * (Batmobile[[#This Row],[quart_W]]*Batmobile[[#This Row],[quart_Y]] - Batmobile[[#This Row],[quart_Z]]*Batmobile[[#This Row],[quart_X]])))))</f>
        <v>0.34163831850805021</v>
      </c>
      <c r="V22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175.59729759808587</v>
      </c>
      <c r="W22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89.998219791463015</v>
      </c>
      <c r="X222" s="1">
        <f>IF(Batmobile[[#This Row],[Yaw]]&gt;V221,(360-ABS(Batmobile[[#This Row],[Yaw]])-ABS(V221)),ABS(Batmobile[[#This Row],[Yaw]]-V221))</f>
        <v>0.95573914072582511</v>
      </c>
      <c r="Y222" s="1">
        <f>Batmobile[[#This Row],[Degree change]]+Y221</f>
        <v>153.55324647858706</v>
      </c>
    </row>
    <row r="223" spans="1:25">
      <c r="A223">
        <v>222</v>
      </c>
      <c r="B223" s="1">
        <v>-1924.1899410000001</v>
      </c>
      <c r="C223" s="1">
        <v>1486.9399410000001</v>
      </c>
      <c r="D223" s="1">
        <v>18.649999999999999</v>
      </c>
      <c r="E223" s="1">
        <v>73.339995999999999</v>
      </c>
      <c r="F223" s="1">
        <v>-2298.8100589999999</v>
      </c>
      <c r="G223" s="1">
        <v>8.1999999999999993</v>
      </c>
      <c r="H223" s="1">
        <v>0</v>
      </c>
      <c r="I223" s="1">
        <v>0</v>
      </c>
      <c r="J223" s="1">
        <v>2.0011999999999999</v>
      </c>
      <c r="K223" s="1">
        <v>2.0200000000000001E-3</v>
      </c>
      <c r="L223" s="1">
        <v>2.1930000000000001E-3</v>
      </c>
      <c r="M223" s="1">
        <v>-0.67328100000000002</v>
      </c>
      <c r="N223" s="1">
        <v>0.73938000000000004</v>
      </c>
      <c r="O223">
        <v>1</v>
      </c>
      <c r="P223">
        <v>0</v>
      </c>
      <c r="Q223">
        <v>1</v>
      </c>
      <c r="R223">
        <v>1</v>
      </c>
      <c r="S223">
        <v>1</v>
      </c>
      <c r="T223" s="1">
        <f>SQRT(POWER(Batmobile[[#This Row],[angvel_X]],2) + POWER(Batmobile[[#This Row],[angvel_Y]],2) + POWER(Batmobile[[#This Row],[angvel_Z]],2))</f>
        <v>2.0011999999999999</v>
      </c>
      <c r="U223" s="1">
        <f>DEGREES(ASIN(MAX(-1,MIN(1,2 * (Batmobile[[#This Row],[quart_W]]*Batmobile[[#This Row],[quart_Y]] - Batmobile[[#This Row],[quart_Z]]*Batmobile[[#This Row],[quart_X]])))))</f>
        <v>0.34165537828591103</v>
      </c>
      <c r="V22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174.64205667917176</v>
      </c>
      <c r="W22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89.998047053874714</v>
      </c>
      <c r="X223" s="1">
        <f>IF(Batmobile[[#This Row],[Yaw]]&gt;V222,(360-ABS(Batmobile[[#This Row],[Yaw]])-ABS(V222)),ABS(Batmobile[[#This Row],[Yaw]]-V222))</f>
        <v>0.95524091891411445</v>
      </c>
      <c r="Y223" s="1">
        <f>Batmobile[[#This Row],[Degree change]]+Y222</f>
        <v>154.50848739750117</v>
      </c>
    </row>
    <row r="224" spans="1:25">
      <c r="A224">
        <v>223</v>
      </c>
      <c r="B224" s="1">
        <v>-1923.5699460000001</v>
      </c>
      <c r="C224" s="1">
        <v>1467.709961</v>
      </c>
      <c r="D224" s="1">
        <v>18.649999999999999</v>
      </c>
      <c r="E224" s="1">
        <v>111.65999600000001</v>
      </c>
      <c r="F224" s="1">
        <v>-2297.2700199999999</v>
      </c>
      <c r="G224" s="1">
        <v>8.1999999999999993</v>
      </c>
      <c r="H224" s="1">
        <v>0</v>
      </c>
      <c r="I224" s="1">
        <v>1E-4</v>
      </c>
      <c r="J224" s="1">
        <v>2.0011999999999999</v>
      </c>
      <c r="K224" s="1">
        <v>2.0040000000000001E-3</v>
      </c>
      <c r="L224" s="1">
        <v>2.209E-3</v>
      </c>
      <c r="M224" s="1">
        <v>-0.66709300000000005</v>
      </c>
      <c r="N224" s="1">
        <v>0.74496799999999996</v>
      </c>
      <c r="O224">
        <v>1</v>
      </c>
      <c r="P224">
        <v>0</v>
      </c>
      <c r="Q224">
        <v>1</v>
      </c>
      <c r="R224">
        <v>1</v>
      </c>
      <c r="S224">
        <v>1</v>
      </c>
      <c r="T224" s="1">
        <f>SQRT(POWER(Batmobile[[#This Row],[angvel_X]],2) + POWER(Batmobile[[#This Row],[angvel_Y]],2) + POWER(Batmobile[[#This Row],[angvel_Z]],2))</f>
        <v>2.0012000024985008</v>
      </c>
      <c r="U224" s="1">
        <f>DEGREES(ASIN(MAX(-1,MIN(1,2 * (Batmobile[[#This Row],[quart_W]]*Batmobile[[#This Row],[quart_Y]] - Batmobile[[#This Row],[quart_Z]]*Batmobile[[#This Row],[quart_X]])))))</f>
        <v>0.34177005484871048</v>
      </c>
      <c r="V22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173.68663714524499</v>
      </c>
      <c r="W22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89.997787491560047</v>
      </c>
      <c r="X224" s="1">
        <f>IF(Batmobile[[#This Row],[Yaw]]&gt;V223,(360-ABS(Batmobile[[#This Row],[Yaw]])-ABS(V223)),ABS(Batmobile[[#This Row],[Yaw]]-V223))</f>
        <v>0.95541953392677215</v>
      </c>
      <c r="Y224" s="1">
        <f>Batmobile[[#This Row],[Degree change]]+Y223</f>
        <v>155.46390693142794</v>
      </c>
    </row>
    <row r="225" spans="1:25">
      <c r="A225">
        <v>224</v>
      </c>
      <c r="B225" s="1">
        <v>-1922.630005</v>
      </c>
      <c r="C225" s="1">
        <v>1448.5</v>
      </c>
      <c r="D225" s="1">
        <v>18.649999999999999</v>
      </c>
      <c r="E225" s="1">
        <v>149.949997</v>
      </c>
      <c r="F225" s="1">
        <v>-2295.0898440000001</v>
      </c>
      <c r="G225" s="1">
        <v>8.1999999999999993</v>
      </c>
      <c r="H225" s="1">
        <v>0</v>
      </c>
      <c r="I225" s="1">
        <v>1E-4</v>
      </c>
      <c r="J225" s="1">
        <v>2.0011999999999999</v>
      </c>
      <c r="K225" s="1">
        <v>1.9880000000000002E-3</v>
      </c>
      <c r="L225" s="1">
        <v>2.225E-3</v>
      </c>
      <c r="M225" s="1">
        <v>-0.66085700000000003</v>
      </c>
      <c r="N225" s="1">
        <v>0.75050600000000001</v>
      </c>
      <c r="O225">
        <v>1</v>
      </c>
      <c r="P225">
        <v>0</v>
      </c>
      <c r="Q225">
        <v>1</v>
      </c>
      <c r="R225">
        <v>1</v>
      </c>
      <c r="S225">
        <v>1</v>
      </c>
      <c r="T225" s="1">
        <f>SQRT(POWER(Batmobile[[#This Row],[angvel_X]],2) + POWER(Batmobile[[#This Row],[angvel_Y]],2) + POWER(Batmobile[[#This Row],[angvel_Z]],2))</f>
        <v>2.0012000024985008</v>
      </c>
      <c r="U225" s="1">
        <f>DEGREES(ASIN(MAX(-1,MIN(1,2 * (Batmobile[[#This Row],[quart_W]]*Batmobile[[#This Row],[quart_Y]] - Batmobile[[#This Row],[quart_Z]]*Batmobile[[#This Row],[quart_X]])))))</f>
        <v>0.34190423043053225</v>
      </c>
      <c r="V22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172.73097317492201</v>
      </c>
      <c r="W22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89.99752488104437</v>
      </c>
      <c r="X225" s="1">
        <f>IF(Batmobile[[#This Row],[Yaw]]&gt;V224,(360-ABS(Batmobile[[#This Row],[Yaw]])-ABS(V224)),ABS(Batmobile[[#This Row],[Yaw]]-V224))</f>
        <v>0.95566397032297346</v>
      </c>
      <c r="Y225" s="1">
        <f>Batmobile[[#This Row],[Degree change]]+Y224</f>
        <v>156.41957090175092</v>
      </c>
    </row>
    <row r="226" spans="1:25">
      <c r="A226">
        <v>225</v>
      </c>
      <c r="B226" s="1">
        <v>-1921.369995</v>
      </c>
      <c r="C226" s="1">
        <v>1429.309937</v>
      </c>
      <c r="D226" s="1">
        <v>18.649999999999999</v>
      </c>
      <c r="E226" s="1">
        <v>188.199997</v>
      </c>
      <c r="F226" s="1">
        <v>-2292.2700199999999</v>
      </c>
      <c r="G226" s="1">
        <v>8.1999999999999993</v>
      </c>
      <c r="H226" s="1">
        <v>0</v>
      </c>
      <c r="I226" s="1">
        <v>2.0000000000000001E-4</v>
      </c>
      <c r="J226" s="1">
        <v>2.0011999999999999</v>
      </c>
      <c r="K226" s="1">
        <v>1.9719999999999998E-3</v>
      </c>
      <c r="L226" s="1">
        <v>2.2420000000000001E-3</v>
      </c>
      <c r="M226" s="1">
        <v>-0.65457699999999996</v>
      </c>
      <c r="N226" s="1">
        <v>0.75598900000000002</v>
      </c>
      <c r="O226">
        <v>1</v>
      </c>
      <c r="P226">
        <v>0</v>
      </c>
      <c r="Q226">
        <v>1</v>
      </c>
      <c r="R226">
        <v>1</v>
      </c>
      <c r="S226">
        <v>1</v>
      </c>
      <c r="T226" s="1">
        <f>SQRT(POWER(Batmobile[[#This Row],[angvel_X]],2) + POWER(Batmobile[[#This Row],[angvel_Y]],2) + POWER(Batmobile[[#This Row],[angvel_Z]],2))</f>
        <v>2.0012000099940033</v>
      </c>
      <c r="U226" s="1">
        <f>DEGREES(ASIN(MAX(-1,MIN(1,2 * (Batmobile[[#This Row],[quart_W]]*Batmobile[[#This Row],[quart_Y]] - Batmobile[[#This Row],[quart_Z]]*Batmobile[[#This Row],[quart_X]])))))</f>
        <v>0.34214414542656474</v>
      </c>
      <c r="V22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171.77559686292</v>
      </c>
      <c r="W22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89.997335850699329</v>
      </c>
      <c r="X226" s="1">
        <f>IF(Batmobile[[#This Row],[Yaw]]&gt;V225,(360-ABS(Batmobile[[#This Row],[Yaw]])-ABS(V225)),ABS(Batmobile[[#This Row],[Yaw]]-V225))</f>
        <v>0.95537631200201645</v>
      </c>
      <c r="Y226" s="1">
        <f>Batmobile[[#This Row],[Degree change]]+Y225</f>
        <v>157.37494721375293</v>
      </c>
    </row>
    <row r="227" spans="1:25">
      <c r="A227">
        <v>226</v>
      </c>
      <c r="B227" s="1">
        <v>-1919.7899170000001</v>
      </c>
      <c r="C227" s="1">
        <v>1410.1400149999999</v>
      </c>
      <c r="D227" s="1">
        <v>18.649999999999999</v>
      </c>
      <c r="E227" s="1">
        <v>226.38999899999999</v>
      </c>
      <c r="F227" s="1">
        <v>-2288.8100589999999</v>
      </c>
      <c r="G227" s="1">
        <v>8.1999999999999993</v>
      </c>
      <c r="H227" s="1">
        <v>0</v>
      </c>
      <c r="I227" s="1">
        <v>2.0000000000000001E-4</v>
      </c>
      <c r="J227" s="1">
        <v>2.0011999999999999</v>
      </c>
      <c r="K227" s="1">
        <v>1.9499999999999999E-3</v>
      </c>
      <c r="L227" s="1">
        <v>2.258E-3</v>
      </c>
      <c r="M227" s="1">
        <v>-0.64824899999999996</v>
      </c>
      <c r="N227" s="1">
        <v>0.76142200000000004</v>
      </c>
      <c r="O227">
        <v>1</v>
      </c>
      <c r="P227">
        <v>0</v>
      </c>
      <c r="Q227">
        <v>1</v>
      </c>
      <c r="R227">
        <v>1</v>
      </c>
      <c r="S227">
        <v>1</v>
      </c>
      <c r="T227" s="1">
        <f>SQRT(POWER(Batmobile[[#This Row],[angvel_X]],2) + POWER(Batmobile[[#This Row],[angvel_Y]],2) + POWER(Batmobile[[#This Row],[angvel_Z]],2))</f>
        <v>2.0012000099940033</v>
      </c>
      <c r="U227" s="1">
        <f>DEGREES(ASIN(MAX(-1,MIN(1,2 * (Batmobile[[#This Row],[quart_W]]*Batmobile[[#This Row],[quart_Y]] - Batmobile[[#This Row],[quart_Z]]*Batmobile[[#This Row],[quart_X]])))))</f>
        <v>0.3418717843988755</v>
      </c>
      <c r="V22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170.81984763342513</v>
      </c>
      <c r="W22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89.997590479585497</v>
      </c>
      <c r="X227" s="1">
        <f>IF(Batmobile[[#This Row],[Yaw]]&gt;V226,(360-ABS(Batmobile[[#This Row],[Yaw]])-ABS(V226)),ABS(Batmobile[[#This Row],[Yaw]]-V226))</f>
        <v>0.95574922949487018</v>
      </c>
      <c r="Y227" s="1">
        <f>Batmobile[[#This Row],[Degree change]]+Y226</f>
        <v>158.3306964432478</v>
      </c>
    </row>
    <row r="228" spans="1:25">
      <c r="A228">
        <v>227</v>
      </c>
      <c r="B228" s="1">
        <v>-1917.8900149999999</v>
      </c>
      <c r="C228" s="1">
        <v>1391</v>
      </c>
      <c r="D228" s="1">
        <v>18.649999999999999</v>
      </c>
      <c r="E228" s="1">
        <v>264.51998900000001</v>
      </c>
      <c r="F228" s="1">
        <v>-2284.719971</v>
      </c>
      <c r="G228" s="1">
        <v>8.1999999999999993</v>
      </c>
      <c r="H228" s="1">
        <v>0</v>
      </c>
      <c r="I228" s="1">
        <v>2.0000000000000001E-4</v>
      </c>
      <c r="J228" s="1">
        <v>2.0011999999999999</v>
      </c>
      <c r="K228" s="1">
        <v>1.9289999999999999E-3</v>
      </c>
      <c r="L228" s="1">
        <v>2.274E-3</v>
      </c>
      <c r="M228" s="1">
        <v>-0.64187799999999995</v>
      </c>
      <c r="N228" s="1">
        <v>0.76680099999999995</v>
      </c>
      <c r="O228">
        <v>1</v>
      </c>
      <c r="P228">
        <v>0</v>
      </c>
      <c r="Q228">
        <v>1</v>
      </c>
      <c r="R228">
        <v>1</v>
      </c>
      <c r="S228">
        <v>1</v>
      </c>
      <c r="T228" s="1">
        <f>SQRT(POWER(Batmobile[[#This Row],[angvel_X]],2) + POWER(Batmobile[[#This Row],[angvel_Y]],2) + POWER(Batmobile[[#This Row],[angvel_Z]],2))</f>
        <v>2.0012000099940033</v>
      </c>
      <c r="U228" s="1">
        <f>DEGREES(ASIN(MAX(-1,MIN(1,2 * (Batmobile[[#This Row],[quart_W]]*Batmobile[[#This Row],[quart_Y]] - Batmobile[[#This Row],[quart_Z]]*Batmobile[[#This Row],[quart_X]])))))</f>
        <v>0.34170123589303386</v>
      </c>
      <c r="V22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169.86442047686711</v>
      </c>
      <c r="W22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89.997762152410573</v>
      </c>
      <c r="X228" s="1">
        <f>IF(Batmobile[[#This Row],[Yaw]]&gt;V227,(360-ABS(Batmobile[[#This Row],[Yaw]])-ABS(V227)),ABS(Batmobile[[#This Row],[Yaw]]-V227))</f>
        <v>0.95542715655801658</v>
      </c>
      <c r="Y228" s="1">
        <f>Batmobile[[#This Row],[Degree change]]+Y227</f>
        <v>159.28612359980582</v>
      </c>
    </row>
    <row r="229" spans="1:25">
      <c r="A229">
        <v>228</v>
      </c>
      <c r="B229" s="1">
        <v>-1915.669922</v>
      </c>
      <c r="C229" s="1">
        <v>1371.8900149999999</v>
      </c>
      <c r="D229" s="1">
        <v>18.649999999999999</v>
      </c>
      <c r="E229" s="1">
        <v>302.57998700000002</v>
      </c>
      <c r="F229" s="1">
        <v>-2279.98999</v>
      </c>
      <c r="G229" s="1">
        <v>8.1999999999999993</v>
      </c>
      <c r="H229" s="1">
        <v>0</v>
      </c>
      <c r="I229" s="1">
        <v>2.0000000000000001E-4</v>
      </c>
      <c r="J229" s="1">
        <v>2.0011999999999999</v>
      </c>
      <c r="K229" s="1">
        <v>1.9070000000000001E-3</v>
      </c>
      <c r="L229" s="1">
        <v>2.2899999999999999E-3</v>
      </c>
      <c r="M229" s="1">
        <v>-0.63546400000000003</v>
      </c>
      <c r="N229" s="1">
        <v>0.77212499999999995</v>
      </c>
      <c r="O229">
        <v>1</v>
      </c>
      <c r="P229">
        <v>0</v>
      </c>
      <c r="Q229">
        <v>1</v>
      </c>
      <c r="R229">
        <v>1</v>
      </c>
      <c r="S229">
        <v>1</v>
      </c>
      <c r="T229" s="1">
        <f>SQRT(POWER(Batmobile[[#This Row],[angvel_X]],2) + POWER(Batmobile[[#This Row],[angvel_Y]],2) + POWER(Batmobile[[#This Row],[angvel_Z]],2))</f>
        <v>2.0012000099940033</v>
      </c>
      <c r="U229" s="1">
        <f>DEGREES(ASIN(MAX(-1,MIN(1,2 * (Batmobile[[#This Row],[quart_W]]*Batmobile[[#This Row],[quart_Y]] - Batmobile[[#This Row],[quart_Z]]*Batmobile[[#This Row],[quart_X]])))))</f>
        <v>0.34148442045559196</v>
      </c>
      <c r="V22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168.90923040061773</v>
      </c>
      <c r="W22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89.998025573569421</v>
      </c>
      <c r="X229" s="1">
        <f>IF(Batmobile[[#This Row],[Yaw]]&gt;V228,(360-ABS(Batmobile[[#This Row],[Yaw]])-ABS(V228)),ABS(Batmobile[[#This Row],[Yaw]]-V228))</f>
        <v>0.95519007624938013</v>
      </c>
      <c r="Y229" s="1">
        <f>Batmobile[[#This Row],[Degree change]]+Y228</f>
        <v>160.2413136760552</v>
      </c>
    </row>
    <row r="230" spans="1:25">
      <c r="A230">
        <v>229</v>
      </c>
      <c r="B230" s="1">
        <v>-1913.1400149999999</v>
      </c>
      <c r="C230" s="1">
        <v>1352.8199460000001</v>
      </c>
      <c r="D230" s="1">
        <v>18.649999999999999</v>
      </c>
      <c r="E230" s="1">
        <v>340.54998799999998</v>
      </c>
      <c r="F230" s="1">
        <v>-2274.6298830000001</v>
      </c>
      <c r="G230" s="1">
        <v>8.1999999999999993</v>
      </c>
      <c r="H230" s="1">
        <v>0</v>
      </c>
      <c r="I230" s="1">
        <v>2.0000000000000001E-4</v>
      </c>
      <c r="J230" s="1">
        <v>2.0011999999999999</v>
      </c>
      <c r="K230" s="1">
        <v>1.885E-3</v>
      </c>
      <c r="L230" s="1">
        <v>2.3059999999999999E-3</v>
      </c>
      <c r="M230" s="1">
        <v>-0.62900599999999995</v>
      </c>
      <c r="N230" s="1">
        <v>0.77739499999999995</v>
      </c>
      <c r="O230">
        <v>1</v>
      </c>
      <c r="P230">
        <v>0</v>
      </c>
      <c r="Q230">
        <v>1</v>
      </c>
      <c r="R230">
        <v>1</v>
      </c>
      <c r="S230">
        <v>1</v>
      </c>
      <c r="T230" s="1">
        <f>SQRT(POWER(Batmobile[[#This Row],[angvel_X]],2) + POWER(Batmobile[[#This Row],[angvel_Y]],2) + POWER(Batmobile[[#This Row],[angvel_Z]],2))</f>
        <v>2.0012000099940033</v>
      </c>
      <c r="U230" s="1">
        <f>DEGREES(ASIN(MAX(-1,MIN(1,2 * (Batmobile[[#This Row],[quart_W]]*Batmobile[[#This Row],[quart_Y]] - Batmobile[[#This Row],[quart_Z]]*Batmobile[[#This Row],[quart_X]])))))</f>
        <v>0.34129569420428557</v>
      </c>
      <c r="V23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167.95406014615284</v>
      </c>
      <c r="W23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89.998292356199755</v>
      </c>
      <c r="X230" s="1">
        <f>IF(Batmobile[[#This Row],[Yaw]]&gt;V229,(360-ABS(Batmobile[[#This Row],[Yaw]])-ABS(V229)),ABS(Batmobile[[#This Row],[Yaw]]-V229))</f>
        <v>0.95517025446488901</v>
      </c>
      <c r="Y230" s="1">
        <f>Batmobile[[#This Row],[Degree change]]+Y229</f>
        <v>161.19648393052009</v>
      </c>
    </row>
    <row r="231" spans="1:25">
      <c r="A231">
        <v>230</v>
      </c>
      <c r="B231" s="1">
        <v>-1910.2899170000001</v>
      </c>
      <c r="C231" s="1">
        <v>1333.799927</v>
      </c>
      <c r="D231" s="1">
        <v>18.649999999999999</v>
      </c>
      <c r="E231" s="1">
        <v>378.42999300000002</v>
      </c>
      <c r="F231" s="1">
        <v>-2268.6298830000001</v>
      </c>
      <c r="G231" s="1">
        <v>8.1999999999999993</v>
      </c>
      <c r="H231" s="1">
        <v>0</v>
      </c>
      <c r="I231" s="1">
        <v>2.0000000000000001E-4</v>
      </c>
      <c r="J231" s="1">
        <v>2.0011999999999999</v>
      </c>
      <c r="K231" s="1">
        <v>1.864E-3</v>
      </c>
      <c r="L231" s="1">
        <v>2.3219999999999998E-3</v>
      </c>
      <c r="M231" s="1">
        <v>-0.62250000000000005</v>
      </c>
      <c r="N231" s="1">
        <v>0.78261400000000003</v>
      </c>
      <c r="O231">
        <v>1</v>
      </c>
      <c r="P231">
        <v>0</v>
      </c>
      <c r="Q231">
        <v>1</v>
      </c>
      <c r="R231">
        <v>1</v>
      </c>
      <c r="S231">
        <v>1</v>
      </c>
      <c r="T231" s="1">
        <f>SQRT(POWER(Batmobile[[#This Row],[angvel_X]],2) + POWER(Batmobile[[#This Row],[angvel_Y]],2) + POWER(Batmobile[[#This Row],[angvel_Z]],2))</f>
        <v>2.0012000099940033</v>
      </c>
      <c r="U231" s="1">
        <f>DEGREES(ASIN(MAX(-1,MIN(1,2 * (Batmobile[[#This Row],[quart_W]]*Batmobile[[#This Row],[quart_Y]] - Batmobile[[#This Row],[quart_Z]]*Batmobile[[#This Row],[quart_X]])))))</f>
        <v>0.34120637170830725</v>
      </c>
      <c r="V23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166.99825422957218</v>
      </c>
      <c r="W23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89.998470462502326</v>
      </c>
      <c r="X231" s="1">
        <f>IF(Batmobile[[#This Row],[Yaw]]&gt;V230,(360-ABS(Batmobile[[#This Row],[Yaw]])-ABS(V230)),ABS(Batmobile[[#This Row],[Yaw]]-V230))</f>
        <v>0.95580591658065828</v>
      </c>
      <c r="Y231" s="1">
        <f>Batmobile[[#This Row],[Degree change]]+Y230</f>
        <v>162.15228984710075</v>
      </c>
    </row>
    <row r="232" spans="1:25">
      <c r="A232">
        <v>231</v>
      </c>
      <c r="B232" s="1">
        <v>-1907.119995</v>
      </c>
      <c r="C232" s="1">
        <v>1314.829956</v>
      </c>
      <c r="D232" s="1">
        <v>18.649999999999999</v>
      </c>
      <c r="E232" s="1">
        <v>416.209991</v>
      </c>
      <c r="F232" s="1">
        <v>-2262.01001</v>
      </c>
      <c r="G232" s="1">
        <v>8.1999999999999993</v>
      </c>
      <c r="H232" s="1">
        <v>0</v>
      </c>
      <c r="I232" s="1">
        <v>2.0000000000000001E-4</v>
      </c>
      <c r="J232" s="1">
        <v>2.0011999999999999</v>
      </c>
      <c r="K232" s="1">
        <v>1.8420000000000001E-3</v>
      </c>
      <c r="L232" s="1">
        <v>2.3389999999999999E-3</v>
      </c>
      <c r="M232" s="1">
        <v>-0.61595</v>
      </c>
      <c r="N232" s="1">
        <v>0.78777900000000001</v>
      </c>
      <c r="O232">
        <v>1</v>
      </c>
      <c r="P232">
        <v>0</v>
      </c>
      <c r="Q232">
        <v>1</v>
      </c>
      <c r="R232">
        <v>1</v>
      </c>
      <c r="S232">
        <v>1</v>
      </c>
      <c r="T232" s="1">
        <f>SQRT(POWER(Batmobile[[#This Row],[angvel_X]],2) + POWER(Batmobile[[#This Row],[angvel_Y]],2) + POWER(Batmobile[[#This Row],[angvel_Z]],2))</f>
        <v>2.0012000099940033</v>
      </c>
      <c r="U232" s="1">
        <f>DEGREES(ASIN(MAX(-1,MIN(1,2 * (Batmobile[[#This Row],[quart_W]]*Batmobile[[#This Row],[quart_Y]] - Batmobile[[#This Row],[quart_Z]]*Batmobile[[#This Row],[quart_X]])))))</f>
        <v>0.34116343039582847</v>
      </c>
      <c r="V23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166.04234585725337</v>
      </c>
      <c r="W23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89.998810304469814</v>
      </c>
      <c r="X232" s="1">
        <f>IF(Batmobile[[#This Row],[Yaw]]&gt;V231,(360-ABS(Batmobile[[#This Row],[Yaw]])-ABS(V231)),ABS(Batmobile[[#This Row],[Yaw]]-V231))</f>
        <v>0.95590837231881665</v>
      </c>
      <c r="Y232" s="1">
        <f>Batmobile[[#This Row],[Degree change]]+Y231</f>
        <v>163.10819821941956</v>
      </c>
    </row>
    <row r="233" spans="1:25">
      <c r="A233">
        <v>232</v>
      </c>
      <c r="B233" s="1">
        <v>-1903.630005</v>
      </c>
      <c r="C233" s="1">
        <v>1295.9099120000001</v>
      </c>
      <c r="D233" s="1">
        <v>18.649999999999999</v>
      </c>
      <c r="E233" s="1">
        <v>453.86999500000002</v>
      </c>
      <c r="F233" s="1">
        <v>-2254.75</v>
      </c>
      <c r="G233" s="1">
        <v>8.1999999999999993</v>
      </c>
      <c r="H233" s="1">
        <v>0</v>
      </c>
      <c r="I233" s="1">
        <v>2.0000000000000001E-4</v>
      </c>
      <c r="J233" s="1">
        <v>2.0011999999999999</v>
      </c>
      <c r="K233" s="1">
        <v>1.8209999999999999E-3</v>
      </c>
      <c r="L233" s="1">
        <v>2.3549999999999999E-3</v>
      </c>
      <c r="M233" s="1">
        <v>-0.60935799999999996</v>
      </c>
      <c r="N233" s="1">
        <v>0.79288999999999998</v>
      </c>
      <c r="O233">
        <v>1</v>
      </c>
      <c r="P233">
        <v>0</v>
      </c>
      <c r="Q233">
        <v>1</v>
      </c>
      <c r="R233">
        <v>1</v>
      </c>
      <c r="S233">
        <v>1</v>
      </c>
      <c r="T233" s="1">
        <f>SQRT(POWER(Batmobile[[#This Row],[angvel_X]],2) + POWER(Batmobile[[#This Row],[angvel_Y]],2) + POWER(Batmobile[[#This Row],[angvel_Z]],2))</f>
        <v>2.0012000099940033</v>
      </c>
      <c r="U233" s="1">
        <f>DEGREES(ASIN(MAX(-1,MIN(1,2 * (Batmobile[[#This Row],[quart_W]]*Batmobile[[#This Row],[quart_Y]] - Batmobile[[#This Row],[quart_Z]]*Batmobile[[#This Row],[quart_X]])))))</f>
        <v>0.34112926855684794</v>
      </c>
      <c r="V23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165.08658716251165</v>
      </c>
      <c r="W23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89.998989903340828</v>
      </c>
      <c r="X233" s="1">
        <f>IF(Batmobile[[#This Row],[Yaw]]&gt;V232,(360-ABS(Batmobile[[#This Row],[Yaw]])-ABS(V232)),ABS(Batmobile[[#This Row],[Yaw]]-V232))</f>
        <v>0.95575869474171782</v>
      </c>
      <c r="Y233" s="1">
        <f>Batmobile[[#This Row],[Degree change]]+Y232</f>
        <v>164.06395691416128</v>
      </c>
    </row>
    <row r="234" spans="1:25">
      <c r="A234">
        <v>233</v>
      </c>
      <c r="B234" s="1">
        <v>-1899.829956</v>
      </c>
      <c r="C234" s="1">
        <v>1277.049927</v>
      </c>
      <c r="D234" s="1">
        <v>18.649999999999999</v>
      </c>
      <c r="E234" s="1">
        <v>491.41000400000001</v>
      </c>
      <c r="F234" s="1">
        <v>-2246.8698730000001</v>
      </c>
      <c r="G234" s="1">
        <v>8.1999999999999993</v>
      </c>
      <c r="H234" s="1">
        <v>0</v>
      </c>
      <c r="I234" s="1">
        <v>2.0000000000000001E-4</v>
      </c>
      <c r="J234" s="1">
        <v>2.0011999999999999</v>
      </c>
      <c r="K234" s="1">
        <v>1.799E-3</v>
      </c>
      <c r="L234" s="1">
        <v>2.3709999999999998E-3</v>
      </c>
      <c r="M234" s="1">
        <v>-0.60272800000000004</v>
      </c>
      <c r="N234" s="1">
        <v>0.79794100000000001</v>
      </c>
      <c r="O234">
        <v>1</v>
      </c>
      <c r="P234">
        <v>0</v>
      </c>
      <c r="Q234">
        <v>1</v>
      </c>
      <c r="R234">
        <v>1</v>
      </c>
      <c r="S234">
        <v>1</v>
      </c>
      <c r="T234" s="1">
        <f>SQRT(POWER(Batmobile[[#This Row],[angvel_X]],2) + POWER(Batmobile[[#This Row],[angvel_Y]],2) + POWER(Batmobile[[#This Row],[angvel_Z]],2))</f>
        <v>2.0012000099940033</v>
      </c>
      <c r="U234" s="1">
        <f>DEGREES(ASIN(MAX(-1,MIN(1,2 * (Batmobile[[#This Row],[quart_W]]*Batmobile[[#This Row],[quart_Y]] - Batmobile[[#This Row],[quart_Z]]*Batmobile[[#This Row],[quart_X]])))))</f>
        <v>0.34105236651775539</v>
      </c>
      <c r="V23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164.13143232141385</v>
      </c>
      <c r="W23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89.999263418650756</v>
      </c>
      <c r="X234" s="1">
        <f>IF(Batmobile[[#This Row],[Yaw]]&gt;V233,(360-ABS(Batmobile[[#This Row],[Yaw]])-ABS(V233)),ABS(Batmobile[[#This Row],[Yaw]]-V233))</f>
        <v>0.95515484109779436</v>
      </c>
      <c r="Y234" s="1">
        <f>Batmobile[[#This Row],[Degree change]]+Y233</f>
        <v>165.01911175525908</v>
      </c>
    </row>
    <row r="235" spans="1:25">
      <c r="A235">
        <v>234</v>
      </c>
      <c r="B235" s="1">
        <v>-1895.719971</v>
      </c>
      <c r="C235" s="1">
        <v>1258.26001</v>
      </c>
      <c r="D235" s="1">
        <v>18.649999999999999</v>
      </c>
      <c r="E235" s="1">
        <v>528.80999799999995</v>
      </c>
      <c r="F235" s="1">
        <v>-2238.3598630000001</v>
      </c>
      <c r="G235" s="1">
        <v>8.1999999999999993</v>
      </c>
      <c r="H235" s="1">
        <v>0</v>
      </c>
      <c r="I235" s="1">
        <v>2.0000000000000001E-4</v>
      </c>
      <c r="J235" s="1">
        <v>2.0011999999999999</v>
      </c>
      <c r="K235" s="1">
        <v>1.7780000000000001E-3</v>
      </c>
      <c r="L235" s="1">
        <v>2.3869999999999998E-3</v>
      </c>
      <c r="M235" s="1">
        <v>-0.59605399999999997</v>
      </c>
      <c r="N235" s="1">
        <v>0.80293800000000004</v>
      </c>
      <c r="O235">
        <v>1</v>
      </c>
      <c r="P235">
        <v>0</v>
      </c>
      <c r="Q235">
        <v>1</v>
      </c>
      <c r="R235">
        <v>1</v>
      </c>
      <c r="S235">
        <v>1</v>
      </c>
      <c r="T235" s="1">
        <f>SQRT(POWER(Batmobile[[#This Row],[angvel_X]],2) + POWER(Batmobile[[#This Row],[angvel_Y]],2) + POWER(Batmobile[[#This Row],[angvel_Z]],2))</f>
        <v>2.0012000099940033</v>
      </c>
      <c r="U235" s="1">
        <f>DEGREES(ASIN(MAX(-1,MIN(1,2 * (Batmobile[[#This Row],[quart_W]]*Batmobile[[#This Row],[quart_Y]] - Batmobile[[#This Row],[quart_Z]]*Batmobile[[#This Row],[quart_X]])))))</f>
        <v>0.3410719889510162</v>
      </c>
      <c r="V23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163.17597046554977</v>
      </c>
      <c r="W23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89.999445038602062</v>
      </c>
      <c r="X235" s="1">
        <f>IF(Batmobile[[#This Row],[Yaw]]&gt;V234,(360-ABS(Batmobile[[#This Row],[Yaw]])-ABS(V234)),ABS(Batmobile[[#This Row],[Yaw]]-V234))</f>
        <v>0.95546185586408683</v>
      </c>
      <c r="Y235" s="1">
        <f>Batmobile[[#This Row],[Degree change]]+Y234</f>
        <v>165.97457361112316</v>
      </c>
    </row>
    <row r="236" spans="1:25">
      <c r="A236">
        <v>235</v>
      </c>
      <c r="B236" s="1">
        <v>-1891.2899170000001</v>
      </c>
      <c r="C236" s="1">
        <v>1239.5399170000001</v>
      </c>
      <c r="D236" s="1">
        <v>18.649999999999999</v>
      </c>
      <c r="E236" s="1">
        <v>566.05999799999995</v>
      </c>
      <c r="F236" s="1">
        <v>-2229.2299800000001</v>
      </c>
      <c r="G236" s="1">
        <v>8.1999999999999993</v>
      </c>
      <c r="H236" s="1">
        <v>1E-4</v>
      </c>
      <c r="I236" s="1">
        <v>2.0000000000000001E-4</v>
      </c>
      <c r="J236" s="1">
        <v>2.0011999999999999</v>
      </c>
      <c r="K236" s="1">
        <v>1.756E-3</v>
      </c>
      <c r="L236" s="1">
        <v>2.4030000000000002E-3</v>
      </c>
      <c r="M236" s="1">
        <v>-0.58933800000000003</v>
      </c>
      <c r="N236" s="1">
        <v>0.80788099999999996</v>
      </c>
      <c r="O236">
        <v>1</v>
      </c>
      <c r="P236">
        <v>0</v>
      </c>
      <c r="Q236">
        <v>1</v>
      </c>
      <c r="R236">
        <v>1</v>
      </c>
      <c r="S236">
        <v>1</v>
      </c>
      <c r="T236" s="1">
        <f>SQRT(POWER(Batmobile[[#This Row],[angvel_X]],2) + POWER(Batmobile[[#This Row],[angvel_Y]],2) + POWER(Batmobile[[#This Row],[angvel_Z]],2))</f>
        <v>2.0012000124925042</v>
      </c>
      <c r="U236" s="1">
        <f>DEGREES(ASIN(MAX(-1,MIN(1,2 * (Batmobile[[#This Row],[quart_W]]*Batmobile[[#This Row],[quart_Y]] - Batmobile[[#This Row],[quart_Z]]*Batmobile[[#This Row],[quart_X]])))))</f>
        <v>0.34105119628802283</v>
      </c>
      <c r="V23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162.22045690221739</v>
      </c>
      <c r="W23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89.999718120168339</v>
      </c>
      <c r="X236" s="1">
        <f>IF(Batmobile[[#This Row],[Yaw]]&gt;V235,(360-ABS(Batmobile[[#This Row],[Yaw]])-ABS(V235)),ABS(Batmobile[[#This Row],[Yaw]]-V235))</f>
        <v>0.95551356333237436</v>
      </c>
      <c r="Y236" s="1">
        <f>Batmobile[[#This Row],[Degree change]]+Y235</f>
        <v>166.93008717445554</v>
      </c>
    </row>
    <row r="237" spans="1:25">
      <c r="A237">
        <v>236</v>
      </c>
      <c r="B237" s="1">
        <v>-1886.549927</v>
      </c>
      <c r="C237" s="1">
        <v>1220.900024</v>
      </c>
      <c r="D237" s="1">
        <v>18.649999999999999</v>
      </c>
      <c r="E237" s="1">
        <v>603.15997300000004</v>
      </c>
      <c r="F237" s="1">
        <v>-2219.4799800000001</v>
      </c>
      <c r="G237" s="1">
        <v>8.1999999999999993</v>
      </c>
      <c r="H237" s="1">
        <v>1E-4</v>
      </c>
      <c r="I237" s="1">
        <v>1E-4</v>
      </c>
      <c r="J237" s="1">
        <v>2.0011999999999999</v>
      </c>
      <c r="K237" s="1">
        <v>1.7340000000000001E-3</v>
      </c>
      <c r="L237" s="1">
        <v>2.4199999999999998E-3</v>
      </c>
      <c r="M237" s="1">
        <v>-0.58258399999999999</v>
      </c>
      <c r="N237" s="1">
        <v>0.81276499999999996</v>
      </c>
      <c r="O237">
        <v>1</v>
      </c>
      <c r="P237">
        <v>0</v>
      </c>
      <c r="Q237">
        <v>1</v>
      </c>
      <c r="R237">
        <v>1</v>
      </c>
      <c r="S237">
        <v>1</v>
      </c>
      <c r="T237" s="1">
        <f>SQRT(POWER(Batmobile[[#This Row],[angvel_X]],2) + POWER(Batmobile[[#This Row],[angvel_Y]],2) + POWER(Batmobile[[#This Row],[angvel_Z]],2))</f>
        <v>2.0012000049970018</v>
      </c>
      <c r="U237" s="1">
        <f>DEGREES(ASIN(MAX(-1,MIN(1,2 * (Batmobile[[#This Row],[quart_W]]*Batmobile[[#This Row],[quart_Y]] - Batmobile[[#This Row],[quart_Z]]*Batmobile[[#This Row],[quart_X]])))))</f>
        <v>0.34115162439117575</v>
      </c>
      <c r="V23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161.265350047911</v>
      </c>
      <c r="W23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90.000059447716865</v>
      </c>
      <c r="X237" s="1">
        <f>IF(Batmobile[[#This Row],[Yaw]]&gt;V236,(360-ABS(Batmobile[[#This Row],[Yaw]])-ABS(V236)),ABS(Batmobile[[#This Row],[Yaw]]-V236))</f>
        <v>0.95510685430639342</v>
      </c>
      <c r="Y237" s="1">
        <f>Batmobile[[#This Row],[Degree change]]+Y236</f>
        <v>167.88519402876193</v>
      </c>
    </row>
    <row r="238" spans="1:25">
      <c r="A238">
        <v>237</v>
      </c>
      <c r="B238" s="1">
        <v>-1881.5</v>
      </c>
      <c r="C238" s="1">
        <v>1202.339966</v>
      </c>
      <c r="D238" s="1">
        <v>18.649999999999999</v>
      </c>
      <c r="E238" s="1">
        <v>640.089966</v>
      </c>
      <c r="F238" s="1">
        <v>-2209.1198730000001</v>
      </c>
      <c r="G238" s="1">
        <v>8.1999999999999993</v>
      </c>
      <c r="H238" s="1">
        <v>1E-4</v>
      </c>
      <c r="I238" s="1">
        <v>1E-4</v>
      </c>
      <c r="J238" s="1">
        <v>2.0011999999999999</v>
      </c>
      <c r="K238" s="1">
        <v>1.7129999999999999E-3</v>
      </c>
      <c r="L238" s="1">
        <v>2.4359999999999998E-3</v>
      </c>
      <c r="M238" s="1">
        <v>-0.57578600000000002</v>
      </c>
      <c r="N238" s="1">
        <v>0.81759499999999996</v>
      </c>
      <c r="O238">
        <v>1</v>
      </c>
      <c r="P238">
        <v>0</v>
      </c>
      <c r="Q238">
        <v>1</v>
      </c>
      <c r="R238">
        <v>1</v>
      </c>
      <c r="S238">
        <v>1</v>
      </c>
      <c r="T238" s="1">
        <f>SQRT(POWER(Batmobile[[#This Row],[angvel_X]],2) + POWER(Batmobile[[#This Row],[angvel_Y]],2) + POWER(Batmobile[[#This Row],[angvel_Z]],2))</f>
        <v>2.0012000049970018</v>
      </c>
      <c r="U238" s="1">
        <f>DEGREES(ASIN(MAX(-1,MIN(1,2 * (Batmobile[[#This Row],[quart_W]]*Batmobile[[#This Row],[quart_Y]] - Batmobile[[#This Row],[quart_Z]]*Batmobile[[#This Row],[quart_X]])))))</f>
        <v>0.34125371375867342</v>
      </c>
      <c r="V23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160.30974785974638</v>
      </c>
      <c r="W23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90.00023771993655</v>
      </c>
      <c r="X238" s="1">
        <f>IF(Batmobile[[#This Row],[Yaw]]&gt;V237,(360-ABS(Batmobile[[#This Row],[Yaw]])-ABS(V237)),ABS(Batmobile[[#This Row],[Yaw]]-V237))</f>
        <v>0.95560218816461884</v>
      </c>
      <c r="Y238" s="1">
        <f>Batmobile[[#This Row],[Degree change]]+Y237</f>
        <v>168.84079621692655</v>
      </c>
    </row>
    <row r="239" spans="1:25">
      <c r="A239">
        <v>238</v>
      </c>
      <c r="B239" s="1">
        <v>-1876.1400149999999</v>
      </c>
      <c r="C239" s="1">
        <v>1183.869995</v>
      </c>
      <c r="D239" s="1">
        <v>18.649999999999999</v>
      </c>
      <c r="E239" s="1">
        <v>676.839966</v>
      </c>
      <c r="F239" s="1">
        <v>-2198.1298830000001</v>
      </c>
      <c r="G239" s="1">
        <v>8.1999999999999993</v>
      </c>
      <c r="H239" s="1">
        <v>1E-4</v>
      </c>
      <c r="I239" s="1">
        <v>0</v>
      </c>
      <c r="J239" s="1">
        <v>2.0011999999999999</v>
      </c>
      <c r="K239" s="1">
        <v>1.691E-3</v>
      </c>
      <c r="L239" s="1">
        <v>2.4520000000000002E-3</v>
      </c>
      <c r="M239" s="1">
        <v>-0.56895099999999998</v>
      </c>
      <c r="N239" s="1">
        <v>0.82236600000000004</v>
      </c>
      <c r="O239">
        <v>1</v>
      </c>
      <c r="P239">
        <v>0</v>
      </c>
      <c r="Q239">
        <v>1</v>
      </c>
      <c r="R239">
        <v>1</v>
      </c>
      <c r="S239">
        <v>1</v>
      </c>
      <c r="T239" s="1">
        <f>SQRT(POWER(Batmobile[[#This Row],[angvel_X]],2) + POWER(Batmobile[[#This Row],[angvel_Y]],2) + POWER(Batmobile[[#This Row],[angvel_Z]],2))</f>
        <v>2.0012000024985008</v>
      </c>
      <c r="U239" s="1">
        <f>DEGREES(ASIN(MAX(-1,MIN(1,2 * (Batmobile[[#This Row],[quart_W]]*Batmobile[[#This Row],[quart_Y]] - Batmobile[[#This Row],[quart_Z]]*Batmobile[[#This Row],[quart_X]])))))</f>
        <v>0.34131728283489959</v>
      </c>
      <c r="V23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159.35456878541169</v>
      </c>
      <c r="W23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90.000509591517002</v>
      </c>
      <c r="X239" s="1">
        <f>IF(Batmobile[[#This Row],[Yaw]]&gt;V238,(360-ABS(Batmobile[[#This Row],[Yaw]])-ABS(V238)),ABS(Batmobile[[#This Row],[Yaw]]-V238))</f>
        <v>0.95517907433469418</v>
      </c>
      <c r="Y239" s="1">
        <f>Batmobile[[#This Row],[Degree change]]+Y238</f>
        <v>169.79597529126124</v>
      </c>
    </row>
    <row r="240" spans="1:25">
      <c r="A240">
        <v>239</v>
      </c>
      <c r="B240" s="1">
        <v>-1870.4799800000001</v>
      </c>
      <c r="C240" s="1">
        <v>1165.48999</v>
      </c>
      <c r="D240" s="1">
        <v>18.649999999999999</v>
      </c>
      <c r="E240" s="1">
        <v>713.39996299999996</v>
      </c>
      <c r="F240" s="1">
        <v>-2186.540039</v>
      </c>
      <c r="G240" s="1">
        <v>8.1999999999999993</v>
      </c>
      <c r="H240" s="1">
        <v>1E-4</v>
      </c>
      <c r="I240" s="1">
        <v>0</v>
      </c>
      <c r="J240" s="1">
        <v>2.0011999999999999</v>
      </c>
      <c r="K240" s="1">
        <v>1.67E-3</v>
      </c>
      <c r="L240" s="1">
        <v>2.4680000000000001E-3</v>
      </c>
      <c r="M240" s="1">
        <v>-0.56207200000000002</v>
      </c>
      <c r="N240" s="1">
        <v>0.82708300000000001</v>
      </c>
      <c r="O240">
        <v>1</v>
      </c>
      <c r="P240">
        <v>0</v>
      </c>
      <c r="Q240">
        <v>1</v>
      </c>
      <c r="R240">
        <v>1</v>
      </c>
      <c r="S240">
        <v>1</v>
      </c>
      <c r="T240" s="1">
        <f>SQRT(POWER(Batmobile[[#This Row],[angvel_X]],2) + POWER(Batmobile[[#This Row],[angvel_Y]],2) + POWER(Batmobile[[#This Row],[angvel_Z]],2))</f>
        <v>2.0012000024985008</v>
      </c>
      <c r="U240" s="1">
        <f>DEGREES(ASIN(MAX(-1,MIN(1,2 * (Batmobile[[#This Row],[quart_W]]*Batmobile[[#This Row],[quart_Y]] - Batmobile[[#This Row],[quart_Z]]*Batmobile[[#This Row],[quart_X]])))))</f>
        <v>0.34147353245982814</v>
      </c>
      <c r="V24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158.39877287174104</v>
      </c>
      <c r="W24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90.000683560644362</v>
      </c>
      <c r="X240" s="1">
        <f>IF(Batmobile[[#This Row],[Yaw]]&gt;V239,(360-ABS(Batmobile[[#This Row],[Yaw]])-ABS(V239)),ABS(Batmobile[[#This Row],[Yaw]]-V239))</f>
        <v>0.95579591367064154</v>
      </c>
      <c r="Y240" s="1">
        <f>Batmobile[[#This Row],[Degree change]]+Y239</f>
        <v>170.75177120493188</v>
      </c>
    </row>
    <row r="241" spans="1:25">
      <c r="A241">
        <v>240</v>
      </c>
      <c r="B241" s="1">
        <v>-1864.51001</v>
      </c>
      <c r="C241" s="1">
        <v>1147.1999510000001</v>
      </c>
      <c r="D241" s="1">
        <v>18.649999999999999</v>
      </c>
      <c r="E241" s="1">
        <v>749.76000999999997</v>
      </c>
      <c r="F241" s="1">
        <v>-2174.3398440000001</v>
      </c>
      <c r="G241" s="1">
        <v>8.1999999999999993</v>
      </c>
      <c r="H241" s="1">
        <v>1E-4</v>
      </c>
      <c r="I241" s="1">
        <v>0</v>
      </c>
      <c r="J241" s="1">
        <v>2.0011999999999999</v>
      </c>
      <c r="K241" s="1">
        <v>1.6479999999999999E-3</v>
      </c>
      <c r="L241" s="1">
        <v>2.4840000000000001E-3</v>
      </c>
      <c r="M241" s="1">
        <v>-0.55515599999999998</v>
      </c>
      <c r="N241" s="1">
        <v>0.83174099999999995</v>
      </c>
      <c r="O241">
        <v>1</v>
      </c>
      <c r="P241">
        <v>0</v>
      </c>
      <c r="Q241">
        <v>1</v>
      </c>
      <c r="R241">
        <v>1</v>
      </c>
      <c r="S241">
        <v>1</v>
      </c>
      <c r="T241" s="1">
        <f>SQRT(POWER(Batmobile[[#This Row],[angvel_X]],2) + POWER(Batmobile[[#This Row],[angvel_Y]],2) + POWER(Batmobile[[#This Row],[angvel_Z]],2))</f>
        <v>2.0012000024985008</v>
      </c>
      <c r="U241" s="1">
        <f>DEGREES(ASIN(MAX(-1,MIN(1,2 * (Batmobile[[#This Row],[quart_W]]*Batmobile[[#This Row],[quart_Y]] - Batmobile[[#This Row],[quart_Z]]*Batmobile[[#This Row],[quart_X]])))))</f>
        <v>0.34159278405516719</v>
      </c>
      <c r="V24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157.4432657273814</v>
      </c>
      <c r="W24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90.000950936159811</v>
      </c>
      <c r="X241" s="1">
        <f>IF(Batmobile[[#This Row],[Yaw]]&gt;V240,(360-ABS(Batmobile[[#This Row],[Yaw]])-ABS(V240)),ABS(Batmobile[[#This Row],[Yaw]]-V240))</f>
        <v>0.95550714435964323</v>
      </c>
      <c r="Y241" s="1">
        <f>Batmobile[[#This Row],[Degree change]]+Y240</f>
        <v>171.70727834929153</v>
      </c>
    </row>
    <row r="242" spans="1:25">
      <c r="A242">
        <v>241</v>
      </c>
      <c r="B242" s="1">
        <v>-1858.23999</v>
      </c>
      <c r="C242" s="1">
        <v>1129.0200199999999</v>
      </c>
      <c r="D242" s="1">
        <v>18.649999999999999</v>
      </c>
      <c r="E242" s="1">
        <v>785.90997300000004</v>
      </c>
      <c r="F242" s="1">
        <v>-2161.540039</v>
      </c>
      <c r="G242" s="1">
        <v>8.1999999999999993</v>
      </c>
      <c r="H242" s="1">
        <v>1E-4</v>
      </c>
      <c r="I242" s="1">
        <v>0</v>
      </c>
      <c r="J242" s="1">
        <v>2.0011999999999999</v>
      </c>
      <c r="K242" s="1">
        <v>1.627E-3</v>
      </c>
      <c r="L242" s="1">
        <v>2.5000000000000001E-3</v>
      </c>
      <c r="M242" s="1">
        <v>-0.54820199999999997</v>
      </c>
      <c r="N242" s="1">
        <v>0.83633999999999997</v>
      </c>
      <c r="O242">
        <v>1</v>
      </c>
      <c r="P242">
        <v>0</v>
      </c>
      <c r="Q242">
        <v>1</v>
      </c>
      <c r="R242">
        <v>1</v>
      </c>
      <c r="S242">
        <v>1</v>
      </c>
      <c r="T242" s="1">
        <f>SQRT(POWER(Batmobile[[#This Row],[angvel_X]],2) + POWER(Batmobile[[#This Row],[angvel_Y]],2) + POWER(Batmobile[[#This Row],[angvel_Z]],2))</f>
        <v>2.0012000024985008</v>
      </c>
      <c r="U242" s="1">
        <f>DEGREES(ASIN(MAX(-1,MIN(1,2 * (Batmobile[[#This Row],[quart_W]]*Batmobile[[#This Row],[quart_Y]] - Batmobile[[#This Row],[quart_Z]]*Batmobile[[#This Row],[quart_X]])))))</f>
        <v>0.34180282517990612</v>
      </c>
      <c r="V24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156.48782116742817</v>
      </c>
      <c r="W24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90.001120704762755</v>
      </c>
      <c r="X242" s="1">
        <f>IF(Batmobile[[#This Row],[Yaw]]&gt;V241,(360-ABS(Batmobile[[#This Row],[Yaw]])-ABS(V241)),ABS(Batmobile[[#This Row],[Yaw]]-V241))</f>
        <v>0.95544455995323574</v>
      </c>
      <c r="Y242" s="1">
        <f>Batmobile[[#This Row],[Degree change]]+Y241</f>
        <v>172.66272290924476</v>
      </c>
    </row>
    <row r="243" spans="1:25">
      <c r="A243">
        <v>242</v>
      </c>
      <c r="B243" s="1">
        <v>-1851.6599120000001</v>
      </c>
      <c r="C243" s="1">
        <v>1110.9399410000001</v>
      </c>
      <c r="D243" s="1">
        <v>18.649999999999999</v>
      </c>
      <c r="E243" s="1">
        <v>821.839966</v>
      </c>
      <c r="F243" s="1">
        <v>-2148.1298830000001</v>
      </c>
      <c r="G243" s="1">
        <v>8.1999999999999993</v>
      </c>
      <c r="H243" s="1">
        <v>1E-4</v>
      </c>
      <c r="I243" s="1">
        <v>0</v>
      </c>
      <c r="J243" s="1">
        <v>2.0011999999999999</v>
      </c>
      <c r="K243" s="1">
        <v>1.6050000000000001E-3</v>
      </c>
      <c r="L243" s="1">
        <v>2.5170000000000001E-3</v>
      </c>
      <c r="M243" s="1">
        <v>-0.541211</v>
      </c>
      <c r="N243" s="1">
        <v>0.84088200000000002</v>
      </c>
      <c r="O243">
        <v>1</v>
      </c>
      <c r="P243">
        <v>0</v>
      </c>
      <c r="Q243">
        <v>1</v>
      </c>
      <c r="R243">
        <v>1</v>
      </c>
      <c r="S243">
        <v>1</v>
      </c>
      <c r="T243" s="1">
        <f>SQRT(POWER(Batmobile[[#This Row],[angvel_X]],2) + POWER(Batmobile[[#This Row],[angvel_Y]],2) + POWER(Batmobile[[#This Row],[angvel_Z]],2))</f>
        <v>2.0012000024985008</v>
      </c>
      <c r="U243" s="1">
        <f>DEGREES(ASIN(MAX(-1,MIN(1,2 * (Batmobile[[#This Row],[quart_W]]*Batmobile[[#This Row],[quart_Y]] - Batmobile[[#This Row],[quart_Z]]*Batmobile[[#This Row],[quart_X]])))))</f>
        <v>0.34207429684469864</v>
      </c>
      <c r="V24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155.53257503119704</v>
      </c>
      <c r="W24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90.001445309161511</v>
      </c>
      <c r="X243" s="1">
        <f>IF(Batmobile[[#This Row],[Yaw]]&gt;V242,(360-ABS(Batmobile[[#This Row],[Yaw]])-ABS(V242)),ABS(Batmobile[[#This Row],[Yaw]]-V242))</f>
        <v>0.95524613623112486</v>
      </c>
      <c r="Y243" s="1">
        <f>Batmobile[[#This Row],[Degree change]]+Y242</f>
        <v>173.61796904547589</v>
      </c>
    </row>
    <row r="244" spans="1:25">
      <c r="A244">
        <v>243</v>
      </c>
      <c r="B244" s="1">
        <v>-1844.7799070000001</v>
      </c>
      <c r="C244" s="1">
        <v>1092.9799800000001</v>
      </c>
      <c r="D244" s="1">
        <v>18.649999999999999</v>
      </c>
      <c r="E244" s="1">
        <v>857.54998799999998</v>
      </c>
      <c r="F244" s="1">
        <v>-2134.1298830000001</v>
      </c>
      <c r="G244" s="1">
        <v>8.1999999999999993</v>
      </c>
      <c r="H244" s="1">
        <v>1E-4</v>
      </c>
      <c r="I244" s="1">
        <v>0</v>
      </c>
      <c r="J244" s="1">
        <v>2.0011999999999999</v>
      </c>
      <c r="K244" s="1">
        <v>1.583E-3</v>
      </c>
      <c r="L244" s="1">
        <v>2.5330000000000001E-3</v>
      </c>
      <c r="M244" s="1">
        <v>-0.53418100000000002</v>
      </c>
      <c r="N244" s="1">
        <v>0.84536500000000003</v>
      </c>
      <c r="O244">
        <v>1</v>
      </c>
      <c r="P244">
        <v>0</v>
      </c>
      <c r="Q244">
        <v>1</v>
      </c>
      <c r="R244">
        <v>1</v>
      </c>
      <c r="S244">
        <v>1</v>
      </c>
      <c r="T244" s="1">
        <f>SQRT(POWER(Batmobile[[#This Row],[angvel_X]],2) + POWER(Batmobile[[#This Row],[angvel_Y]],2) + POWER(Batmobile[[#This Row],[angvel_Z]],2))</f>
        <v>2.0012000024985008</v>
      </c>
      <c r="U244" s="1">
        <f>DEGREES(ASIN(MAX(-1,MIN(1,2 * (Batmobile[[#This Row],[quart_W]]*Batmobile[[#This Row],[quart_Y]] - Batmobile[[#This Row],[quart_Z]]*Batmobile[[#This Row],[quart_X]])))))</f>
        <v>0.34227763391036786</v>
      </c>
      <c r="V24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154.57710370193527</v>
      </c>
      <c r="W24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90.001703740802085</v>
      </c>
      <c r="X244" s="1">
        <f>IF(Batmobile[[#This Row],[Yaw]]&gt;V243,(360-ABS(Batmobile[[#This Row],[Yaw]])-ABS(V243)),ABS(Batmobile[[#This Row],[Yaw]]-V243))</f>
        <v>0.95547132926176914</v>
      </c>
      <c r="Y244" s="1">
        <f>Batmobile[[#This Row],[Degree change]]+Y243</f>
        <v>174.57344037473766</v>
      </c>
    </row>
    <row r="245" spans="1:25">
      <c r="A245">
        <v>244</v>
      </c>
      <c r="B245" s="1">
        <v>-1837.599976</v>
      </c>
      <c r="C245" s="1">
        <v>1075.130005</v>
      </c>
      <c r="D245" s="1">
        <v>18.649999999999999</v>
      </c>
      <c r="E245" s="1">
        <v>893.01995799999997</v>
      </c>
      <c r="F245" s="1">
        <v>-2119.530029</v>
      </c>
      <c r="G245" s="1">
        <v>8.1999999999999993</v>
      </c>
      <c r="H245" s="1">
        <v>1E-4</v>
      </c>
      <c r="I245" s="1">
        <v>0</v>
      </c>
      <c r="J245" s="1">
        <v>2.0011999999999999</v>
      </c>
      <c r="K245" s="1">
        <v>1.562E-3</v>
      </c>
      <c r="L245" s="1">
        <v>2.5439999999999998E-3</v>
      </c>
      <c r="M245" s="1">
        <v>-0.52711399999999997</v>
      </c>
      <c r="N245" s="1">
        <v>0.84978900000000002</v>
      </c>
      <c r="O245">
        <v>1</v>
      </c>
      <c r="P245">
        <v>0</v>
      </c>
      <c r="Q245">
        <v>1</v>
      </c>
      <c r="R245">
        <v>1</v>
      </c>
      <c r="S245">
        <v>1</v>
      </c>
      <c r="T245" s="1">
        <f>SQRT(POWER(Batmobile[[#This Row],[angvel_X]],2) + POWER(Batmobile[[#This Row],[angvel_Y]],2) + POWER(Batmobile[[#This Row],[angvel_Z]],2))</f>
        <v>2.0012000024985008</v>
      </c>
      <c r="U245" s="1">
        <f>DEGREES(ASIN(MAX(-1,MIN(1,2 * (Batmobile[[#This Row],[quart_W]]*Batmobile[[#This Row],[quart_Y]] - Batmobile[[#This Row],[quart_Z]]*Batmobile[[#This Row],[quart_X]])))))</f>
        <v>0.34208250575733479</v>
      </c>
      <c r="V24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153.62164434650361</v>
      </c>
      <c r="W24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90.00155934366208</v>
      </c>
      <c r="X245" s="1">
        <f>IF(Batmobile[[#This Row],[Yaw]]&gt;V244,(360-ABS(Batmobile[[#This Row],[Yaw]])-ABS(V244)),ABS(Batmobile[[#This Row],[Yaw]]-V244))</f>
        <v>0.95545935543165683</v>
      </c>
      <c r="Y245" s="1">
        <f>Batmobile[[#This Row],[Degree change]]+Y244</f>
        <v>175.52889973016931</v>
      </c>
    </row>
    <row r="246" spans="1:25">
      <c r="A246">
        <v>245</v>
      </c>
      <c r="B246" s="1">
        <v>-1830.130005</v>
      </c>
      <c r="C246" s="1">
        <v>1057.410034</v>
      </c>
      <c r="D246" s="1">
        <v>18.649999999999999</v>
      </c>
      <c r="E246" s="1">
        <v>928.23999000000003</v>
      </c>
      <c r="F246" s="1">
        <v>-2104.3498540000001</v>
      </c>
      <c r="G246" s="1">
        <v>8.1999999999999993</v>
      </c>
      <c r="H246" s="1">
        <v>1E-4</v>
      </c>
      <c r="I246" s="1">
        <v>0</v>
      </c>
      <c r="J246" s="1">
        <v>2.0011999999999999</v>
      </c>
      <c r="K246" s="1">
        <v>1.5399999999999999E-3</v>
      </c>
      <c r="L246" s="1">
        <v>2.5539999999999998E-3</v>
      </c>
      <c r="M246" s="1">
        <v>-0.52000900000000005</v>
      </c>
      <c r="N246" s="1">
        <v>0.854155</v>
      </c>
      <c r="O246">
        <v>1</v>
      </c>
      <c r="P246">
        <v>0</v>
      </c>
      <c r="Q246">
        <v>1</v>
      </c>
      <c r="R246">
        <v>1</v>
      </c>
      <c r="S246">
        <v>1</v>
      </c>
      <c r="T246" s="1">
        <f>SQRT(POWER(Batmobile[[#This Row],[angvel_X]],2) + POWER(Batmobile[[#This Row],[angvel_Y]],2) + POWER(Batmobile[[#This Row],[angvel_Z]],2))</f>
        <v>2.0012000024985008</v>
      </c>
      <c r="U246" s="1">
        <f>DEGREES(ASIN(MAX(-1,MIN(1,2 * (Batmobile[[#This Row],[quart_W]]*Batmobile[[#This Row],[quart_Y]] - Batmobile[[#This Row],[quart_Z]]*Batmobile[[#This Row],[quart_X]])))))</f>
        <v>0.34175138136360578</v>
      </c>
      <c r="V24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152.66600928150265</v>
      </c>
      <c r="W24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90.001455829836544</v>
      </c>
      <c r="X246" s="1">
        <f>IF(Batmobile[[#This Row],[Yaw]]&gt;V245,(360-ABS(Batmobile[[#This Row],[Yaw]])-ABS(V245)),ABS(Batmobile[[#This Row],[Yaw]]-V245))</f>
        <v>0.95563506500096196</v>
      </c>
      <c r="Y246" s="1">
        <f>Batmobile[[#This Row],[Degree change]]+Y245</f>
        <v>176.48453479517028</v>
      </c>
    </row>
    <row r="247" spans="1:25">
      <c r="A247">
        <v>246</v>
      </c>
      <c r="B247" s="1">
        <v>-1822.3599850000001</v>
      </c>
      <c r="C247" s="1">
        <v>1039.809937</v>
      </c>
      <c r="D247" s="1">
        <v>18.649999999999999</v>
      </c>
      <c r="E247" s="1">
        <v>963.19995100000006</v>
      </c>
      <c r="F247" s="1">
        <v>-2088.5798340000001</v>
      </c>
      <c r="G247" s="1">
        <v>8.1999999999999993</v>
      </c>
      <c r="H247" s="1">
        <v>1E-4</v>
      </c>
      <c r="I247" s="1">
        <v>0</v>
      </c>
      <c r="J247" s="1">
        <v>2.0011999999999999</v>
      </c>
      <c r="K247" s="1">
        <v>1.519E-3</v>
      </c>
      <c r="L247" s="1">
        <v>2.565E-3</v>
      </c>
      <c r="M247" s="1">
        <v>-0.51286600000000004</v>
      </c>
      <c r="N247" s="1">
        <v>0.85846299999999998</v>
      </c>
      <c r="O247">
        <v>1</v>
      </c>
      <c r="P247">
        <v>0</v>
      </c>
      <c r="Q247">
        <v>1</v>
      </c>
      <c r="R247">
        <v>1</v>
      </c>
      <c r="S247">
        <v>1</v>
      </c>
      <c r="T247" s="1">
        <f>SQRT(POWER(Batmobile[[#This Row],[angvel_X]],2) + POWER(Batmobile[[#This Row],[angvel_Y]],2) + POWER(Batmobile[[#This Row],[angvel_Z]],2))</f>
        <v>2.0012000024985008</v>
      </c>
      <c r="U247" s="1">
        <f>DEGREES(ASIN(MAX(-1,MIN(1,2 * (Batmobile[[#This Row],[quart_W]]*Batmobile[[#This Row],[quart_Y]] - Batmobile[[#This Row],[quart_Z]]*Batmobile[[#This Row],[quart_X]])))))</f>
        <v>0.34159958140348001</v>
      </c>
      <c r="V24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151.71013788130901</v>
      </c>
      <c r="W24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90.001317367173982</v>
      </c>
      <c r="X247" s="1">
        <f>IF(Batmobile[[#This Row],[Yaw]]&gt;V246,(360-ABS(Batmobile[[#This Row],[Yaw]])-ABS(V246)),ABS(Batmobile[[#This Row],[Yaw]]-V246))</f>
        <v>0.95587140019364369</v>
      </c>
      <c r="Y247" s="1">
        <f>Batmobile[[#This Row],[Degree change]]+Y246</f>
        <v>177.44040619536392</v>
      </c>
    </row>
    <row r="248" spans="1:25">
      <c r="A248">
        <v>247</v>
      </c>
      <c r="B248" s="1">
        <v>-1814.299927</v>
      </c>
      <c r="C248" s="1">
        <v>1022.339966</v>
      </c>
      <c r="D248" s="1">
        <v>18.649999999999999</v>
      </c>
      <c r="E248" s="1">
        <v>997.88995399999999</v>
      </c>
      <c r="F248" s="1">
        <v>-2072.219971</v>
      </c>
      <c r="G248" s="1">
        <v>8.1999999999999993</v>
      </c>
      <c r="H248" s="1">
        <v>1E-4</v>
      </c>
      <c r="I248" s="1">
        <v>0</v>
      </c>
      <c r="J248" s="1">
        <v>2.0011999999999999</v>
      </c>
      <c r="K248" s="1">
        <v>1.4970000000000001E-3</v>
      </c>
      <c r="L248" s="1">
        <v>2.5760000000000002E-3</v>
      </c>
      <c r="M248" s="1">
        <v>-0.505691</v>
      </c>
      <c r="N248" s="1">
        <v>0.86270899999999995</v>
      </c>
      <c r="O248">
        <v>1</v>
      </c>
      <c r="P248">
        <v>0</v>
      </c>
      <c r="Q248">
        <v>1</v>
      </c>
      <c r="R248">
        <v>1</v>
      </c>
      <c r="S248">
        <v>1</v>
      </c>
      <c r="T248" s="1">
        <f>SQRT(POWER(Batmobile[[#This Row],[angvel_X]],2) + POWER(Batmobile[[#This Row],[angvel_Y]],2) + POWER(Batmobile[[#This Row],[angvel_Z]],2))</f>
        <v>2.0012000024985008</v>
      </c>
      <c r="U248" s="1">
        <f>DEGREES(ASIN(MAX(-1,MIN(1,2 * (Batmobile[[#This Row],[quart_W]]*Batmobile[[#This Row],[quart_Y]] - Batmobile[[#This Row],[quart_Z]]*Batmobile[[#This Row],[quart_X]])))))</f>
        <v>0.34141127685433703</v>
      </c>
      <c r="V24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150.75475335988824</v>
      </c>
      <c r="W24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90.00128168843284</v>
      </c>
      <c r="X248" s="1">
        <f>IF(Batmobile[[#This Row],[Yaw]]&gt;V247,(360-ABS(Batmobile[[#This Row],[Yaw]])-ABS(V247)),ABS(Batmobile[[#This Row],[Yaw]]-V247))</f>
        <v>0.95538452142076835</v>
      </c>
      <c r="Y248" s="1">
        <f>Batmobile[[#This Row],[Degree change]]+Y247</f>
        <v>178.39579071678469</v>
      </c>
    </row>
    <row r="249" spans="1:25">
      <c r="A249">
        <v>248</v>
      </c>
      <c r="B249" s="1">
        <v>-1805.9499510000001</v>
      </c>
      <c r="C249" s="1">
        <v>1005.009949</v>
      </c>
      <c r="D249" s="1">
        <v>18.649999999999999</v>
      </c>
      <c r="E249" s="1">
        <v>1032.309937</v>
      </c>
      <c r="F249" s="1">
        <v>-2055.3000489999999</v>
      </c>
      <c r="G249" s="1">
        <v>8.1999999999999993</v>
      </c>
      <c r="H249" s="1">
        <v>1E-4</v>
      </c>
      <c r="I249" s="1">
        <v>0</v>
      </c>
      <c r="J249" s="1">
        <v>2.0011999999999999</v>
      </c>
      <c r="K249" s="1">
        <v>1.475E-3</v>
      </c>
      <c r="L249" s="1">
        <v>2.5869999999999999E-3</v>
      </c>
      <c r="M249" s="1">
        <v>-0.49847799999999998</v>
      </c>
      <c r="N249" s="1">
        <v>0.86689700000000003</v>
      </c>
      <c r="O249">
        <v>1</v>
      </c>
      <c r="P249">
        <v>0</v>
      </c>
      <c r="Q249">
        <v>1</v>
      </c>
      <c r="R249">
        <v>1</v>
      </c>
      <c r="S249">
        <v>1</v>
      </c>
      <c r="T249" s="1">
        <f>SQRT(POWER(Batmobile[[#This Row],[angvel_X]],2) + POWER(Batmobile[[#This Row],[angvel_Y]],2) + POWER(Batmobile[[#This Row],[angvel_Z]],2))</f>
        <v>2.0012000024985008</v>
      </c>
      <c r="U249" s="1">
        <f>DEGREES(ASIN(MAX(-1,MIN(1,2 * (Batmobile[[#This Row],[quart_W]]*Batmobile[[#This Row],[quart_Y]] - Batmobile[[#This Row],[quart_Z]]*Batmobile[[#This Row],[quart_X]])))))</f>
        <v>0.3412462366414204</v>
      </c>
      <c r="V24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149.79900169191217</v>
      </c>
      <c r="W24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90.001247868175</v>
      </c>
      <c r="X249" s="1">
        <f>IF(Batmobile[[#This Row],[Yaw]]&gt;V248,(360-ABS(Batmobile[[#This Row],[Yaw]])-ABS(V248)),ABS(Batmobile[[#This Row],[Yaw]]-V248))</f>
        <v>0.9557516679760738</v>
      </c>
      <c r="Y249" s="1">
        <f>Batmobile[[#This Row],[Degree change]]+Y248</f>
        <v>179.35154238476076</v>
      </c>
    </row>
    <row r="250" spans="1:25">
      <c r="A250">
        <v>249</v>
      </c>
      <c r="B250" s="1">
        <v>-1797.309937</v>
      </c>
      <c r="C250" s="1">
        <v>987.82000700000003</v>
      </c>
      <c r="D250" s="1">
        <v>18.649999999999999</v>
      </c>
      <c r="E250" s="1">
        <v>1066.4399410000001</v>
      </c>
      <c r="F250" s="1">
        <v>-2037.7899170000001</v>
      </c>
      <c r="G250" s="1">
        <v>8.1999999999999993</v>
      </c>
      <c r="H250" s="1">
        <v>1E-4</v>
      </c>
      <c r="I250" s="1">
        <v>0</v>
      </c>
      <c r="J250" s="1">
        <v>2.0011999999999999</v>
      </c>
      <c r="K250" s="1">
        <v>1.454E-3</v>
      </c>
      <c r="L250" s="1">
        <v>2.598E-3</v>
      </c>
      <c r="M250" s="1">
        <v>-0.49123299999999998</v>
      </c>
      <c r="N250" s="1">
        <v>0.87102299999999999</v>
      </c>
      <c r="O250">
        <v>1</v>
      </c>
      <c r="P250">
        <v>0</v>
      </c>
      <c r="Q250">
        <v>1</v>
      </c>
      <c r="R250">
        <v>1</v>
      </c>
      <c r="S250">
        <v>1</v>
      </c>
      <c r="T250" s="1">
        <f>SQRT(POWER(Batmobile[[#This Row],[angvel_X]],2) + POWER(Batmobile[[#This Row],[angvel_Y]],2) + POWER(Batmobile[[#This Row],[angvel_Z]],2))</f>
        <v>2.0012000024985008</v>
      </c>
      <c r="U250" s="1">
        <f>DEGREES(ASIN(MAX(-1,MIN(1,2 * (Batmobile[[#This Row],[quart_W]]*Batmobile[[#This Row],[quart_Y]] - Batmobile[[#This Row],[quart_Z]]*Batmobile[[#This Row],[quart_X]])))))</f>
        <v>0.34116062915550943</v>
      </c>
      <c r="V25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148.84359693709362</v>
      </c>
      <c r="W25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90.001117962692447</v>
      </c>
      <c r="X250" s="1">
        <f>IF(Batmobile[[#This Row],[Yaw]]&gt;V249,(360-ABS(Batmobile[[#This Row],[Yaw]])-ABS(V249)),ABS(Batmobile[[#This Row],[Yaw]]-V249))</f>
        <v>0.95540475481854514</v>
      </c>
      <c r="Y250" s="1">
        <f>Batmobile[[#This Row],[Degree change]]+Y249</f>
        <v>180.30694713957931</v>
      </c>
    </row>
    <row r="251" spans="1:25">
      <c r="A251">
        <v>250</v>
      </c>
      <c r="B251" s="1">
        <v>-1788.3900149999999</v>
      </c>
      <c r="C251" s="1">
        <v>970.77996800000005</v>
      </c>
      <c r="D251" s="1">
        <v>18.649999999999999</v>
      </c>
      <c r="E251" s="1">
        <v>1100.280029</v>
      </c>
      <c r="F251" s="1">
        <v>-2019.7299800000001</v>
      </c>
      <c r="G251" s="1">
        <v>8.1999999999999993</v>
      </c>
      <c r="H251" s="1">
        <v>1E-4</v>
      </c>
      <c r="I251" s="1">
        <v>0</v>
      </c>
      <c r="J251" s="1">
        <v>2.0011999999999999</v>
      </c>
      <c r="K251" s="1">
        <v>1.4319999999999999E-3</v>
      </c>
      <c r="L251" s="1">
        <v>2.6080000000000001E-3</v>
      </c>
      <c r="M251" s="1">
        <v>-0.483956</v>
      </c>
      <c r="N251" s="1">
        <v>0.87508699999999995</v>
      </c>
      <c r="O251">
        <v>1</v>
      </c>
      <c r="P251">
        <v>0</v>
      </c>
      <c r="Q251">
        <v>1</v>
      </c>
      <c r="R251">
        <v>1</v>
      </c>
      <c r="S251">
        <v>1</v>
      </c>
      <c r="T251" s="1">
        <f>SQRT(POWER(Batmobile[[#This Row],[angvel_X]],2) + POWER(Batmobile[[#This Row],[angvel_Y]],2) + POWER(Batmobile[[#This Row],[angvel_Z]],2))</f>
        <v>2.0012000024985008</v>
      </c>
      <c r="U251" s="1">
        <f>DEGREES(ASIN(MAX(-1,MIN(1,2 * (Batmobile[[#This Row],[quart_W]]*Batmobile[[#This Row],[quart_Y]] - Batmobile[[#This Row],[quart_Z]]*Batmobile[[#This Row],[quart_X]])))))</f>
        <v>0.34094076439488163</v>
      </c>
      <c r="V25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147.88846547350954</v>
      </c>
      <c r="W25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90.001035085375548</v>
      </c>
      <c r="X251" s="1">
        <f>IF(Batmobile[[#This Row],[Yaw]]&gt;V250,(360-ABS(Batmobile[[#This Row],[Yaw]])-ABS(V250)),ABS(Batmobile[[#This Row],[Yaw]]-V250))</f>
        <v>0.95513146358408108</v>
      </c>
      <c r="Y251" s="1">
        <f>Batmobile[[#This Row],[Degree change]]+Y250</f>
        <v>181.26207860316339</v>
      </c>
    </row>
    <row r="252" spans="1:25">
      <c r="A252">
        <v>251</v>
      </c>
      <c r="B252" s="1">
        <v>-1779.179932</v>
      </c>
      <c r="C252" s="1">
        <v>953.88995399999999</v>
      </c>
      <c r="D252" s="1">
        <v>18.649999999999999</v>
      </c>
      <c r="E252" s="1">
        <v>1133.799927</v>
      </c>
      <c r="F252" s="1">
        <v>-2001.099976</v>
      </c>
      <c r="G252" s="1">
        <v>8.1999999999999993</v>
      </c>
      <c r="H252" s="1">
        <v>1E-4</v>
      </c>
      <c r="I252" s="1">
        <v>0</v>
      </c>
      <c r="J252" s="1">
        <v>2.0011999999999999</v>
      </c>
      <c r="K252" s="1">
        <v>1.4109999999999999E-3</v>
      </c>
      <c r="L252" s="1">
        <v>2.6189999999999998E-3</v>
      </c>
      <c r="M252" s="1">
        <v>-0.47664000000000001</v>
      </c>
      <c r="N252" s="1">
        <v>0.87909300000000001</v>
      </c>
      <c r="O252">
        <v>1</v>
      </c>
      <c r="P252">
        <v>0</v>
      </c>
      <c r="Q252">
        <v>1</v>
      </c>
      <c r="R252">
        <v>1</v>
      </c>
      <c r="S252">
        <v>1</v>
      </c>
      <c r="T252" s="1">
        <f>SQRT(POWER(Batmobile[[#This Row],[angvel_X]],2) + POWER(Batmobile[[#This Row],[angvel_Y]],2) + POWER(Batmobile[[#This Row],[angvel_Z]],2))</f>
        <v>2.0012000024985008</v>
      </c>
      <c r="U252" s="1">
        <f>DEGREES(ASIN(MAX(-1,MIN(1,2 * (Batmobile[[#This Row],[quart_W]]*Batmobile[[#This Row],[quart_Y]] - Batmobile[[#This Row],[quart_Z]]*Batmobile[[#This Row],[quart_X]])))))</f>
        <v>0.34089856175385175</v>
      </c>
      <c r="V25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146.93262954924225</v>
      </c>
      <c r="W25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90.00090757399235</v>
      </c>
      <c r="X252" s="1">
        <f>IF(Batmobile[[#This Row],[Yaw]]&gt;V251,(360-ABS(Batmobile[[#This Row],[Yaw]])-ABS(V251)),ABS(Batmobile[[#This Row],[Yaw]]-V251))</f>
        <v>0.95583592426729069</v>
      </c>
      <c r="Y252" s="1">
        <f>Batmobile[[#This Row],[Degree change]]+Y251</f>
        <v>182.21791452743068</v>
      </c>
    </row>
    <row r="253" spans="1:25">
      <c r="A253">
        <v>252</v>
      </c>
      <c r="B253" s="1">
        <v>-1769.6899410000001</v>
      </c>
      <c r="C253" s="1">
        <v>937.15997300000004</v>
      </c>
      <c r="D253" s="1">
        <v>18.649999999999999</v>
      </c>
      <c r="E253" s="1">
        <v>1167.01001</v>
      </c>
      <c r="F253" s="1">
        <v>-1981.9099120000001</v>
      </c>
      <c r="G253" s="1">
        <v>8.1999999999999993</v>
      </c>
      <c r="H253" s="1">
        <v>2.0000000000000001E-4</v>
      </c>
      <c r="I253" s="1">
        <v>0</v>
      </c>
      <c r="J253" s="1">
        <v>2.0011999999999999</v>
      </c>
      <c r="K253" s="1">
        <v>1.389E-3</v>
      </c>
      <c r="L253" s="1">
        <v>2.63E-3</v>
      </c>
      <c r="M253" s="1">
        <v>-0.46929199999999999</v>
      </c>
      <c r="N253" s="1">
        <v>0.88303799999999999</v>
      </c>
      <c r="O253">
        <v>1</v>
      </c>
      <c r="P253">
        <v>0</v>
      </c>
      <c r="Q253">
        <v>1</v>
      </c>
      <c r="R253">
        <v>1</v>
      </c>
      <c r="S253">
        <v>1</v>
      </c>
      <c r="T253" s="1">
        <f>SQRT(POWER(Batmobile[[#This Row],[angvel_X]],2) + POWER(Batmobile[[#This Row],[angvel_Y]],2) + POWER(Batmobile[[#This Row],[angvel_Z]],2))</f>
        <v>2.0012000099940033</v>
      </c>
      <c r="U253" s="1">
        <f>DEGREES(ASIN(MAX(-1,MIN(1,2 * (Batmobile[[#This Row],[quart_W]]*Batmobile[[#This Row],[quart_Y]] - Batmobile[[#This Row],[quart_Z]]*Batmobile[[#This Row],[quart_X]])))))</f>
        <v>0.340824410650238</v>
      </c>
      <c r="V25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145.97696798486461</v>
      </c>
      <c r="W25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90.000882161826198</v>
      </c>
      <c r="X253" s="1">
        <f>IF(Batmobile[[#This Row],[Yaw]]&gt;V252,(360-ABS(Batmobile[[#This Row],[Yaw]])-ABS(V252)),ABS(Batmobile[[#This Row],[Yaw]]-V252))</f>
        <v>0.95566156437763539</v>
      </c>
      <c r="Y253" s="1">
        <f>Batmobile[[#This Row],[Degree change]]+Y252</f>
        <v>183.17357609180831</v>
      </c>
    </row>
    <row r="254" spans="1:25">
      <c r="A254">
        <v>253</v>
      </c>
      <c r="B254" s="1">
        <v>-1759.929932</v>
      </c>
      <c r="C254" s="1">
        <v>920.589966</v>
      </c>
      <c r="D254" s="1">
        <v>18.649999999999999</v>
      </c>
      <c r="E254" s="1">
        <v>1199.900024</v>
      </c>
      <c r="F254" s="1">
        <v>-1962.179932</v>
      </c>
      <c r="G254" s="1">
        <v>8.1999999999999993</v>
      </c>
      <c r="H254" s="1">
        <v>2.0000000000000001E-4</v>
      </c>
      <c r="I254" s="1">
        <v>0</v>
      </c>
      <c r="J254" s="1">
        <v>2.0011999999999999</v>
      </c>
      <c r="K254" s="1">
        <v>1.3680000000000001E-3</v>
      </c>
      <c r="L254" s="1">
        <v>2.6410000000000001E-3</v>
      </c>
      <c r="M254" s="1">
        <v>-0.46191199999999999</v>
      </c>
      <c r="N254" s="1">
        <v>0.88692099999999996</v>
      </c>
      <c r="O254">
        <v>1</v>
      </c>
      <c r="P254">
        <v>0</v>
      </c>
      <c r="Q254">
        <v>1</v>
      </c>
      <c r="R254">
        <v>1</v>
      </c>
      <c r="S254">
        <v>1</v>
      </c>
      <c r="T254" s="1">
        <f>SQRT(POWER(Batmobile[[#This Row],[angvel_X]],2) + POWER(Batmobile[[#This Row],[angvel_Y]],2) + POWER(Batmobile[[#This Row],[angvel_Z]],2))</f>
        <v>2.0012000099940033</v>
      </c>
      <c r="U254" s="1">
        <f>DEGREES(ASIN(MAX(-1,MIN(1,2 * (Batmobile[[#This Row],[quart_W]]*Batmobile[[#This Row],[quart_Y]] - Batmobile[[#This Row],[quart_Z]]*Batmobile[[#This Row],[quart_X]])))))</f>
        <v>0.34082641019372822</v>
      </c>
      <c r="V25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145.02138180101326</v>
      </c>
      <c r="W25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90.000756508354485</v>
      </c>
      <c r="X254" s="1">
        <f>IF(Batmobile[[#This Row],[Yaw]]&gt;V253,(360-ABS(Batmobile[[#This Row],[Yaw]])-ABS(V253)),ABS(Batmobile[[#This Row],[Yaw]]-V253))</f>
        <v>0.95558618385135219</v>
      </c>
      <c r="Y254" s="1">
        <f>Batmobile[[#This Row],[Degree change]]+Y253</f>
        <v>184.12916227565967</v>
      </c>
    </row>
    <row r="255" spans="1:25">
      <c r="A255">
        <v>254</v>
      </c>
      <c r="B255" s="1">
        <v>-1749.8900149999999</v>
      </c>
      <c r="C255" s="1">
        <v>904.17999299999997</v>
      </c>
      <c r="D255" s="1">
        <v>18.649999999999999</v>
      </c>
      <c r="E255" s="1">
        <v>1232.459961</v>
      </c>
      <c r="F255" s="1">
        <v>-1941.8900149999999</v>
      </c>
      <c r="G255" s="1">
        <v>8.1999999999999993</v>
      </c>
      <c r="H255" s="1">
        <v>2.0000000000000001E-4</v>
      </c>
      <c r="I255" s="1">
        <v>0</v>
      </c>
      <c r="J255" s="1">
        <v>2.0011999999999999</v>
      </c>
      <c r="K255" s="1">
        <v>1.346E-3</v>
      </c>
      <c r="L255" s="1">
        <v>2.6519999999999998E-3</v>
      </c>
      <c r="M255" s="1">
        <v>-0.45450000000000002</v>
      </c>
      <c r="N255" s="1">
        <v>0.89074200000000003</v>
      </c>
      <c r="O255">
        <v>1</v>
      </c>
      <c r="P255">
        <v>0</v>
      </c>
      <c r="Q255">
        <v>1</v>
      </c>
      <c r="R255">
        <v>1</v>
      </c>
      <c r="S255">
        <v>1</v>
      </c>
      <c r="T255" s="1">
        <f>SQRT(POWER(Batmobile[[#This Row],[angvel_X]],2) + POWER(Batmobile[[#This Row],[angvel_Y]],2) + POWER(Batmobile[[#This Row],[angvel_Z]],2))</f>
        <v>2.0012000099940033</v>
      </c>
      <c r="U255" s="1">
        <f>DEGREES(ASIN(MAX(-1,MIN(1,2 * (Batmobile[[#This Row],[quart_W]]*Batmobile[[#This Row],[quart_Y]] - Batmobile[[#This Row],[quart_Z]]*Batmobile[[#This Row],[quart_X]])))))</f>
        <v>0.34079785427417569</v>
      </c>
      <c r="V25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144.06580364349557</v>
      </c>
      <c r="W25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90.000732856694427</v>
      </c>
      <c r="X255" s="1">
        <f>IF(Batmobile[[#This Row],[Yaw]]&gt;V254,(360-ABS(Batmobile[[#This Row],[Yaw]])-ABS(V254)),ABS(Batmobile[[#This Row],[Yaw]]-V254))</f>
        <v>0.95557815751769226</v>
      </c>
      <c r="Y255" s="1">
        <f>Batmobile[[#This Row],[Degree change]]+Y254</f>
        <v>185.08474043317736</v>
      </c>
    </row>
    <row r="256" spans="1:25">
      <c r="A256">
        <v>255</v>
      </c>
      <c r="B256" s="1">
        <v>-1739.579956</v>
      </c>
      <c r="C256" s="1">
        <v>887.94000200000005</v>
      </c>
      <c r="D256" s="1">
        <v>18.649999999999999</v>
      </c>
      <c r="E256" s="1">
        <v>1264.669922</v>
      </c>
      <c r="F256" s="1">
        <v>-1921.0699460000001</v>
      </c>
      <c r="G256" s="1">
        <v>8.1999999999999993</v>
      </c>
      <c r="H256" s="1">
        <v>2.0000000000000001E-4</v>
      </c>
      <c r="I256" s="1">
        <v>0</v>
      </c>
      <c r="J256" s="1">
        <v>2.0011999999999999</v>
      </c>
      <c r="K256" s="1">
        <v>1.3240000000000001E-3</v>
      </c>
      <c r="L256" s="1">
        <v>2.6619999999999999E-3</v>
      </c>
      <c r="M256" s="1">
        <v>-0.44705499999999998</v>
      </c>
      <c r="N256" s="1">
        <v>0.89450200000000002</v>
      </c>
      <c r="O256">
        <v>1</v>
      </c>
      <c r="P256">
        <v>0</v>
      </c>
      <c r="Q256">
        <v>1</v>
      </c>
      <c r="R256">
        <v>1</v>
      </c>
      <c r="S256">
        <v>1</v>
      </c>
      <c r="T256" s="1">
        <f>SQRT(POWER(Batmobile[[#This Row],[angvel_X]],2) + POWER(Batmobile[[#This Row],[angvel_Y]],2) + POWER(Batmobile[[#This Row],[angvel_Z]],2))</f>
        <v>2.0012000099940033</v>
      </c>
      <c r="U256" s="1">
        <f>DEGREES(ASIN(MAX(-1,MIN(1,2 * (Batmobile[[#This Row],[quart_W]]*Batmobile[[#This Row],[quart_Y]] - Batmobile[[#This Row],[quart_Z]]*Batmobile[[#This Row],[quart_X]])))))</f>
        <v>0.34069017755749975</v>
      </c>
      <c r="V25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143.1100539479157</v>
      </c>
      <c r="W25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90.000657739903801</v>
      </c>
      <c r="X256" s="1">
        <f>IF(Batmobile[[#This Row],[Yaw]]&gt;V255,(360-ABS(Batmobile[[#This Row],[Yaw]])-ABS(V255)),ABS(Batmobile[[#This Row],[Yaw]]-V255))</f>
        <v>0.95574969557986833</v>
      </c>
      <c r="Y256" s="1">
        <f>Batmobile[[#This Row],[Degree change]]+Y255</f>
        <v>186.04049012875723</v>
      </c>
    </row>
    <row r="257" spans="1:25">
      <c r="A257">
        <v>256</v>
      </c>
      <c r="B257" s="1">
        <v>-1729</v>
      </c>
      <c r="C257" s="1">
        <v>871.88000499999998</v>
      </c>
      <c r="D257" s="1">
        <v>18.649999999999999</v>
      </c>
      <c r="E257" s="1">
        <v>1296.530029</v>
      </c>
      <c r="F257" s="1">
        <v>-1899.709961</v>
      </c>
      <c r="G257" s="1">
        <v>8.1999999999999993</v>
      </c>
      <c r="H257" s="1">
        <v>2.0000000000000001E-4</v>
      </c>
      <c r="I257" s="1">
        <v>0</v>
      </c>
      <c r="J257" s="1">
        <v>2.0011999999999999</v>
      </c>
      <c r="K257" s="1">
        <v>1.3029999999999999E-3</v>
      </c>
      <c r="L257" s="1">
        <v>2.673E-3</v>
      </c>
      <c r="M257" s="1">
        <v>-0.439583</v>
      </c>
      <c r="N257" s="1">
        <v>0.89819700000000002</v>
      </c>
      <c r="O257">
        <v>1</v>
      </c>
      <c r="P257">
        <v>0</v>
      </c>
      <c r="Q257">
        <v>1</v>
      </c>
      <c r="R257">
        <v>1</v>
      </c>
      <c r="S257">
        <v>1</v>
      </c>
      <c r="T257" s="1">
        <f>SQRT(POWER(Batmobile[[#This Row],[angvel_X]],2) + POWER(Batmobile[[#This Row],[angvel_Y]],2) + POWER(Batmobile[[#This Row],[angvel_Z]],2))</f>
        <v>2.0012000099940033</v>
      </c>
      <c r="U257" s="1">
        <f>DEGREES(ASIN(MAX(-1,MIN(1,2 * (Batmobile[[#This Row],[quart_W]]*Batmobile[[#This Row],[quart_Y]] - Batmobile[[#This Row],[quart_Z]]*Batmobile[[#This Row],[quart_X]])))))</f>
        <v>0.34075802681502182</v>
      </c>
      <c r="V25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142.15480380682078</v>
      </c>
      <c r="W25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90.000533395096198</v>
      </c>
      <c r="X257" s="1">
        <f>IF(Batmobile[[#This Row],[Yaw]]&gt;V256,(360-ABS(Batmobile[[#This Row],[Yaw]])-ABS(V256)),ABS(Batmobile[[#This Row],[Yaw]]-V256))</f>
        <v>0.9552501410949219</v>
      </c>
      <c r="Y257" s="1">
        <f>Batmobile[[#This Row],[Degree change]]+Y256</f>
        <v>186.99574026985215</v>
      </c>
    </row>
    <row r="258" spans="1:25">
      <c r="A258">
        <v>257</v>
      </c>
      <c r="B258" s="1">
        <v>-1718.1499020000001</v>
      </c>
      <c r="C258" s="1">
        <v>855.98999000000003</v>
      </c>
      <c r="D258" s="1">
        <v>18.649999999999999</v>
      </c>
      <c r="E258" s="1">
        <v>1328.030029</v>
      </c>
      <c r="F258" s="1">
        <v>-1877.829956</v>
      </c>
      <c r="G258" s="1">
        <v>8.1999999999999993</v>
      </c>
      <c r="H258" s="1">
        <v>2.0000000000000001E-4</v>
      </c>
      <c r="I258" s="1">
        <v>0</v>
      </c>
      <c r="J258" s="1">
        <v>2.0011999999999999</v>
      </c>
      <c r="K258" s="1">
        <v>1.281E-3</v>
      </c>
      <c r="L258" s="1">
        <v>2.6840000000000002E-3</v>
      </c>
      <c r="M258" s="1">
        <v>-0.43207899999999999</v>
      </c>
      <c r="N258" s="1">
        <v>0.90183100000000005</v>
      </c>
      <c r="O258">
        <v>1</v>
      </c>
      <c r="P258">
        <v>0</v>
      </c>
      <c r="Q258">
        <v>1</v>
      </c>
      <c r="R258">
        <v>1</v>
      </c>
      <c r="S258">
        <v>1</v>
      </c>
      <c r="T258" s="1">
        <f>SQRT(POWER(Batmobile[[#This Row],[angvel_X]],2) + POWER(Batmobile[[#This Row],[angvel_Y]],2) + POWER(Batmobile[[#This Row],[angvel_Z]],2))</f>
        <v>2.0012000099940033</v>
      </c>
      <c r="U258" s="1">
        <f>DEGREES(ASIN(MAX(-1,MIN(1,2 * (Batmobile[[#This Row],[quart_W]]*Batmobile[[#This Row],[quart_Y]] - Batmobile[[#This Row],[quart_Z]]*Batmobile[[#This Row],[quart_X]])))))</f>
        <v>0.34079817731349504</v>
      </c>
      <c r="V25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141.1993912483816</v>
      </c>
      <c r="W25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90.000510459994302</v>
      </c>
      <c r="X258" s="1">
        <f>IF(Batmobile[[#This Row],[Yaw]]&gt;V257,(360-ABS(Batmobile[[#This Row],[Yaw]])-ABS(V257)),ABS(Batmobile[[#This Row],[Yaw]]-V257))</f>
        <v>0.95541255843917838</v>
      </c>
      <c r="Y258" s="1">
        <f>Batmobile[[#This Row],[Degree change]]+Y257</f>
        <v>187.95115282829133</v>
      </c>
    </row>
    <row r="259" spans="1:25">
      <c r="A259">
        <v>258</v>
      </c>
      <c r="B259" s="1">
        <v>-1707.0399170000001</v>
      </c>
      <c r="C259" s="1">
        <v>840.28997800000002</v>
      </c>
      <c r="D259" s="1">
        <v>18.649999999999999</v>
      </c>
      <c r="E259" s="1">
        <v>1359.1599120000001</v>
      </c>
      <c r="F259" s="1">
        <v>-1855.419922</v>
      </c>
      <c r="G259" s="1">
        <v>8.1999999999999993</v>
      </c>
      <c r="H259" s="1">
        <v>2.0000000000000001E-4</v>
      </c>
      <c r="I259" s="1">
        <v>0</v>
      </c>
      <c r="J259" s="1">
        <v>2.0011999999999999</v>
      </c>
      <c r="K259" s="1">
        <v>1.2600000000000001E-3</v>
      </c>
      <c r="L259" s="1">
        <v>2.6949999999999999E-3</v>
      </c>
      <c r="M259" s="1">
        <v>-0.42454199999999997</v>
      </c>
      <c r="N259" s="1">
        <v>0.90540299999999996</v>
      </c>
      <c r="O259">
        <v>1</v>
      </c>
      <c r="P259">
        <v>0</v>
      </c>
      <c r="Q259">
        <v>1</v>
      </c>
      <c r="R259">
        <v>1</v>
      </c>
      <c r="S259">
        <v>1</v>
      </c>
      <c r="T259" s="1">
        <f>SQRT(POWER(Batmobile[[#This Row],[angvel_X]],2) + POWER(Batmobile[[#This Row],[angvel_Y]],2) + POWER(Batmobile[[#This Row],[angvel_Z]],2))</f>
        <v>2.0012000099940033</v>
      </c>
      <c r="U259" s="1">
        <f>DEGREES(ASIN(MAX(-1,MIN(1,2 * (Batmobile[[#This Row],[quart_W]]*Batmobile[[#This Row],[quart_Y]] - Batmobile[[#This Row],[quart_Z]]*Batmobile[[#This Row],[quart_X]])))))</f>
        <v>0.34091006672083995</v>
      </c>
      <c r="V25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140.24358169899577</v>
      </c>
      <c r="W25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90.000381930113633</v>
      </c>
      <c r="X259" s="1">
        <f>IF(Batmobile[[#This Row],[Yaw]]&gt;V258,(360-ABS(Batmobile[[#This Row],[Yaw]])-ABS(V258)),ABS(Batmobile[[#This Row],[Yaw]]-V258))</f>
        <v>0.95580954938583318</v>
      </c>
      <c r="Y259" s="1">
        <f>Batmobile[[#This Row],[Degree change]]+Y258</f>
        <v>188.90696237767716</v>
      </c>
    </row>
    <row r="260" spans="1:25">
      <c r="A260">
        <v>259</v>
      </c>
      <c r="B260" s="1">
        <v>-1695.669922</v>
      </c>
      <c r="C260" s="1">
        <v>824.77996800000005</v>
      </c>
      <c r="D260" s="1">
        <v>18.649999999999999</v>
      </c>
      <c r="E260" s="1">
        <v>1389.919922</v>
      </c>
      <c r="F260" s="1">
        <v>-1832.48999</v>
      </c>
      <c r="G260" s="1">
        <v>8.1999999999999993</v>
      </c>
      <c r="H260" s="1">
        <v>2.0000000000000001E-4</v>
      </c>
      <c r="I260" s="1">
        <v>0</v>
      </c>
      <c r="J260" s="1">
        <v>2.0011999999999999</v>
      </c>
      <c r="K260" s="1">
        <v>1.238E-3</v>
      </c>
      <c r="L260" s="1">
        <v>2.7060000000000001E-3</v>
      </c>
      <c r="M260" s="1">
        <v>-0.41697899999999999</v>
      </c>
      <c r="N260" s="1">
        <v>0.90891100000000002</v>
      </c>
      <c r="O260">
        <v>1</v>
      </c>
      <c r="P260">
        <v>0</v>
      </c>
      <c r="Q260">
        <v>1</v>
      </c>
      <c r="R260">
        <v>1</v>
      </c>
      <c r="S260">
        <v>1</v>
      </c>
      <c r="T260" s="1">
        <f>SQRT(POWER(Batmobile[[#This Row],[angvel_X]],2) + POWER(Batmobile[[#This Row],[angvel_Y]],2) + POWER(Batmobile[[#This Row],[angvel_Z]],2))</f>
        <v>2.0012000099940033</v>
      </c>
      <c r="U260" s="1">
        <f>DEGREES(ASIN(MAX(-1,MIN(1,2 * (Batmobile[[#This Row],[quart_W]]*Batmobile[[#This Row],[quart_Y]] - Batmobile[[#This Row],[quart_Z]]*Batmobile[[#This Row],[quart_X]])))))</f>
        <v>0.34099591599699397</v>
      </c>
      <c r="V26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139.28823707523912</v>
      </c>
      <c r="W26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90.000356770636301</v>
      </c>
      <c r="X260" s="1">
        <f>IF(Batmobile[[#This Row],[Yaw]]&gt;V259,(360-ABS(Batmobile[[#This Row],[Yaw]])-ABS(V259)),ABS(Batmobile[[#This Row],[Yaw]]-V259))</f>
        <v>0.95534462375664475</v>
      </c>
      <c r="Y260" s="1">
        <f>Batmobile[[#This Row],[Degree change]]+Y259</f>
        <v>189.86230700143381</v>
      </c>
    </row>
    <row r="261" spans="1:25">
      <c r="A261">
        <v>260</v>
      </c>
      <c r="B261" s="1">
        <v>-1684.0399170000001</v>
      </c>
      <c r="C261" s="1">
        <v>809.45996100000002</v>
      </c>
      <c r="D261" s="1">
        <v>18.649999999999999</v>
      </c>
      <c r="E261" s="1">
        <v>1420.2899170000001</v>
      </c>
      <c r="F261" s="1">
        <v>-1809.059937</v>
      </c>
      <c r="G261" s="1">
        <v>8.1999999999999993</v>
      </c>
      <c r="H261" s="1">
        <v>2.0000000000000001E-4</v>
      </c>
      <c r="I261" s="1">
        <v>0</v>
      </c>
      <c r="J261" s="1">
        <v>2.0011999999999999</v>
      </c>
      <c r="K261" s="1">
        <v>1.217E-3</v>
      </c>
      <c r="L261" s="1">
        <v>2.7160000000000001E-3</v>
      </c>
      <c r="M261" s="1">
        <v>-0.409383</v>
      </c>
      <c r="N261" s="1">
        <v>0.912358</v>
      </c>
      <c r="O261">
        <v>1</v>
      </c>
      <c r="P261">
        <v>0</v>
      </c>
      <c r="Q261">
        <v>1</v>
      </c>
      <c r="R261">
        <v>1</v>
      </c>
      <c r="S261">
        <v>1</v>
      </c>
      <c r="T261" s="1">
        <f>SQRT(POWER(Batmobile[[#This Row],[angvel_X]],2) + POWER(Batmobile[[#This Row],[angvel_Y]],2) + POWER(Batmobile[[#This Row],[angvel_Z]],2))</f>
        <v>2.0012000099940033</v>
      </c>
      <c r="U261" s="1">
        <f>DEGREES(ASIN(MAX(-1,MIN(1,2 * (Batmobile[[#This Row],[quart_W]]*Batmobile[[#This Row],[quart_Y]] - Batmobile[[#This Row],[quart_Z]]*Batmobile[[#This Row],[quart_X]])))))</f>
        <v>0.34104751416681689</v>
      </c>
      <c r="V26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138.33239884506642</v>
      </c>
      <c r="W26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90.000176994611294</v>
      </c>
      <c r="X261" s="1">
        <f>IF(Batmobile[[#This Row],[Yaw]]&gt;V260,(360-ABS(Batmobile[[#This Row],[Yaw]])-ABS(V260)),ABS(Batmobile[[#This Row],[Yaw]]-V260))</f>
        <v>0.9558382301727022</v>
      </c>
      <c r="Y261" s="1">
        <f>Batmobile[[#This Row],[Degree change]]+Y260</f>
        <v>190.81814523160651</v>
      </c>
    </row>
    <row r="262" spans="1:25">
      <c r="A262">
        <v>261</v>
      </c>
      <c r="B262" s="1">
        <v>-1672.1599120000001</v>
      </c>
      <c r="C262" s="1">
        <v>794.32995600000004</v>
      </c>
      <c r="D262" s="1">
        <v>18.649999999999999</v>
      </c>
      <c r="E262" s="1">
        <v>1450.26001</v>
      </c>
      <c r="F262" s="1">
        <v>-1785.119995</v>
      </c>
      <c r="G262" s="1">
        <v>8.1999999999999993</v>
      </c>
      <c r="H262" s="1">
        <v>2.0000000000000001E-4</v>
      </c>
      <c r="I262" s="1">
        <v>0</v>
      </c>
      <c r="J262" s="1">
        <v>2.0011999999999999</v>
      </c>
      <c r="K262" s="1">
        <v>1.1950000000000001E-3</v>
      </c>
      <c r="L262" s="1">
        <v>2.7269999999999998E-3</v>
      </c>
      <c r="M262" s="1">
        <v>-0.40176000000000001</v>
      </c>
      <c r="N262" s="1">
        <v>0.91574</v>
      </c>
      <c r="O262">
        <v>1</v>
      </c>
      <c r="P262">
        <v>0</v>
      </c>
      <c r="Q262">
        <v>1</v>
      </c>
      <c r="R262">
        <v>1</v>
      </c>
      <c r="S262">
        <v>1</v>
      </c>
      <c r="T262" s="1">
        <f>SQRT(POWER(Batmobile[[#This Row],[angvel_X]],2) + POWER(Batmobile[[#This Row],[angvel_Y]],2) + POWER(Batmobile[[#This Row],[angvel_Z]],2))</f>
        <v>2.0012000099940033</v>
      </c>
      <c r="U262" s="1">
        <f>DEGREES(ASIN(MAX(-1,MIN(1,2 * (Batmobile[[#This Row],[quart_W]]*Batmobile[[#This Row],[quart_Y]] - Batmobile[[#This Row],[quart_Z]]*Batmobile[[#This Row],[quart_X]])))))</f>
        <v>0.34117846496031873</v>
      </c>
      <c r="V26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137.37671988015282</v>
      </c>
      <c r="W26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90.000147850942554</v>
      </c>
      <c r="X262" s="1">
        <f>IF(Batmobile[[#This Row],[Yaw]]&gt;V261,(360-ABS(Batmobile[[#This Row],[Yaw]])-ABS(V261)),ABS(Batmobile[[#This Row],[Yaw]]-V261))</f>
        <v>0.95567896491360216</v>
      </c>
      <c r="Y262" s="1">
        <f>Batmobile[[#This Row],[Degree change]]+Y261</f>
        <v>191.77382419652011</v>
      </c>
    </row>
    <row r="263" spans="1:25">
      <c r="A263">
        <v>262</v>
      </c>
      <c r="B263" s="1">
        <v>-1660.0299070000001</v>
      </c>
      <c r="C263" s="1">
        <v>779.39996299999996</v>
      </c>
      <c r="D263" s="1">
        <v>18.649999999999999</v>
      </c>
      <c r="E263" s="1">
        <v>1479.829956</v>
      </c>
      <c r="F263" s="1">
        <v>-1760.679932</v>
      </c>
      <c r="G263" s="1">
        <v>8.1999999999999993</v>
      </c>
      <c r="H263" s="1">
        <v>2.0000000000000001E-4</v>
      </c>
      <c r="I263" s="1">
        <v>0</v>
      </c>
      <c r="J263" s="1">
        <v>2.0011999999999999</v>
      </c>
      <c r="K263" s="1">
        <v>1.173E-3</v>
      </c>
      <c r="L263" s="1">
        <v>2.738E-3</v>
      </c>
      <c r="M263" s="1">
        <v>-0.39411000000000002</v>
      </c>
      <c r="N263" s="1">
        <v>0.91905800000000004</v>
      </c>
      <c r="O263">
        <v>1</v>
      </c>
      <c r="P263">
        <v>0</v>
      </c>
      <c r="Q263">
        <v>1</v>
      </c>
      <c r="R263">
        <v>1</v>
      </c>
      <c r="S263">
        <v>1</v>
      </c>
      <c r="T263" s="1">
        <f>SQRT(POWER(Batmobile[[#This Row],[angvel_X]],2) + POWER(Batmobile[[#This Row],[angvel_Y]],2) + POWER(Batmobile[[#This Row],[angvel_Z]],2))</f>
        <v>2.0012000099940033</v>
      </c>
      <c r="U263" s="1">
        <f>DEGREES(ASIN(MAX(-1,MIN(1,2 * (Batmobile[[#This Row],[quart_W]]*Batmobile[[#This Row],[quart_Y]] - Batmobile[[#This Row],[quart_Z]]*Batmobile[[#This Row],[quart_X]])))))</f>
        <v>0.34133266828521047</v>
      </c>
      <c r="V26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136.42116151265824</v>
      </c>
      <c r="W26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90.000116673007824</v>
      </c>
      <c r="X263" s="1">
        <f>IF(Batmobile[[#This Row],[Yaw]]&gt;V262,(360-ABS(Batmobile[[#This Row],[Yaw]])-ABS(V262)),ABS(Batmobile[[#This Row],[Yaw]]-V262))</f>
        <v>0.95555836749457512</v>
      </c>
      <c r="Y263" s="1">
        <f>Batmobile[[#This Row],[Degree change]]+Y262</f>
        <v>192.72938256401468</v>
      </c>
    </row>
    <row r="264" spans="1:25">
      <c r="A264">
        <v>263</v>
      </c>
      <c r="B264" s="1">
        <v>-1647.6499020000001</v>
      </c>
      <c r="C264" s="1">
        <v>764.67999299999997</v>
      </c>
      <c r="D264" s="1">
        <v>18.649999999999999</v>
      </c>
      <c r="E264" s="1">
        <v>1508.98999</v>
      </c>
      <c r="F264" s="1">
        <v>-1735.76001</v>
      </c>
      <c r="G264" s="1">
        <v>8.1999999999999993</v>
      </c>
      <c r="H264" s="1">
        <v>2.0000000000000001E-4</v>
      </c>
      <c r="I264" s="1">
        <v>0</v>
      </c>
      <c r="J264" s="1">
        <v>2.0011999999999999</v>
      </c>
      <c r="K264" s="1">
        <v>1.152E-3</v>
      </c>
      <c r="L264" s="1">
        <v>2.7490000000000001E-3</v>
      </c>
      <c r="M264" s="1">
        <v>-0.38643300000000003</v>
      </c>
      <c r="N264" s="1">
        <v>0.92231200000000002</v>
      </c>
      <c r="O264">
        <v>1</v>
      </c>
      <c r="P264">
        <v>0</v>
      </c>
      <c r="Q264">
        <v>1</v>
      </c>
      <c r="R264">
        <v>1</v>
      </c>
      <c r="S264">
        <v>1</v>
      </c>
      <c r="T264" s="1">
        <f>SQRT(POWER(Batmobile[[#This Row],[angvel_X]],2) + POWER(Batmobile[[#This Row],[angvel_Y]],2) + POWER(Batmobile[[#This Row],[angvel_Z]],2))</f>
        <v>2.0012000099940033</v>
      </c>
      <c r="U264" s="1">
        <f>DEGREES(ASIN(MAX(-1,MIN(1,2 * (Batmobile[[#This Row],[quart_W]]*Batmobile[[#This Row],[quart_Y]] - Batmobile[[#This Row],[quart_Z]]*Batmobile[[#This Row],[quart_X]])))))</f>
        <v>0.34155436907337655</v>
      </c>
      <c r="V26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135.46565555456294</v>
      </c>
      <c r="W26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89.999977183613055</v>
      </c>
      <c r="X264" s="1">
        <f>IF(Batmobile[[#This Row],[Yaw]]&gt;V263,(360-ABS(Batmobile[[#This Row],[Yaw]])-ABS(V263)),ABS(Batmobile[[#This Row],[Yaw]]-V263))</f>
        <v>0.95550595809530137</v>
      </c>
      <c r="Y264" s="1">
        <f>Batmobile[[#This Row],[Degree change]]+Y263</f>
        <v>193.68488852210999</v>
      </c>
    </row>
    <row r="265" spans="1:25">
      <c r="A265">
        <v>264</v>
      </c>
      <c r="B265" s="1">
        <v>-1635.0299070000001</v>
      </c>
      <c r="C265" s="1">
        <v>750.169983</v>
      </c>
      <c r="D265" s="1">
        <v>18.649999999999999</v>
      </c>
      <c r="E265" s="1">
        <v>1537.7299800000001</v>
      </c>
      <c r="F265" s="1">
        <v>-1710.349976</v>
      </c>
      <c r="G265" s="1">
        <v>8.1999999999999993</v>
      </c>
      <c r="H265" s="1">
        <v>1E-4</v>
      </c>
      <c r="I265" s="1">
        <v>0</v>
      </c>
      <c r="J265" s="1">
        <v>2.0011999999999999</v>
      </c>
      <c r="K265" s="1">
        <v>1.1299999999999999E-3</v>
      </c>
      <c r="L265" s="1">
        <v>2.7590000000000002E-3</v>
      </c>
      <c r="M265" s="1">
        <v>-0.37873000000000001</v>
      </c>
      <c r="N265" s="1">
        <v>0.92550299999999996</v>
      </c>
      <c r="O265">
        <v>1</v>
      </c>
      <c r="P265">
        <v>0</v>
      </c>
      <c r="Q265">
        <v>1</v>
      </c>
      <c r="R265">
        <v>1</v>
      </c>
      <c r="S265">
        <v>1</v>
      </c>
      <c r="T265" s="1">
        <f>SQRT(POWER(Batmobile[[#This Row],[angvel_X]],2) + POWER(Batmobile[[#This Row],[angvel_Y]],2) + POWER(Batmobile[[#This Row],[angvel_Z]],2))</f>
        <v>2.0012000024985008</v>
      </c>
      <c r="U265" s="1">
        <f>DEGREES(ASIN(MAX(-1,MIN(1,2 * (Batmobile[[#This Row],[quart_W]]*Batmobile[[#This Row],[quart_Y]] - Batmobile[[#This Row],[quart_Z]]*Batmobile[[#This Row],[quart_X]])))))</f>
        <v>0.34164847024014477</v>
      </c>
      <c r="V26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134.51030278159257</v>
      </c>
      <c r="W26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89.999896599906222</v>
      </c>
      <c r="X265" s="1">
        <f>IF(Batmobile[[#This Row],[Yaw]]&gt;V264,(360-ABS(Batmobile[[#This Row],[Yaw]])-ABS(V264)),ABS(Batmobile[[#This Row],[Yaw]]-V264))</f>
        <v>0.95535277297037169</v>
      </c>
      <c r="Y265" s="1">
        <f>Batmobile[[#This Row],[Degree change]]+Y264</f>
        <v>194.64024129508036</v>
      </c>
    </row>
    <row r="266" spans="1:25">
      <c r="A266">
        <v>265</v>
      </c>
      <c r="B266" s="1">
        <v>-1622.169922</v>
      </c>
      <c r="C266" s="1">
        <v>735.86999500000002</v>
      </c>
      <c r="D266" s="1">
        <v>18.649999999999999</v>
      </c>
      <c r="E266" s="1">
        <v>1566.0399170000001</v>
      </c>
      <c r="F266" s="1">
        <v>-1684.469971</v>
      </c>
      <c r="G266" s="1">
        <v>8.1999999999999993</v>
      </c>
      <c r="H266" s="1">
        <v>1E-4</v>
      </c>
      <c r="I266" s="1">
        <v>0</v>
      </c>
      <c r="J266" s="1">
        <v>2.0011999999999999</v>
      </c>
      <c r="K266" s="1">
        <v>1.109E-3</v>
      </c>
      <c r="L266" s="1">
        <v>2.7699999999999999E-3</v>
      </c>
      <c r="M266" s="1">
        <v>-0.37099900000000002</v>
      </c>
      <c r="N266" s="1">
        <v>0.92862900000000004</v>
      </c>
      <c r="O266">
        <v>1</v>
      </c>
      <c r="P266">
        <v>0</v>
      </c>
      <c r="Q266">
        <v>1</v>
      </c>
      <c r="R266">
        <v>1</v>
      </c>
      <c r="S266">
        <v>1</v>
      </c>
      <c r="T266" s="1">
        <f>SQRT(POWER(Batmobile[[#This Row],[angvel_X]],2) + POWER(Batmobile[[#This Row],[angvel_Y]],2) + POWER(Batmobile[[#This Row],[angvel_Z]],2))</f>
        <v>2.0012000024985008</v>
      </c>
      <c r="U266" s="1">
        <f>DEGREES(ASIN(MAX(-1,MIN(1,2 * (Batmobile[[#This Row],[quart_W]]*Batmobile[[#This Row],[quart_Y]] - Batmobile[[#This Row],[quart_Z]]*Batmobile[[#This Row],[quart_X]])))))</f>
        <v>0.34191347297728986</v>
      </c>
      <c r="V26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133.55470209686317</v>
      </c>
      <c r="W26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89.999749918835562</v>
      </c>
      <c r="X266" s="1">
        <f>IF(Batmobile[[#This Row],[Yaw]]&gt;V265,(360-ABS(Batmobile[[#This Row],[Yaw]])-ABS(V265)),ABS(Batmobile[[#This Row],[Yaw]]-V265))</f>
        <v>0.95560068472940429</v>
      </c>
      <c r="Y266" s="1">
        <f>Batmobile[[#This Row],[Degree change]]+Y265</f>
        <v>195.59584197980976</v>
      </c>
    </row>
    <row r="267" spans="1:25">
      <c r="A267">
        <v>266</v>
      </c>
      <c r="B267" s="1">
        <v>-1609.0699460000001</v>
      </c>
      <c r="C267" s="1">
        <v>721.78997800000002</v>
      </c>
      <c r="D267" s="1">
        <v>18.649999999999999</v>
      </c>
      <c r="E267" s="1">
        <v>1593.9099120000001</v>
      </c>
      <c r="F267" s="1">
        <v>-1658.1099850000001</v>
      </c>
      <c r="G267" s="1">
        <v>8.1999999999999993</v>
      </c>
      <c r="H267" s="1">
        <v>0</v>
      </c>
      <c r="I267" s="1">
        <v>0</v>
      </c>
      <c r="J267" s="1">
        <v>2.0011999999999999</v>
      </c>
      <c r="K267" s="1">
        <v>1.0870000000000001E-3</v>
      </c>
      <c r="L267" s="1">
        <v>2.7810000000000001E-3</v>
      </c>
      <c r="M267" s="1">
        <v>-0.36324099999999998</v>
      </c>
      <c r="N267" s="1">
        <v>0.93169000000000002</v>
      </c>
      <c r="O267">
        <v>1</v>
      </c>
      <c r="P267">
        <v>0</v>
      </c>
      <c r="Q267">
        <v>1</v>
      </c>
      <c r="R267">
        <v>1</v>
      </c>
      <c r="S267">
        <v>1</v>
      </c>
      <c r="T267" s="1">
        <f>SQRT(POWER(Batmobile[[#This Row],[angvel_X]],2) + POWER(Batmobile[[#This Row],[angvel_Y]],2) + POWER(Batmobile[[#This Row],[angvel_Z]],2))</f>
        <v>2.0011999999999999</v>
      </c>
      <c r="U267" s="1">
        <f>DEGREES(ASIN(MAX(-1,MIN(1,2 * (Batmobile[[#This Row],[quart_W]]*Batmobile[[#This Row],[quart_Y]] - Batmobile[[#This Row],[quart_Z]]*Batmobile[[#This Row],[quart_X]])))))</f>
        <v>0.34215785941591598</v>
      </c>
      <c r="V26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132.59892677546395</v>
      </c>
      <c r="W26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89.999705057954927</v>
      </c>
      <c r="X267" s="1">
        <f>IF(Batmobile[[#This Row],[Yaw]]&gt;V266,(360-ABS(Batmobile[[#This Row],[Yaw]])-ABS(V266)),ABS(Batmobile[[#This Row],[Yaw]]-V266))</f>
        <v>0.95577532139921573</v>
      </c>
      <c r="Y267" s="1">
        <f>Batmobile[[#This Row],[Degree change]]+Y266</f>
        <v>196.55161730120898</v>
      </c>
    </row>
    <row r="268" spans="1:25">
      <c r="A268">
        <v>267</v>
      </c>
      <c r="B268" s="1">
        <v>-1595.73999</v>
      </c>
      <c r="C268" s="1">
        <v>707.92999299999997</v>
      </c>
      <c r="D268" s="1">
        <v>18.649999999999999</v>
      </c>
      <c r="E268" s="1">
        <v>1621.349976</v>
      </c>
      <c r="F268" s="1">
        <v>-1631.299927</v>
      </c>
      <c r="G268" s="1">
        <v>8.1999999999999993</v>
      </c>
      <c r="H268" s="1">
        <v>0</v>
      </c>
      <c r="I268" s="1">
        <v>0</v>
      </c>
      <c r="J268" s="1">
        <v>2.0011999999999999</v>
      </c>
      <c r="K268" s="1">
        <v>1.065E-3</v>
      </c>
      <c r="L268" s="1">
        <v>2.7920000000000002E-3</v>
      </c>
      <c r="M268" s="1">
        <v>-0.355462</v>
      </c>
      <c r="N268" s="1">
        <v>0.93468600000000002</v>
      </c>
      <c r="O268">
        <v>1</v>
      </c>
      <c r="P268">
        <v>0</v>
      </c>
      <c r="Q268">
        <v>1</v>
      </c>
      <c r="R268">
        <v>1</v>
      </c>
      <c r="S268">
        <v>1</v>
      </c>
      <c r="T268" s="1">
        <f>SQRT(POWER(Batmobile[[#This Row],[angvel_X]],2) + POWER(Batmobile[[#This Row],[angvel_Y]],2) + POWER(Batmobile[[#This Row],[angvel_Z]],2))</f>
        <v>2.0011999999999999</v>
      </c>
      <c r="U268" s="1">
        <f>DEGREES(ASIN(MAX(-1,MIN(1,2 * (Batmobile[[#This Row],[quart_W]]*Batmobile[[#This Row],[quart_Y]] - Batmobile[[#This Row],[quart_Z]]*Batmobile[[#This Row],[quart_X]])))))</f>
        <v>0.34242572024624146</v>
      </c>
      <c r="V26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131.64371876143775</v>
      </c>
      <c r="W26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89.999657286508196</v>
      </c>
      <c r="X268" s="1">
        <f>IF(Batmobile[[#This Row],[Yaw]]&gt;V267,(360-ABS(Batmobile[[#This Row],[Yaw]])-ABS(V267)),ABS(Batmobile[[#This Row],[Yaw]]-V267))</f>
        <v>0.95520801402619782</v>
      </c>
      <c r="Y268" s="1">
        <f>Batmobile[[#This Row],[Degree change]]+Y267</f>
        <v>197.50682531523518</v>
      </c>
    </row>
    <row r="269" spans="1:25">
      <c r="A269">
        <v>268</v>
      </c>
      <c r="B269" s="1">
        <v>-1582.179932</v>
      </c>
      <c r="C269" s="1">
        <v>694.28997800000002</v>
      </c>
      <c r="D269" s="1">
        <v>18.649999999999999</v>
      </c>
      <c r="E269" s="1">
        <v>1648.329956</v>
      </c>
      <c r="F269" s="1">
        <v>-1604.0299070000001</v>
      </c>
      <c r="G269" s="1">
        <v>8.1999999999999993</v>
      </c>
      <c r="H269" s="1">
        <v>0</v>
      </c>
      <c r="I269" s="1">
        <v>0</v>
      </c>
      <c r="J269" s="1">
        <v>2.0011999999999999</v>
      </c>
      <c r="K269" s="1">
        <v>1.044E-3</v>
      </c>
      <c r="L269" s="1">
        <v>2.8029999999999999E-3</v>
      </c>
      <c r="M269" s="1">
        <v>-0.34765499999999999</v>
      </c>
      <c r="N269" s="1">
        <v>0.93761700000000003</v>
      </c>
      <c r="O269">
        <v>1</v>
      </c>
      <c r="P269">
        <v>0</v>
      </c>
      <c r="Q269">
        <v>1</v>
      </c>
      <c r="R269">
        <v>1</v>
      </c>
      <c r="S269">
        <v>1</v>
      </c>
      <c r="T269" s="1">
        <f>SQRT(POWER(Batmobile[[#This Row],[angvel_X]],2) + POWER(Batmobile[[#This Row],[angvel_Y]],2) + POWER(Batmobile[[#This Row],[angvel_Z]],2))</f>
        <v>2.0011999999999999</v>
      </c>
      <c r="U269" s="1">
        <f>DEGREES(ASIN(MAX(-1,MIN(1,2 * (Batmobile[[#This Row],[quart_W]]*Batmobile[[#This Row],[quart_Y]] - Batmobile[[#This Row],[quart_Z]]*Batmobile[[#This Row],[quart_X]])))))</f>
        <v>0.34275597088697779</v>
      </c>
      <c r="V26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130.68806845134731</v>
      </c>
      <c r="W26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89.999496340115613</v>
      </c>
      <c r="X269" s="1">
        <f>IF(Batmobile[[#This Row],[Yaw]]&gt;V268,(360-ABS(Batmobile[[#This Row],[Yaw]])-ABS(V268)),ABS(Batmobile[[#This Row],[Yaw]]-V268))</f>
        <v>0.95565031009044787</v>
      </c>
      <c r="Y269" s="1">
        <f>Batmobile[[#This Row],[Degree change]]+Y268</f>
        <v>198.46247562532562</v>
      </c>
    </row>
    <row r="270" spans="1:25">
      <c r="A270">
        <v>269</v>
      </c>
      <c r="B270" s="1">
        <v>-1568.3900149999999</v>
      </c>
      <c r="C270" s="1">
        <v>680.88000499999998</v>
      </c>
      <c r="D270" s="1">
        <v>18.649999999999999</v>
      </c>
      <c r="E270" s="1">
        <v>1674.849976</v>
      </c>
      <c r="F270" s="1">
        <v>-1576.3199460000001</v>
      </c>
      <c r="G270" s="1">
        <v>8.1999999999999993</v>
      </c>
      <c r="H270" s="1">
        <v>0</v>
      </c>
      <c r="I270" s="1">
        <v>0</v>
      </c>
      <c r="J270" s="1">
        <v>2.0013000000000001</v>
      </c>
      <c r="K270" s="1">
        <v>1.0219999999999999E-3</v>
      </c>
      <c r="L270" s="1">
        <v>2.813E-3</v>
      </c>
      <c r="M270" s="1">
        <v>-0.33982800000000002</v>
      </c>
      <c r="N270" s="1">
        <v>0.94048299999999996</v>
      </c>
      <c r="O270">
        <v>1</v>
      </c>
      <c r="P270">
        <v>0</v>
      </c>
      <c r="Q270">
        <v>1</v>
      </c>
      <c r="R270">
        <v>1</v>
      </c>
      <c r="S270">
        <v>1</v>
      </c>
      <c r="T270" s="1">
        <f>SQRT(POWER(Batmobile[[#This Row],[angvel_X]],2) + POWER(Batmobile[[#This Row],[angvel_Y]],2) + POWER(Batmobile[[#This Row],[angvel_Z]],2))</f>
        <v>2.0013000000000001</v>
      </c>
      <c r="U270" s="1">
        <f>DEGREES(ASIN(MAX(-1,MIN(1,2 * (Batmobile[[#This Row],[quart_W]]*Batmobile[[#This Row],[quart_Y]] - Batmobile[[#This Row],[quart_Z]]*Batmobile[[#This Row],[quart_X]])))))</f>
        <v>0.34296116495659079</v>
      </c>
      <c r="V27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129.73297893219126</v>
      </c>
      <c r="W27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89.999399820311936</v>
      </c>
      <c r="X270" s="1">
        <f>IF(Batmobile[[#This Row],[Yaw]]&gt;V269,(360-ABS(Batmobile[[#This Row],[Yaw]])-ABS(V269)),ABS(Batmobile[[#This Row],[Yaw]]-V269))</f>
        <v>0.95508951915604712</v>
      </c>
      <c r="Y270" s="1">
        <f>Batmobile[[#This Row],[Degree change]]+Y269</f>
        <v>199.41756514448167</v>
      </c>
    </row>
    <row r="271" spans="1:25">
      <c r="A271">
        <v>270</v>
      </c>
      <c r="B271" s="1">
        <v>-1554.380005</v>
      </c>
      <c r="C271" s="1">
        <v>667.70001200000002</v>
      </c>
      <c r="D271" s="1">
        <v>18.649999999999999</v>
      </c>
      <c r="E271" s="1">
        <v>1700.8999020000001</v>
      </c>
      <c r="F271" s="1">
        <v>-1548.169922</v>
      </c>
      <c r="G271" s="1">
        <v>8.1999999999999993</v>
      </c>
      <c r="H271" s="1">
        <v>0</v>
      </c>
      <c r="I271" s="1">
        <v>0</v>
      </c>
      <c r="J271" s="1">
        <v>2.0013000000000001</v>
      </c>
      <c r="K271" s="1">
        <v>1.0009999999999999E-3</v>
      </c>
      <c r="L271" s="1">
        <v>2.8240000000000001E-3</v>
      </c>
      <c r="M271" s="1">
        <v>-0.33197300000000002</v>
      </c>
      <c r="N271" s="1">
        <v>0.94328400000000001</v>
      </c>
      <c r="O271">
        <v>1</v>
      </c>
      <c r="P271">
        <v>0</v>
      </c>
      <c r="Q271">
        <v>1</v>
      </c>
      <c r="R271">
        <v>1</v>
      </c>
      <c r="S271">
        <v>1</v>
      </c>
      <c r="T271" s="1">
        <f>SQRT(POWER(Batmobile[[#This Row],[angvel_X]],2) + POWER(Batmobile[[#This Row],[angvel_Y]],2) + POWER(Batmobile[[#This Row],[angvel_Z]],2))</f>
        <v>2.0013000000000001</v>
      </c>
      <c r="U271" s="1">
        <f>DEGREES(ASIN(MAX(-1,MIN(1,2 * (Batmobile[[#This Row],[quart_W]]*Batmobile[[#This Row],[quart_Y]] - Batmobile[[#This Row],[quart_Z]]*Batmobile[[#This Row],[quart_X]])))))</f>
        <v>0.34333429253618875</v>
      </c>
      <c r="V27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128.77731961258826</v>
      </c>
      <c r="W27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89.999228151029556</v>
      </c>
      <c r="X271" s="1">
        <f>IF(Batmobile[[#This Row],[Yaw]]&gt;V270,(360-ABS(Batmobile[[#This Row],[Yaw]])-ABS(V270)),ABS(Batmobile[[#This Row],[Yaw]]-V270))</f>
        <v>0.95565931960300077</v>
      </c>
      <c r="Y271" s="1">
        <f>Batmobile[[#This Row],[Degree change]]+Y270</f>
        <v>200.37322446408467</v>
      </c>
    </row>
    <row r="272" spans="1:25">
      <c r="A272">
        <v>271</v>
      </c>
      <c r="B272" s="1">
        <v>-1540.150024</v>
      </c>
      <c r="C272" s="1">
        <v>654.76000999999997</v>
      </c>
      <c r="D272" s="1">
        <v>18.649999999999999</v>
      </c>
      <c r="E272" s="1">
        <v>1726.4799800000001</v>
      </c>
      <c r="F272" s="1">
        <v>-1519.589966</v>
      </c>
      <c r="G272" s="1">
        <v>8.1999999999999993</v>
      </c>
      <c r="H272" s="1">
        <v>0</v>
      </c>
      <c r="I272" s="1">
        <v>0</v>
      </c>
      <c r="J272" s="1">
        <v>2.0013000000000001</v>
      </c>
      <c r="K272" s="1">
        <v>9.7900000000000005E-4</v>
      </c>
      <c r="L272" s="1">
        <v>2.8349999999999998E-3</v>
      </c>
      <c r="M272" s="1">
        <v>-0.324096</v>
      </c>
      <c r="N272" s="1">
        <v>0.94601900000000005</v>
      </c>
      <c r="O272">
        <v>1</v>
      </c>
      <c r="P272">
        <v>0</v>
      </c>
      <c r="Q272">
        <v>1</v>
      </c>
      <c r="R272">
        <v>1</v>
      </c>
      <c r="S272">
        <v>1</v>
      </c>
      <c r="T272" s="1">
        <f>SQRT(POWER(Batmobile[[#This Row],[angvel_X]],2) + POWER(Batmobile[[#This Row],[angvel_Y]],2) + POWER(Batmobile[[#This Row],[angvel_Z]],2))</f>
        <v>2.0013000000000001</v>
      </c>
      <c r="U272" s="1">
        <f>DEGREES(ASIN(MAX(-1,MIN(1,2 * (Batmobile[[#This Row],[quart_W]]*Batmobile[[#This Row],[quart_Y]] - Batmobile[[#This Row],[quart_Z]]*Batmobile[[#This Row],[quart_X]])))))</f>
        <v>0.34369123561490733</v>
      </c>
      <c r="V27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127.82179189493519</v>
      </c>
      <c r="W27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89.999158832288202</v>
      </c>
      <c r="X272" s="1">
        <f>IF(Batmobile[[#This Row],[Yaw]]&gt;V271,(360-ABS(Batmobile[[#This Row],[Yaw]])-ABS(V271)),ABS(Batmobile[[#This Row],[Yaw]]-V271))</f>
        <v>0.95552771765306943</v>
      </c>
      <c r="Y272" s="1">
        <f>Batmobile[[#This Row],[Degree change]]+Y271</f>
        <v>201.32875218173774</v>
      </c>
    </row>
    <row r="273" spans="1:25">
      <c r="A273">
        <v>272</v>
      </c>
      <c r="B273" s="1">
        <v>-1525.709961</v>
      </c>
      <c r="C273" s="1">
        <v>642.04998799999998</v>
      </c>
      <c r="D273" s="1">
        <v>18.649999999999999</v>
      </c>
      <c r="E273" s="1">
        <v>1751.579956</v>
      </c>
      <c r="F273" s="1">
        <v>-1490.589966</v>
      </c>
      <c r="G273" s="1">
        <v>8.1999999999999993</v>
      </c>
      <c r="H273" s="1">
        <v>0</v>
      </c>
      <c r="I273" s="1">
        <v>0</v>
      </c>
      <c r="J273" s="1">
        <v>2.0013999999999998</v>
      </c>
      <c r="K273" s="1">
        <v>9.5799999999999998E-4</v>
      </c>
      <c r="L273" s="1">
        <v>2.846E-3</v>
      </c>
      <c r="M273" s="1">
        <v>-0.31619799999999998</v>
      </c>
      <c r="N273" s="1">
        <v>0.94868799999999998</v>
      </c>
      <c r="O273">
        <v>1</v>
      </c>
      <c r="P273">
        <v>0</v>
      </c>
      <c r="Q273">
        <v>1</v>
      </c>
      <c r="R273">
        <v>1</v>
      </c>
      <c r="S273">
        <v>1</v>
      </c>
      <c r="T273" s="1">
        <f>SQRT(POWER(Batmobile[[#This Row],[angvel_X]],2) + POWER(Batmobile[[#This Row],[angvel_Y]],2) + POWER(Batmobile[[#This Row],[angvel_Z]],2))</f>
        <v>2.0013999999999998</v>
      </c>
      <c r="U273" s="1">
        <f>DEGREES(ASIN(MAX(-1,MIN(1,2 * (Batmobile[[#This Row],[quart_W]]*Batmobile[[#This Row],[quart_Y]] - Batmobile[[#This Row],[quart_Z]]*Batmobile[[#This Row],[quart_X]])))))</f>
        <v>0.34410719705967024</v>
      </c>
      <c r="V27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126.86645781466329</v>
      </c>
      <c r="W27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89.998975120907517</v>
      </c>
      <c r="X273" s="1">
        <f>IF(Batmobile[[#This Row],[Yaw]]&gt;V272,(360-ABS(Batmobile[[#This Row],[Yaw]])-ABS(V272)),ABS(Batmobile[[#This Row],[Yaw]]-V272))</f>
        <v>0.95533408027189637</v>
      </c>
      <c r="Y273" s="1">
        <f>Batmobile[[#This Row],[Degree change]]+Y272</f>
        <v>202.28408626200962</v>
      </c>
    </row>
    <row r="274" spans="1:25">
      <c r="A274">
        <v>273</v>
      </c>
      <c r="B274" s="1">
        <v>-1511.059937</v>
      </c>
      <c r="C274" s="1">
        <v>629.589966</v>
      </c>
      <c r="D274" s="1">
        <v>18.649999999999999</v>
      </c>
      <c r="E274" s="1">
        <v>1776.1999510000001</v>
      </c>
      <c r="F274" s="1">
        <v>-1461.169922</v>
      </c>
      <c r="G274" s="1">
        <v>8.1999999999999993</v>
      </c>
      <c r="H274" s="1">
        <v>-1E-4</v>
      </c>
      <c r="I274" s="1">
        <v>0</v>
      </c>
      <c r="J274" s="1">
        <v>2.0013999999999998</v>
      </c>
      <c r="K274" s="1">
        <v>9.3599999999999998E-4</v>
      </c>
      <c r="L274" s="1">
        <v>2.8509999999999998E-3</v>
      </c>
      <c r="M274" s="1">
        <v>-0.30827900000000003</v>
      </c>
      <c r="N274" s="1">
        <v>0.951291</v>
      </c>
      <c r="O274">
        <v>1</v>
      </c>
      <c r="P274">
        <v>0</v>
      </c>
      <c r="Q274">
        <v>1</v>
      </c>
      <c r="R274">
        <v>1</v>
      </c>
      <c r="S274">
        <v>1</v>
      </c>
      <c r="T274" s="1">
        <f>SQRT(POWER(Batmobile[[#This Row],[angvel_X]],2) + POWER(Batmobile[[#This Row],[angvel_Y]],2) + POWER(Batmobile[[#This Row],[angvel_Z]],2))</f>
        <v>2.0014000024982508</v>
      </c>
      <c r="U274" s="1">
        <f>DEGREES(ASIN(MAX(-1,MIN(1,2 * (Batmobile[[#This Row],[quart_W]]*Batmobile[[#This Row],[quart_Y]] - Batmobile[[#This Row],[quart_Z]]*Batmobile[[#This Row],[quart_X]])))))</f>
        <v>0.34385463878543748</v>
      </c>
      <c r="V27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125.91124712313957</v>
      </c>
      <c r="W27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89.998681606444578</v>
      </c>
      <c r="X274" s="1">
        <f>IF(Batmobile[[#This Row],[Yaw]]&gt;V273,(360-ABS(Batmobile[[#This Row],[Yaw]])-ABS(V273)),ABS(Batmobile[[#This Row],[Yaw]]-V273))</f>
        <v>0.95521069152371751</v>
      </c>
      <c r="Y274" s="1">
        <f>Batmobile[[#This Row],[Degree change]]+Y273</f>
        <v>203.23929695353334</v>
      </c>
    </row>
    <row r="275" spans="1:25">
      <c r="A275">
        <v>274</v>
      </c>
      <c r="B275" s="1">
        <v>-1496.1999510000001</v>
      </c>
      <c r="C275" s="1">
        <v>617.36999500000002</v>
      </c>
      <c r="D275" s="1">
        <v>18.649999999999999</v>
      </c>
      <c r="E275" s="1">
        <v>1800.3199460000001</v>
      </c>
      <c r="F275" s="1">
        <v>-1431.349976</v>
      </c>
      <c r="G275" s="1">
        <v>8.1999999999999993</v>
      </c>
      <c r="H275" s="1">
        <v>-1E-4</v>
      </c>
      <c r="I275" s="1">
        <v>0</v>
      </c>
      <c r="J275" s="1">
        <v>2.0013999999999998</v>
      </c>
      <c r="K275" s="1">
        <v>9.1399999999999999E-4</v>
      </c>
      <c r="L275" s="1">
        <v>2.8570000000000002E-3</v>
      </c>
      <c r="M275" s="1">
        <v>-0.30033799999999999</v>
      </c>
      <c r="N275" s="1">
        <v>0.95382800000000001</v>
      </c>
      <c r="O275">
        <v>1</v>
      </c>
      <c r="P275">
        <v>0</v>
      </c>
      <c r="Q275">
        <v>1</v>
      </c>
      <c r="R275">
        <v>1</v>
      </c>
      <c r="S275">
        <v>1</v>
      </c>
      <c r="T275" s="1">
        <f>SQRT(POWER(Batmobile[[#This Row],[angvel_X]],2) + POWER(Batmobile[[#This Row],[angvel_Y]],2) + POWER(Batmobile[[#This Row],[angvel_Z]],2))</f>
        <v>2.0014000024982508</v>
      </c>
      <c r="U275" s="1">
        <f>DEGREES(ASIN(MAX(-1,MIN(1,2 * (Batmobile[[#This Row],[quart_W]]*Batmobile[[#This Row],[quart_Y]] - Batmobile[[#This Row],[quart_Z]]*Batmobile[[#This Row],[quart_X]])))))</f>
        <v>0.34373038984871612</v>
      </c>
      <c r="V27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124.95596476908371</v>
      </c>
      <c r="W27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89.998426271361424</v>
      </c>
      <c r="X275" s="1">
        <f>IF(Batmobile[[#This Row],[Yaw]]&gt;V274,(360-ABS(Batmobile[[#This Row],[Yaw]])-ABS(V274)),ABS(Batmobile[[#This Row],[Yaw]]-V274))</f>
        <v>0.9552823540558677</v>
      </c>
      <c r="Y275" s="1">
        <f>Batmobile[[#This Row],[Degree change]]+Y274</f>
        <v>204.19457930758921</v>
      </c>
    </row>
    <row r="276" spans="1:25">
      <c r="A276">
        <v>275</v>
      </c>
      <c r="B276" s="1">
        <v>-1481.1400149999999</v>
      </c>
      <c r="C276" s="1">
        <v>605.39996299999996</v>
      </c>
      <c r="D276" s="1">
        <v>18.649999999999999</v>
      </c>
      <c r="E276" s="1">
        <v>1823.9399410000001</v>
      </c>
      <c r="F276" s="1">
        <v>-1401.130005</v>
      </c>
      <c r="G276" s="1">
        <v>8.1999999999999993</v>
      </c>
      <c r="H276" s="1">
        <v>-1E-4</v>
      </c>
      <c r="I276" s="1">
        <v>0</v>
      </c>
      <c r="J276" s="1">
        <v>2.0013999999999998</v>
      </c>
      <c r="K276" s="1">
        <v>8.9300000000000002E-4</v>
      </c>
      <c r="L276" s="1">
        <v>2.862E-3</v>
      </c>
      <c r="M276" s="1">
        <v>-0.292375</v>
      </c>
      <c r="N276" s="1">
        <v>0.95629900000000001</v>
      </c>
      <c r="O276">
        <v>1</v>
      </c>
      <c r="P276">
        <v>0</v>
      </c>
      <c r="Q276">
        <v>1</v>
      </c>
      <c r="R276">
        <v>1</v>
      </c>
      <c r="S276">
        <v>1</v>
      </c>
      <c r="T276" s="1">
        <f>SQRT(POWER(Batmobile[[#This Row],[angvel_X]],2) + POWER(Batmobile[[#This Row],[angvel_Y]],2) + POWER(Batmobile[[#This Row],[angvel_Z]],2))</f>
        <v>2.0014000024982508</v>
      </c>
      <c r="U276" s="1">
        <f>DEGREES(ASIN(MAX(-1,MIN(1,2 * (Batmobile[[#This Row],[quart_W]]*Batmobile[[#This Row],[quart_Y]] - Batmobile[[#This Row],[quart_Z]]*Batmobile[[#This Row],[quart_X]])))))</f>
        <v>0.34354968545029224</v>
      </c>
      <c r="V27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124.00054505401756</v>
      </c>
      <c r="W27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89.998029246786189</v>
      </c>
      <c r="X276" s="1">
        <f>IF(Batmobile[[#This Row],[Yaw]]&gt;V275,(360-ABS(Batmobile[[#This Row],[Yaw]])-ABS(V275)),ABS(Batmobile[[#This Row],[Yaw]]-V275))</f>
        <v>0.95541971506614232</v>
      </c>
      <c r="Y276" s="1">
        <f>Batmobile[[#This Row],[Degree change]]+Y275</f>
        <v>205.14999902265535</v>
      </c>
    </row>
    <row r="277" spans="1:25">
      <c r="A277">
        <v>276</v>
      </c>
      <c r="B277" s="1">
        <v>-1465.880005</v>
      </c>
      <c r="C277" s="1">
        <v>593.69000200000005</v>
      </c>
      <c r="D277" s="1">
        <v>18.649999999999999</v>
      </c>
      <c r="E277" s="1">
        <v>1847.049927</v>
      </c>
      <c r="F277" s="1">
        <v>-1370.5200199999999</v>
      </c>
      <c r="G277" s="1">
        <v>8.1999999999999993</v>
      </c>
      <c r="H277" s="1">
        <v>-1E-4</v>
      </c>
      <c r="I277" s="1">
        <v>0</v>
      </c>
      <c r="J277" s="1">
        <v>2.0013999999999998</v>
      </c>
      <c r="K277" s="1">
        <v>8.7100000000000003E-4</v>
      </c>
      <c r="L277" s="1">
        <v>2.8670000000000002E-3</v>
      </c>
      <c r="M277" s="1">
        <v>-0.28438999999999998</v>
      </c>
      <c r="N277" s="1">
        <v>0.958704</v>
      </c>
      <c r="O277">
        <v>1</v>
      </c>
      <c r="P277">
        <v>0</v>
      </c>
      <c r="Q277">
        <v>1</v>
      </c>
      <c r="R277">
        <v>1</v>
      </c>
      <c r="S277">
        <v>1</v>
      </c>
      <c r="T277" s="1">
        <f>SQRT(POWER(Batmobile[[#This Row],[angvel_X]],2) + POWER(Batmobile[[#This Row],[angvel_Y]],2) + POWER(Batmobile[[#This Row],[angvel_Z]],2))</f>
        <v>2.0014000024982508</v>
      </c>
      <c r="U277" s="1">
        <f>DEGREES(ASIN(MAX(-1,MIN(1,2 * (Batmobile[[#This Row],[quart_W]]*Batmobile[[#This Row],[quart_Y]] - Batmobile[[#This Row],[quart_Z]]*Batmobile[[#This Row],[quart_X]])))))</f>
        <v>0.34335366676434348</v>
      </c>
      <c r="V27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123.04492480636154</v>
      </c>
      <c r="W27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89.997744218467489</v>
      </c>
      <c r="X277" s="1">
        <f>IF(Batmobile[[#This Row],[Yaw]]&gt;V276,(360-ABS(Batmobile[[#This Row],[Yaw]])-ABS(V276)),ABS(Batmobile[[#This Row],[Yaw]]-V276))</f>
        <v>0.95562024765602871</v>
      </c>
      <c r="Y277" s="1">
        <f>Batmobile[[#This Row],[Degree change]]+Y276</f>
        <v>206.10561927031137</v>
      </c>
    </row>
    <row r="278" spans="1:25">
      <c r="A278">
        <v>277</v>
      </c>
      <c r="B278" s="1">
        <v>-1450.429932</v>
      </c>
      <c r="C278" s="1">
        <v>582.22997999999995</v>
      </c>
      <c r="D278" s="1">
        <v>18.649999999999999</v>
      </c>
      <c r="E278" s="1">
        <v>1869.6400149999999</v>
      </c>
      <c r="F278" s="1">
        <v>-1339.530029</v>
      </c>
      <c r="G278" s="1">
        <v>8.1999999999999993</v>
      </c>
      <c r="H278" s="1">
        <v>-2.0000000000000001E-4</v>
      </c>
      <c r="I278" s="1">
        <v>0</v>
      </c>
      <c r="J278" s="1">
        <v>2.0013999999999998</v>
      </c>
      <c r="K278" s="1">
        <v>8.4400000000000002E-4</v>
      </c>
      <c r="L278" s="1">
        <v>2.8730000000000001E-3</v>
      </c>
      <c r="M278" s="1">
        <v>-0.27638499999999999</v>
      </c>
      <c r="N278" s="1">
        <v>0.96104199999999995</v>
      </c>
      <c r="O278">
        <v>1</v>
      </c>
      <c r="P278">
        <v>0</v>
      </c>
      <c r="Q278">
        <v>1</v>
      </c>
      <c r="R278">
        <v>1</v>
      </c>
      <c r="S278">
        <v>1</v>
      </c>
      <c r="T278" s="1">
        <f>SQRT(POWER(Batmobile[[#This Row],[angvel_X]],2) + POWER(Batmobile[[#This Row],[angvel_Y]],2) + POWER(Batmobile[[#This Row],[angvel_Z]],2))</f>
        <v>2.0014000099930045</v>
      </c>
      <c r="U278" s="1">
        <f>DEGREES(ASIN(MAX(-1,MIN(1,2 * (Batmobile[[#This Row],[quart_W]]*Batmobile[[#This Row],[quart_Y]] - Batmobile[[#This Row],[quart_Z]]*Batmobile[[#This Row],[quart_X]])))))</f>
        <v>0.34312843851395208</v>
      </c>
      <c r="V27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122.08926922679551</v>
      </c>
      <c r="W27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89.998044420671803</v>
      </c>
      <c r="X278" s="1">
        <f>IF(Batmobile[[#This Row],[Yaw]]&gt;V277,(360-ABS(Batmobile[[#This Row],[Yaw]])-ABS(V277)),ABS(Batmobile[[#This Row],[Yaw]]-V277))</f>
        <v>0.95565557956602731</v>
      </c>
      <c r="Y278" s="1">
        <f>Batmobile[[#This Row],[Degree change]]+Y277</f>
        <v>207.06127484987741</v>
      </c>
    </row>
    <row r="279" spans="1:25">
      <c r="A279">
        <v>278</v>
      </c>
      <c r="B279" s="1">
        <v>-1434.7899170000001</v>
      </c>
      <c r="C279" s="1">
        <v>571.02996800000005</v>
      </c>
      <c r="D279" s="1">
        <v>18.649999999999999</v>
      </c>
      <c r="E279" s="1">
        <v>1891.719971</v>
      </c>
      <c r="F279" s="1">
        <v>-1308.169922</v>
      </c>
      <c r="G279" s="1">
        <v>8.1999999999999993</v>
      </c>
      <c r="H279" s="1">
        <v>-2.0000000000000001E-4</v>
      </c>
      <c r="I279" s="1">
        <v>0</v>
      </c>
      <c r="J279" s="1">
        <v>2.0013999999999998</v>
      </c>
      <c r="K279" s="1">
        <v>8.1700000000000002E-4</v>
      </c>
      <c r="L279" s="1">
        <v>2.8779999999999999E-3</v>
      </c>
      <c r="M279" s="1">
        <v>-0.26836199999999999</v>
      </c>
      <c r="N279" s="1">
        <v>0.96331299999999997</v>
      </c>
      <c r="O279">
        <v>1</v>
      </c>
      <c r="P279">
        <v>0</v>
      </c>
      <c r="Q279">
        <v>1</v>
      </c>
      <c r="R279">
        <v>1</v>
      </c>
      <c r="S279">
        <v>1</v>
      </c>
      <c r="T279" s="1">
        <f>SQRT(POWER(Batmobile[[#This Row],[angvel_X]],2) + POWER(Batmobile[[#This Row],[angvel_Y]],2) + POWER(Batmobile[[#This Row],[angvel_Z]],2))</f>
        <v>2.0014000099930045</v>
      </c>
      <c r="U279" s="1">
        <f>DEGREES(ASIN(MAX(-1,MIN(1,2 * (Batmobile[[#This Row],[quart_W]]*Batmobile[[#This Row],[quart_Y]] - Batmobile[[#This Row],[quart_Z]]*Batmobile[[#This Row],[quart_X]])))))</f>
        <v>0.34282178165335797</v>
      </c>
      <c r="V27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121.13376390445086</v>
      </c>
      <c r="W27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89.998317664385397</v>
      </c>
      <c r="X279" s="1">
        <f>IF(Batmobile[[#This Row],[Yaw]]&gt;V278,(360-ABS(Batmobile[[#This Row],[Yaw]])-ABS(V278)),ABS(Batmobile[[#This Row],[Yaw]]-V278))</f>
        <v>0.95550532234464924</v>
      </c>
      <c r="Y279" s="1">
        <f>Batmobile[[#This Row],[Degree change]]+Y278</f>
        <v>208.01678017222207</v>
      </c>
    </row>
    <row r="280" spans="1:25">
      <c r="A280">
        <v>279</v>
      </c>
      <c r="B280" s="1">
        <v>-1418.969971</v>
      </c>
      <c r="C280" s="1">
        <v>560.089966</v>
      </c>
      <c r="D280" s="1">
        <v>18.649999999999999</v>
      </c>
      <c r="E280" s="1">
        <v>1913.2698969999999</v>
      </c>
      <c r="F280" s="1">
        <v>-1276.4399410000001</v>
      </c>
      <c r="G280" s="1">
        <v>8.1999999999999993</v>
      </c>
      <c r="H280" s="1">
        <v>-2.0000000000000001E-4</v>
      </c>
      <c r="I280" s="1">
        <v>0</v>
      </c>
      <c r="J280" s="1">
        <v>2.0013999999999998</v>
      </c>
      <c r="K280" s="1">
        <v>7.9000000000000001E-4</v>
      </c>
      <c r="L280" s="1">
        <v>2.8839999999999998E-3</v>
      </c>
      <c r="M280" s="1">
        <v>-0.26031900000000002</v>
      </c>
      <c r="N280" s="1">
        <v>0.96551799999999999</v>
      </c>
      <c r="O280">
        <v>1</v>
      </c>
      <c r="P280">
        <v>0</v>
      </c>
      <c r="Q280">
        <v>1</v>
      </c>
      <c r="R280">
        <v>1</v>
      </c>
      <c r="S280">
        <v>1</v>
      </c>
      <c r="T280" s="1">
        <f>SQRT(POWER(Batmobile[[#This Row],[angvel_X]],2) + POWER(Batmobile[[#This Row],[angvel_Y]],2) + POWER(Batmobile[[#This Row],[angvel_Z]],2))</f>
        <v>2.0014000099930045</v>
      </c>
      <c r="U280" s="1">
        <f>DEGREES(ASIN(MAX(-1,MIN(1,2 * (Batmobile[[#This Row],[quart_W]]*Batmobile[[#This Row],[quart_Y]] - Batmobile[[#This Row],[quart_Z]]*Batmobile[[#This Row],[quart_X]])))))</f>
        <v>0.34265440095633093</v>
      </c>
      <c r="V28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120.17811572779856</v>
      </c>
      <c r="W28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89.998624965625112</v>
      </c>
      <c r="X280" s="1">
        <f>IF(Batmobile[[#This Row],[Yaw]]&gt;V279,(360-ABS(Batmobile[[#This Row],[Yaw]])-ABS(V279)),ABS(Batmobile[[#This Row],[Yaw]]-V279))</f>
        <v>0.9556481766523035</v>
      </c>
      <c r="Y280" s="1">
        <f>Batmobile[[#This Row],[Degree change]]+Y279</f>
        <v>208.97242834887436</v>
      </c>
    </row>
    <row r="281" spans="1:25">
      <c r="A281">
        <v>280</v>
      </c>
      <c r="B281" s="1">
        <v>-1402.969971</v>
      </c>
      <c r="C281" s="1">
        <v>549.419983</v>
      </c>
      <c r="D281" s="1">
        <v>18.649999999999999</v>
      </c>
      <c r="E281" s="1">
        <v>1934.2899170000001</v>
      </c>
      <c r="F281" s="1">
        <v>-1244.3599850000001</v>
      </c>
      <c r="G281" s="1">
        <v>8.1999999999999993</v>
      </c>
      <c r="H281" s="1">
        <v>-2.0000000000000001E-4</v>
      </c>
      <c r="I281" s="1">
        <v>0</v>
      </c>
      <c r="J281" s="1">
        <v>2.0013999999999998</v>
      </c>
      <c r="K281" s="1">
        <v>7.6300000000000001E-4</v>
      </c>
      <c r="L281" s="1">
        <v>2.8890000000000001E-3</v>
      </c>
      <c r="M281" s="1">
        <v>-0.25225900000000001</v>
      </c>
      <c r="N281" s="1">
        <v>0.96765500000000004</v>
      </c>
      <c r="O281">
        <v>1</v>
      </c>
      <c r="P281">
        <v>0</v>
      </c>
      <c r="Q281">
        <v>1</v>
      </c>
      <c r="R281">
        <v>1</v>
      </c>
      <c r="S281">
        <v>1</v>
      </c>
      <c r="T281" s="1">
        <f>SQRT(POWER(Batmobile[[#This Row],[angvel_X]],2) + POWER(Batmobile[[#This Row],[angvel_Y]],2) + POWER(Batmobile[[#This Row],[angvel_Z]],2))</f>
        <v>2.0014000099930045</v>
      </c>
      <c r="U281" s="1">
        <f>DEGREES(ASIN(MAX(-1,MIN(1,2 * (Batmobile[[#This Row],[quart_W]]*Batmobile[[#This Row],[quart_Y]] - Batmobile[[#This Row],[quart_Z]]*Batmobile[[#This Row],[quart_X]])))))</f>
        <v>0.34240492952840929</v>
      </c>
      <c r="V28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119.22258363692106</v>
      </c>
      <c r="W28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89.998906259729836</v>
      </c>
      <c r="X281" s="1">
        <f>IF(Batmobile[[#This Row],[Yaw]]&gt;V280,(360-ABS(Batmobile[[#This Row],[Yaw]])-ABS(V280)),ABS(Batmobile[[#This Row],[Yaw]]-V280))</f>
        <v>0.95553209087749735</v>
      </c>
      <c r="Y281" s="1">
        <f>Batmobile[[#This Row],[Degree change]]+Y280</f>
        <v>209.92796043975187</v>
      </c>
    </row>
    <row r="282" spans="1:25">
      <c r="A282">
        <v>281</v>
      </c>
      <c r="B282" s="1">
        <v>-1386.7899170000001</v>
      </c>
      <c r="C282" s="1">
        <v>539.01995799999997</v>
      </c>
      <c r="D282" s="1">
        <v>18.649999999999999</v>
      </c>
      <c r="E282" s="1">
        <v>1954.7698969999999</v>
      </c>
      <c r="F282" s="1">
        <v>-1211.929932</v>
      </c>
      <c r="G282" s="1">
        <v>8.1999999999999993</v>
      </c>
      <c r="H282" s="1">
        <v>-1E-4</v>
      </c>
      <c r="I282" s="1">
        <v>0</v>
      </c>
      <c r="J282" s="1">
        <v>2.0013999999999998</v>
      </c>
      <c r="K282" s="1">
        <v>7.36E-4</v>
      </c>
      <c r="L282" s="1">
        <v>2.8939999999999999E-3</v>
      </c>
      <c r="M282" s="1">
        <v>-0.24418300000000001</v>
      </c>
      <c r="N282" s="1">
        <v>0.96972499999999995</v>
      </c>
      <c r="O282">
        <v>1</v>
      </c>
      <c r="P282">
        <v>0</v>
      </c>
      <c r="Q282">
        <v>1</v>
      </c>
      <c r="R282">
        <v>1</v>
      </c>
      <c r="S282">
        <v>1</v>
      </c>
      <c r="T282" s="1">
        <f>SQRT(POWER(Batmobile[[#This Row],[angvel_X]],2) + POWER(Batmobile[[#This Row],[angvel_Y]],2) + POWER(Batmobile[[#This Row],[angvel_Z]],2))</f>
        <v>2.0014000024982508</v>
      </c>
      <c r="U282" s="1">
        <f>DEGREES(ASIN(MAX(-1,MIN(1,2 * (Batmobile[[#This Row],[quart_W]]*Batmobile[[#This Row],[quart_Y]] - Batmobile[[#This Row],[quart_Z]]*Batmobile[[#This Row],[quart_X]])))))</f>
        <v>0.34218421376721381</v>
      </c>
      <c r="V28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118.26725022258793</v>
      </c>
      <c r="W28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89.999191886143194</v>
      </c>
      <c r="X282" s="1">
        <f>IF(Batmobile[[#This Row],[Yaw]]&gt;V281,(360-ABS(Batmobile[[#This Row],[Yaw]])-ABS(V281)),ABS(Batmobile[[#This Row],[Yaw]]-V281))</f>
        <v>0.95533341433312557</v>
      </c>
      <c r="Y282" s="1">
        <f>Batmobile[[#This Row],[Degree change]]+Y281</f>
        <v>210.883293854085</v>
      </c>
    </row>
    <row r="283" spans="1:25">
      <c r="A283">
        <v>282</v>
      </c>
      <c r="B283" s="1">
        <v>-1370.4399410000001</v>
      </c>
      <c r="C283" s="1">
        <v>528.89001499999995</v>
      </c>
      <c r="D283" s="1">
        <v>18.649999999999999</v>
      </c>
      <c r="E283" s="1">
        <v>1974.709961</v>
      </c>
      <c r="F283" s="1">
        <v>-1179.160034</v>
      </c>
      <c r="G283" s="1">
        <v>8.1999999999999993</v>
      </c>
      <c r="H283" s="1">
        <v>0</v>
      </c>
      <c r="I283" s="1">
        <v>0</v>
      </c>
      <c r="J283" s="1">
        <v>2.0013999999999998</v>
      </c>
      <c r="K283" s="1">
        <v>7.0899999999999999E-4</v>
      </c>
      <c r="L283" s="1">
        <v>2.8999999999999998E-3</v>
      </c>
      <c r="M283" s="1">
        <v>-0.23608499999999999</v>
      </c>
      <c r="N283" s="1">
        <v>0.97172800000000004</v>
      </c>
      <c r="O283">
        <v>1</v>
      </c>
      <c r="P283">
        <v>0</v>
      </c>
      <c r="Q283">
        <v>1</v>
      </c>
      <c r="R283">
        <v>1</v>
      </c>
      <c r="S283">
        <v>1</v>
      </c>
      <c r="T283" s="1">
        <f>SQRT(POWER(Batmobile[[#This Row],[angvel_X]],2) + POWER(Batmobile[[#This Row],[angvel_Y]],2) + POWER(Batmobile[[#This Row],[angvel_Z]],2))</f>
        <v>2.0013999999999998</v>
      </c>
      <c r="U283" s="1">
        <f>DEGREES(ASIN(MAX(-1,MIN(1,2 * (Batmobile[[#This Row],[quart_W]]*Batmobile[[#This Row],[quart_Y]] - Batmobile[[#This Row],[quart_Z]]*Batmobile[[#This Row],[quart_X]])))))</f>
        <v>0.34210315334705965</v>
      </c>
      <c r="V28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117.31130373732384</v>
      </c>
      <c r="W28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89.999506256048875</v>
      </c>
      <c r="X283" s="1">
        <f>IF(Batmobile[[#This Row],[Yaw]]&gt;V282,(360-ABS(Batmobile[[#This Row],[Yaw]])-ABS(V282)),ABS(Batmobile[[#This Row],[Yaw]]-V282))</f>
        <v>0.95594648526409287</v>
      </c>
      <c r="Y283" s="1">
        <f>Batmobile[[#This Row],[Degree change]]+Y282</f>
        <v>211.83924033934909</v>
      </c>
    </row>
    <row r="284" spans="1:25">
      <c r="A284">
        <v>283</v>
      </c>
      <c r="B284" s="1">
        <v>-1353.919922</v>
      </c>
      <c r="C284" s="1">
        <v>519.02996800000005</v>
      </c>
      <c r="D284" s="1">
        <v>18.649999999999999</v>
      </c>
      <c r="E284" s="1">
        <v>1994.099976</v>
      </c>
      <c r="F284" s="1">
        <v>-1146.059937</v>
      </c>
      <c r="G284" s="1">
        <v>8.1999999999999993</v>
      </c>
      <c r="H284" s="1">
        <v>0</v>
      </c>
      <c r="I284" s="1">
        <v>0</v>
      </c>
      <c r="J284" s="1">
        <v>2.0013999999999998</v>
      </c>
      <c r="K284" s="1">
        <v>6.8800000000000003E-4</v>
      </c>
      <c r="L284" s="1">
        <v>2.905E-3</v>
      </c>
      <c r="M284" s="1">
        <v>-0.22797100000000001</v>
      </c>
      <c r="N284" s="1">
        <v>0.97366299999999995</v>
      </c>
      <c r="O284">
        <v>1</v>
      </c>
      <c r="P284">
        <v>0</v>
      </c>
      <c r="Q284">
        <v>1</v>
      </c>
      <c r="R284">
        <v>1</v>
      </c>
      <c r="S284">
        <v>1</v>
      </c>
      <c r="T284" s="1">
        <f>SQRT(POWER(Batmobile[[#This Row],[angvel_X]],2) + POWER(Batmobile[[#This Row],[angvel_Y]],2) + POWER(Batmobile[[#This Row],[angvel_Z]],2))</f>
        <v>2.0013999999999998</v>
      </c>
      <c r="U284" s="1">
        <f>DEGREES(ASIN(MAX(-1,MIN(1,2 * (Batmobile[[#This Row],[quart_W]]*Batmobile[[#This Row],[quart_Y]] - Batmobile[[#This Row],[quart_Z]]*Batmobile[[#This Row],[quart_X]])))))</f>
        <v>0.34209623166433251</v>
      </c>
      <c r="V28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116.35539967596409</v>
      </c>
      <c r="W28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89.999126293804352</v>
      </c>
      <c r="X284" s="1">
        <f>IF(Batmobile[[#This Row],[Yaw]]&gt;V283,(360-ABS(Batmobile[[#This Row],[Yaw]])-ABS(V283)),ABS(Batmobile[[#This Row],[Yaw]]-V283))</f>
        <v>0.95590406135974604</v>
      </c>
      <c r="Y284" s="1">
        <f>Batmobile[[#This Row],[Degree change]]+Y283</f>
        <v>212.79514440070884</v>
      </c>
    </row>
    <row r="285" spans="1:25">
      <c r="A285">
        <v>284</v>
      </c>
      <c r="B285" s="1">
        <v>-1337.23999</v>
      </c>
      <c r="C285" s="1">
        <v>509.44998199999998</v>
      </c>
      <c r="D285" s="1">
        <v>18.649999999999999</v>
      </c>
      <c r="E285" s="1">
        <v>2012.9399410000001</v>
      </c>
      <c r="F285" s="1">
        <v>-1112.6400149999999</v>
      </c>
      <c r="G285" s="1">
        <v>8.1999999999999993</v>
      </c>
      <c r="H285" s="1">
        <v>0</v>
      </c>
      <c r="I285" s="1">
        <v>0</v>
      </c>
      <c r="J285" s="1">
        <v>2.0013999999999998</v>
      </c>
      <c r="K285" s="1">
        <v>6.6600000000000003E-4</v>
      </c>
      <c r="L285" s="1">
        <v>2.911E-3</v>
      </c>
      <c r="M285" s="1">
        <v>-0.21984100000000001</v>
      </c>
      <c r="N285" s="1">
        <v>0.97553100000000004</v>
      </c>
      <c r="O285">
        <v>1</v>
      </c>
      <c r="P285">
        <v>0</v>
      </c>
      <c r="Q285">
        <v>1</v>
      </c>
      <c r="R285">
        <v>1</v>
      </c>
      <c r="S285">
        <v>1</v>
      </c>
      <c r="T285" s="1">
        <f>SQRT(POWER(Batmobile[[#This Row],[angvel_X]],2) + POWER(Batmobile[[#This Row],[angvel_Y]],2) + POWER(Batmobile[[#This Row],[angvel_Z]],2))</f>
        <v>2.0013999999999998</v>
      </c>
      <c r="U285" s="1">
        <f>DEGREES(ASIN(MAX(-1,MIN(1,2 * (Batmobile[[#This Row],[quart_W]]*Batmobile[[#This Row],[quart_Y]] - Batmobile[[#This Row],[quart_Z]]*Batmobile[[#This Row],[quart_X]])))))</f>
        <v>0.34219361147397931</v>
      </c>
      <c r="V28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115.39949714796461</v>
      </c>
      <c r="W28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89.998883114023442</v>
      </c>
      <c r="X285" s="1">
        <f>IF(Batmobile[[#This Row],[Yaw]]&gt;V284,(360-ABS(Batmobile[[#This Row],[Yaw]])-ABS(V284)),ABS(Batmobile[[#This Row],[Yaw]]-V284))</f>
        <v>0.95590252799948416</v>
      </c>
      <c r="Y285" s="1">
        <f>Batmobile[[#This Row],[Degree change]]+Y284</f>
        <v>213.75104692870832</v>
      </c>
    </row>
    <row r="286" spans="1:25">
      <c r="A286">
        <v>285</v>
      </c>
      <c r="B286" s="1">
        <v>-1320.400024</v>
      </c>
      <c r="C286" s="1">
        <v>500.14999399999999</v>
      </c>
      <c r="D286" s="1">
        <v>18.649999999999999</v>
      </c>
      <c r="E286" s="1">
        <v>2031.219971</v>
      </c>
      <c r="F286" s="1">
        <v>-1078.910034</v>
      </c>
      <c r="G286" s="1">
        <v>8.1999999999999993</v>
      </c>
      <c r="H286" s="1">
        <v>0</v>
      </c>
      <c r="I286" s="1">
        <v>0</v>
      </c>
      <c r="J286" s="1">
        <v>2.0013999999999998</v>
      </c>
      <c r="K286" s="1">
        <v>6.4499999999999996E-4</v>
      </c>
      <c r="L286" s="1">
        <v>2.9160000000000002E-3</v>
      </c>
      <c r="M286" s="1">
        <v>-0.211701</v>
      </c>
      <c r="N286" s="1">
        <v>0.97733000000000003</v>
      </c>
      <c r="O286">
        <v>1</v>
      </c>
      <c r="P286">
        <v>0</v>
      </c>
      <c r="Q286">
        <v>1</v>
      </c>
      <c r="R286">
        <v>1</v>
      </c>
      <c r="S286">
        <v>1</v>
      </c>
      <c r="T286" s="1">
        <f>SQRT(POWER(Batmobile[[#This Row],[angvel_X]],2) + POWER(Batmobile[[#This Row],[angvel_Y]],2) + POWER(Batmobile[[#This Row],[angvel_Z]],2))</f>
        <v>2.0013999999999998</v>
      </c>
      <c r="U286" s="1">
        <f>DEGREES(ASIN(MAX(-1,MIN(1,2 * (Batmobile[[#This Row],[quart_W]]*Batmobile[[#This Row],[quart_Y]] - Batmobile[[#This Row],[quart_Z]]*Batmobile[[#This Row],[quart_X]])))))</f>
        <v>0.34222301367143731</v>
      </c>
      <c r="V28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114.44421572711151</v>
      </c>
      <c r="W28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89.99850366721212</v>
      </c>
      <c r="X286" s="1">
        <f>IF(Batmobile[[#This Row],[Yaw]]&gt;V285,(360-ABS(Batmobile[[#This Row],[Yaw]])-ABS(V285)),ABS(Batmobile[[#This Row],[Yaw]]-V285))</f>
        <v>0.95528142085309753</v>
      </c>
      <c r="Y286" s="1">
        <f>Batmobile[[#This Row],[Degree change]]+Y285</f>
        <v>214.70632834956143</v>
      </c>
    </row>
    <row r="287" spans="1:25">
      <c r="A287">
        <v>286</v>
      </c>
      <c r="B287" s="1">
        <v>-1303.4099120000001</v>
      </c>
      <c r="C287" s="1">
        <v>491.129974</v>
      </c>
      <c r="D287" s="1">
        <v>18.649999999999999</v>
      </c>
      <c r="E287" s="1">
        <v>2048.929932</v>
      </c>
      <c r="F287" s="1">
        <v>-1044.880005</v>
      </c>
      <c r="G287" s="1">
        <v>8.1999999999999993</v>
      </c>
      <c r="H287" s="1">
        <v>0</v>
      </c>
      <c r="I287" s="1">
        <v>0</v>
      </c>
      <c r="J287" s="1">
        <v>2.0013999999999998</v>
      </c>
      <c r="K287" s="1">
        <v>6.1799999999999995E-4</v>
      </c>
      <c r="L287" s="1">
        <v>2.921E-3</v>
      </c>
      <c r="M287" s="1">
        <v>-0.203544</v>
      </c>
      <c r="N287" s="1">
        <v>0.97906099999999996</v>
      </c>
      <c r="O287">
        <v>1</v>
      </c>
      <c r="P287">
        <v>0</v>
      </c>
      <c r="Q287">
        <v>1</v>
      </c>
      <c r="R287">
        <v>1</v>
      </c>
      <c r="S287">
        <v>1</v>
      </c>
      <c r="T287" s="1">
        <f>SQRT(POWER(Batmobile[[#This Row],[angvel_X]],2) + POWER(Batmobile[[#This Row],[angvel_Y]],2) + POWER(Batmobile[[#This Row],[angvel_Z]],2))</f>
        <v>2.0013999999999998</v>
      </c>
      <c r="U287" s="1">
        <f>DEGREES(ASIN(MAX(-1,MIN(1,2 * (Batmobile[[#This Row],[quart_W]]*Batmobile[[#This Row],[quart_Y]] - Batmobile[[#This Row],[quart_Z]]*Batmobile[[#This Row],[quart_X]])))))</f>
        <v>0.34212972852007828</v>
      </c>
      <c r="V28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113.48865621604321</v>
      </c>
      <c r="W28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89.998795887787466</v>
      </c>
      <c r="X287" s="1">
        <f>IF(Batmobile[[#This Row],[Yaw]]&gt;V286,(360-ABS(Batmobile[[#This Row],[Yaw]])-ABS(V286)),ABS(Batmobile[[#This Row],[Yaw]]-V286))</f>
        <v>0.9555595110683015</v>
      </c>
      <c r="Y287" s="1">
        <f>Batmobile[[#This Row],[Degree change]]+Y286</f>
        <v>215.66188786062975</v>
      </c>
    </row>
    <row r="288" spans="1:25">
      <c r="A288">
        <v>287</v>
      </c>
      <c r="B288" s="1">
        <v>-1286.2700199999999</v>
      </c>
      <c r="C288" s="1">
        <v>482.39999399999999</v>
      </c>
      <c r="D288" s="1">
        <v>18.649999999999999</v>
      </c>
      <c r="E288" s="1">
        <v>2066.070068</v>
      </c>
      <c r="F288" s="1">
        <v>-1010.570007</v>
      </c>
      <c r="G288" s="1">
        <v>8.1999999999999993</v>
      </c>
      <c r="H288" s="1">
        <v>0</v>
      </c>
      <c r="I288" s="1">
        <v>0</v>
      </c>
      <c r="J288" s="1">
        <v>2.0013999999999998</v>
      </c>
      <c r="K288" s="1">
        <v>5.9100000000000005E-4</v>
      </c>
      <c r="L288" s="1">
        <v>2.9269999999999999E-3</v>
      </c>
      <c r="M288" s="1">
        <v>-0.19537099999999999</v>
      </c>
      <c r="N288" s="1">
        <v>0.98072499999999996</v>
      </c>
      <c r="O288">
        <v>1</v>
      </c>
      <c r="P288">
        <v>0</v>
      </c>
      <c r="Q288">
        <v>1</v>
      </c>
      <c r="R288">
        <v>1</v>
      </c>
      <c r="S288">
        <v>1</v>
      </c>
      <c r="T288" s="1">
        <f>SQRT(POWER(Batmobile[[#This Row],[angvel_X]],2) + POWER(Batmobile[[#This Row],[angvel_Y]],2) + POWER(Batmobile[[#This Row],[angvel_Z]],2))</f>
        <v>2.0013999999999998</v>
      </c>
      <c r="U288" s="1">
        <f>DEGREES(ASIN(MAX(-1,MIN(1,2 * (Batmobile[[#This Row],[quart_W]]*Batmobile[[#This Row],[quart_Y]] - Batmobile[[#This Row],[quart_Z]]*Batmobile[[#This Row],[quart_X]])))))</f>
        <v>0.34217773899947834</v>
      </c>
      <c r="V28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112.53289634308183</v>
      </c>
      <c r="W28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89.999111033481483</v>
      </c>
      <c r="X288" s="1">
        <f>IF(Batmobile[[#This Row],[Yaw]]&gt;V287,(360-ABS(Batmobile[[#This Row],[Yaw]])-ABS(V287)),ABS(Batmobile[[#This Row],[Yaw]]-V287))</f>
        <v>0.9557598729613801</v>
      </c>
      <c r="Y288" s="1">
        <f>Batmobile[[#This Row],[Degree change]]+Y287</f>
        <v>216.61764773359113</v>
      </c>
    </row>
    <row r="289" spans="1:25">
      <c r="A289">
        <v>288</v>
      </c>
      <c r="B289" s="1">
        <v>-1268.98999</v>
      </c>
      <c r="C289" s="1">
        <v>473.94998199999998</v>
      </c>
      <c r="D289" s="1">
        <v>18.649999999999999</v>
      </c>
      <c r="E289" s="1">
        <v>2082.639893</v>
      </c>
      <c r="F289" s="1">
        <v>-975.96997099999999</v>
      </c>
      <c r="G289" s="1">
        <v>8.1999999999999993</v>
      </c>
      <c r="H289" s="1">
        <v>0</v>
      </c>
      <c r="I289" s="1">
        <v>0</v>
      </c>
      <c r="J289" s="1">
        <v>2.0013999999999998</v>
      </c>
      <c r="K289" s="1">
        <v>5.6400000000000005E-4</v>
      </c>
      <c r="L289" s="1">
        <v>2.9320000000000001E-3</v>
      </c>
      <c r="M289" s="1">
        <v>-0.18718699999999999</v>
      </c>
      <c r="N289" s="1">
        <v>0.98231999999999997</v>
      </c>
      <c r="O289">
        <v>1</v>
      </c>
      <c r="P289">
        <v>0</v>
      </c>
      <c r="Q289">
        <v>1</v>
      </c>
      <c r="R289">
        <v>1</v>
      </c>
      <c r="S289">
        <v>1</v>
      </c>
      <c r="T289" s="1">
        <f>SQRT(POWER(Batmobile[[#This Row],[angvel_X]],2) + POWER(Batmobile[[#This Row],[angvel_Y]],2) + POWER(Batmobile[[#This Row],[angvel_Z]],2))</f>
        <v>2.0013999999999998</v>
      </c>
      <c r="U289" s="1">
        <f>DEGREES(ASIN(MAX(-1,MIN(1,2 * (Batmobile[[#This Row],[quart_W]]*Batmobile[[#This Row],[quart_Y]] - Batmobile[[#This Row],[quart_Z]]*Batmobile[[#This Row],[quart_X]])))))</f>
        <v>0.34214214301796037</v>
      </c>
      <c r="V28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111.57743242446787</v>
      </c>
      <c r="W28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89.999404549182827</v>
      </c>
      <c r="X289" s="1">
        <f>IF(Batmobile[[#This Row],[Yaw]]&gt;V288,(360-ABS(Batmobile[[#This Row],[Yaw]])-ABS(V288)),ABS(Batmobile[[#This Row],[Yaw]]-V288))</f>
        <v>0.95546391861395819</v>
      </c>
      <c r="Y289" s="1">
        <f>Batmobile[[#This Row],[Degree change]]+Y288</f>
        <v>217.57311165220509</v>
      </c>
    </row>
    <row r="290" spans="1:25">
      <c r="A290">
        <v>289</v>
      </c>
      <c r="B290" s="1">
        <v>-1251.5699460000001</v>
      </c>
      <c r="C290" s="1">
        <v>465.78997800000002</v>
      </c>
      <c r="D290" s="1">
        <v>18.649999999999999</v>
      </c>
      <c r="E290" s="1">
        <v>2098.6298830000001</v>
      </c>
      <c r="F290" s="1">
        <v>-941.09997599999997</v>
      </c>
      <c r="G290" s="1">
        <v>8.1999999999999993</v>
      </c>
      <c r="H290" s="1">
        <v>0</v>
      </c>
      <c r="I290" s="1">
        <v>0</v>
      </c>
      <c r="J290" s="1">
        <v>2.0013999999999998</v>
      </c>
      <c r="K290" s="1">
        <v>5.3700000000000004E-4</v>
      </c>
      <c r="L290" s="1">
        <v>2.9369999999999999E-3</v>
      </c>
      <c r="M290" s="1">
        <v>-0.17898700000000001</v>
      </c>
      <c r="N290" s="1">
        <v>0.98384700000000003</v>
      </c>
      <c r="O290">
        <v>1</v>
      </c>
      <c r="P290">
        <v>0</v>
      </c>
      <c r="Q290">
        <v>1</v>
      </c>
      <c r="R290">
        <v>1</v>
      </c>
      <c r="S290">
        <v>1</v>
      </c>
      <c r="T290" s="1">
        <f>SQRT(POWER(Batmobile[[#This Row],[angvel_X]],2) + POWER(Batmobile[[#This Row],[angvel_Y]],2) + POWER(Batmobile[[#This Row],[angvel_Z]],2))</f>
        <v>2.0013999999999998</v>
      </c>
      <c r="U290" s="1">
        <f>DEGREES(ASIN(MAX(-1,MIN(1,2 * (Batmobile[[#This Row],[quart_W]]*Batmobile[[#This Row],[quart_Y]] - Batmobile[[#This Row],[quart_Z]]*Batmobile[[#This Row],[quart_X]])))))</f>
        <v>0.34213514707855103</v>
      </c>
      <c r="V29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110.62161574631234</v>
      </c>
      <c r="W29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89.999697356005044</v>
      </c>
      <c r="X290" s="1">
        <f>IF(Batmobile[[#This Row],[Yaw]]&gt;V289,(360-ABS(Batmobile[[#This Row],[Yaw]])-ABS(V289)),ABS(Batmobile[[#This Row],[Yaw]]-V289))</f>
        <v>0.95581667815552862</v>
      </c>
      <c r="Y290" s="1">
        <f>Batmobile[[#This Row],[Degree change]]+Y289</f>
        <v>218.5289283303606</v>
      </c>
    </row>
    <row r="291" spans="1:25">
      <c r="A291">
        <v>290</v>
      </c>
      <c r="B291" s="1">
        <v>-1234.0200199999999</v>
      </c>
      <c r="C291" s="1">
        <v>457.919983</v>
      </c>
      <c r="D291" s="1">
        <v>18.649999999999999</v>
      </c>
      <c r="E291" s="1">
        <v>2114.030029</v>
      </c>
      <c r="F291" s="1">
        <v>-905.96997099999999</v>
      </c>
      <c r="G291" s="1">
        <v>8.1999999999999993</v>
      </c>
      <c r="H291" s="1">
        <v>0</v>
      </c>
      <c r="I291" s="1">
        <v>0</v>
      </c>
      <c r="J291" s="1">
        <v>2.0013999999999998</v>
      </c>
      <c r="K291" s="1">
        <v>5.1000000000000004E-4</v>
      </c>
      <c r="L291" s="1">
        <v>2.9429999999999999E-3</v>
      </c>
      <c r="M291" s="1">
        <v>-0.17077600000000001</v>
      </c>
      <c r="N291" s="1">
        <v>0.98530499999999999</v>
      </c>
      <c r="O291">
        <v>1</v>
      </c>
      <c r="P291">
        <v>0</v>
      </c>
      <c r="Q291">
        <v>1</v>
      </c>
      <c r="R291">
        <v>1</v>
      </c>
      <c r="S291">
        <v>1</v>
      </c>
      <c r="T291" s="1">
        <f>SQRT(POWER(Batmobile[[#This Row],[angvel_X]],2) + POWER(Batmobile[[#This Row],[angvel_Y]],2) + POWER(Batmobile[[#This Row],[angvel_Z]],2))</f>
        <v>2.0013999999999998</v>
      </c>
      <c r="U291" s="1">
        <f>DEGREES(ASIN(MAX(-1,MIN(1,2 * (Batmobile[[#This Row],[quart_W]]*Batmobile[[#This Row],[quart_Y]] - Batmobile[[#This Row],[quart_Z]]*Batmobile[[#This Row],[quart_X]])))))</f>
        <v>0.34226964753834299</v>
      </c>
      <c r="V29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109.66596292024317</v>
      </c>
      <c r="W29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90.000010109218536</v>
      </c>
      <c r="X291" s="1">
        <f>IF(Batmobile[[#This Row],[Yaw]]&gt;V290,(360-ABS(Batmobile[[#This Row],[Yaw]])-ABS(V290)),ABS(Batmobile[[#This Row],[Yaw]]-V290))</f>
        <v>0.95565282606916924</v>
      </c>
      <c r="Y291" s="1">
        <f>Batmobile[[#This Row],[Degree change]]+Y290</f>
        <v>219.48458115642978</v>
      </c>
    </row>
    <row r="292" spans="1:25">
      <c r="A292">
        <v>291</v>
      </c>
      <c r="B292" s="1">
        <v>-1216.339966</v>
      </c>
      <c r="C292" s="1">
        <v>450.34997600000003</v>
      </c>
      <c r="D292" s="1">
        <v>18.649999999999999</v>
      </c>
      <c r="E292" s="1">
        <v>2128.8498540000001</v>
      </c>
      <c r="F292" s="1">
        <v>-870.57995600000004</v>
      </c>
      <c r="G292" s="1">
        <v>8.1999999999999993</v>
      </c>
      <c r="H292" s="1">
        <v>0</v>
      </c>
      <c r="I292" s="1">
        <v>0</v>
      </c>
      <c r="J292" s="1">
        <v>2.0013999999999998</v>
      </c>
      <c r="K292" s="1">
        <v>4.8299999999999998E-4</v>
      </c>
      <c r="L292" s="1">
        <v>2.9480000000000001E-3</v>
      </c>
      <c r="M292" s="1">
        <v>-0.162554</v>
      </c>
      <c r="N292" s="1">
        <v>0.98669499999999999</v>
      </c>
      <c r="O292">
        <v>1</v>
      </c>
      <c r="P292">
        <v>0</v>
      </c>
      <c r="Q292">
        <v>1</v>
      </c>
      <c r="R292">
        <v>1</v>
      </c>
      <c r="S292">
        <v>1</v>
      </c>
      <c r="T292" s="1">
        <f>SQRT(POWER(Batmobile[[#This Row],[angvel_X]],2) + POWER(Batmobile[[#This Row],[angvel_Y]],2) + POWER(Batmobile[[#This Row],[angvel_Z]],2))</f>
        <v>2.0013999999999998</v>
      </c>
      <c r="U292" s="1">
        <f>DEGREES(ASIN(MAX(-1,MIN(1,2 * (Batmobile[[#This Row],[quart_W]]*Batmobile[[#This Row],[quart_Y]] - Batmobile[[#This Row],[quart_Z]]*Batmobile[[#This Row],[quart_X]])))))</f>
        <v>0.34232030558907645</v>
      </c>
      <c r="V29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108.71042434467887</v>
      </c>
      <c r="W29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90.000302012246252</v>
      </c>
      <c r="X292" s="1">
        <f>IF(Batmobile[[#This Row],[Yaw]]&gt;V291,(360-ABS(Batmobile[[#This Row],[Yaw]])-ABS(V291)),ABS(Batmobile[[#This Row],[Yaw]]-V291))</f>
        <v>0.95553857556430444</v>
      </c>
      <c r="Y292" s="1">
        <f>Batmobile[[#This Row],[Degree change]]+Y291</f>
        <v>220.44011973199409</v>
      </c>
    </row>
    <row r="293" spans="1:25">
      <c r="A293">
        <v>292</v>
      </c>
      <c r="B293" s="1">
        <v>-1198.530029</v>
      </c>
      <c r="C293" s="1">
        <v>443.06997699999999</v>
      </c>
      <c r="D293" s="1">
        <v>18.649999999999999</v>
      </c>
      <c r="E293" s="1">
        <v>2143.070068</v>
      </c>
      <c r="F293" s="1">
        <v>-834.94995100000006</v>
      </c>
      <c r="G293" s="1">
        <v>8.1999999999999993</v>
      </c>
      <c r="H293" s="1">
        <v>0</v>
      </c>
      <c r="I293" s="1">
        <v>0</v>
      </c>
      <c r="J293" s="1">
        <v>2.0013999999999998</v>
      </c>
      <c r="K293" s="1">
        <v>4.5600000000000003E-4</v>
      </c>
      <c r="L293" s="1">
        <v>2.954E-3</v>
      </c>
      <c r="M293" s="1">
        <v>-0.15432100000000001</v>
      </c>
      <c r="N293" s="1">
        <v>0.98801600000000001</v>
      </c>
      <c r="O293">
        <v>1</v>
      </c>
      <c r="P293">
        <v>0</v>
      </c>
      <c r="Q293">
        <v>1</v>
      </c>
      <c r="R293">
        <v>1</v>
      </c>
      <c r="S293">
        <v>1</v>
      </c>
      <c r="T293" s="1">
        <f>SQRT(POWER(Batmobile[[#This Row],[angvel_X]],2) + POWER(Batmobile[[#This Row],[angvel_Y]],2) + POWER(Batmobile[[#This Row],[angvel_Z]],2))</f>
        <v>2.0013999999999998</v>
      </c>
      <c r="U293" s="1">
        <f>DEGREES(ASIN(MAX(-1,MIN(1,2 * (Batmobile[[#This Row],[quart_W]]*Batmobile[[#This Row],[quart_Y]] - Batmobile[[#This Row],[quart_Z]]*Batmobile[[#This Row],[quart_X]])))))</f>
        <v>0.34251273094214246</v>
      </c>
      <c r="V29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107.75491492508023</v>
      </c>
      <c r="W29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90.000610662224716</v>
      </c>
      <c r="X293" s="1">
        <f>IF(Batmobile[[#This Row],[Yaw]]&gt;V292,(360-ABS(Batmobile[[#This Row],[Yaw]])-ABS(V292)),ABS(Batmobile[[#This Row],[Yaw]]-V292))</f>
        <v>0.95550941959864133</v>
      </c>
      <c r="Y293" s="1">
        <f>Batmobile[[#This Row],[Degree change]]+Y292</f>
        <v>221.39562915159274</v>
      </c>
    </row>
    <row r="294" spans="1:25">
      <c r="A294">
        <v>293</v>
      </c>
      <c r="B294" s="1">
        <v>-1180.6099850000001</v>
      </c>
      <c r="C294" s="1">
        <v>436.08999599999999</v>
      </c>
      <c r="D294" s="1">
        <v>18.649999999999999</v>
      </c>
      <c r="E294" s="1">
        <v>2156.6999510000001</v>
      </c>
      <c r="F294" s="1">
        <v>-799.089966</v>
      </c>
      <c r="G294" s="1">
        <v>8.1999999999999993</v>
      </c>
      <c r="H294" s="1">
        <v>0</v>
      </c>
      <c r="I294" s="1">
        <v>0</v>
      </c>
      <c r="J294" s="1">
        <v>2.0013999999999998</v>
      </c>
      <c r="K294" s="1">
        <v>4.2900000000000002E-4</v>
      </c>
      <c r="L294" s="1">
        <v>2.9589999999999998E-3</v>
      </c>
      <c r="M294" s="1">
        <v>-0.14607800000000001</v>
      </c>
      <c r="N294" s="1">
        <v>0.98926800000000004</v>
      </c>
      <c r="O294">
        <v>1</v>
      </c>
      <c r="P294">
        <v>0</v>
      </c>
      <c r="Q294">
        <v>1</v>
      </c>
      <c r="R294">
        <v>1</v>
      </c>
      <c r="S294">
        <v>1</v>
      </c>
      <c r="T294" s="1">
        <f>SQRT(POWER(Batmobile[[#This Row],[angvel_X]],2) + POWER(Batmobile[[#This Row],[angvel_Y]],2) + POWER(Batmobile[[#This Row],[angvel_Z]],2))</f>
        <v>2.0013999999999998</v>
      </c>
      <c r="U294" s="1">
        <f>DEGREES(ASIN(MAX(-1,MIN(1,2 * (Batmobile[[#This Row],[quart_W]]*Batmobile[[#This Row],[quart_Y]] - Batmobile[[#This Row],[quart_Z]]*Batmobile[[#This Row],[quart_X]])))))</f>
        <v>0.34262065909761857</v>
      </c>
      <c r="V29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106.79948691544489</v>
      </c>
      <c r="W29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90.000899425747392</v>
      </c>
      <c r="X294" s="1">
        <f>IF(Batmobile[[#This Row],[Yaw]]&gt;V293,(360-ABS(Batmobile[[#This Row],[Yaw]])-ABS(V293)),ABS(Batmobile[[#This Row],[Yaw]]-V293))</f>
        <v>0.95542800963534091</v>
      </c>
      <c r="Y294" s="1">
        <f>Batmobile[[#This Row],[Degree change]]+Y293</f>
        <v>222.35105716122808</v>
      </c>
    </row>
    <row r="295" spans="1:25">
      <c r="A295">
        <v>294</v>
      </c>
      <c r="B295" s="1">
        <v>-1162.5699460000001</v>
      </c>
      <c r="C295" s="1">
        <v>429.41000400000001</v>
      </c>
      <c r="D295" s="1">
        <v>18.649999999999999</v>
      </c>
      <c r="E295" s="1">
        <v>2169.7299800000001</v>
      </c>
      <c r="F295" s="1">
        <v>-763.01000999999997</v>
      </c>
      <c r="G295" s="1">
        <v>8.1999999999999993</v>
      </c>
      <c r="H295" s="1">
        <v>0</v>
      </c>
      <c r="I295" s="1">
        <v>0</v>
      </c>
      <c r="J295" s="1">
        <v>2.0013999999999998</v>
      </c>
      <c r="K295" s="1">
        <v>4.0200000000000001E-4</v>
      </c>
      <c r="L295" s="1">
        <v>2.9640000000000001E-3</v>
      </c>
      <c r="M295" s="1">
        <v>-0.137824</v>
      </c>
      <c r="N295" s="1">
        <v>0.990452</v>
      </c>
      <c r="O295">
        <v>1</v>
      </c>
      <c r="P295">
        <v>0</v>
      </c>
      <c r="Q295">
        <v>1</v>
      </c>
      <c r="R295">
        <v>1</v>
      </c>
      <c r="S295">
        <v>1</v>
      </c>
      <c r="T295" s="1">
        <f>SQRT(POWER(Batmobile[[#This Row],[angvel_X]],2) + POWER(Batmobile[[#This Row],[angvel_Y]],2) + POWER(Batmobile[[#This Row],[angvel_Z]],2))</f>
        <v>2.0013999999999998</v>
      </c>
      <c r="U295" s="1">
        <f>DEGREES(ASIN(MAX(-1,MIN(1,2 * (Batmobile[[#This Row],[quart_W]]*Batmobile[[#This Row],[quart_Y]] - Batmobile[[#This Row],[quart_Z]]*Batmobile[[#This Row],[quart_X]])))))</f>
        <v>0.34275742679878651</v>
      </c>
      <c r="V29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105.84397156488878</v>
      </c>
      <c r="W29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90.001185887094522</v>
      </c>
      <c r="X295" s="1">
        <f>IF(Batmobile[[#This Row],[Yaw]]&gt;V294,(360-ABS(Batmobile[[#This Row],[Yaw]])-ABS(V294)),ABS(Batmobile[[#This Row],[Yaw]]-V294))</f>
        <v>0.95551535055611225</v>
      </c>
      <c r="Y295" s="1">
        <f>Batmobile[[#This Row],[Degree change]]+Y294</f>
        <v>223.3065725117842</v>
      </c>
    </row>
    <row r="296" spans="1:25">
      <c r="A296">
        <v>295</v>
      </c>
      <c r="B296" s="1">
        <v>-1144.419922</v>
      </c>
      <c r="C296" s="1">
        <v>423.02999899999998</v>
      </c>
      <c r="D296" s="1">
        <v>18.649999999999999</v>
      </c>
      <c r="E296" s="1">
        <v>2182.1499020000001</v>
      </c>
      <c r="F296" s="1">
        <v>-726.71997099999999</v>
      </c>
      <c r="G296" s="1">
        <v>8.1999999999999993</v>
      </c>
      <c r="H296" s="1">
        <v>0</v>
      </c>
      <c r="I296" s="1">
        <v>0</v>
      </c>
      <c r="J296" s="1">
        <v>2.0013999999999998</v>
      </c>
      <c r="K296" s="1">
        <v>3.7500000000000001E-4</v>
      </c>
      <c r="L296" s="1">
        <v>2.97E-3</v>
      </c>
      <c r="M296" s="1">
        <v>-0.12955900000000001</v>
      </c>
      <c r="N296" s="1">
        <v>0.99156699999999998</v>
      </c>
      <c r="O296">
        <v>1</v>
      </c>
      <c r="P296">
        <v>0</v>
      </c>
      <c r="Q296">
        <v>1</v>
      </c>
      <c r="R296">
        <v>1</v>
      </c>
      <c r="S296">
        <v>1</v>
      </c>
      <c r="T296" s="1">
        <f>SQRT(POWER(Batmobile[[#This Row],[angvel_X]],2) + POWER(Batmobile[[#This Row],[angvel_Y]],2) + POWER(Batmobile[[#This Row],[angvel_Z]],2))</f>
        <v>2.0013999999999998</v>
      </c>
      <c r="U296" s="1">
        <f>DEGREES(ASIN(MAX(-1,MIN(1,2 * (Batmobile[[#This Row],[quart_W]]*Batmobile[[#This Row],[quart_Y]] - Batmobile[[#This Row],[quart_Z]]*Batmobile[[#This Row],[quart_X]])))))</f>
        <v>0.34303630628011644</v>
      </c>
      <c r="V29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104.88828745141622</v>
      </c>
      <c r="W29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90.001484285802988</v>
      </c>
      <c r="X296" s="1">
        <f>IF(Batmobile[[#This Row],[Yaw]]&gt;V295,(360-ABS(Batmobile[[#This Row],[Yaw]])-ABS(V295)),ABS(Batmobile[[#This Row],[Yaw]]-V295))</f>
        <v>0.95568411347255733</v>
      </c>
      <c r="Y296" s="1">
        <f>Batmobile[[#This Row],[Degree change]]+Y295</f>
        <v>224.26225662525675</v>
      </c>
    </row>
    <row r="297" spans="1:25">
      <c r="A297">
        <v>296</v>
      </c>
      <c r="B297" s="1">
        <v>-1126.169922</v>
      </c>
      <c r="C297" s="1">
        <v>416.959991</v>
      </c>
      <c r="D297" s="1">
        <v>18.649999999999999</v>
      </c>
      <c r="E297" s="1">
        <v>2193.969971</v>
      </c>
      <c r="F297" s="1">
        <v>-690.22997999999995</v>
      </c>
      <c r="G297" s="1">
        <v>8.1999999999999993</v>
      </c>
      <c r="H297" s="1">
        <v>0</v>
      </c>
      <c r="I297" s="1">
        <v>0</v>
      </c>
      <c r="J297" s="1">
        <v>2.0013999999999998</v>
      </c>
      <c r="K297" s="1">
        <v>3.48E-4</v>
      </c>
      <c r="L297" s="1">
        <v>2.9750000000000002E-3</v>
      </c>
      <c r="M297" s="1">
        <v>-0.121284</v>
      </c>
      <c r="N297" s="1">
        <v>0.99261299999999997</v>
      </c>
      <c r="O297">
        <v>1</v>
      </c>
      <c r="P297">
        <v>0</v>
      </c>
      <c r="Q297">
        <v>1</v>
      </c>
      <c r="R297">
        <v>1</v>
      </c>
      <c r="S297">
        <v>1</v>
      </c>
      <c r="T297" s="1">
        <f>SQRT(POWER(Batmobile[[#This Row],[angvel_X]],2) + POWER(Batmobile[[#This Row],[angvel_Y]],2) + POWER(Batmobile[[#This Row],[angvel_Z]],2))</f>
        <v>2.0013999999999998</v>
      </c>
      <c r="U297" s="1">
        <f>DEGREES(ASIN(MAX(-1,MIN(1,2 * (Batmobile[[#This Row],[quart_W]]*Batmobile[[#This Row],[quart_Y]] - Batmobile[[#This Row],[quart_Z]]*Batmobile[[#This Row],[quart_X]])))))</f>
        <v>0.34323018629891949</v>
      </c>
      <c r="V29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103.93248696714578</v>
      </c>
      <c r="W29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90.00176366174378</v>
      </c>
      <c r="X297" s="1">
        <f>IF(Batmobile[[#This Row],[Yaw]]&gt;V296,(360-ABS(Batmobile[[#This Row],[Yaw]])-ABS(V296)),ABS(Batmobile[[#This Row],[Yaw]]-V296))</f>
        <v>0.95580048427044062</v>
      </c>
      <c r="Y297" s="1">
        <f>Batmobile[[#This Row],[Degree change]]+Y296</f>
        <v>225.21805710952719</v>
      </c>
    </row>
    <row r="298" spans="1:25">
      <c r="A298">
        <v>297</v>
      </c>
      <c r="B298" s="1">
        <v>-1107.8199460000001</v>
      </c>
      <c r="C298" s="1">
        <v>411.19000199999999</v>
      </c>
      <c r="D298" s="1">
        <v>18.649999999999999</v>
      </c>
      <c r="E298" s="1">
        <v>2205.169922</v>
      </c>
      <c r="F298" s="1">
        <v>-653.53997800000002</v>
      </c>
      <c r="G298" s="1">
        <v>8.1999999999999993</v>
      </c>
      <c r="H298" s="1">
        <v>0</v>
      </c>
      <c r="I298" s="1">
        <v>0</v>
      </c>
      <c r="J298" s="1">
        <v>2.0013999999999998</v>
      </c>
      <c r="K298" s="1">
        <v>3.21E-4</v>
      </c>
      <c r="L298" s="1">
        <v>2.9810000000000001E-3</v>
      </c>
      <c r="M298" s="1">
        <v>-0.11300300000000001</v>
      </c>
      <c r="N298" s="1">
        <v>0.99358999999999997</v>
      </c>
      <c r="O298">
        <v>1</v>
      </c>
      <c r="P298">
        <v>0</v>
      </c>
      <c r="Q298">
        <v>1</v>
      </c>
      <c r="R298">
        <v>1</v>
      </c>
      <c r="S298">
        <v>1</v>
      </c>
      <c r="T298" s="1">
        <f>SQRT(POWER(Batmobile[[#This Row],[angvel_X]],2) + POWER(Batmobile[[#This Row],[angvel_Y]],2) + POWER(Batmobile[[#This Row],[angvel_Z]],2))</f>
        <v>2.0013999999999998</v>
      </c>
      <c r="U298" s="1">
        <f>DEGREES(ASIN(MAX(-1,MIN(1,2 * (Batmobile[[#This Row],[quart_W]]*Batmobile[[#This Row],[quart_Y]] - Batmobile[[#This Row],[quart_Z]]*Batmobile[[#This Row],[quart_X]])))))</f>
        <v>0.34356654675540765</v>
      </c>
      <c r="V29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102.97697220578067</v>
      </c>
      <c r="W29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90.00205346643331</v>
      </c>
      <c r="X298" s="1">
        <f>IF(Batmobile[[#This Row],[Yaw]]&gt;V297,(360-ABS(Batmobile[[#This Row],[Yaw]])-ABS(V297)),ABS(Batmobile[[#This Row],[Yaw]]-V297))</f>
        <v>0.95551476136510871</v>
      </c>
      <c r="Y298" s="1">
        <f>Batmobile[[#This Row],[Degree change]]+Y297</f>
        <v>226.17357187089232</v>
      </c>
    </row>
    <row r="299" spans="1:25">
      <c r="A299">
        <v>298</v>
      </c>
      <c r="B299" s="1">
        <v>-1089.380005</v>
      </c>
      <c r="C299" s="1">
        <v>405.72998000000001</v>
      </c>
      <c r="D299" s="1">
        <v>18.649999999999999</v>
      </c>
      <c r="E299" s="1">
        <v>2215.7700199999999</v>
      </c>
      <c r="F299" s="1">
        <v>-616.669983</v>
      </c>
      <c r="G299" s="1">
        <v>8.1999999999999993</v>
      </c>
      <c r="H299" s="1">
        <v>0</v>
      </c>
      <c r="I299" s="1">
        <v>-1E-4</v>
      </c>
      <c r="J299" s="1">
        <v>2.0013999999999998</v>
      </c>
      <c r="K299" s="1">
        <v>2.9399999999999999E-4</v>
      </c>
      <c r="L299" s="1">
        <v>2.9810000000000001E-3</v>
      </c>
      <c r="M299" s="1">
        <v>-0.104711</v>
      </c>
      <c r="N299" s="1">
        <v>0.99449799999999999</v>
      </c>
      <c r="O299">
        <v>1</v>
      </c>
      <c r="P299">
        <v>0</v>
      </c>
      <c r="Q299">
        <v>1</v>
      </c>
      <c r="R299">
        <v>1</v>
      </c>
      <c r="S299">
        <v>1</v>
      </c>
      <c r="T299" s="1">
        <f>SQRT(POWER(Batmobile[[#This Row],[angvel_X]],2) + POWER(Batmobile[[#This Row],[angvel_Y]],2) + POWER(Batmobile[[#This Row],[angvel_Z]],2))</f>
        <v>2.0014000024982508</v>
      </c>
      <c r="U299" s="1">
        <f>DEGREES(ASIN(MAX(-1,MIN(1,2 * (Batmobile[[#This Row],[quart_W]]*Batmobile[[#This Row],[quart_Y]] - Batmobile[[#This Row],[quart_Z]]*Batmobile[[#This Row],[quart_X]])))))</f>
        <v>0.34324772657064256</v>
      </c>
      <c r="V29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102.02109136854533</v>
      </c>
      <c r="W29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90.002264493487147</v>
      </c>
      <c r="X299" s="1">
        <f>IF(Batmobile[[#This Row],[Yaw]]&gt;V298,(360-ABS(Batmobile[[#This Row],[Yaw]])-ABS(V298)),ABS(Batmobile[[#This Row],[Yaw]]-V298))</f>
        <v>0.95588083723534112</v>
      </c>
      <c r="Y299" s="1">
        <f>Batmobile[[#This Row],[Degree change]]+Y298</f>
        <v>227.12945270812764</v>
      </c>
    </row>
    <row r="300" spans="1:25">
      <c r="A300">
        <v>299</v>
      </c>
      <c r="B300" s="1">
        <v>-1070.849976</v>
      </c>
      <c r="C300" s="1">
        <v>400.57998700000002</v>
      </c>
      <c r="D300" s="1">
        <v>18.649999999999999</v>
      </c>
      <c r="E300" s="1">
        <v>2225.73999</v>
      </c>
      <c r="F300" s="1">
        <v>-579.63000499999998</v>
      </c>
      <c r="G300" s="1">
        <v>8.1999999999999993</v>
      </c>
      <c r="H300" s="1">
        <v>1E-4</v>
      </c>
      <c r="I300" s="1">
        <v>-1E-4</v>
      </c>
      <c r="J300" s="1">
        <v>2.0013999999999998</v>
      </c>
      <c r="K300" s="1">
        <v>2.6699999999999998E-4</v>
      </c>
      <c r="L300" s="1">
        <v>2.9810000000000001E-3</v>
      </c>
      <c r="M300" s="1">
        <v>-9.6412999999999999E-2</v>
      </c>
      <c r="N300" s="1">
        <v>0.99533700000000003</v>
      </c>
      <c r="O300">
        <v>1</v>
      </c>
      <c r="P300">
        <v>0</v>
      </c>
      <c r="Q300">
        <v>1</v>
      </c>
      <c r="R300">
        <v>1</v>
      </c>
      <c r="S300">
        <v>1</v>
      </c>
      <c r="T300" s="1">
        <f>SQRT(POWER(Batmobile[[#This Row],[angvel_X]],2) + POWER(Batmobile[[#This Row],[angvel_Y]],2) + POWER(Batmobile[[#This Row],[angvel_Z]],2))</f>
        <v>2.0014000049965022</v>
      </c>
      <c r="U300" s="1">
        <f>DEGREES(ASIN(MAX(-1,MIN(1,2 * (Batmobile[[#This Row],[quart_W]]*Batmobile[[#This Row],[quart_Y]] - Batmobile[[#This Row],[quart_Z]]*Batmobile[[#This Row],[quart_X]])))))</f>
        <v>0.34295646352447429</v>
      </c>
      <c r="V30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101.06536226203862</v>
      </c>
      <c r="W30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90.00248120082486</v>
      </c>
      <c r="X300" s="1">
        <f>IF(Batmobile[[#This Row],[Yaw]]&gt;V299,(360-ABS(Batmobile[[#This Row],[Yaw]])-ABS(V299)),ABS(Batmobile[[#This Row],[Yaw]]-V299))</f>
        <v>0.95572910650670906</v>
      </c>
      <c r="Y300" s="1">
        <f>Batmobile[[#This Row],[Degree change]]+Y299</f>
        <v>228.08518181463435</v>
      </c>
    </row>
    <row r="301" spans="1:25">
      <c r="A301">
        <v>300</v>
      </c>
      <c r="B301" s="1">
        <v>-1052.2299800000001</v>
      </c>
      <c r="C301" s="1">
        <v>395.73998999999998</v>
      </c>
      <c r="D301" s="1">
        <v>18.649999999999999</v>
      </c>
      <c r="E301" s="1">
        <v>2235.0998540000001</v>
      </c>
      <c r="F301" s="1">
        <v>-542.42999299999997</v>
      </c>
      <c r="G301" s="1">
        <v>8.1999999999999993</v>
      </c>
      <c r="H301" s="1">
        <v>1E-4</v>
      </c>
      <c r="I301" s="1">
        <v>-1E-4</v>
      </c>
      <c r="J301" s="1">
        <v>2.0013999999999998</v>
      </c>
      <c r="K301" s="1">
        <v>2.4000000000000001E-4</v>
      </c>
      <c r="L301" s="1">
        <v>2.9810000000000001E-3</v>
      </c>
      <c r="M301" s="1">
        <v>-8.8110999999999995E-2</v>
      </c>
      <c r="N301" s="1">
        <v>0.99610600000000005</v>
      </c>
      <c r="O301">
        <v>1</v>
      </c>
      <c r="P301">
        <v>0</v>
      </c>
      <c r="Q301">
        <v>1</v>
      </c>
      <c r="R301">
        <v>1</v>
      </c>
      <c r="S301">
        <v>1</v>
      </c>
      <c r="T301" s="1">
        <f>SQRT(POWER(Batmobile[[#This Row],[angvel_X]],2) + POWER(Batmobile[[#This Row],[angvel_Y]],2) + POWER(Batmobile[[#This Row],[angvel_Z]],2))</f>
        <v>2.0014000049965022</v>
      </c>
      <c r="U301" s="1">
        <f>DEGREES(ASIN(MAX(-1,MIN(1,2 * (Batmobile[[#This Row],[quart_W]]*Batmobile[[#This Row],[quart_Y]] - Batmobile[[#This Row],[quart_Z]]*Batmobile[[#This Row],[quart_X]])))))</f>
        <v>0.34269252670825717</v>
      </c>
      <c r="V30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100.10993887640018</v>
      </c>
      <c r="W30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90.002703658693733</v>
      </c>
      <c r="X301" s="1">
        <f>IF(Batmobile[[#This Row],[Yaw]]&gt;V300,(360-ABS(Batmobile[[#This Row],[Yaw]])-ABS(V300)),ABS(Batmobile[[#This Row],[Yaw]]-V300))</f>
        <v>0.95542338563843998</v>
      </c>
      <c r="Y301" s="1">
        <f>Batmobile[[#This Row],[Degree change]]+Y300</f>
        <v>229.04060520027281</v>
      </c>
    </row>
    <row r="302" spans="1:25">
      <c r="A302">
        <v>301</v>
      </c>
      <c r="B302" s="1">
        <v>-1033.5399170000001</v>
      </c>
      <c r="C302" s="1">
        <v>391.209991</v>
      </c>
      <c r="D302" s="1">
        <v>18.649999999999999</v>
      </c>
      <c r="E302" s="1">
        <v>2243.8398440000001</v>
      </c>
      <c r="F302" s="1">
        <v>-505.07998700000002</v>
      </c>
      <c r="G302" s="1">
        <v>8.1999999999999993</v>
      </c>
      <c r="H302" s="1">
        <v>2.0000000000000001E-4</v>
      </c>
      <c r="I302" s="1">
        <v>0</v>
      </c>
      <c r="J302" s="1">
        <v>2.0013999999999998</v>
      </c>
      <c r="K302" s="1">
        <v>2.13E-4</v>
      </c>
      <c r="L302" s="1">
        <v>2.9810000000000001E-3</v>
      </c>
      <c r="M302" s="1">
        <v>-7.9802999999999999E-2</v>
      </c>
      <c r="N302" s="1">
        <v>0.99680599999999997</v>
      </c>
      <c r="O302">
        <v>1</v>
      </c>
      <c r="P302">
        <v>0</v>
      </c>
      <c r="Q302">
        <v>1</v>
      </c>
      <c r="R302">
        <v>1</v>
      </c>
      <c r="S302">
        <v>1</v>
      </c>
      <c r="T302" s="1">
        <f>SQRT(POWER(Batmobile[[#This Row],[angvel_X]],2) + POWER(Batmobile[[#This Row],[angvel_Y]],2) + POWER(Batmobile[[#This Row],[angvel_Z]],2))</f>
        <v>2.0014000099930045</v>
      </c>
      <c r="U302" s="1">
        <f>DEGREES(ASIN(MAX(-1,MIN(1,2 * (Batmobile[[#This Row],[quart_W]]*Batmobile[[#This Row],[quart_Y]] - Batmobile[[#This Row],[quart_Z]]*Batmobile[[#This Row],[quart_X]])))))</f>
        <v>0.34245624603471708</v>
      </c>
      <c r="V30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99.154532679579347</v>
      </c>
      <c r="W30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90.002930509733901</v>
      </c>
      <c r="X302" s="1">
        <f>IF(Batmobile[[#This Row],[Yaw]]&gt;V301,(360-ABS(Batmobile[[#This Row],[Yaw]])-ABS(V301)),ABS(Batmobile[[#This Row],[Yaw]]-V301))</f>
        <v>0.95540619682083161</v>
      </c>
      <c r="Y302" s="1">
        <f>Batmobile[[#This Row],[Degree change]]+Y301</f>
        <v>229.99601139709364</v>
      </c>
    </row>
    <row r="303" spans="1:25">
      <c r="A303">
        <v>302</v>
      </c>
      <c r="B303" s="1">
        <v>-1014.769958</v>
      </c>
      <c r="C303" s="1">
        <v>386.98998999999998</v>
      </c>
      <c r="D303" s="1">
        <v>18.649999999999999</v>
      </c>
      <c r="E303" s="1">
        <v>2251.9499510000001</v>
      </c>
      <c r="F303" s="1">
        <v>-467.58999599999999</v>
      </c>
      <c r="G303" s="1">
        <v>8.1999999999999993</v>
      </c>
      <c r="H303" s="1">
        <v>2.0000000000000001E-4</v>
      </c>
      <c r="I303" s="1">
        <v>0</v>
      </c>
      <c r="J303" s="1">
        <v>2.0013999999999998</v>
      </c>
      <c r="K303" s="1">
        <v>1.92E-4</v>
      </c>
      <c r="L303" s="1">
        <v>2.9810000000000001E-3</v>
      </c>
      <c r="M303" s="1">
        <v>-7.1488999999999997E-2</v>
      </c>
      <c r="N303" s="1">
        <v>0.99743700000000002</v>
      </c>
      <c r="O303">
        <v>1</v>
      </c>
      <c r="P303">
        <v>0</v>
      </c>
      <c r="Q303">
        <v>1</v>
      </c>
      <c r="R303">
        <v>1</v>
      </c>
      <c r="S303">
        <v>1</v>
      </c>
      <c r="T303" s="1">
        <f>SQRT(POWER(Batmobile[[#This Row],[angvel_X]],2) + POWER(Batmobile[[#This Row],[angvel_Y]],2) + POWER(Batmobile[[#This Row],[angvel_Z]],2))</f>
        <v>2.0014000099930045</v>
      </c>
      <c r="U303" s="1">
        <f>DEGREES(ASIN(MAX(-1,MIN(1,2 * (Batmobile[[#This Row],[quart_W]]*Batmobile[[#This Row],[quart_Y]] - Batmobile[[#This Row],[quart_Z]]*Batmobile[[#This Row],[quart_X]])))))</f>
        <v>0.34229683028711139</v>
      </c>
      <c r="V30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98.199074594211197</v>
      </c>
      <c r="W30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90.002475314095193</v>
      </c>
      <c r="X303" s="1">
        <f>IF(Batmobile[[#This Row],[Yaw]]&gt;V302,(360-ABS(Batmobile[[#This Row],[Yaw]])-ABS(V302)),ABS(Batmobile[[#This Row],[Yaw]]-V302))</f>
        <v>0.95545808536815002</v>
      </c>
      <c r="Y303" s="1">
        <f>Batmobile[[#This Row],[Degree change]]+Y302</f>
        <v>230.95146948246179</v>
      </c>
    </row>
    <row r="304" spans="1:25">
      <c r="A304">
        <v>303</v>
      </c>
      <c r="B304" s="1">
        <v>-995.94000200000005</v>
      </c>
      <c r="C304" s="1">
        <v>383.07998700000002</v>
      </c>
      <c r="D304" s="1">
        <v>18.649999999999999</v>
      </c>
      <c r="E304" s="1">
        <v>2259.429932</v>
      </c>
      <c r="F304" s="1">
        <v>-429.97000100000002</v>
      </c>
      <c r="G304" s="1">
        <v>8.1999999999999993</v>
      </c>
      <c r="H304" s="1">
        <v>2.0000000000000001E-4</v>
      </c>
      <c r="I304" s="1">
        <v>0</v>
      </c>
      <c r="J304" s="1">
        <v>2.0013999999999998</v>
      </c>
      <c r="K304" s="1">
        <v>1.7000000000000001E-4</v>
      </c>
      <c r="L304" s="1">
        <v>2.9810000000000001E-3</v>
      </c>
      <c r="M304" s="1">
        <v>-6.3171000000000005E-2</v>
      </c>
      <c r="N304" s="1">
        <v>0.99799800000000005</v>
      </c>
      <c r="O304">
        <v>1</v>
      </c>
      <c r="P304">
        <v>0</v>
      </c>
      <c r="Q304">
        <v>1</v>
      </c>
      <c r="R304">
        <v>1</v>
      </c>
      <c r="S304">
        <v>1</v>
      </c>
      <c r="T304" s="1">
        <f>SQRT(POWER(Batmobile[[#This Row],[angvel_X]],2) + POWER(Batmobile[[#This Row],[angvel_Y]],2) + POWER(Batmobile[[#This Row],[angvel_Z]],2))</f>
        <v>2.0014000099930045</v>
      </c>
      <c r="U304" s="1">
        <f>DEGREES(ASIN(MAX(-1,MIN(1,2 * (Batmobile[[#This Row],[quart_W]]*Batmobile[[#This Row],[quart_Y]] - Batmobile[[#This Row],[quart_Z]]*Batmobile[[#This Row],[quart_X]])))))</f>
        <v>0.3421461996314778</v>
      </c>
      <c r="V30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97.243723490639468</v>
      </c>
      <c r="W30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90.002137524890543</v>
      </c>
      <c r="X304" s="1">
        <f>IF(Batmobile[[#This Row],[Yaw]]&gt;V303,(360-ABS(Batmobile[[#This Row],[Yaw]])-ABS(V303)),ABS(Batmobile[[#This Row],[Yaw]]-V303))</f>
        <v>0.95535110357172925</v>
      </c>
      <c r="Y304" s="1">
        <f>Batmobile[[#This Row],[Degree change]]+Y303</f>
        <v>231.90682058603352</v>
      </c>
    </row>
    <row r="305" spans="1:25">
      <c r="A305">
        <v>304</v>
      </c>
      <c r="B305" s="1">
        <v>-977.03997800000002</v>
      </c>
      <c r="C305" s="1">
        <v>379.48998999999998</v>
      </c>
      <c r="D305" s="1">
        <v>18.649999999999999</v>
      </c>
      <c r="E305" s="1">
        <v>2266.290039</v>
      </c>
      <c r="F305" s="1">
        <v>-392.22998000000001</v>
      </c>
      <c r="G305" s="1">
        <v>8.1999999999999993</v>
      </c>
      <c r="H305" s="1">
        <v>2.0000000000000001E-4</v>
      </c>
      <c r="I305" s="1">
        <v>0</v>
      </c>
      <c r="J305" s="1">
        <v>2.0013999999999998</v>
      </c>
      <c r="K305" s="1">
        <v>1.4799999999999999E-4</v>
      </c>
      <c r="L305" s="1">
        <v>2.9810000000000001E-3</v>
      </c>
      <c r="M305" s="1">
        <v>-5.4845999999999999E-2</v>
      </c>
      <c r="N305" s="1">
        <v>0.99848999999999999</v>
      </c>
      <c r="O305">
        <v>1</v>
      </c>
      <c r="P305">
        <v>0</v>
      </c>
      <c r="Q305">
        <v>1</v>
      </c>
      <c r="R305">
        <v>1</v>
      </c>
      <c r="S305">
        <v>1</v>
      </c>
      <c r="T305" s="1">
        <f>SQRT(POWER(Batmobile[[#This Row],[angvel_X]],2) + POWER(Batmobile[[#This Row],[angvel_Y]],2) + POWER(Batmobile[[#This Row],[angvel_Z]],2))</f>
        <v>2.0014000099930045</v>
      </c>
      <c r="U305" s="1">
        <f>DEGREES(ASIN(MAX(-1,MIN(1,2 * (Batmobile[[#This Row],[quart_W]]*Batmobile[[#This Row],[quart_Y]] - Batmobile[[#This Row],[quart_Z]]*Batmobile[[#This Row],[quart_X]])))))</f>
        <v>0.34201381995718277</v>
      </c>
      <c r="V30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96.288074966361137</v>
      </c>
      <c r="W30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90.001801343333597</v>
      </c>
      <c r="X305" s="1">
        <f>IF(Batmobile[[#This Row],[Yaw]]&gt;V304,(360-ABS(Batmobile[[#This Row],[Yaw]])-ABS(V304)),ABS(Batmobile[[#This Row],[Yaw]]-V304))</f>
        <v>0.95564852427833102</v>
      </c>
      <c r="Y305" s="1">
        <f>Batmobile[[#This Row],[Degree change]]+Y304</f>
        <v>232.86246911031185</v>
      </c>
    </row>
    <row r="306" spans="1:25">
      <c r="A306">
        <v>305</v>
      </c>
      <c r="B306" s="1">
        <v>-958.089966</v>
      </c>
      <c r="C306" s="1">
        <v>376.209991</v>
      </c>
      <c r="D306" s="1">
        <v>18.649999999999999</v>
      </c>
      <c r="E306" s="1">
        <v>2272.51001</v>
      </c>
      <c r="F306" s="1">
        <v>-354.38000499999998</v>
      </c>
      <c r="G306" s="1">
        <v>8.1999999999999993</v>
      </c>
      <c r="H306" s="1">
        <v>2.0000000000000001E-4</v>
      </c>
      <c r="I306" s="1">
        <v>0</v>
      </c>
      <c r="J306" s="1">
        <v>2.0013999999999998</v>
      </c>
      <c r="K306" s="1">
        <v>1.27E-4</v>
      </c>
      <c r="L306" s="1">
        <v>2.9810000000000001E-3</v>
      </c>
      <c r="M306" s="1">
        <v>-4.6517000000000003E-2</v>
      </c>
      <c r="N306" s="1">
        <v>0.99891300000000005</v>
      </c>
      <c r="O306">
        <v>1</v>
      </c>
      <c r="P306">
        <v>0</v>
      </c>
      <c r="Q306">
        <v>1</v>
      </c>
      <c r="R306">
        <v>1</v>
      </c>
      <c r="S306">
        <v>1</v>
      </c>
      <c r="T306" s="1">
        <f>SQRT(POWER(Batmobile[[#This Row],[angvel_X]],2) + POWER(Batmobile[[#This Row],[angvel_Y]],2) + POWER(Batmobile[[#This Row],[angvel_Z]],2))</f>
        <v>2.0014000099930045</v>
      </c>
      <c r="U306" s="1">
        <f>DEGREES(ASIN(MAX(-1,MIN(1,2 * (Batmobile[[#This Row],[quart_W]]*Batmobile[[#This Row],[quart_Y]] - Batmobile[[#This Row],[quart_Z]]*Batmobile[[#This Row],[quart_X]])))))</f>
        <v>0.34190511807255264</v>
      </c>
      <c r="V30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95.332407357736741</v>
      </c>
      <c r="W30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90.001352803338378</v>
      </c>
      <c r="X306" s="1">
        <f>IF(Batmobile[[#This Row],[Yaw]]&gt;V305,(360-ABS(Batmobile[[#This Row],[Yaw]])-ABS(V305)),ABS(Batmobile[[#This Row],[Yaw]]-V305))</f>
        <v>0.95566760862439537</v>
      </c>
      <c r="Y306" s="1">
        <f>Batmobile[[#This Row],[Degree change]]+Y305</f>
        <v>233.81813671893624</v>
      </c>
    </row>
    <row r="307" spans="1:25">
      <c r="A307">
        <v>306</v>
      </c>
      <c r="B307" s="1">
        <v>-939.07995600000004</v>
      </c>
      <c r="C307" s="1">
        <v>373.25</v>
      </c>
      <c r="D307" s="1">
        <v>18.649999999999999</v>
      </c>
      <c r="E307" s="1">
        <v>2278.1098630000001</v>
      </c>
      <c r="F307" s="1">
        <v>-316.42999300000002</v>
      </c>
      <c r="G307" s="1">
        <v>8.1999999999999993</v>
      </c>
      <c r="H307" s="1">
        <v>2.0000000000000001E-4</v>
      </c>
      <c r="I307" s="1">
        <v>0</v>
      </c>
      <c r="J307" s="1">
        <v>2.0013999999999998</v>
      </c>
      <c r="K307" s="1">
        <v>1.05E-4</v>
      </c>
      <c r="L307" s="1">
        <v>2.9810000000000001E-3</v>
      </c>
      <c r="M307" s="1">
        <v>-3.8186999999999999E-2</v>
      </c>
      <c r="N307" s="1">
        <v>0.99926599999999999</v>
      </c>
      <c r="O307">
        <v>1</v>
      </c>
      <c r="P307">
        <v>0</v>
      </c>
      <c r="Q307">
        <v>1</v>
      </c>
      <c r="R307">
        <v>1</v>
      </c>
      <c r="S307">
        <v>1</v>
      </c>
      <c r="T307" s="1">
        <f>SQRT(POWER(Batmobile[[#This Row],[angvel_X]],2) + POWER(Batmobile[[#This Row],[angvel_Y]],2) + POWER(Batmobile[[#This Row],[angvel_Z]],2))</f>
        <v>2.0014000099930045</v>
      </c>
      <c r="U307" s="1">
        <f>DEGREES(ASIN(MAX(-1,MIN(1,2 * (Batmobile[[#This Row],[quart_W]]*Batmobile[[#This Row],[quart_Y]] - Batmobile[[#This Row],[quart_Z]]*Batmobile[[#This Row],[quart_X]])))))</f>
        <v>0.34180820271368617</v>
      </c>
      <c r="V30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94.376993924769167</v>
      </c>
      <c r="W30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90.001021317391874</v>
      </c>
      <c r="X307" s="1">
        <f>IF(Batmobile[[#This Row],[Yaw]]&gt;V306,(360-ABS(Batmobile[[#This Row],[Yaw]])-ABS(V306)),ABS(Batmobile[[#This Row],[Yaw]]-V306))</f>
        <v>0.95541343296757475</v>
      </c>
      <c r="Y307" s="1">
        <f>Batmobile[[#This Row],[Degree change]]+Y306</f>
        <v>234.77355015190381</v>
      </c>
    </row>
    <row r="308" spans="1:25">
      <c r="A308">
        <v>307</v>
      </c>
      <c r="B308" s="1">
        <v>-920.02996800000005</v>
      </c>
      <c r="C308" s="1">
        <v>370.60998499999999</v>
      </c>
      <c r="D308" s="1">
        <v>18.649999999999999</v>
      </c>
      <c r="E308" s="1">
        <v>2283.070068</v>
      </c>
      <c r="F308" s="1">
        <v>-278.38998400000003</v>
      </c>
      <c r="G308" s="1">
        <v>8.1999999999999993</v>
      </c>
      <c r="H308" s="1">
        <v>1E-4</v>
      </c>
      <c r="I308" s="1">
        <v>0</v>
      </c>
      <c r="J308" s="1">
        <v>2.0013999999999998</v>
      </c>
      <c r="K308" s="1">
        <v>8.3999999999999995E-5</v>
      </c>
      <c r="L308" s="1">
        <v>2.9810000000000001E-3</v>
      </c>
      <c r="M308" s="1">
        <v>-2.9852E-2</v>
      </c>
      <c r="N308" s="1">
        <v>0.99955000000000005</v>
      </c>
      <c r="O308">
        <v>1</v>
      </c>
      <c r="P308">
        <v>0</v>
      </c>
      <c r="Q308">
        <v>1</v>
      </c>
      <c r="R308">
        <v>1</v>
      </c>
      <c r="S308">
        <v>1</v>
      </c>
      <c r="T308" s="1">
        <f>SQRT(POWER(Batmobile[[#This Row],[angvel_X]],2) + POWER(Batmobile[[#This Row],[angvel_Y]],2) + POWER(Batmobile[[#This Row],[angvel_Z]],2))</f>
        <v>2.0014000024982508</v>
      </c>
      <c r="U308" s="1">
        <f>DEGREES(ASIN(MAX(-1,MIN(1,2 * (Batmobile[[#This Row],[quart_W]]*Batmobile[[#This Row],[quart_Y]] - Batmobile[[#This Row],[quart_Z]]*Batmobile[[#This Row],[quart_X]])))))</f>
        <v>0.34173309085033965</v>
      </c>
      <c r="V30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93.421312833863979</v>
      </c>
      <c r="W30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90.000576017551211</v>
      </c>
      <c r="X308" s="1">
        <f>IF(Batmobile[[#This Row],[Yaw]]&gt;V307,(360-ABS(Batmobile[[#This Row],[Yaw]])-ABS(V307)),ABS(Batmobile[[#This Row],[Yaw]]-V307))</f>
        <v>0.9556810909051876</v>
      </c>
      <c r="Y308" s="1">
        <f>Batmobile[[#This Row],[Degree change]]+Y307</f>
        <v>235.72923124280899</v>
      </c>
    </row>
    <row r="309" spans="1:25">
      <c r="A309">
        <v>308</v>
      </c>
      <c r="B309" s="1">
        <v>-900.94000200000005</v>
      </c>
      <c r="C309" s="1">
        <v>368.28997800000002</v>
      </c>
      <c r="D309" s="1">
        <v>18.649999999999999</v>
      </c>
      <c r="E309" s="1">
        <v>2287.389893</v>
      </c>
      <c r="F309" s="1">
        <v>-240.279999</v>
      </c>
      <c r="G309" s="1">
        <v>8.1999999999999993</v>
      </c>
      <c r="H309" s="1">
        <v>1E-4</v>
      </c>
      <c r="I309" s="1">
        <v>0</v>
      </c>
      <c r="J309" s="1">
        <v>2.0013999999999998</v>
      </c>
      <c r="K309" s="1">
        <v>5.7000000000000003E-5</v>
      </c>
      <c r="L309" s="1">
        <v>2.9810000000000001E-3</v>
      </c>
      <c r="M309" s="1">
        <v>-2.1517000000000001E-2</v>
      </c>
      <c r="N309" s="1">
        <v>0.99976399999999999</v>
      </c>
      <c r="O309">
        <v>1</v>
      </c>
      <c r="P309">
        <v>0</v>
      </c>
      <c r="Q309">
        <v>1</v>
      </c>
      <c r="R309">
        <v>1</v>
      </c>
      <c r="S309">
        <v>1</v>
      </c>
      <c r="T309" s="1">
        <f>SQRT(POWER(Batmobile[[#This Row],[angvel_X]],2) + POWER(Batmobile[[#This Row],[angvel_Y]],2) + POWER(Batmobile[[#This Row],[angvel_Z]],2))</f>
        <v>2.0014000024982508</v>
      </c>
      <c r="U309" s="1">
        <f>DEGREES(ASIN(MAX(-1,MIN(1,2 * (Batmobile[[#This Row],[quart_W]]*Batmobile[[#This Row],[quart_Y]] - Batmobile[[#This Row],[quart_Z]]*Batmobile[[#This Row],[quart_X]])))))</f>
        <v>0.34165938825962899</v>
      </c>
      <c r="V30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92.465870191218201</v>
      </c>
      <c r="W30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90.000819989261629</v>
      </c>
      <c r="X309" s="1">
        <f>IF(Batmobile[[#This Row],[Yaw]]&gt;V308,(360-ABS(Batmobile[[#This Row],[Yaw]])-ABS(V308)),ABS(Batmobile[[#This Row],[Yaw]]-V308))</f>
        <v>0.95544264264577805</v>
      </c>
      <c r="Y309" s="1">
        <f>Batmobile[[#This Row],[Degree change]]+Y308</f>
        <v>236.68467388545477</v>
      </c>
    </row>
    <row r="310" spans="1:25">
      <c r="A310">
        <v>309</v>
      </c>
      <c r="B310" s="1">
        <v>-881.80999799999995</v>
      </c>
      <c r="C310" s="1">
        <v>366.27999899999998</v>
      </c>
      <c r="D310" s="1">
        <v>18.649999999999999</v>
      </c>
      <c r="E310" s="1">
        <v>2291.0798340000001</v>
      </c>
      <c r="F310" s="1">
        <v>-202.09999099999999</v>
      </c>
      <c r="G310" s="1">
        <v>8.1999999999999993</v>
      </c>
      <c r="H310" s="1">
        <v>1E-4</v>
      </c>
      <c r="I310" s="1">
        <v>0</v>
      </c>
      <c r="J310" s="1">
        <v>2.0013999999999998</v>
      </c>
      <c r="K310" s="1">
        <v>3.0000000000000001E-5</v>
      </c>
      <c r="L310" s="1">
        <v>2.9810000000000001E-3</v>
      </c>
      <c r="M310" s="1">
        <v>-1.3176999999999999E-2</v>
      </c>
      <c r="N310" s="1">
        <v>0.99990900000000005</v>
      </c>
      <c r="O310">
        <v>1</v>
      </c>
      <c r="P310">
        <v>0</v>
      </c>
      <c r="Q310">
        <v>1</v>
      </c>
      <c r="R310">
        <v>1</v>
      </c>
      <c r="S310">
        <v>1</v>
      </c>
      <c r="T310" s="1">
        <f>SQRT(POWER(Batmobile[[#This Row],[angvel_X]],2) + POWER(Batmobile[[#This Row],[angvel_Y]],2) + POWER(Batmobile[[#This Row],[angvel_Z]],2))</f>
        <v>2.0014000024982508</v>
      </c>
      <c r="U310" s="1">
        <f>DEGREES(ASIN(MAX(-1,MIN(1,2 * (Batmobile[[#This Row],[quart_W]]*Batmobile[[#This Row],[quart_Y]] - Batmobile[[#This Row],[quart_Z]]*Batmobile[[#This Row],[quart_X]])))))</f>
        <v>0.34161367526982378</v>
      </c>
      <c r="V31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91.510026954618695</v>
      </c>
      <c r="W31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90.001063814406209</v>
      </c>
      <c r="X310" s="1">
        <f>IF(Batmobile[[#This Row],[Yaw]]&gt;V309,(360-ABS(Batmobile[[#This Row],[Yaw]])-ABS(V309)),ABS(Batmobile[[#This Row],[Yaw]]-V309))</f>
        <v>0.95584323659950599</v>
      </c>
      <c r="Y310" s="1">
        <f>Batmobile[[#This Row],[Degree change]]+Y309</f>
        <v>237.64051712205429</v>
      </c>
    </row>
    <row r="311" spans="1:25">
      <c r="A311">
        <v>310</v>
      </c>
      <c r="B311" s="1">
        <v>-862.64996299999996</v>
      </c>
      <c r="C311" s="1">
        <v>364.58999599999999</v>
      </c>
      <c r="D311" s="1">
        <v>18.649999999999999</v>
      </c>
      <c r="E311" s="1">
        <v>2294.139893</v>
      </c>
      <c r="F311" s="1">
        <v>-163.86000100000001</v>
      </c>
      <c r="G311" s="1">
        <v>8.1999999999999993</v>
      </c>
      <c r="H311" s="1">
        <v>1E-4</v>
      </c>
      <c r="I311" s="1">
        <v>0</v>
      </c>
      <c r="J311" s="1">
        <v>2.0013999999999998</v>
      </c>
      <c r="K311" s="1">
        <v>3.0000000000000001E-6</v>
      </c>
      <c r="L311" s="1">
        <v>2.9810000000000001E-3</v>
      </c>
      <c r="M311" s="1">
        <v>-4.836E-3</v>
      </c>
      <c r="N311" s="1">
        <v>0.99998399999999998</v>
      </c>
      <c r="O311">
        <v>1</v>
      </c>
      <c r="P311">
        <v>0</v>
      </c>
      <c r="Q311">
        <v>1</v>
      </c>
      <c r="R311">
        <v>1</v>
      </c>
      <c r="S311">
        <v>1</v>
      </c>
      <c r="T311" s="1">
        <f>SQRT(POWER(Batmobile[[#This Row],[angvel_X]],2) + POWER(Batmobile[[#This Row],[angvel_Y]],2) + POWER(Batmobile[[#This Row],[angvel_Z]],2))</f>
        <v>2.0014000024982508</v>
      </c>
      <c r="U311" s="1">
        <f>DEGREES(ASIN(MAX(-1,MIN(1,2 * (Batmobile[[#This Row],[quart_W]]*Batmobile[[#This Row],[quart_Y]] - Batmobile[[#This Row],[quart_Z]]*Batmobile[[#This Row],[quart_X]])))))</f>
        <v>0.34159565806254538</v>
      </c>
      <c r="V31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90.554173377387116</v>
      </c>
      <c r="W31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90.001308219281256</v>
      </c>
      <c r="X311" s="1">
        <f>IF(Batmobile[[#This Row],[Yaw]]&gt;V310,(360-ABS(Batmobile[[#This Row],[Yaw]])-ABS(V310)),ABS(Batmobile[[#This Row],[Yaw]]-V310))</f>
        <v>0.95585357723157927</v>
      </c>
      <c r="Y311" s="1">
        <f>Batmobile[[#This Row],[Degree change]]+Y310</f>
        <v>238.59637069928587</v>
      </c>
    </row>
    <row r="312" spans="1:25">
      <c r="A312">
        <v>311</v>
      </c>
      <c r="B312" s="1">
        <v>-843.45996100000002</v>
      </c>
      <c r="C312" s="1">
        <v>363.22000100000002</v>
      </c>
      <c r="D312" s="1">
        <v>18.649999999999999</v>
      </c>
      <c r="E312" s="1">
        <v>2296.5500489999999</v>
      </c>
      <c r="F312" s="1">
        <v>-125.579994</v>
      </c>
      <c r="G312" s="1">
        <v>8.1999999999999993</v>
      </c>
      <c r="H312" s="1">
        <v>1E-4</v>
      </c>
      <c r="I312" s="1">
        <v>0</v>
      </c>
      <c r="J312" s="1">
        <v>2.0013999999999998</v>
      </c>
      <c r="K312" s="1">
        <v>-2.4000000000000001E-5</v>
      </c>
      <c r="L312" s="1">
        <v>2.9810000000000001E-3</v>
      </c>
      <c r="M312" s="1">
        <v>3.5040000000000002E-3</v>
      </c>
      <c r="N312" s="1">
        <v>0.99998900000000002</v>
      </c>
      <c r="O312">
        <v>1</v>
      </c>
      <c r="P312">
        <v>0</v>
      </c>
      <c r="Q312">
        <v>1</v>
      </c>
      <c r="R312">
        <v>1</v>
      </c>
      <c r="S312">
        <v>1</v>
      </c>
      <c r="T312" s="1">
        <f>SQRT(POWER(Batmobile[[#This Row],[angvel_X]],2) + POWER(Batmobile[[#This Row],[angvel_Y]],2) + POWER(Batmobile[[#This Row],[angvel_Z]],2))</f>
        <v>2.0014000024982508</v>
      </c>
      <c r="U312" s="1">
        <f>DEGREES(ASIN(MAX(-1,MIN(1,2 * (Batmobile[[#This Row],[quart_W]]*Batmobile[[#This Row],[quart_Y]] - Batmobile[[#This Row],[quart_Z]]*Batmobile[[#This Row],[quart_X]])))))</f>
        <v>0.34160534041922658</v>
      </c>
      <c r="V31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89.598473369252218</v>
      </c>
      <c r="W31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90.001553237350265</v>
      </c>
      <c r="X312" s="1">
        <f>IF(Batmobile[[#This Row],[Yaw]]&gt;V311,(360-ABS(Batmobile[[#This Row],[Yaw]])-ABS(V311)),ABS(Batmobile[[#This Row],[Yaw]]-V311))</f>
        <v>0.95570000813489742</v>
      </c>
      <c r="Y312" s="1">
        <f>Batmobile[[#This Row],[Degree change]]+Y311</f>
        <v>239.55207070742077</v>
      </c>
    </row>
    <row r="313" spans="1:25">
      <c r="A313">
        <v>312</v>
      </c>
      <c r="B313" s="1">
        <v>-824.25</v>
      </c>
      <c r="C313" s="1">
        <v>362.169983</v>
      </c>
      <c r="D313" s="1">
        <v>18.649999999999999</v>
      </c>
      <c r="E313" s="1">
        <v>2298.320068</v>
      </c>
      <c r="F313" s="1">
        <v>-87.259995000000004</v>
      </c>
      <c r="G313" s="1">
        <v>8.1999999999999993</v>
      </c>
      <c r="H313" s="1">
        <v>1E-4</v>
      </c>
      <c r="I313" s="1">
        <v>0</v>
      </c>
      <c r="J313" s="1">
        <v>2.0013999999999998</v>
      </c>
      <c r="K313" s="1">
        <v>-5.1E-5</v>
      </c>
      <c r="L313" s="1">
        <v>2.9810000000000001E-3</v>
      </c>
      <c r="M313" s="1">
        <v>1.1844E-2</v>
      </c>
      <c r="N313" s="1">
        <v>0.99992499999999995</v>
      </c>
      <c r="O313">
        <v>1</v>
      </c>
      <c r="P313">
        <v>0</v>
      </c>
      <c r="Q313">
        <v>1</v>
      </c>
      <c r="R313">
        <v>1</v>
      </c>
      <c r="S313">
        <v>1</v>
      </c>
      <c r="T313" s="1">
        <f>SQRT(POWER(Batmobile[[#This Row],[angvel_X]],2) + POWER(Batmobile[[#This Row],[angvel_Y]],2) + POWER(Batmobile[[#This Row],[angvel_Z]],2))</f>
        <v>2.0014000024982508</v>
      </c>
      <c r="U313" s="1">
        <f>DEGREES(ASIN(MAX(-1,MIN(1,2 * (Batmobile[[#This Row],[quart_W]]*Batmobile[[#This Row],[quart_Y]] - Batmobile[[#This Row],[quart_Z]]*Batmobile[[#This Row],[quart_X]])))))</f>
        <v>0.34164306050565352</v>
      </c>
      <c r="V31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88.642745728373768</v>
      </c>
      <c r="W31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90.001797883110413</v>
      </c>
      <c r="X313" s="1">
        <f>IF(Batmobile[[#This Row],[Yaw]]&gt;V312,(360-ABS(Batmobile[[#This Row],[Yaw]])-ABS(V312)),ABS(Batmobile[[#This Row],[Yaw]]-V312))</f>
        <v>0.9557276408784503</v>
      </c>
      <c r="Y313" s="1">
        <f>Batmobile[[#This Row],[Degree change]]+Y312</f>
        <v>240.50779834829922</v>
      </c>
    </row>
    <row r="314" spans="1:25">
      <c r="A314">
        <v>313</v>
      </c>
      <c r="B314" s="1">
        <v>-805.02996800000005</v>
      </c>
      <c r="C314" s="1">
        <v>361.44000199999999</v>
      </c>
      <c r="D314" s="1">
        <v>18.649999999999999</v>
      </c>
      <c r="E314" s="1">
        <v>2299.459961</v>
      </c>
      <c r="F314" s="1">
        <v>-48.91</v>
      </c>
      <c r="G314" s="1">
        <v>8.1999999999999993</v>
      </c>
      <c r="H314" s="1">
        <v>1E-4</v>
      </c>
      <c r="I314" s="1">
        <v>0</v>
      </c>
      <c r="J314" s="1">
        <v>2.0013999999999998</v>
      </c>
      <c r="K314" s="1">
        <v>-7.7999999999999999E-5</v>
      </c>
      <c r="L314" s="1">
        <v>2.9810000000000001E-3</v>
      </c>
      <c r="M314" s="1">
        <v>2.0185000000000002E-2</v>
      </c>
      <c r="N314" s="1">
        <v>0.99979200000000001</v>
      </c>
      <c r="O314">
        <v>1</v>
      </c>
      <c r="P314">
        <v>0</v>
      </c>
      <c r="Q314">
        <v>1</v>
      </c>
      <c r="R314">
        <v>1</v>
      </c>
      <c r="S314">
        <v>1</v>
      </c>
      <c r="T314" s="1">
        <f>SQRT(POWER(Batmobile[[#This Row],[angvel_X]],2) + POWER(Batmobile[[#This Row],[angvel_Y]],2) + POWER(Batmobile[[#This Row],[angvel_Z]],2))</f>
        <v>2.0014000024982508</v>
      </c>
      <c r="U314" s="1">
        <f>DEGREES(ASIN(MAX(-1,MIN(1,2 * (Batmobile[[#This Row],[quart_W]]*Batmobile[[#This Row],[quart_Y]] - Batmobile[[#This Row],[quart_Z]]*Batmobile[[#This Row],[quart_X]])))))</f>
        <v>0.34170882726045698</v>
      </c>
      <c r="V31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87.686807657021163</v>
      </c>
      <c r="W31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90.002041174496711</v>
      </c>
      <c r="X314" s="1">
        <f>IF(Batmobile[[#This Row],[Yaw]]&gt;V313,(360-ABS(Batmobile[[#This Row],[Yaw]])-ABS(V313)),ABS(Batmobile[[#This Row],[Yaw]]-V313))</f>
        <v>0.95593807135260533</v>
      </c>
      <c r="Y314" s="1">
        <f>Batmobile[[#This Row],[Degree change]]+Y313</f>
        <v>241.46373641965181</v>
      </c>
    </row>
    <row r="315" spans="1:25">
      <c r="A315">
        <v>314</v>
      </c>
      <c r="B315" s="1">
        <v>-785.79998799999998</v>
      </c>
      <c r="C315" s="1">
        <v>361.03997800000002</v>
      </c>
      <c r="D315" s="1">
        <v>18.649999999999999</v>
      </c>
      <c r="E315" s="1">
        <v>2299.959961</v>
      </c>
      <c r="F315" s="1">
        <v>-10.55</v>
      </c>
      <c r="G315" s="1">
        <v>8.1999999999999993</v>
      </c>
      <c r="H315" s="1">
        <v>1E-4</v>
      </c>
      <c r="I315" s="1">
        <v>0</v>
      </c>
      <c r="J315" s="1">
        <v>2.0013999999999998</v>
      </c>
      <c r="K315" s="1">
        <v>-1.05E-4</v>
      </c>
      <c r="L315" s="1">
        <v>2.9810000000000001E-3</v>
      </c>
      <c r="M315" s="1">
        <v>2.852E-2</v>
      </c>
      <c r="N315" s="1">
        <v>0.99958899999999995</v>
      </c>
      <c r="O315">
        <v>1</v>
      </c>
      <c r="P315">
        <v>0</v>
      </c>
      <c r="Q315">
        <v>1</v>
      </c>
      <c r="R315">
        <v>1</v>
      </c>
      <c r="S315">
        <v>1</v>
      </c>
      <c r="T315" s="1">
        <f>SQRT(POWER(Batmobile[[#This Row],[angvel_X]],2) + POWER(Batmobile[[#This Row],[angvel_Y]],2) + POWER(Batmobile[[#This Row],[angvel_Z]],2))</f>
        <v>2.0014000024982508</v>
      </c>
      <c r="U315" s="1">
        <f>DEGREES(ASIN(MAX(-1,MIN(1,2 * (Batmobile[[#This Row],[quart_W]]*Batmobile[[#This Row],[quart_Y]] - Batmobile[[#This Row],[quart_Z]]*Batmobile[[#This Row],[quart_X]])))))</f>
        <v>0.34180222413648398</v>
      </c>
      <c r="V31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86.731397052002279</v>
      </c>
      <c r="W31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90.002284850239917</v>
      </c>
      <c r="X315" s="1">
        <f>IF(Batmobile[[#This Row],[Yaw]]&gt;V314,(360-ABS(Batmobile[[#This Row],[Yaw]])-ABS(V314)),ABS(Batmobile[[#This Row],[Yaw]]-V314))</f>
        <v>0.95541060501888353</v>
      </c>
      <c r="Y315" s="1">
        <f>Batmobile[[#This Row],[Degree change]]+Y314</f>
        <v>242.41914702467068</v>
      </c>
    </row>
    <row r="316" spans="1:25">
      <c r="A316">
        <v>315</v>
      </c>
      <c r="B316" s="1">
        <v>-766.55999799999995</v>
      </c>
      <c r="C316" s="1">
        <v>360.959991</v>
      </c>
      <c r="D316" s="1">
        <v>18.649999999999999</v>
      </c>
      <c r="E316" s="1">
        <v>2299.8100589999999</v>
      </c>
      <c r="F316" s="1">
        <v>27.799999</v>
      </c>
      <c r="G316" s="1">
        <v>8.1999999999999993</v>
      </c>
      <c r="H316" s="1">
        <v>1E-4</v>
      </c>
      <c r="I316" s="1">
        <v>0</v>
      </c>
      <c r="J316" s="1">
        <v>2.0013999999999998</v>
      </c>
      <c r="K316" s="1">
        <v>-1.3200000000000001E-4</v>
      </c>
      <c r="L316" s="1">
        <v>2.9810000000000001E-3</v>
      </c>
      <c r="M316" s="1">
        <v>3.6854999999999999E-2</v>
      </c>
      <c r="N316" s="1">
        <v>0.99931599999999998</v>
      </c>
      <c r="O316">
        <v>1</v>
      </c>
      <c r="P316">
        <v>0</v>
      </c>
      <c r="Q316">
        <v>1</v>
      </c>
      <c r="R316">
        <v>1</v>
      </c>
      <c r="S316">
        <v>1</v>
      </c>
      <c r="T316" s="1">
        <f>SQRT(POWER(Batmobile[[#This Row],[angvel_X]],2) + POWER(Batmobile[[#This Row],[angvel_Y]],2) + POWER(Batmobile[[#This Row],[angvel_Z]],2))</f>
        <v>2.0014000024982508</v>
      </c>
      <c r="U316" s="1">
        <f>DEGREES(ASIN(MAX(-1,MIN(1,2 * (Batmobile[[#This Row],[quart_W]]*Batmobile[[#This Row],[quart_Y]] - Batmobile[[#This Row],[quart_Z]]*Batmobile[[#This Row],[quart_X]])))))</f>
        <v>0.34192328620018209</v>
      </c>
      <c r="V31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85.775760869461891</v>
      </c>
      <c r="W31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90.002526210975333</v>
      </c>
      <c r="X316" s="1">
        <f>IF(Batmobile[[#This Row],[Yaw]]&gt;V315,(360-ABS(Batmobile[[#This Row],[Yaw]])-ABS(V315)),ABS(Batmobile[[#This Row],[Yaw]]-V315))</f>
        <v>0.95563618254038829</v>
      </c>
      <c r="Y316" s="1">
        <f>Batmobile[[#This Row],[Degree change]]+Y315</f>
        <v>243.37478320721107</v>
      </c>
    </row>
    <row r="317" spans="1:25">
      <c r="A317">
        <v>316</v>
      </c>
      <c r="B317" s="1">
        <v>-747.32995600000004</v>
      </c>
      <c r="C317" s="1">
        <v>361.19998199999998</v>
      </c>
      <c r="D317" s="1">
        <v>18.649999999999999</v>
      </c>
      <c r="E317" s="1">
        <v>2299.030029</v>
      </c>
      <c r="F317" s="1">
        <v>66.150002000000001</v>
      </c>
      <c r="G317" s="1">
        <v>8.1999999999999993</v>
      </c>
      <c r="H317" s="1">
        <v>2.0000000000000001E-4</v>
      </c>
      <c r="I317" s="1">
        <v>0</v>
      </c>
      <c r="J317" s="1">
        <v>2.0013999999999998</v>
      </c>
      <c r="K317" s="1">
        <v>-1.5899999999999999E-4</v>
      </c>
      <c r="L317" s="1">
        <v>2.9810000000000001E-3</v>
      </c>
      <c r="M317" s="1">
        <v>4.5184000000000002E-2</v>
      </c>
      <c r="N317" s="1">
        <v>0.99897400000000003</v>
      </c>
      <c r="O317">
        <v>1</v>
      </c>
      <c r="P317">
        <v>0</v>
      </c>
      <c r="Q317">
        <v>1</v>
      </c>
      <c r="R317">
        <v>1</v>
      </c>
      <c r="S317">
        <v>1</v>
      </c>
      <c r="T317" s="1">
        <f>SQRT(POWER(Batmobile[[#This Row],[angvel_X]],2) + POWER(Batmobile[[#This Row],[angvel_Y]],2) + POWER(Batmobile[[#This Row],[angvel_Z]],2))</f>
        <v>2.0014000099930045</v>
      </c>
      <c r="U317" s="1">
        <f>DEGREES(ASIN(MAX(-1,MIN(1,2 * (Batmobile[[#This Row],[quart_W]]*Batmobile[[#This Row],[quart_Y]] - Batmobile[[#This Row],[quart_Z]]*Batmobile[[#This Row],[quart_X]])))))</f>
        <v>0.34207224573382827</v>
      </c>
      <c r="V31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84.820517885913816</v>
      </c>
      <c r="W31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90.002766674800796</v>
      </c>
      <c r="X317" s="1">
        <f>IF(Batmobile[[#This Row],[Yaw]]&gt;V316,(360-ABS(Batmobile[[#This Row],[Yaw]])-ABS(V316)),ABS(Batmobile[[#This Row],[Yaw]]-V316))</f>
        <v>0.95524298354807513</v>
      </c>
      <c r="Y317" s="1">
        <f>Batmobile[[#This Row],[Degree change]]+Y316</f>
        <v>244.33002619075916</v>
      </c>
    </row>
    <row r="318" spans="1:25">
      <c r="A318">
        <v>317</v>
      </c>
      <c r="B318" s="1">
        <v>-728.09997599999997</v>
      </c>
      <c r="C318" s="1">
        <v>361.75997899999999</v>
      </c>
      <c r="D318" s="1">
        <v>18.649999999999999</v>
      </c>
      <c r="E318" s="1">
        <v>2297.6098630000001</v>
      </c>
      <c r="F318" s="1">
        <v>104.470001</v>
      </c>
      <c r="G318" s="1">
        <v>8.1999999999999993</v>
      </c>
      <c r="H318" s="1">
        <v>2.0000000000000001E-4</v>
      </c>
      <c r="I318" s="1">
        <v>0</v>
      </c>
      <c r="J318" s="1">
        <v>2.0013999999999998</v>
      </c>
      <c r="K318" s="1">
        <v>-1.8100000000000001E-4</v>
      </c>
      <c r="L318" s="1">
        <v>2.9810000000000001E-3</v>
      </c>
      <c r="M318" s="1">
        <v>5.3513999999999999E-2</v>
      </c>
      <c r="N318" s="1">
        <v>0.99856299999999998</v>
      </c>
      <c r="O318">
        <v>1</v>
      </c>
      <c r="P318">
        <v>0</v>
      </c>
      <c r="Q318">
        <v>1</v>
      </c>
      <c r="R318">
        <v>1</v>
      </c>
      <c r="S318">
        <v>1</v>
      </c>
      <c r="T318" s="1">
        <f>SQRT(POWER(Batmobile[[#This Row],[angvel_X]],2) + POWER(Batmobile[[#This Row],[angvel_Y]],2) + POWER(Batmobile[[#This Row],[angvel_Z]],2))</f>
        <v>2.0014000099930045</v>
      </c>
      <c r="U318" s="1">
        <f>DEGREES(ASIN(MAX(-1,MIN(1,2 * (Batmobile[[#This Row],[quart_W]]*Batmobile[[#This Row],[quart_Y]] - Batmobile[[#This Row],[quart_Z]]*Batmobile[[#This Row],[quart_X]])))))</f>
        <v>0.34221853443667927</v>
      </c>
      <c r="V31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83.864794298669764</v>
      </c>
      <c r="W31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90.002431065359417</v>
      </c>
      <c r="X318" s="1">
        <f>IF(Batmobile[[#This Row],[Yaw]]&gt;V317,(360-ABS(Batmobile[[#This Row],[Yaw]])-ABS(V317)),ABS(Batmobile[[#This Row],[Yaw]]-V317))</f>
        <v>0.95572358724405149</v>
      </c>
      <c r="Y318" s="1">
        <f>Batmobile[[#This Row],[Degree change]]+Y317</f>
        <v>245.28574977800321</v>
      </c>
    </row>
    <row r="319" spans="1:25">
      <c r="A319">
        <v>318</v>
      </c>
      <c r="B319" s="1">
        <v>-708.88000499999998</v>
      </c>
      <c r="C319" s="1">
        <v>362.63998400000003</v>
      </c>
      <c r="D319" s="1">
        <v>18.649999999999999</v>
      </c>
      <c r="E319" s="1">
        <v>2295.540039</v>
      </c>
      <c r="F319" s="1">
        <v>142.770004</v>
      </c>
      <c r="G319" s="1">
        <v>8.1999999999999993</v>
      </c>
      <c r="H319" s="1">
        <v>2.0000000000000001E-4</v>
      </c>
      <c r="I319" s="1">
        <v>0</v>
      </c>
      <c r="J319" s="1">
        <v>2.0013999999999998</v>
      </c>
      <c r="K319" s="1">
        <v>-2.02E-4</v>
      </c>
      <c r="L319" s="1">
        <v>2.9810000000000001E-3</v>
      </c>
      <c r="M319" s="1">
        <v>6.1837999999999997E-2</v>
      </c>
      <c r="N319" s="1">
        <v>0.99808200000000002</v>
      </c>
      <c r="O319">
        <v>1</v>
      </c>
      <c r="P319">
        <v>0</v>
      </c>
      <c r="Q319">
        <v>1</v>
      </c>
      <c r="R319">
        <v>1</v>
      </c>
      <c r="S319">
        <v>1</v>
      </c>
      <c r="T319" s="1">
        <f>SQRT(POWER(Batmobile[[#This Row],[angvel_X]],2) + POWER(Batmobile[[#This Row],[angvel_Y]],2) + POWER(Batmobile[[#This Row],[angvel_Z]],2))</f>
        <v>2.0014000099930045</v>
      </c>
      <c r="U319" s="1">
        <f>DEGREES(ASIN(MAX(-1,MIN(1,2 * (Batmobile[[#This Row],[quart_W]]*Batmobile[[#This Row],[quart_Y]] - Batmobile[[#This Row],[quart_Z]]*Batmobile[[#This Row],[quart_X]])))))</f>
        <v>0.34237568592794282</v>
      </c>
      <c r="V31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82.90933554793223</v>
      </c>
      <c r="W31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90.001979431031174</v>
      </c>
      <c r="X319" s="1">
        <f>IF(Batmobile[[#This Row],[Yaw]]&gt;V318,(360-ABS(Batmobile[[#This Row],[Yaw]])-ABS(V318)),ABS(Batmobile[[#This Row],[Yaw]]-V318))</f>
        <v>0.9554587507375345</v>
      </c>
      <c r="Y319" s="1">
        <f>Batmobile[[#This Row],[Degree change]]+Y318</f>
        <v>246.24120852874074</v>
      </c>
    </row>
    <row r="320" spans="1:25">
      <c r="A320">
        <v>319</v>
      </c>
      <c r="B320" s="1">
        <v>-689.67999299999997</v>
      </c>
      <c r="C320" s="1">
        <v>363.83999599999999</v>
      </c>
      <c r="D320" s="1">
        <v>18.649999999999999</v>
      </c>
      <c r="E320" s="1">
        <v>2292.8398440000001</v>
      </c>
      <c r="F320" s="1">
        <v>181.029999</v>
      </c>
      <c r="G320" s="1">
        <v>8.1999999999999993</v>
      </c>
      <c r="H320" s="1">
        <v>2.0000000000000001E-4</v>
      </c>
      <c r="I320" s="1">
        <v>0</v>
      </c>
      <c r="J320" s="1">
        <v>2.0013999999999998</v>
      </c>
      <c r="K320" s="1">
        <v>-2.24E-4</v>
      </c>
      <c r="L320" s="1">
        <v>2.9810000000000001E-3</v>
      </c>
      <c r="M320" s="1">
        <v>7.0156999999999997E-2</v>
      </c>
      <c r="N320" s="1">
        <v>0.99753099999999995</v>
      </c>
      <c r="O320">
        <v>1</v>
      </c>
      <c r="P320">
        <v>0</v>
      </c>
      <c r="Q320">
        <v>1</v>
      </c>
      <c r="R320">
        <v>1</v>
      </c>
      <c r="S320">
        <v>1</v>
      </c>
      <c r="T320" s="1">
        <f>SQRT(POWER(Batmobile[[#This Row],[angvel_X]],2) + POWER(Batmobile[[#This Row],[angvel_Y]],2) + POWER(Batmobile[[#This Row],[angvel_Z]],2))</f>
        <v>2.0014000099930045</v>
      </c>
      <c r="U320" s="1">
        <f>DEGREES(ASIN(MAX(-1,MIN(1,2 * (Batmobile[[#This Row],[quart_W]]*Batmobile[[#This Row],[quart_Y]] - Batmobile[[#This Row],[quart_Z]]*Batmobile[[#This Row],[quart_X]])))))</f>
        <v>0.34255689978737441</v>
      </c>
      <c r="V32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81.9539630815853</v>
      </c>
      <c r="W32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90.00163971155915</v>
      </c>
      <c r="X320" s="1">
        <f>IF(Batmobile[[#This Row],[Yaw]]&gt;V319,(360-ABS(Batmobile[[#This Row],[Yaw]])-ABS(V319)),ABS(Batmobile[[#This Row],[Yaw]]-V319))</f>
        <v>0.95537246634692963</v>
      </c>
      <c r="Y320" s="1">
        <f>Batmobile[[#This Row],[Degree change]]+Y319</f>
        <v>247.19658099508769</v>
      </c>
    </row>
    <row r="321" spans="1:25">
      <c r="A321">
        <v>320</v>
      </c>
      <c r="B321" s="1">
        <v>-670.5</v>
      </c>
      <c r="C321" s="1">
        <v>365.35998499999999</v>
      </c>
      <c r="D321" s="1">
        <v>18.649999999999999</v>
      </c>
      <c r="E321" s="1">
        <v>2289.51001</v>
      </c>
      <c r="F321" s="1">
        <v>219.23999000000001</v>
      </c>
      <c r="G321" s="1">
        <v>8.1999999999999993</v>
      </c>
      <c r="H321" s="1">
        <v>2.0000000000000001E-4</v>
      </c>
      <c r="I321" s="1">
        <v>0</v>
      </c>
      <c r="J321" s="1">
        <v>2.0013999999999998</v>
      </c>
      <c r="K321" s="1">
        <v>-2.4499999999999999E-4</v>
      </c>
      <c r="L321" s="1">
        <v>2.9810000000000001E-3</v>
      </c>
      <c r="M321" s="1">
        <v>7.8469999999999998E-2</v>
      </c>
      <c r="N321" s="1">
        <v>0.99691200000000002</v>
      </c>
      <c r="O321">
        <v>1</v>
      </c>
      <c r="P321">
        <v>0</v>
      </c>
      <c r="Q321">
        <v>1</v>
      </c>
      <c r="R321">
        <v>1</v>
      </c>
      <c r="S321">
        <v>1</v>
      </c>
      <c r="T321" s="1">
        <f>SQRT(POWER(Batmobile[[#This Row],[angvel_X]],2) + POWER(Batmobile[[#This Row],[angvel_Y]],2) + POWER(Batmobile[[#This Row],[angvel_Z]],2))</f>
        <v>2.0014000099930045</v>
      </c>
      <c r="U321" s="1">
        <f>DEGREES(ASIN(MAX(-1,MIN(1,2 * (Batmobile[[#This Row],[quart_W]]*Batmobile[[#This Row],[quart_Y]] - Batmobile[[#This Row],[quart_Z]]*Batmobile[[#This Row],[quart_X]])))))</f>
        <v>0.3427476686945668</v>
      </c>
      <c r="V32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80.998709686603164</v>
      </c>
      <c r="W32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90.001183106823149</v>
      </c>
      <c r="X321" s="1">
        <f>IF(Batmobile[[#This Row],[Yaw]]&gt;V320,(360-ABS(Batmobile[[#This Row],[Yaw]])-ABS(V320)),ABS(Batmobile[[#This Row],[Yaw]]-V320))</f>
        <v>0.95525339498213668</v>
      </c>
      <c r="Y321" s="1">
        <f>Batmobile[[#This Row],[Degree change]]+Y320</f>
        <v>248.15183439006984</v>
      </c>
    </row>
    <row r="322" spans="1:25">
      <c r="A322">
        <v>321</v>
      </c>
      <c r="B322" s="1">
        <v>-651.34997599999997</v>
      </c>
      <c r="C322" s="1">
        <v>367.19998199999998</v>
      </c>
      <c r="D322" s="1">
        <v>18.649999999999999</v>
      </c>
      <c r="E322" s="1">
        <v>2285.530029</v>
      </c>
      <c r="F322" s="1">
        <v>257.38998400000003</v>
      </c>
      <c r="G322" s="1">
        <v>8.1999999999999993</v>
      </c>
      <c r="H322" s="1">
        <v>2.0000000000000001E-4</v>
      </c>
      <c r="I322" s="1">
        <v>0</v>
      </c>
      <c r="J322" s="1">
        <v>2.0013999999999998</v>
      </c>
      <c r="K322" s="1">
        <v>-2.6699999999999998E-4</v>
      </c>
      <c r="L322" s="1">
        <v>2.9810000000000001E-3</v>
      </c>
      <c r="M322" s="1">
        <v>8.6777999999999994E-2</v>
      </c>
      <c r="N322" s="1">
        <v>0.99622299999999997</v>
      </c>
      <c r="O322">
        <v>1</v>
      </c>
      <c r="P322">
        <v>0</v>
      </c>
      <c r="Q322">
        <v>1</v>
      </c>
      <c r="R322">
        <v>1</v>
      </c>
      <c r="S322">
        <v>1</v>
      </c>
      <c r="T322" s="1">
        <f>SQRT(POWER(Batmobile[[#This Row],[angvel_X]],2) + POWER(Batmobile[[#This Row],[angvel_Y]],2) + POWER(Batmobile[[#This Row],[angvel_Z]],2))</f>
        <v>2.0014000099930045</v>
      </c>
      <c r="U322" s="1">
        <f>DEGREES(ASIN(MAX(-1,MIN(1,2 * (Batmobile[[#This Row],[quart_W]]*Batmobile[[#This Row],[quart_Y]] - Batmobile[[#This Row],[quart_Z]]*Batmobile[[#This Row],[quart_X]])))))</f>
        <v>0.34296432705271962</v>
      </c>
      <c r="V32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80.043410302812759</v>
      </c>
      <c r="W32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90.00083725794299</v>
      </c>
      <c r="X322" s="1">
        <f>IF(Batmobile[[#This Row],[Yaw]]&gt;V321,(360-ABS(Batmobile[[#This Row],[Yaw]])-ABS(V321)),ABS(Batmobile[[#This Row],[Yaw]]-V321))</f>
        <v>0.95529938379040402</v>
      </c>
      <c r="Y322" s="1">
        <f>Batmobile[[#This Row],[Degree change]]+Y321</f>
        <v>249.10713377386026</v>
      </c>
    </row>
    <row r="323" spans="1:25">
      <c r="A323">
        <v>322</v>
      </c>
      <c r="B323" s="1">
        <v>-632.23999000000003</v>
      </c>
      <c r="C323" s="1">
        <v>369.35998499999999</v>
      </c>
      <c r="D323" s="1">
        <v>18.649999999999999</v>
      </c>
      <c r="E323" s="1">
        <v>2280.919922</v>
      </c>
      <c r="F323" s="1">
        <v>295.459991</v>
      </c>
      <c r="G323" s="1">
        <v>8.1999999999999993</v>
      </c>
      <c r="H323" s="1">
        <v>1E-4</v>
      </c>
      <c r="I323" s="1">
        <v>0</v>
      </c>
      <c r="J323" s="1">
        <v>2.0013999999999998</v>
      </c>
      <c r="K323" s="1">
        <v>-2.8899999999999998E-4</v>
      </c>
      <c r="L323" s="1">
        <v>2.9810000000000001E-3</v>
      </c>
      <c r="M323" s="1">
        <v>9.5080999999999999E-2</v>
      </c>
      <c r="N323" s="1">
        <v>0.99546500000000004</v>
      </c>
      <c r="O323">
        <v>1</v>
      </c>
      <c r="P323">
        <v>0</v>
      </c>
      <c r="Q323">
        <v>1</v>
      </c>
      <c r="R323">
        <v>1</v>
      </c>
      <c r="S323">
        <v>1</v>
      </c>
      <c r="T323" s="1">
        <f>SQRT(POWER(Batmobile[[#This Row],[angvel_X]],2) + POWER(Batmobile[[#This Row],[angvel_Y]],2) + POWER(Batmobile[[#This Row],[angvel_Z]],2))</f>
        <v>2.0014000024982508</v>
      </c>
      <c r="U323" s="1">
        <f>DEGREES(ASIN(MAX(-1,MIN(1,2 * (Batmobile[[#This Row],[quart_W]]*Batmobile[[#This Row],[quart_Y]] - Batmobile[[#This Row],[quart_Z]]*Batmobile[[#This Row],[quart_X]])))))</f>
        <v>0.34319913910702937</v>
      </c>
      <c r="V32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79.087988985517171</v>
      </c>
      <c r="W32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90.000487357934659</v>
      </c>
      <c r="X323" s="1">
        <f>IF(Batmobile[[#This Row],[Yaw]]&gt;V322,(360-ABS(Batmobile[[#This Row],[Yaw]])-ABS(V322)),ABS(Batmobile[[#This Row],[Yaw]]-V322))</f>
        <v>0.95542131729558832</v>
      </c>
      <c r="Y323" s="1">
        <f>Batmobile[[#This Row],[Degree change]]+Y322</f>
        <v>250.06255509115584</v>
      </c>
    </row>
    <row r="324" spans="1:25">
      <c r="A324">
        <v>323</v>
      </c>
      <c r="B324" s="1">
        <v>-613.15997300000004</v>
      </c>
      <c r="C324" s="1">
        <v>371.83999599999999</v>
      </c>
      <c r="D324" s="1">
        <v>18.649999999999999</v>
      </c>
      <c r="E324" s="1">
        <v>2275.679932</v>
      </c>
      <c r="F324" s="1">
        <v>333.44998199999998</v>
      </c>
      <c r="G324" s="1">
        <v>8.1999999999999993</v>
      </c>
      <c r="H324" s="1">
        <v>1E-4</v>
      </c>
      <c r="I324" s="1">
        <v>0</v>
      </c>
      <c r="J324" s="1">
        <v>2.0013999999999998</v>
      </c>
      <c r="K324" s="1">
        <v>-3.1599999999999998E-4</v>
      </c>
      <c r="L324" s="1">
        <v>2.9810000000000001E-3</v>
      </c>
      <c r="M324" s="1">
        <v>0.103378</v>
      </c>
      <c r="N324" s="1">
        <v>0.99463800000000002</v>
      </c>
      <c r="O324">
        <v>1</v>
      </c>
      <c r="P324">
        <v>0</v>
      </c>
      <c r="Q324">
        <v>1</v>
      </c>
      <c r="R324">
        <v>1</v>
      </c>
      <c r="S324">
        <v>1</v>
      </c>
      <c r="T324" s="1">
        <f>SQRT(POWER(Batmobile[[#This Row],[angvel_X]],2) + POWER(Batmobile[[#This Row],[angvel_Y]],2) + POWER(Batmobile[[#This Row],[angvel_Z]],2))</f>
        <v>2.0014000024982508</v>
      </c>
      <c r="U324" s="1">
        <f>DEGREES(ASIN(MAX(-1,MIN(1,2 * (Batmobile[[#This Row],[quart_W]]*Batmobile[[#This Row],[quart_Y]] - Batmobile[[#This Row],[quart_Z]]*Batmobile[[#This Row],[quart_X]])))))</f>
        <v>0.34351126369963386</v>
      </c>
      <c r="V32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78.132495760560104</v>
      </c>
      <c r="W32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90.000703122378738</v>
      </c>
      <c r="X324" s="1">
        <f>IF(Batmobile[[#This Row],[Yaw]]&gt;V323,(360-ABS(Batmobile[[#This Row],[Yaw]])-ABS(V323)),ABS(Batmobile[[#This Row],[Yaw]]-V323))</f>
        <v>0.9554932249570669</v>
      </c>
      <c r="Y324" s="1">
        <f>Batmobile[[#This Row],[Degree change]]+Y323</f>
        <v>251.01804831611292</v>
      </c>
    </row>
    <row r="325" spans="1:25">
      <c r="A325">
        <v>324</v>
      </c>
      <c r="B325" s="1">
        <v>-594.13000499999998</v>
      </c>
      <c r="C325" s="1">
        <v>374.63000499999998</v>
      </c>
      <c r="D325" s="1">
        <v>18.649999999999999</v>
      </c>
      <c r="E325" s="1">
        <v>2269.8000489999999</v>
      </c>
      <c r="F325" s="1">
        <v>371.35000600000001</v>
      </c>
      <c r="G325" s="1">
        <v>8.1999999999999993</v>
      </c>
      <c r="H325" s="1">
        <v>1E-4</v>
      </c>
      <c r="I325" s="1">
        <v>0</v>
      </c>
      <c r="J325" s="1">
        <v>2.0013999999999998</v>
      </c>
      <c r="K325" s="1">
        <v>-3.4299999999999999E-4</v>
      </c>
      <c r="L325" s="1">
        <v>2.9750000000000002E-3</v>
      </c>
      <c r="M325" s="1">
        <v>0.11167000000000001</v>
      </c>
      <c r="N325" s="1">
        <v>0.99374099999999999</v>
      </c>
      <c r="O325">
        <v>1</v>
      </c>
      <c r="P325">
        <v>0</v>
      </c>
      <c r="Q325">
        <v>1</v>
      </c>
      <c r="R325">
        <v>1</v>
      </c>
      <c r="S325">
        <v>1</v>
      </c>
      <c r="T325" s="1">
        <f>SQRT(POWER(Batmobile[[#This Row],[angvel_X]],2) + POWER(Batmobile[[#This Row],[angvel_Y]],2) + POWER(Batmobile[[#This Row],[angvel_Z]],2))</f>
        <v>2.0014000024982508</v>
      </c>
      <c r="U325" s="1">
        <f>DEGREES(ASIN(MAX(-1,MIN(1,2 * (Batmobile[[#This Row],[quart_W]]*Batmobile[[#This Row],[quart_Y]] - Batmobile[[#This Row],[quart_Z]]*Batmobile[[#This Row],[quart_X]])))))</f>
        <v>0.34316736355822663</v>
      </c>
      <c r="V32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77.176757707796284</v>
      </c>
      <c r="W32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90.000989505890942</v>
      </c>
      <c r="X325" s="1">
        <f>IF(Batmobile[[#This Row],[Yaw]]&gt;V324,(360-ABS(Batmobile[[#This Row],[Yaw]])-ABS(V324)),ABS(Batmobile[[#This Row],[Yaw]]-V324))</f>
        <v>0.95573805276382018</v>
      </c>
      <c r="Y325" s="1">
        <f>Batmobile[[#This Row],[Degree change]]+Y324</f>
        <v>251.97378636887674</v>
      </c>
    </row>
    <row r="326" spans="1:25">
      <c r="A326">
        <v>325</v>
      </c>
      <c r="B326" s="1">
        <v>-575.14996299999996</v>
      </c>
      <c r="C326" s="1">
        <v>377.73998999999998</v>
      </c>
      <c r="D326" s="1">
        <v>18.649999999999999</v>
      </c>
      <c r="E326" s="1">
        <v>2263.290039</v>
      </c>
      <c r="F326" s="1">
        <v>409.14999399999999</v>
      </c>
      <c r="G326" s="1">
        <v>8.1999999999999993</v>
      </c>
      <c r="H326" s="1">
        <v>1E-4</v>
      </c>
      <c r="I326" s="1">
        <v>0</v>
      </c>
      <c r="J326" s="1">
        <v>2.0013999999999998</v>
      </c>
      <c r="K326" s="1">
        <v>-3.6999999999999999E-4</v>
      </c>
      <c r="L326" s="1">
        <v>2.97E-3</v>
      </c>
      <c r="M326" s="1">
        <v>0.119951</v>
      </c>
      <c r="N326" s="1">
        <v>0.99277499999999996</v>
      </c>
      <c r="O326">
        <v>1</v>
      </c>
      <c r="P326">
        <v>0</v>
      </c>
      <c r="Q326">
        <v>1</v>
      </c>
      <c r="R326">
        <v>1</v>
      </c>
      <c r="S326">
        <v>1</v>
      </c>
      <c r="T326" s="1">
        <f>SQRT(POWER(Batmobile[[#This Row],[angvel_X]],2) + POWER(Batmobile[[#This Row],[angvel_Y]],2) + POWER(Batmobile[[#This Row],[angvel_Z]],2))</f>
        <v>2.0014000024982508</v>
      </c>
      <c r="U326" s="1">
        <f>DEGREES(ASIN(MAX(-1,MIN(1,2 * (Batmobile[[#This Row],[quart_W]]*Batmobile[[#This Row],[quart_Y]] - Batmobile[[#This Row],[quart_Z]]*Batmobile[[#This Row],[quart_X]])))))</f>
        <v>0.3429658317814388</v>
      </c>
      <c r="V32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76.221396494501818</v>
      </c>
      <c r="W32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90.001268812558507</v>
      </c>
      <c r="X326" s="1">
        <f>IF(Batmobile[[#This Row],[Yaw]]&gt;V325,(360-ABS(Batmobile[[#This Row],[Yaw]])-ABS(V325)),ABS(Batmobile[[#This Row],[Yaw]]-V325))</f>
        <v>0.95536121329446644</v>
      </c>
      <c r="Y326" s="1">
        <f>Batmobile[[#This Row],[Degree change]]+Y325</f>
        <v>252.9291475821712</v>
      </c>
    </row>
    <row r="327" spans="1:25">
      <c r="A327">
        <v>326</v>
      </c>
      <c r="B327" s="1">
        <v>-556.21997099999999</v>
      </c>
      <c r="C327" s="1">
        <v>381.169983</v>
      </c>
      <c r="D327" s="1">
        <v>18.649999999999999</v>
      </c>
      <c r="E327" s="1">
        <v>2256.1599120000001</v>
      </c>
      <c r="F327" s="1">
        <v>446.82998700000002</v>
      </c>
      <c r="G327" s="1">
        <v>8.1999999999999993</v>
      </c>
      <c r="H327" s="1">
        <v>1E-4</v>
      </c>
      <c r="I327" s="1">
        <v>0</v>
      </c>
      <c r="J327" s="1">
        <v>2.0013999999999998</v>
      </c>
      <c r="K327" s="1">
        <v>-3.97E-4</v>
      </c>
      <c r="L327" s="1">
        <v>2.9640000000000001E-3</v>
      </c>
      <c r="M327" s="1">
        <v>0.12822700000000001</v>
      </c>
      <c r="N327" s="1">
        <v>0.99173999999999995</v>
      </c>
      <c r="O327">
        <v>1</v>
      </c>
      <c r="P327">
        <v>0</v>
      </c>
      <c r="Q327">
        <v>1</v>
      </c>
      <c r="R327">
        <v>1</v>
      </c>
      <c r="S327">
        <v>1</v>
      </c>
      <c r="T327" s="1">
        <f>SQRT(POWER(Batmobile[[#This Row],[angvel_X]],2) + POWER(Batmobile[[#This Row],[angvel_Y]],2) + POWER(Batmobile[[#This Row],[angvel_Z]],2))</f>
        <v>2.0014000024982508</v>
      </c>
      <c r="U327" s="1">
        <f>DEGREES(ASIN(MAX(-1,MIN(1,2 * (Batmobile[[#This Row],[quart_W]]*Batmobile[[#This Row],[quart_Y]] - Batmobile[[#This Row],[quart_Z]]*Batmobile[[#This Row],[quart_X]])))))</f>
        <v>0.34267933159800062</v>
      </c>
      <c r="V32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75.265644361742702</v>
      </c>
      <c r="W32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90.001564884818507</v>
      </c>
      <c r="X327" s="1">
        <f>IF(Batmobile[[#This Row],[Yaw]]&gt;V326,(360-ABS(Batmobile[[#This Row],[Yaw]])-ABS(V326)),ABS(Batmobile[[#This Row],[Yaw]]-V326))</f>
        <v>0.95575213275911608</v>
      </c>
      <c r="Y327" s="1">
        <f>Batmobile[[#This Row],[Degree change]]+Y326</f>
        <v>253.88489971493033</v>
      </c>
    </row>
    <row r="328" spans="1:25">
      <c r="A328">
        <v>327</v>
      </c>
      <c r="B328" s="1">
        <v>-537.34997599999997</v>
      </c>
      <c r="C328" s="1">
        <v>384.91000400000001</v>
      </c>
      <c r="D328" s="1">
        <v>18.649999999999999</v>
      </c>
      <c r="E328" s="1">
        <v>2248.389893</v>
      </c>
      <c r="F328" s="1">
        <v>484.38998400000003</v>
      </c>
      <c r="G328" s="1">
        <v>8.1999999999999993</v>
      </c>
      <c r="H328" s="1">
        <v>1E-4</v>
      </c>
      <c r="I328" s="1">
        <v>0</v>
      </c>
      <c r="J328" s="1">
        <v>2.0013999999999998</v>
      </c>
      <c r="K328" s="1">
        <v>-4.1800000000000002E-4</v>
      </c>
      <c r="L328" s="1">
        <v>2.9589999999999998E-3</v>
      </c>
      <c r="M328" s="1">
        <v>0.136492</v>
      </c>
      <c r="N328" s="1">
        <v>0.99063699999999999</v>
      </c>
      <c r="O328">
        <v>1</v>
      </c>
      <c r="P328">
        <v>0</v>
      </c>
      <c r="Q328">
        <v>1</v>
      </c>
      <c r="R328">
        <v>1</v>
      </c>
      <c r="S328">
        <v>1</v>
      </c>
      <c r="T328" s="1">
        <f>SQRT(POWER(Batmobile[[#This Row],[angvel_X]],2) + POWER(Batmobile[[#This Row],[angvel_Y]],2) + POWER(Batmobile[[#This Row],[angvel_Z]],2))</f>
        <v>2.0014000024982508</v>
      </c>
      <c r="U328" s="1">
        <f>DEGREES(ASIN(MAX(-1,MIN(1,2 * (Batmobile[[#This Row],[quart_W]]*Batmobile[[#This Row],[quart_Y]] - Batmobile[[#This Row],[quart_Z]]*Batmobile[[#This Row],[quart_X]])))))</f>
        <v>0.34244155673876059</v>
      </c>
      <c r="V32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74.310120216128382</v>
      </c>
      <c r="W32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90.001169592532221</v>
      </c>
      <c r="X328" s="1">
        <f>IF(Batmobile[[#This Row],[Yaw]]&gt;V327,(360-ABS(Batmobile[[#This Row],[Yaw]])-ABS(V327)),ABS(Batmobile[[#This Row],[Yaw]]-V327))</f>
        <v>0.95552414561431931</v>
      </c>
      <c r="Y328" s="1">
        <f>Batmobile[[#This Row],[Degree change]]+Y327</f>
        <v>254.84042386054466</v>
      </c>
    </row>
    <row r="329" spans="1:25">
      <c r="A329">
        <v>328</v>
      </c>
      <c r="B329" s="1">
        <v>-518.54998799999998</v>
      </c>
      <c r="C329" s="1">
        <v>388.97000100000002</v>
      </c>
      <c r="D329" s="1">
        <v>18.649999999999999</v>
      </c>
      <c r="E329" s="1">
        <v>2240</v>
      </c>
      <c r="F329" s="1">
        <v>521.82000700000003</v>
      </c>
      <c r="G329" s="1">
        <v>8.1999999999999993</v>
      </c>
      <c r="H329" s="1">
        <v>1E-4</v>
      </c>
      <c r="I329" s="1">
        <v>0</v>
      </c>
      <c r="J329" s="1">
        <v>2.0013999999999998</v>
      </c>
      <c r="K329" s="1">
        <v>-4.4000000000000002E-4</v>
      </c>
      <c r="L329" s="1">
        <v>2.954E-3</v>
      </c>
      <c r="M329" s="1">
        <v>0.14474600000000001</v>
      </c>
      <c r="N329" s="1">
        <v>0.98946400000000001</v>
      </c>
      <c r="O329">
        <v>1</v>
      </c>
      <c r="P329">
        <v>0</v>
      </c>
      <c r="Q329">
        <v>1</v>
      </c>
      <c r="R329">
        <v>1</v>
      </c>
      <c r="S329">
        <v>1</v>
      </c>
      <c r="T329" s="1">
        <f>SQRT(POWER(Batmobile[[#This Row],[angvel_X]],2) + POWER(Batmobile[[#This Row],[angvel_Y]],2) + POWER(Batmobile[[#This Row],[angvel_Z]],2))</f>
        <v>2.0014000024982508</v>
      </c>
      <c r="U329" s="1">
        <f>DEGREES(ASIN(MAX(-1,MIN(1,2 * (Batmobile[[#This Row],[quart_W]]*Batmobile[[#This Row],[quart_Y]] - Batmobile[[#This Row],[quart_Z]]*Batmobile[[#This Row],[quart_X]])))))</f>
        <v>0.34223716265821935</v>
      </c>
      <c r="V32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73.354791486160138</v>
      </c>
      <c r="W32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90.000892051154651</v>
      </c>
      <c r="X329" s="1">
        <f>IF(Batmobile[[#This Row],[Yaw]]&gt;V328,(360-ABS(Batmobile[[#This Row],[Yaw]])-ABS(V328)),ABS(Batmobile[[#This Row],[Yaw]]-V328))</f>
        <v>0.95532872996824381</v>
      </c>
      <c r="Y329" s="1">
        <f>Batmobile[[#This Row],[Degree change]]+Y328</f>
        <v>255.7957525905129</v>
      </c>
    </row>
    <row r="330" spans="1:25">
      <c r="A330">
        <v>329</v>
      </c>
      <c r="B330" s="1">
        <v>-499.81997699999999</v>
      </c>
      <c r="C330" s="1">
        <v>393.33999599999999</v>
      </c>
      <c r="D330" s="1">
        <v>18.649999999999999</v>
      </c>
      <c r="E330" s="1">
        <v>2230.98999</v>
      </c>
      <c r="F330" s="1">
        <v>559.09997599999997</v>
      </c>
      <c r="G330" s="1">
        <v>8.1999999999999993</v>
      </c>
      <c r="H330" s="1">
        <v>1E-4</v>
      </c>
      <c r="I330" s="1">
        <v>0</v>
      </c>
      <c r="J330" s="1">
        <v>2.0013999999999998</v>
      </c>
      <c r="K330" s="1">
        <v>-4.6099999999999998E-4</v>
      </c>
      <c r="L330" s="1">
        <v>2.9480000000000001E-3</v>
      </c>
      <c r="M330" s="1">
        <v>0.15299399999999999</v>
      </c>
      <c r="N330" s="1">
        <v>0.98822299999999996</v>
      </c>
      <c r="O330">
        <v>1</v>
      </c>
      <c r="P330">
        <v>0</v>
      </c>
      <c r="Q330">
        <v>1</v>
      </c>
      <c r="R330">
        <v>1</v>
      </c>
      <c r="S330">
        <v>1</v>
      </c>
      <c r="T330" s="1">
        <f>SQRT(POWER(Batmobile[[#This Row],[angvel_X]],2) + POWER(Batmobile[[#This Row],[angvel_Y]],2) + POWER(Batmobile[[#This Row],[angvel_Z]],2))</f>
        <v>2.0014000024982508</v>
      </c>
      <c r="U330" s="1">
        <f>DEGREES(ASIN(MAX(-1,MIN(1,2 * (Batmobile[[#This Row],[quart_W]]*Batmobile[[#This Row],[quart_Y]] - Batmobile[[#This Row],[quart_Z]]*Batmobile[[#This Row],[quart_X]])))))</f>
        <v>0.34192165690838383</v>
      </c>
      <c r="V33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72.398969473486517</v>
      </c>
      <c r="W33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90.000520769581712</v>
      </c>
      <c r="X330" s="1">
        <f>IF(Batmobile[[#This Row],[Yaw]]&gt;V329,(360-ABS(Batmobile[[#This Row],[Yaw]])-ABS(V329)),ABS(Batmobile[[#This Row],[Yaw]]-V329))</f>
        <v>0.95582201267362166</v>
      </c>
      <c r="Y330" s="1">
        <f>Batmobile[[#This Row],[Degree change]]+Y329</f>
        <v>256.75157460318655</v>
      </c>
    </row>
    <row r="331" spans="1:25">
      <c r="A331">
        <v>330</v>
      </c>
      <c r="B331" s="1">
        <v>-481.16000400000001</v>
      </c>
      <c r="C331" s="1">
        <v>398.01998900000001</v>
      </c>
      <c r="D331" s="1">
        <v>18.649999999999999</v>
      </c>
      <c r="E331" s="1">
        <v>2221.3498540000001</v>
      </c>
      <c r="F331" s="1">
        <v>596.22997999999995</v>
      </c>
      <c r="G331" s="1">
        <v>8.1999999999999993</v>
      </c>
      <c r="H331" s="1">
        <v>0</v>
      </c>
      <c r="I331" s="1">
        <v>0</v>
      </c>
      <c r="J331" s="1">
        <v>2.0013999999999998</v>
      </c>
      <c r="K331" s="1">
        <v>-4.8299999999999998E-4</v>
      </c>
      <c r="L331" s="1">
        <v>2.9429999999999999E-3</v>
      </c>
      <c r="M331" s="1">
        <v>0.16123199999999999</v>
      </c>
      <c r="N331" s="1">
        <v>0.98691200000000001</v>
      </c>
      <c r="O331">
        <v>1</v>
      </c>
      <c r="P331">
        <v>0</v>
      </c>
      <c r="Q331">
        <v>1</v>
      </c>
      <c r="R331">
        <v>1</v>
      </c>
      <c r="S331">
        <v>1</v>
      </c>
      <c r="T331" s="1">
        <f>SQRT(POWER(Batmobile[[#This Row],[angvel_X]],2) + POWER(Batmobile[[#This Row],[angvel_Y]],2) + POWER(Batmobile[[#This Row],[angvel_Z]],2))</f>
        <v>2.0013999999999998</v>
      </c>
      <c r="U331" s="1">
        <f>DEGREES(ASIN(MAX(-1,MIN(1,2 * (Batmobile[[#This Row],[quart_W]]*Batmobile[[#This Row],[quart_Y]] - Batmobile[[#This Row],[quart_Z]]*Batmobile[[#This Row],[quart_X]])))))</f>
        <v>0.34175497295613921</v>
      </c>
      <c r="V33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71.443091680638446</v>
      </c>
      <c r="W33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90.000248979801242</v>
      </c>
      <c r="X331" s="1">
        <f>IF(Batmobile[[#This Row],[Yaw]]&gt;V330,(360-ABS(Batmobile[[#This Row],[Yaw]])-ABS(V330)),ABS(Batmobile[[#This Row],[Yaw]]-V330))</f>
        <v>0.95587779284807084</v>
      </c>
      <c r="Y331" s="1">
        <f>Batmobile[[#This Row],[Degree change]]+Y330</f>
        <v>257.70745239603463</v>
      </c>
    </row>
    <row r="332" spans="1:25">
      <c r="A332">
        <v>331</v>
      </c>
      <c r="B332" s="1">
        <v>-462.57998700000002</v>
      </c>
      <c r="C332" s="1">
        <v>403.00997899999999</v>
      </c>
      <c r="D332" s="1">
        <v>18.649999999999999</v>
      </c>
      <c r="E332" s="1">
        <v>2211.0998540000001</v>
      </c>
      <c r="F332" s="1">
        <v>633.19000200000005</v>
      </c>
      <c r="G332" s="1">
        <v>8.1999999999999993</v>
      </c>
      <c r="H332" s="1">
        <v>0</v>
      </c>
      <c r="I332" s="1">
        <v>0</v>
      </c>
      <c r="J332" s="1">
        <v>2.0013999999999998</v>
      </c>
      <c r="K332" s="1">
        <v>-5.1000000000000004E-4</v>
      </c>
      <c r="L332" s="1">
        <v>2.9369999999999999E-3</v>
      </c>
      <c r="M332" s="1">
        <v>0.16945399999999999</v>
      </c>
      <c r="N332" s="1">
        <v>0.98553400000000002</v>
      </c>
      <c r="O332">
        <v>1</v>
      </c>
      <c r="P332">
        <v>0</v>
      </c>
      <c r="Q332">
        <v>1</v>
      </c>
      <c r="R332">
        <v>1</v>
      </c>
      <c r="S332">
        <v>1</v>
      </c>
      <c r="T332" s="1">
        <f>SQRT(POWER(Batmobile[[#This Row],[angvel_X]],2) + POWER(Batmobile[[#This Row],[angvel_Y]],2) + POWER(Batmobile[[#This Row],[angvel_Z]],2))</f>
        <v>2.0013999999999998</v>
      </c>
      <c r="U332" s="1">
        <f>DEGREES(ASIN(MAX(-1,MIN(1,2 * (Batmobile[[#This Row],[quart_W]]*Batmobile[[#This Row],[quart_Y]] - Batmobile[[#This Row],[quart_Z]]*Batmobile[[#This Row],[quart_X]])))))</f>
        <v>0.34159200092253483</v>
      </c>
      <c r="V33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70.487756649600513</v>
      </c>
      <c r="W33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90.00056562734143</v>
      </c>
      <c r="X332" s="1">
        <f>IF(Batmobile[[#This Row],[Yaw]]&gt;V331,(360-ABS(Batmobile[[#This Row],[Yaw]])-ABS(V331)),ABS(Batmobile[[#This Row],[Yaw]]-V331))</f>
        <v>0.95533503103793294</v>
      </c>
      <c r="Y332" s="1">
        <f>Batmobile[[#This Row],[Degree change]]+Y331</f>
        <v>258.66278742707254</v>
      </c>
    </row>
    <row r="333" spans="1:25">
      <c r="A333">
        <v>332</v>
      </c>
      <c r="B333" s="1">
        <v>-444.08999599999999</v>
      </c>
      <c r="C333" s="1">
        <v>408.30999800000001</v>
      </c>
      <c r="D333" s="1">
        <v>18.649999999999999</v>
      </c>
      <c r="E333" s="1">
        <v>2200.23999</v>
      </c>
      <c r="F333" s="1">
        <v>669.97997999999995</v>
      </c>
      <c r="G333" s="1">
        <v>8.1999999999999993</v>
      </c>
      <c r="H333" s="1">
        <v>0</v>
      </c>
      <c r="I333" s="1">
        <v>0</v>
      </c>
      <c r="J333" s="1">
        <v>2.0013999999999998</v>
      </c>
      <c r="K333" s="1">
        <v>-5.3700000000000004E-4</v>
      </c>
      <c r="L333" s="1">
        <v>2.9320000000000001E-3</v>
      </c>
      <c r="M333" s="1">
        <v>0.17766499999999999</v>
      </c>
      <c r="N333" s="1">
        <v>0.98408600000000002</v>
      </c>
      <c r="O333">
        <v>1</v>
      </c>
      <c r="P333">
        <v>0</v>
      </c>
      <c r="Q333">
        <v>1</v>
      </c>
      <c r="R333">
        <v>1</v>
      </c>
      <c r="S333">
        <v>1</v>
      </c>
      <c r="T333" s="1">
        <f>SQRT(POWER(Batmobile[[#This Row],[angvel_X]],2) + POWER(Batmobile[[#This Row],[angvel_Y]],2) + POWER(Batmobile[[#This Row],[angvel_Z]],2))</f>
        <v>2.0013999999999998</v>
      </c>
      <c r="U333" s="1">
        <f>DEGREES(ASIN(MAX(-1,MIN(1,2 * (Batmobile[[#This Row],[quart_W]]*Batmobile[[#This Row],[quart_Y]] - Batmobile[[#This Row],[quart_Z]]*Batmobile[[#This Row],[quart_X]])))))</f>
        <v>0.34157038387209254</v>
      </c>
      <c r="V33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69.532356227734084</v>
      </c>
      <c r="W33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90.000864081775518</v>
      </c>
      <c r="X333" s="1">
        <f>IF(Batmobile[[#This Row],[Yaw]]&gt;V332,(360-ABS(Batmobile[[#This Row],[Yaw]])-ABS(V332)),ABS(Batmobile[[#This Row],[Yaw]]-V332))</f>
        <v>0.95540042186642893</v>
      </c>
      <c r="Y333" s="1">
        <f>Batmobile[[#This Row],[Degree change]]+Y332</f>
        <v>259.61818784893899</v>
      </c>
    </row>
    <row r="334" spans="1:25">
      <c r="A334">
        <v>333</v>
      </c>
      <c r="B334" s="1">
        <v>-425.69000199999999</v>
      </c>
      <c r="C334" s="1">
        <v>413.919983</v>
      </c>
      <c r="D334" s="1">
        <v>18.649999999999999</v>
      </c>
      <c r="E334" s="1">
        <v>2188.76001</v>
      </c>
      <c r="F334" s="1">
        <v>706.57995600000004</v>
      </c>
      <c r="G334" s="1">
        <v>8.1999999999999993</v>
      </c>
      <c r="H334" s="1">
        <v>0</v>
      </c>
      <c r="I334" s="1">
        <v>0</v>
      </c>
      <c r="J334" s="1">
        <v>2.0013999999999998</v>
      </c>
      <c r="K334" s="1">
        <v>-5.6400000000000005E-4</v>
      </c>
      <c r="L334" s="1">
        <v>2.9269999999999999E-3</v>
      </c>
      <c r="M334" s="1">
        <v>0.185865</v>
      </c>
      <c r="N334" s="1">
        <v>0.98257099999999997</v>
      </c>
      <c r="O334">
        <v>1</v>
      </c>
      <c r="P334">
        <v>0</v>
      </c>
      <c r="Q334">
        <v>1</v>
      </c>
      <c r="R334">
        <v>1</v>
      </c>
      <c r="S334">
        <v>1</v>
      </c>
      <c r="T334" s="1">
        <f>SQRT(POWER(Batmobile[[#This Row],[angvel_X]],2) + POWER(Batmobile[[#This Row],[angvel_Y]],2) + POWER(Batmobile[[#This Row],[angvel_Z]],2))</f>
        <v>2.0013999999999998</v>
      </c>
      <c r="U334" s="1">
        <f>DEGREES(ASIN(MAX(-1,MIN(1,2 * (Batmobile[[#This Row],[quart_W]]*Batmobile[[#This Row],[quart_Y]] - Batmobile[[#This Row],[quart_Z]]*Batmobile[[#This Row],[quart_X]])))))</f>
        <v>0.3415780524754955</v>
      </c>
      <c r="V33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68.576766680412405</v>
      </c>
      <c r="W33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90.001162344496692</v>
      </c>
      <c r="X334" s="1">
        <f>IF(Batmobile[[#This Row],[Yaw]]&gt;V333,(360-ABS(Batmobile[[#This Row],[Yaw]])-ABS(V333)),ABS(Batmobile[[#This Row],[Yaw]]-V333))</f>
        <v>0.95558954732167933</v>
      </c>
      <c r="Y334" s="1">
        <f>Batmobile[[#This Row],[Degree change]]+Y333</f>
        <v>260.57377739626065</v>
      </c>
    </row>
    <row r="335" spans="1:25">
      <c r="A335">
        <v>334</v>
      </c>
      <c r="B335" s="1">
        <v>-407.38998400000003</v>
      </c>
      <c r="C335" s="1">
        <v>419.82998700000002</v>
      </c>
      <c r="D335" s="1">
        <v>18.649999999999999</v>
      </c>
      <c r="E335" s="1">
        <v>2176.669922</v>
      </c>
      <c r="F335" s="1">
        <v>742.97997999999995</v>
      </c>
      <c r="G335" s="1">
        <v>8.1999999999999993</v>
      </c>
      <c r="H335" s="1">
        <v>0</v>
      </c>
      <c r="I335" s="1">
        <v>1E-4</v>
      </c>
      <c r="J335" s="1">
        <v>2.0013999999999998</v>
      </c>
      <c r="K335" s="1">
        <v>-5.9100000000000005E-4</v>
      </c>
      <c r="L335" s="1">
        <v>2.921E-3</v>
      </c>
      <c r="M335" s="1">
        <v>0.194054</v>
      </c>
      <c r="N335" s="1">
        <v>0.98098600000000002</v>
      </c>
      <c r="O335">
        <v>1</v>
      </c>
      <c r="P335">
        <v>0</v>
      </c>
      <c r="Q335">
        <v>1</v>
      </c>
      <c r="R335">
        <v>1</v>
      </c>
      <c r="S335">
        <v>1</v>
      </c>
      <c r="T335" s="1">
        <f>SQRT(POWER(Batmobile[[#This Row],[angvel_X]],2) + POWER(Batmobile[[#This Row],[angvel_Y]],2) + POWER(Batmobile[[#This Row],[angvel_Z]],2))</f>
        <v>2.0014000024982508</v>
      </c>
      <c r="U335" s="1">
        <f>DEGREES(ASIN(MAX(-1,MIN(1,2 * (Batmobile[[#This Row],[quart_W]]*Batmobile[[#This Row],[quart_Y]] - Batmobile[[#This Row],[quart_Z]]*Batmobile[[#This Row],[quart_X]])))))</f>
        <v>0.3415016005564539</v>
      </c>
      <c r="V33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67.620977950223519</v>
      </c>
      <c r="W33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90.001481808854138</v>
      </c>
      <c r="X335" s="1">
        <f>IF(Batmobile[[#This Row],[Yaw]]&gt;V334,(360-ABS(Batmobile[[#This Row],[Yaw]])-ABS(V334)),ABS(Batmobile[[#This Row],[Yaw]]-V334))</f>
        <v>0.95578873018888544</v>
      </c>
      <c r="Y335" s="1">
        <f>Batmobile[[#This Row],[Degree change]]+Y334</f>
        <v>261.52956612644954</v>
      </c>
    </row>
    <row r="336" spans="1:25">
      <c r="A336">
        <v>335</v>
      </c>
      <c r="B336" s="1">
        <v>-389.19000199999999</v>
      </c>
      <c r="C336" s="1">
        <v>426.04998799999998</v>
      </c>
      <c r="D336" s="1">
        <v>18.649999999999999</v>
      </c>
      <c r="E336" s="1">
        <v>2163.969971</v>
      </c>
      <c r="F336" s="1">
        <v>779.17999299999997</v>
      </c>
      <c r="G336" s="1">
        <v>8.1999999999999993</v>
      </c>
      <c r="H336" s="1">
        <v>0</v>
      </c>
      <c r="I336" s="1">
        <v>1E-4</v>
      </c>
      <c r="J336" s="1">
        <v>2.0013999999999998</v>
      </c>
      <c r="K336" s="1">
        <v>-6.1200000000000002E-4</v>
      </c>
      <c r="L336" s="1">
        <v>2.9160000000000002E-3</v>
      </c>
      <c r="M336" s="1">
        <v>0.20222699999999999</v>
      </c>
      <c r="N336" s="1">
        <v>0.97933400000000004</v>
      </c>
      <c r="O336">
        <v>1</v>
      </c>
      <c r="P336">
        <v>0</v>
      </c>
      <c r="Q336">
        <v>1</v>
      </c>
      <c r="R336">
        <v>1</v>
      </c>
      <c r="S336">
        <v>1</v>
      </c>
      <c r="T336" s="1">
        <f>SQRT(POWER(Batmobile[[#This Row],[angvel_X]],2) + POWER(Batmobile[[#This Row],[angvel_Y]],2) + POWER(Batmobile[[#This Row],[angvel_Z]],2))</f>
        <v>2.0014000024982508</v>
      </c>
      <c r="U336" s="1">
        <f>DEGREES(ASIN(MAX(-1,MIN(1,2 * (Batmobile[[#This Row],[quart_W]]*Batmobile[[#This Row],[quart_Y]] - Batmobile[[#This Row],[quart_Z]]*Batmobile[[#This Row],[quart_X]])))))</f>
        <v>0.34142767027004794</v>
      </c>
      <c r="V33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66.665464843396677</v>
      </c>
      <c r="W33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90.001106799473973</v>
      </c>
      <c r="X336" s="1">
        <f>IF(Batmobile[[#This Row],[Yaw]]&gt;V335,(360-ABS(Batmobile[[#This Row],[Yaw]])-ABS(V335)),ABS(Batmobile[[#This Row],[Yaw]]-V335))</f>
        <v>0.95551310682684232</v>
      </c>
      <c r="Y336" s="1">
        <f>Batmobile[[#This Row],[Degree change]]+Y335</f>
        <v>262.48507923327639</v>
      </c>
    </row>
    <row r="337" spans="1:25">
      <c r="A337">
        <v>336</v>
      </c>
      <c r="B337" s="1">
        <v>-371.08999599999999</v>
      </c>
      <c r="C337" s="1">
        <v>432.56997699999999</v>
      </c>
      <c r="D337" s="1">
        <v>18.649999999999999</v>
      </c>
      <c r="E337" s="1">
        <v>2150.679932</v>
      </c>
      <c r="F337" s="1">
        <v>815.15997300000004</v>
      </c>
      <c r="G337" s="1">
        <v>8.1999999999999993</v>
      </c>
      <c r="H337" s="1">
        <v>0</v>
      </c>
      <c r="I337" s="1">
        <v>1E-4</v>
      </c>
      <c r="J337" s="1">
        <v>2.0013999999999998</v>
      </c>
      <c r="K337" s="1">
        <v>-6.3400000000000001E-4</v>
      </c>
      <c r="L337" s="1">
        <v>2.911E-3</v>
      </c>
      <c r="M337" s="1">
        <v>0.21038999999999999</v>
      </c>
      <c r="N337" s="1">
        <v>0.97761299999999995</v>
      </c>
      <c r="O337">
        <v>1</v>
      </c>
      <c r="P337">
        <v>0</v>
      </c>
      <c r="Q337">
        <v>1</v>
      </c>
      <c r="R337">
        <v>1</v>
      </c>
      <c r="S337">
        <v>1</v>
      </c>
      <c r="T337" s="1">
        <f>SQRT(POWER(Batmobile[[#This Row],[angvel_X]],2) + POWER(Batmobile[[#This Row],[angvel_Y]],2) + POWER(Batmobile[[#This Row],[angvel_Z]],2))</f>
        <v>2.0014000024982508</v>
      </c>
      <c r="U337" s="1">
        <f>DEGREES(ASIN(MAX(-1,MIN(1,2 * (Batmobile[[#This Row],[quart_W]]*Batmobile[[#This Row],[quart_Y]] - Batmobile[[#This Row],[quart_Z]]*Batmobile[[#This Row],[quart_X]])))))</f>
        <v>0.34139533596875382</v>
      </c>
      <c r="V33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65.709476578052801</v>
      </c>
      <c r="W33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90.000843563776897</v>
      </c>
      <c r="X337" s="1">
        <f>IF(Batmobile[[#This Row],[Yaw]]&gt;V336,(360-ABS(Batmobile[[#This Row],[Yaw]])-ABS(V336)),ABS(Batmobile[[#This Row],[Yaw]]-V336))</f>
        <v>0.95598826534387626</v>
      </c>
      <c r="Y337" s="1">
        <f>Batmobile[[#This Row],[Degree change]]+Y336</f>
        <v>263.44106749862027</v>
      </c>
    </row>
    <row r="338" spans="1:25">
      <c r="A338">
        <v>337</v>
      </c>
      <c r="B338" s="1">
        <v>-353.10000600000001</v>
      </c>
      <c r="C338" s="1">
        <v>439.38998400000003</v>
      </c>
      <c r="D338" s="1">
        <v>18.649999999999999</v>
      </c>
      <c r="E338" s="1">
        <v>2136.780029</v>
      </c>
      <c r="F338" s="1">
        <v>850.919983</v>
      </c>
      <c r="G338" s="1">
        <v>8.1999999999999993</v>
      </c>
      <c r="H338" s="1">
        <v>0</v>
      </c>
      <c r="I338" s="1">
        <v>1E-4</v>
      </c>
      <c r="J338" s="1">
        <v>2.0013999999999998</v>
      </c>
      <c r="K338" s="1">
        <v>-6.5499999999999998E-4</v>
      </c>
      <c r="L338" s="1">
        <v>2.905E-3</v>
      </c>
      <c r="M338" s="1">
        <v>0.21853600000000001</v>
      </c>
      <c r="N338" s="1">
        <v>0.97582400000000002</v>
      </c>
      <c r="O338">
        <v>1</v>
      </c>
      <c r="P338">
        <v>0</v>
      </c>
      <c r="Q338">
        <v>1</v>
      </c>
      <c r="R338">
        <v>1</v>
      </c>
      <c r="S338">
        <v>1</v>
      </c>
      <c r="T338" s="1">
        <f>SQRT(POWER(Batmobile[[#This Row],[angvel_X]],2) + POWER(Batmobile[[#This Row],[angvel_Y]],2) + POWER(Batmobile[[#This Row],[angvel_Z]],2))</f>
        <v>2.0014000024982508</v>
      </c>
      <c r="U338" s="1">
        <f>DEGREES(ASIN(MAX(-1,MIN(1,2 * (Batmobile[[#This Row],[quart_W]]*Batmobile[[#This Row],[quart_Y]] - Batmobile[[#This Row],[quart_Z]]*Batmobile[[#This Row],[quart_X]])))))</f>
        <v>0.34124534407193646</v>
      </c>
      <c r="V33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64.753775901367248</v>
      </c>
      <c r="W33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90.000494773874252</v>
      </c>
      <c r="X338" s="1">
        <f>IF(Batmobile[[#This Row],[Yaw]]&gt;V337,(360-ABS(Batmobile[[#This Row],[Yaw]])-ABS(V337)),ABS(Batmobile[[#This Row],[Yaw]]-V337))</f>
        <v>0.95570067668555225</v>
      </c>
      <c r="Y338" s="1">
        <f>Batmobile[[#This Row],[Degree change]]+Y337</f>
        <v>264.39676817530585</v>
      </c>
    </row>
    <row r="339" spans="1:25">
      <c r="A339">
        <v>338</v>
      </c>
      <c r="B339" s="1">
        <v>-335.22998000000001</v>
      </c>
      <c r="C339" s="1">
        <v>446.50997899999999</v>
      </c>
      <c r="D339" s="1">
        <v>18.649999999999999</v>
      </c>
      <c r="E339" s="1">
        <v>2122.290039</v>
      </c>
      <c r="F339" s="1">
        <v>886.44000200000005</v>
      </c>
      <c r="G339" s="1">
        <v>8.1999999999999993</v>
      </c>
      <c r="H339" s="1">
        <v>0</v>
      </c>
      <c r="I339" s="1">
        <v>1E-4</v>
      </c>
      <c r="J339" s="1">
        <v>2.0013999999999998</v>
      </c>
      <c r="K339" s="1">
        <v>-6.7699999999999998E-4</v>
      </c>
      <c r="L339" s="1">
        <v>2.8999999999999998E-3</v>
      </c>
      <c r="M339" s="1">
        <v>0.22666600000000001</v>
      </c>
      <c r="N339" s="1">
        <v>0.97396799999999994</v>
      </c>
      <c r="O339">
        <v>1</v>
      </c>
      <c r="P339">
        <v>0</v>
      </c>
      <c r="Q339">
        <v>1</v>
      </c>
      <c r="R339">
        <v>1</v>
      </c>
      <c r="S339">
        <v>1</v>
      </c>
      <c r="T339" s="1">
        <f>SQRT(POWER(Batmobile[[#This Row],[angvel_X]],2) + POWER(Batmobile[[#This Row],[angvel_Y]],2) + POWER(Batmobile[[#This Row],[angvel_Z]],2))</f>
        <v>2.0014000024982508</v>
      </c>
      <c r="U339" s="1">
        <f>DEGREES(ASIN(MAX(-1,MIN(1,2 * (Batmobile[[#This Row],[quart_W]]*Batmobile[[#This Row],[quart_Y]] - Batmobile[[#This Row],[quart_Z]]*Batmobile[[#This Row],[quart_X]])))))</f>
        <v>0.34125110606690412</v>
      </c>
      <c r="V33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63.798153706993858</v>
      </c>
      <c r="W33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90.000234336560695</v>
      </c>
      <c r="X339" s="1">
        <f>IF(Batmobile[[#This Row],[Yaw]]&gt;V338,(360-ABS(Batmobile[[#This Row],[Yaw]])-ABS(V338)),ABS(Batmobile[[#This Row],[Yaw]]-V338))</f>
        <v>0.95562219437339024</v>
      </c>
      <c r="Y339" s="1">
        <f>Batmobile[[#This Row],[Degree change]]+Y338</f>
        <v>265.35239036967926</v>
      </c>
    </row>
    <row r="340" spans="1:25">
      <c r="A340">
        <v>339</v>
      </c>
      <c r="B340" s="1">
        <v>-317.47998000000001</v>
      </c>
      <c r="C340" s="1">
        <v>453.92999300000002</v>
      </c>
      <c r="D340" s="1">
        <v>18.649999999999999</v>
      </c>
      <c r="E340" s="1">
        <v>2107.209961</v>
      </c>
      <c r="F340" s="1">
        <v>921.70996100000002</v>
      </c>
      <c r="G340" s="1">
        <v>8.1999999999999993</v>
      </c>
      <c r="H340" s="1">
        <v>0</v>
      </c>
      <c r="I340" s="1">
        <v>1E-4</v>
      </c>
      <c r="J340" s="1">
        <v>2.0013999999999998</v>
      </c>
      <c r="K340" s="1">
        <v>-6.9899999999999997E-4</v>
      </c>
      <c r="L340" s="1">
        <v>2.8939999999999999E-3</v>
      </c>
      <c r="M340" s="1">
        <v>0.23477999999999999</v>
      </c>
      <c r="N340" s="1">
        <v>0.97204400000000002</v>
      </c>
      <c r="O340">
        <v>1</v>
      </c>
      <c r="P340">
        <v>0</v>
      </c>
      <c r="Q340">
        <v>1</v>
      </c>
      <c r="R340">
        <v>1</v>
      </c>
      <c r="S340">
        <v>1</v>
      </c>
      <c r="T340" s="1">
        <f>SQRT(POWER(Batmobile[[#This Row],[angvel_X]],2) + POWER(Batmobile[[#This Row],[angvel_Y]],2) + POWER(Batmobile[[#This Row],[angvel_Z]],2))</f>
        <v>2.0014000024982508</v>
      </c>
      <c r="U340" s="1">
        <f>DEGREES(ASIN(MAX(-1,MIN(1,2 * (Batmobile[[#This Row],[quart_W]]*Batmobile[[#This Row],[quart_Y]] - Batmobile[[#This Row],[quart_Z]]*Batmobile[[#This Row],[quart_X]])))))</f>
        <v>0.34116475681663849</v>
      </c>
      <c r="V34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62.842566946448891</v>
      </c>
      <c r="W34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90.000000622930756</v>
      </c>
      <c r="X340" s="1">
        <f>IF(Batmobile[[#This Row],[Yaw]]&gt;V339,(360-ABS(Batmobile[[#This Row],[Yaw]])-ABS(V339)),ABS(Batmobile[[#This Row],[Yaw]]-V339))</f>
        <v>0.95558676054496772</v>
      </c>
      <c r="Y340" s="1">
        <f>Batmobile[[#This Row],[Degree change]]+Y339</f>
        <v>266.30797713022423</v>
      </c>
    </row>
    <row r="341" spans="1:25">
      <c r="A341">
        <v>340</v>
      </c>
      <c r="B341" s="1">
        <v>-299.85998499999999</v>
      </c>
      <c r="C341" s="1">
        <v>461.63998400000003</v>
      </c>
      <c r="D341" s="1">
        <v>18.649999999999999</v>
      </c>
      <c r="E341" s="1">
        <v>2091.5500489999999</v>
      </c>
      <c r="F341" s="1">
        <v>956.72997999999995</v>
      </c>
      <c r="G341" s="1">
        <v>8.1999999999999993</v>
      </c>
      <c r="H341" s="1">
        <v>0</v>
      </c>
      <c r="I341" s="1">
        <v>1E-4</v>
      </c>
      <c r="J341" s="1">
        <v>2.0013999999999998</v>
      </c>
      <c r="K341" s="1">
        <v>-7.2000000000000005E-4</v>
      </c>
      <c r="L341" s="1">
        <v>2.8890000000000001E-3</v>
      </c>
      <c r="M341" s="1">
        <v>0.24287700000000001</v>
      </c>
      <c r="N341" s="1">
        <v>0.97005200000000003</v>
      </c>
      <c r="O341">
        <v>1</v>
      </c>
      <c r="P341">
        <v>0</v>
      </c>
      <c r="Q341">
        <v>1</v>
      </c>
      <c r="R341">
        <v>1</v>
      </c>
      <c r="S341">
        <v>1</v>
      </c>
      <c r="T341" s="1">
        <f>SQRT(POWER(Batmobile[[#This Row],[angvel_X]],2) + POWER(Batmobile[[#This Row],[angvel_Y]],2) + POWER(Batmobile[[#This Row],[angvel_Z]],2))</f>
        <v>2.0014000024982508</v>
      </c>
      <c r="U341" s="1">
        <f>DEGREES(ASIN(MAX(-1,MIN(1,2 * (Batmobile[[#This Row],[quart_W]]*Batmobile[[#This Row],[quart_Y]] - Batmobile[[#This Row],[quart_Z]]*Batmobile[[#This Row],[quart_X]])))))</f>
        <v>0.34118138572175805</v>
      </c>
      <c r="V34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61.887073244316277</v>
      </c>
      <c r="W34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89.999629379919227</v>
      </c>
      <c r="X341" s="1">
        <f>IF(Batmobile[[#This Row],[Yaw]]&gt;V340,(360-ABS(Batmobile[[#This Row],[Yaw]])-ABS(V340)),ABS(Batmobile[[#This Row],[Yaw]]-V340))</f>
        <v>0.95549370213261398</v>
      </c>
      <c r="Y341" s="1">
        <f>Batmobile[[#This Row],[Degree change]]+Y340</f>
        <v>267.26347083235686</v>
      </c>
    </row>
    <row r="342" spans="1:25">
      <c r="A342">
        <v>341</v>
      </c>
      <c r="B342" s="1">
        <v>-282.36999500000002</v>
      </c>
      <c r="C342" s="1">
        <v>469.64999399999999</v>
      </c>
      <c r="D342" s="1">
        <v>18.649999999999999</v>
      </c>
      <c r="E342" s="1">
        <v>2075.3000489999999</v>
      </c>
      <c r="F342" s="1">
        <v>991.47997999999995</v>
      </c>
      <c r="G342" s="1">
        <v>8.1999999999999993</v>
      </c>
      <c r="H342" s="1">
        <v>0</v>
      </c>
      <c r="I342" s="1">
        <v>1E-4</v>
      </c>
      <c r="J342" s="1">
        <v>2.0013999999999998</v>
      </c>
      <c r="K342" s="1">
        <v>-7.4200000000000004E-4</v>
      </c>
      <c r="L342" s="1">
        <v>2.8839999999999998E-3</v>
      </c>
      <c r="M342" s="1">
        <v>0.25095899999999999</v>
      </c>
      <c r="N342" s="1">
        <v>0.96799299999999999</v>
      </c>
      <c r="O342">
        <v>1</v>
      </c>
      <c r="P342">
        <v>0</v>
      </c>
      <c r="Q342">
        <v>1</v>
      </c>
      <c r="R342">
        <v>1</v>
      </c>
      <c r="S342">
        <v>1</v>
      </c>
      <c r="T342" s="1">
        <f>SQRT(POWER(Batmobile[[#This Row],[angvel_X]],2) + POWER(Batmobile[[#This Row],[angvel_Y]],2) + POWER(Batmobile[[#This Row],[angvel_Z]],2))</f>
        <v>2.0014000024982508</v>
      </c>
      <c r="U342" s="1">
        <f>DEGREES(ASIN(MAX(-1,MIN(1,2 * (Batmobile[[#This Row],[quart_W]]*Batmobile[[#This Row],[quart_Y]] - Batmobile[[#This Row],[quart_Z]]*Batmobile[[#This Row],[quart_X]])))))</f>
        <v>0.34124460952701513</v>
      </c>
      <c r="V34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60.931333596007519</v>
      </c>
      <c r="W34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89.999368022072787</v>
      </c>
      <c r="X342" s="1">
        <f>IF(Batmobile[[#This Row],[Yaw]]&gt;V341,(360-ABS(Batmobile[[#This Row],[Yaw]])-ABS(V341)),ABS(Batmobile[[#This Row],[Yaw]]-V341))</f>
        <v>0.95573964830875724</v>
      </c>
      <c r="Y342" s="1">
        <f>Batmobile[[#This Row],[Degree change]]+Y341</f>
        <v>268.21921048066559</v>
      </c>
    </row>
    <row r="343" spans="1:25">
      <c r="A343">
        <v>342</v>
      </c>
      <c r="B343" s="1">
        <v>-265.01998900000001</v>
      </c>
      <c r="C343" s="1">
        <v>477.94998199999998</v>
      </c>
      <c r="D343" s="1">
        <v>18.649999999999999</v>
      </c>
      <c r="E343" s="1">
        <v>2058.4799800000001</v>
      </c>
      <c r="F343" s="1">
        <v>1025.9499510000001</v>
      </c>
      <c r="G343" s="1">
        <v>8.1999999999999993</v>
      </c>
      <c r="H343" s="1">
        <v>0</v>
      </c>
      <c r="I343" s="1">
        <v>1E-4</v>
      </c>
      <c r="J343" s="1">
        <v>2.0013999999999998</v>
      </c>
      <c r="K343" s="1">
        <v>-7.6300000000000001E-4</v>
      </c>
      <c r="L343" s="1">
        <v>2.8779999999999999E-3</v>
      </c>
      <c r="M343" s="1">
        <v>0.25902399999999998</v>
      </c>
      <c r="N343" s="1">
        <v>0.965866</v>
      </c>
      <c r="O343">
        <v>1</v>
      </c>
      <c r="P343">
        <v>0</v>
      </c>
      <c r="Q343">
        <v>1</v>
      </c>
      <c r="R343">
        <v>1</v>
      </c>
      <c r="S343">
        <v>1</v>
      </c>
      <c r="T343" s="1">
        <f>SQRT(POWER(Batmobile[[#This Row],[angvel_X]],2) + POWER(Batmobile[[#This Row],[angvel_Y]],2) + POWER(Batmobile[[#This Row],[angvel_Z]],2))</f>
        <v>2.0014000024982508</v>
      </c>
      <c r="U343" s="1">
        <f>DEGREES(ASIN(MAX(-1,MIN(1,2 * (Batmobile[[#This Row],[quart_W]]*Batmobile[[#This Row],[quart_Y]] - Batmobile[[#This Row],[quart_Z]]*Batmobile[[#This Row],[quart_X]])))))</f>
        <v>0.34118665611018301</v>
      </c>
      <c r="V34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59.975553201506749</v>
      </c>
      <c r="W34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89.999024199592199</v>
      </c>
      <c r="X343" s="1">
        <f>IF(Batmobile[[#This Row],[Yaw]]&gt;V342,(360-ABS(Batmobile[[#This Row],[Yaw]])-ABS(V342)),ABS(Batmobile[[#This Row],[Yaw]]-V342))</f>
        <v>0.95578039450077057</v>
      </c>
      <c r="Y343" s="1">
        <f>Batmobile[[#This Row],[Degree change]]+Y342</f>
        <v>269.17499087516637</v>
      </c>
    </row>
    <row r="344" spans="1:25">
      <c r="A344">
        <v>343</v>
      </c>
      <c r="B344" s="1">
        <v>-247.80999800000001</v>
      </c>
      <c r="C344" s="1">
        <v>486.52999899999998</v>
      </c>
      <c r="D344" s="1">
        <v>18.649999999999999</v>
      </c>
      <c r="E344" s="1">
        <v>2041.079956</v>
      </c>
      <c r="F344" s="1">
        <v>1060.1400149999999</v>
      </c>
      <c r="G344" s="1">
        <v>8.1999999999999993</v>
      </c>
      <c r="H344" s="1">
        <v>0</v>
      </c>
      <c r="I344" s="1">
        <v>1E-4</v>
      </c>
      <c r="J344" s="1">
        <v>2.0013999999999998</v>
      </c>
      <c r="K344" s="1">
        <v>-7.85E-4</v>
      </c>
      <c r="L344" s="1">
        <v>2.8730000000000001E-3</v>
      </c>
      <c r="M344" s="1">
        <v>0.26706800000000003</v>
      </c>
      <c r="N344" s="1">
        <v>0.963673</v>
      </c>
      <c r="O344">
        <v>1</v>
      </c>
      <c r="P344">
        <v>0</v>
      </c>
      <c r="Q344">
        <v>1</v>
      </c>
      <c r="R344">
        <v>1</v>
      </c>
      <c r="S344">
        <v>1</v>
      </c>
      <c r="T344" s="1">
        <f>SQRT(POWER(Batmobile[[#This Row],[angvel_X]],2) + POWER(Batmobile[[#This Row],[angvel_Y]],2) + POWER(Batmobile[[#This Row],[angvel_Z]],2))</f>
        <v>2.0014000024982508</v>
      </c>
      <c r="U344" s="1">
        <f>DEGREES(ASIN(MAX(-1,MIN(1,2 * (Batmobile[[#This Row],[quart_W]]*Batmobile[[#This Row],[quart_Y]] - Batmobile[[#This Row],[quart_Z]]*Batmobile[[#This Row],[quart_X]])))))</f>
        <v>0.34128787078516504</v>
      </c>
      <c r="V34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59.020117699791463</v>
      </c>
      <c r="W34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89.998762038664822</v>
      </c>
      <c r="X344" s="1">
        <f>IF(Batmobile[[#This Row],[Yaw]]&gt;V343,(360-ABS(Batmobile[[#This Row],[Yaw]])-ABS(V343)),ABS(Batmobile[[#This Row],[Yaw]]-V343))</f>
        <v>0.9554355017152858</v>
      </c>
      <c r="Y344" s="1">
        <f>Batmobile[[#This Row],[Degree change]]+Y343</f>
        <v>270.13042637688164</v>
      </c>
    </row>
    <row r="345" spans="1:25">
      <c r="A345">
        <v>344</v>
      </c>
      <c r="B345" s="1">
        <v>-230.73999000000001</v>
      </c>
      <c r="C345" s="1">
        <v>495.39999399999999</v>
      </c>
      <c r="D345" s="1">
        <v>18.649999999999999</v>
      </c>
      <c r="E345" s="1">
        <v>2023.1099850000001</v>
      </c>
      <c r="F345" s="1">
        <v>1094.030029</v>
      </c>
      <c r="G345" s="1">
        <v>8.1999999999999993</v>
      </c>
      <c r="H345" s="1">
        <v>-1E-4</v>
      </c>
      <c r="I345" s="1">
        <v>1E-4</v>
      </c>
      <c r="J345" s="1">
        <v>2.0013999999999998</v>
      </c>
      <c r="K345" s="1">
        <v>-8.0699999999999999E-4</v>
      </c>
      <c r="L345" s="1">
        <v>2.8670000000000002E-3</v>
      </c>
      <c r="M345" s="1">
        <v>0.27509499999999998</v>
      </c>
      <c r="N345" s="1">
        <v>0.96141200000000004</v>
      </c>
      <c r="O345">
        <v>1</v>
      </c>
      <c r="P345">
        <v>0</v>
      </c>
      <c r="Q345">
        <v>1</v>
      </c>
      <c r="R345">
        <v>1</v>
      </c>
      <c r="S345">
        <v>1</v>
      </c>
      <c r="T345" s="1">
        <f>SQRT(POWER(Batmobile[[#This Row],[angvel_X]],2) + POWER(Batmobile[[#This Row],[angvel_Y]],2) + POWER(Batmobile[[#This Row],[angvel_Z]],2))</f>
        <v>2.0014000049965022</v>
      </c>
      <c r="U345" s="1">
        <f>DEGREES(ASIN(MAX(-1,MIN(1,2 * (Batmobile[[#This Row],[quart_W]]*Batmobile[[#This Row],[quart_Y]] - Batmobile[[#This Row],[quart_Z]]*Batmobile[[#This Row],[quart_X]])))))</f>
        <v>0.34129806503111221</v>
      </c>
      <c r="V34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58.064510578587196</v>
      </c>
      <c r="W34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89.998528861101178</v>
      </c>
      <c r="X345" s="1">
        <f>IF(Batmobile[[#This Row],[Yaw]]&gt;V344,(360-ABS(Batmobile[[#This Row],[Yaw]])-ABS(V344)),ABS(Batmobile[[#This Row],[Yaw]]-V344))</f>
        <v>0.95560712120426672</v>
      </c>
      <c r="Y345" s="1">
        <f>Batmobile[[#This Row],[Degree change]]+Y344</f>
        <v>271.0860334980859</v>
      </c>
    </row>
    <row r="346" spans="1:25">
      <c r="A346">
        <v>345</v>
      </c>
      <c r="B346" s="1">
        <v>-213.81999200000001</v>
      </c>
      <c r="C346" s="1">
        <v>504.54998799999998</v>
      </c>
      <c r="D346" s="1">
        <v>18.649999999999999</v>
      </c>
      <c r="E346" s="1">
        <v>2004.589966</v>
      </c>
      <c r="F346" s="1">
        <v>1127.619995</v>
      </c>
      <c r="G346" s="1">
        <v>8.1999999999999993</v>
      </c>
      <c r="H346" s="1">
        <v>-1E-4</v>
      </c>
      <c r="I346" s="1">
        <v>0</v>
      </c>
      <c r="J346" s="1">
        <v>2.0013999999999998</v>
      </c>
      <c r="K346" s="1">
        <v>-8.2799999999999996E-4</v>
      </c>
      <c r="L346" s="1">
        <v>2.862E-3</v>
      </c>
      <c r="M346" s="1">
        <v>0.28310099999999999</v>
      </c>
      <c r="N346" s="1">
        <v>0.95908499999999997</v>
      </c>
      <c r="O346">
        <v>1</v>
      </c>
      <c r="P346">
        <v>0</v>
      </c>
      <c r="Q346">
        <v>1</v>
      </c>
      <c r="R346">
        <v>1</v>
      </c>
      <c r="S346">
        <v>1</v>
      </c>
      <c r="T346" s="1">
        <f>SQRT(POWER(Batmobile[[#This Row],[angvel_X]],2) + POWER(Batmobile[[#This Row],[angvel_Y]],2) + POWER(Batmobile[[#This Row],[angvel_Z]],2))</f>
        <v>2.0014000024982508</v>
      </c>
      <c r="U346" s="1">
        <f>DEGREES(ASIN(MAX(-1,MIN(1,2 * (Batmobile[[#This Row],[quart_W]]*Batmobile[[#This Row],[quart_Y]] - Batmobile[[#This Row],[quart_Z]]*Batmobile[[#This Row],[quart_X]])))))</f>
        <v>0.34140567173790265</v>
      </c>
      <c r="V34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57.109118091416541</v>
      </c>
      <c r="W34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89.998153589870384</v>
      </c>
      <c r="X346" s="1">
        <f>IF(Batmobile[[#This Row],[Yaw]]&gt;V345,(360-ABS(Batmobile[[#This Row],[Yaw]])-ABS(V345)),ABS(Batmobile[[#This Row],[Yaw]]-V345))</f>
        <v>0.95539248717065561</v>
      </c>
      <c r="Y346" s="1">
        <f>Batmobile[[#This Row],[Degree change]]+Y345</f>
        <v>272.04142598525652</v>
      </c>
    </row>
    <row r="347" spans="1:25">
      <c r="A347">
        <v>346</v>
      </c>
      <c r="B347" s="1">
        <v>-197.05999800000001</v>
      </c>
      <c r="C347" s="1">
        <v>513.97997999999995</v>
      </c>
      <c r="D347" s="1">
        <v>18.649999999999999</v>
      </c>
      <c r="E347" s="1">
        <v>1985.5</v>
      </c>
      <c r="F347" s="1">
        <v>1160.900024</v>
      </c>
      <c r="G347" s="1">
        <v>8.1999999999999993</v>
      </c>
      <c r="H347" s="1">
        <v>-2.0000000000000001E-4</v>
      </c>
      <c r="I347" s="1">
        <v>0</v>
      </c>
      <c r="J347" s="1">
        <v>2.0013999999999998</v>
      </c>
      <c r="K347" s="1">
        <v>-8.4999999999999995E-4</v>
      </c>
      <c r="L347" s="1">
        <v>2.8570000000000002E-3</v>
      </c>
      <c r="M347" s="1">
        <v>0.29109099999999999</v>
      </c>
      <c r="N347" s="1">
        <v>0.95669099999999996</v>
      </c>
      <c r="O347">
        <v>1</v>
      </c>
      <c r="P347">
        <v>0</v>
      </c>
      <c r="Q347">
        <v>1</v>
      </c>
      <c r="R347">
        <v>1</v>
      </c>
      <c r="S347">
        <v>1</v>
      </c>
      <c r="T347" s="1">
        <f>SQRT(POWER(Batmobile[[#This Row],[angvel_X]],2) + POWER(Batmobile[[#This Row],[angvel_Y]],2) + POWER(Batmobile[[#This Row],[angvel_Z]],2))</f>
        <v>2.0014000099930045</v>
      </c>
      <c r="U347" s="1">
        <f>DEGREES(ASIN(MAX(-1,MIN(1,2 * (Batmobile[[#This Row],[quart_W]]*Batmobile[[#This Row],[quart_Y]] - Batmobile[[#This Row],[quart_Z]]*Batmobile[[#This Row],[quart_X]])))))</f>
        <v>0.34156434249774814</v>
      </c>
      <c r="V34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56.153263423789959</v>
      </c>
      <c r="W34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89.997884643828414</v>
      </c>
      <c r="X347" s="1">
        <f>IF(Batmobile[[#This Row],[Yaw]]&gt;V346,(360-ABS(Batmobile[[#This Row],[Yaw]])-ABS(V346)),ABS(Batmobile[[#This Row],[Yaw]]-V346))</f>
        <v>0.955854667626582</v>
      </c>
      <c r="Y347" s="1">
        <f>Batmobile[[#This Row],[Degree change]]+Y346</f>
        <v>272.99728065288309</v>
      </c>
    </row>
    <row r="348" spans="1:25">
      <c r="A348">
        <v>347</v>
      </c>
      <c r="B348" s="1">
        <v>-180.459991</v>
      </c>
      <c r="C348" s="1">
        <v>523.69000200000005</v>
      </c>
      <c r="D348" s="1">
        <v>18.649999999999999</v>
      </c>
      <c r="E348" s="1">
        <v>1965.8599850000001</v>
      </c>
      <c r="F348" s="1">
        <v>1193.849976</v>
      </c>
      <c r="G348" s="1">
        <v>8.1999999999999993</v>
      </c>
      <c r="H348" s="1">
        <v>-2.0000000000000001E-4</v>
      </c>
      <c r="I348" s="1">
        <v>0</v>
      </c>
      <c r="J348" s="1">
        <v>2.0013999999999998</v>
      </c>
      <c r="K348" s="1">
        <v>-8.7699999999999996E-4</v>
      </c>
      <c r="L348" s="1">
        <v>2.8509999999999998E-3</v>
      </c>
      <c r="M348" s="1">
        <v>0.29905900000000002</v>
      </c>
      <c r="N348" s="1">
        <v>0.95423000000000002</v>
      </c>
      <c r="O348">
        <v>1</v>
      </c>
      <c r="P348">
        <v>0</v>
      </c>
      <c r="Q348">
        <v>1</v>
      </c>
      <c r="R348">
        <v>1</v>
      </c>
      <c r="S348">
        <v>1</v>
      </c>
      <c r="T348" s="1">
        <f>SQRT(POWER(Batmobile[[#This Row],[angvel_X]],2) + POWER(Batmobile[[#This Row],[angvel_Y]],2) + POWER(Batmobile[[#This Row],[angvel_Z]],2))</f>
        <v>2.0014000099930045</v>
      </c>
      <c r="U348" s="1">
        <f>DEGREES(ASIN(MAX(-1,MIN(1,2 * (Batmobile[[#This Row],[quart_W]]*Batmobile[[#This Row],[quart_Y]] - Batmobile[[#This Row],[quart_Z]]*Batmobile[[#This Row],[quart_X]])))))</f>
        <v>0.341803950374446</v>
      </c>
      <c r="V34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55.197647216393229</v>
      </c>
      <c r="W34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89.99819429149187</v>
      </c>
      <c r="X348" s="1">
        <f>IF(Batmobile[[#This Row],[Yaw]]&gt;V347,(360-ABS(Batmobile[[#This Row],[Yaw]])-ABS(V347)),ABS(Batmobile[[#This Row],[Yaw]]-V347))</f>
        <v>0.95561620739673003</v>
      </c>
      <c r="Y348" s="1">
        <f>Batmobile[[#This Row],[Degree change]]+Y347</f>
        <v>273.95289686027979</v>
      </c>
    </row>
    <row r="349" spans="1:25">
      <c r="A349">
        <v>348</v>
      </c>
      <c r="B349" s="1">
        <v>-164.01998900000001</v>
      </c>
      <c r="C349" s="1">
        <v>533.67999299999997</v>
      </c>
      <c r="D349" s="1">
        <v>18.649999999999999</v>
      </c>
      <c r="E349" s="1">
        <v>1945.679932</v>
      </c>
      <c r="F349" s="1">
        <v>1226.469971</v>
      </c>
      <c r="G349" s="1">
        <v>8.1999999999999993</v>
      </c>
      <c r="H349" s="1">
        <v>-2.0000000000000001E-4</v>
      </c>
      <c r="I349" s="1">
        <v>0</v>
      </c>
      <c r="J349" s="1">
        <v>2.0013999999999998</v>
      </c>
      <c r="K349" s="1">
        <v>-9.0399999999999996E-4</v>
      </c>
      <c r="L349" s="1">
        <v>2.846E-3</v>
      </c>
      <c r="M349" s="1">
        <v>0.307006</v>
      </c>
      <c r="N349" s="1">
        <v>0.95170299999999997</v>
      </c>
      <c r="O349">
        <v>1</v>
      </c>
      <c r="P349">
        <v>0</v>
      </c>
      <c r="Q349">
        <v>1</v>
      </c>
      <c r="R349">
        <v>1</v>
      </c>
      <c r="S349">
        <v>1</v>
      </c>
      <c r="T349" s="1">
        <f>SQRT(POWER(Batmobile[[#This Row],[angvel_X]],2) + POWER(Batmobile[[#This Row],[angvel_Y]],2) + POWER(Batmobile[[#This Row],[angvel_Z]],2))</f>
        <v>2.0014000099930045</v>
      </c>
      <c r="U349" s="1">
        <f>DEGREES(ASIN(MAX(-1,MIN(1,2 * (Batmobile[[#This Row],[quart_W]]*Batmobile[[#This Row],[quart_Y]] - Batmobile[[#This Row],[quart_Z]]*Batmobile[[#This Row],[quart_X]])))))</f>
        <v>0.3421816152426802</v>
      </c>
      <c r="V34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54.242046678058344</v>
      </c>
      <c r="W34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89.998464495687372</v>
      </c>
      <c r="X349" s="1">
        <f>IF(Batmobile[[#This Row],[Yaw]]&gt;V348,(360-ABS(Batmobile[[#This Row],[Yaw]])-ABS(V348)),ABS(Batmobile[[#This Row],[Yaw]]-V348))</f>
        <v>0.95560053833488467</v>
      </c>
      <c r="Y349" s="1">
        <f>Batmobile[[#This Row],[Degree change]]+Y348</f>
        <v>274.90849739861466</v>
      </c>
    </row>
    <row r="350" spans="1:25">
      <c r="A350">
        <v>349</v>
      </c>
      <c r="B350" s="1">
        <v>-147.75</v>
      </c>
      <c r="C350" s="1">
        <v>543.94000200000005</v>
      </c>
      <c r="D350" s="1">
        <v>18.649999999999999</v>
      </c>
      <c r="E350" s="1">
        <v>1924.9499510000001</v>
      </c>
      <c r="F350" s="1">
        <v>1258.75</v>
      </c>
      <c r="G350" s="1">
        <v>8.1999999999999993</v>
      </c>
      <c r="H350" s="1">
        <v>-2.0000000000000001E-4</v>
      </c>
      <c r="I350" s="1">
        <v>0</v>
      </c>
      <c r="J350" s="1">
        <v>2.0013999999999998</v>
      </c>
      <c r="K350" s="1">
        <v>-9.3099999999999997E-4</v>
      </c>
      <c r="L350" s="1">
        <v>2.8400000000000001E-3</v>
      </c>
      <c r="M350" s="1">
        <v>0.31492999999999999</v>
      </c>
      <c r="N350" s="1">
        <v>0.94911000000000001</v>
      </c>
      <c r="O350">
        <v>1</v>
      </c>
      <c r="P350">
        <v>0</v>
      </c>
      <c r="Q350">
        <v>1</v>
      </c>
      <c r="R350">
        <v>1</v>
      </c>
      <c r="S350">
        <v>1</v>
      </c>
      <c r="T350" s="1">
        <f>SQRT(POWER(Batmobile[[#This Row],[angvel_X]],2) + POWER(Batmobile[[#This Row],[angvel_Y]],2) + POWER(Batmobile[[#This Row],[angvel_Z]],2))</f>
        <v>2.0014000099930045</v>
      </c>
      <c r="U350" s="1">
        <f>DEGREES(ASIN(MAX(-1,MIN(1,2 * (Batmobile[[#This Row],[quart_W]]*Batmobile[[#This Row],[quart_Y]] - Batmobile[[#This Row],[quart_Z]]*Batmobile[[#This Row],[quart_X]])))))</f>
        <v>0.34247864965766739</v>
      </c>
      <c r="V35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53.286656115814047</v>
      </c>
      <c r="W35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89.998764704989924</v>
      </c>
      <c r="X350" s="1">
        <f>IF(Batmobile[[#This Row],[Yaw]]&gt;V349,(360-ABS(Batmobile[[#This Row],[Yaw]])-ABS(V349)),ABS(Batmobile[[#This Row],[Yaw]]-V349))</f>
        <v>0.95539056224429686</v>
      </c>
      <c r="Y350" s="1">
        <f>Batmobile[[#This Row],[Degree change]]+Y349</f>
        <v>275.86388796085896</v>
      </c>
    </row>
    <row r="351" spans="1:25">
      <c r="A351">
        <v>350</v>
      </c>
      <c r="B351" s="1">
        <v>-131.64999399999999</v>
      </c>
      <c r="C351" s="1">
        <v>554.46997099999999</v>
      </c>
      <c r="D351" s="1">
        <v>18.649999999999999</v>
      </c>
      <c r="E351" s="1">
        <v>1903.6899410000001</v>
      </c>
      <c r="F351" s="1">
        <v>1290.679932</v>
      </c>
      <c r="G351" s="1">
        <v>8.1999999999999993</v>
      </c>
      <c r="H351" s="1">
        <v>-1E-4</v>
      </c>
      <c r="I351" s="1">
        <v>0</v>
      </c>
      <c r="J351" s="1">
        <v>2.0013999999999998</v>
      </c>
      <c r="K351" s="1">
        <v>-9.5799999999999998E-4</v>
      </c>
      <c r="L351" s="1">
        <v>2.8349999999999998E-3</v>
      </c>
      <c r="M351" s="1">
        <v>0.32283400000000001</v>
      </c>
      <c r="N351" s="1">
        <v>0.94645100000000004</v>
      </c>
      <c r="O351">
        <v>1</v>
      </c>
      <c r="P351">
        <v>0</v>
      </c>
      <c r="Q351">
        <v>1</v>
      </c>
      <c r="R351">
        <v>1</v>
      </c>
      <c r="S351">
        <v>1</v>
      </c>
      <c r="T351" s="1">
        <f>SQRT(POWER(Batmobile[[#This Row],[angvel_X]],2) + POWER(Batmobile[[#This Row],[angvel_Y]],2) + POWER(Batmobile[[#This Row],[angvel_Z]],2))</f>
        <v>2.0014000024982508</v>
      </c>
      <c r="U351" s="1">
        <f>DEGREES(ASIN(MAX(-1,MIN(1,2 * (Batmobile[[#This Row],[quart_W]]*Batmobile[[#This Row],[quart_Y]] - Batmobile[[#This Row],[quart_Z]]*Batmobile[[#This Row],[quart_X]])))))</f>
        <v>0.34291311150066167</v>
      </c>
      <c r="V35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52.331018190587315</v>
      </c>
      <c r="W35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89.999022020075373</v>
      </c>
      <c r="X351" s="1">
        <f>IF(Batmobile[[#This Row],[Yaw]]&gt;V350,(360-ABS(Batmobile[[#This Row],[Yaw]])-ABS(V350)),ABS(Batmobile[[#This Row],[Yaw]]-V350))</f>
        <v>0.95563792522673197</v>
      </c>
      <c r="Y351" s="1">
        <f>Batmobile[[#This Row],[Degree change]]+Y350</f>
        <v>276.81952588608567</v>
      </c>
    </row>
    <row r="352" spans="1:25">
      <c r="A352">
        <v>351</v>
      </c>
      <c r="B352" s="1">
        <v>-115.729996</v>
      </c>
      <c r="C352" s="1">
        <v>565.26995799999997</v>
      </c>
      <c r="D352" s="1">
        <v>18.649999999999999</v>
      </c>
      <c r="E352" s="1">
        <v>1881.8999020000001</v>
      </c>
      <c r="F352" s="1">
        <v>1322.25</v>
      </c>
      <c r="G352" s="1">
        <v>8.1999999999999993</v>
      </c>
      <c r="H352" s="1">
        <v>0</v>
      </c>
      <c r="I352" s="1">
        <v>0</v>
      </c>
      <c r="J352" s="1">
        <v>2.0013999999999998</v>
      </c>
      <c r="K352" s="1">
        <v>-9.7900000000000005E-4</v>
      </c>
      <c r="L352" s="1">
        <v>2.8300000000000001E-3</v>
      </c>
      <c r="M352" s="1">
        <v>0.33071600000000001</v>
      </c>
      <c r="N352" s="1">
        <v>0.94372599999999995</v>
      </c>
      <c r="O352">
        <v>1</v>
      </c>
      <c r="P352">
        <v>0</v>
      </c>
      <c r="Q352">
        <v>1</v>
      </c>
      <c r="R352">
        <v>1</v>
      </c>
      <c r="S352">
        <v>1</v>
      </c>
      <c r="T352" s="1">
        <f>SQRT(POWER(Batmobile[[#This Row],[angvel_X]],2) + POWER(Batmobile[[#This Row],[angvel_Y]],2) + POWER(Batmobile[[#This Row],[angvel_Z]],2))</f>
        <v>2.0013999999999998</v>
      </c>
      <c r="U352" s="1">
        <f>DEGREES(ASIN(MAX(-1,MIN(1,2 * (Batmobile[[#This Row],[quart_W]]*Batmobile[[#This Row],[quart_Y]] - Batmobile[[#This Row],[quart_Z]]*Batmobile[[#This Row],[quart_X]])))))</f>
        <v>0.3431482561043831</v>
      </c>
      <c r="V35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51.375324169256643</v>
      </c>
      <c r="W35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89.998622753668258</v>
      </c>
      <c r="X352" s="1">
        <f>IF(Batmobile[[#This Row],[Yaw]]&gt;V351,(360-ABS(Batmobile[[#This Row],[Yaw]])-ABS(V351)),ABS(Batmobile[[#This Row],[Yaw]]-V351))</f>
        <v>0.95569402133067172</v>
      </c>
      <c r="Y352" s="1">
        <f>Batmobile[[#This Row],[Degree change]]+Y351</f>
        <v>277.77521990741633</v>
      </c>
    </row>
    <row r="353" spans="1:25">
      <c r="A353">
        <v>352</v>
      </c>
      <c r="B353" s="1">
        <v>-99.989998</v>
      </c>
      <c r="C353" s="1">
        <v>576.330017</v>
      </c>
      <c r="D353" s="1">
        <v>18.649999999999999</v>
      </c>
      <c r="E353" s="1">
        <v>1859.589966</v>
      </c>
      <c r="F353" s="1">
        <v>1353.4499510000001</v>
      </c>
      <c r="G353" s="1">
        <v>8.1999999999999993</v>
      </c>
      <c r="H353" s="1">
        <v>0</v>
      </c>
      <c r="I353" s="1">
        <v>0</v>
      </c>
      <c r="J353" s="1">
        <v>2.0013999999999998</v>
      </c>
      <c r="K353" s="1">
        <v>-1.0009999999999999E-3</v>
      </c>
      <c r="L353" s="1">
        <v>2.8189999999999999E-3</v>
      </c>
      <c r="M353" s="1">
        <v>0.33857599999999999</v>
      </c>
      <c r="N353" s="1">
        <v>0.94093400000000005</v>
      </c>
      <c r="O353">
        <v>1</v>
      </c>
      <c r="P353">
        <v>0</v>
      </c>
      <c r="Q353">
        <v>1</v>
      </c>
      <c r="R353">
        <v>1</v>
      </c>
      <c r="S353">
        <v>1</v>
      </c>
      <c r="T353" s="1">
        <f>SQRT(POWER(Batmobile[[#This Row],[angvel_X]],2) + POWER(Batmobile[[#This Row],[angvel_Y]],2) + POWER(Batmobile[[#This Row],[angvel_Z]],2))</f>
        <v>2.0013999999999998</v>
      </c>
      <c r="U353" s="1">
        <f>DEGREES(ASIN(MAX(-1,MIN(1,2 * (Batmobile[[#This Row],[quart_W]]*Batmobile[[#This Row],[quart_Y]] - Batmobile[[#This Row],[quart_Z]]*Batmobile[[#This Row],[quart_X]])))))</f>
        <v>0.34279209663703381</v>
      </c>
      <c r="V35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50.419539900337853</v>
      </c>
      <c r="W35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89.998559465502183</v>
      </c>
      <c r="X353" s="1">
        <f>IF(Batmobile[[#This Row],[Yaw]]&gt;V352,(360-ABS(Batmobile[[#This Row],[Yaw]])-ABS(V352)),ABS(Batmobile[[#This Row],[Yaw]]-V352))</f>
        <v>0.95578426891879076</v>
      </c>
      <c r="Y353" s="1">
        <f>Batmobile[[#This Row],[Degree change]]+Y352</f>
        <v>278.73100417633509</v>
      </c>
    </row>
    <row r="354" spans="1:25">
      <c r="A354">
        <v>353</v>
      </c>
      <c r="B354" s="1">
        <v>-84.439994999999996</v>
      </c>
      <c r="C354" s="1">
        <v>587.64996299999996</v>
      </c>
      <c r="D354" s="1">
        <v>18.649999999999999</v>
      </c>
      <c r="E354" s="1">
        <v>1836.76001</v>
      </c>
      <c r="F354" s="1">
        <v>1384.280029</v>
      </c>
      <c r="G354" s="1">
        <v>8.1999999999999993</v>
      </c>
      <c r="H354" s="1">
        <v>0</v>
      </c>
      <c r="I354" s="1">
        <v>0</v>
      </c>
      <c r="J354" s="1">
        <v>2.0013999999999998</v>
      </c>
      <c r="K354" s="1">
        <v>-1.0219999999999999E-3</v>
      </c>
      <c r="L354" s="1">
        <v>2.8080000000000002E-3</v>
      </c>
      <c r="M354" s="1">
        <v>0.34640900000000002</v>
      </c>
      <c r="N354" s="1">
        <v>0.938079</v>
      </c>
      <c r="O354">
        <v>1</v>
      </c>
      <c r="P354">
        <v>0</v>
      </c>
      <c r="Q354">
        <v>1</v>
      </c>
      <c r="R354">
        <v>1</v>
      </c>
      <c r="S354">
        <v>1</v>
      </c>
      <c r="T354" s="1">
        <f>SQRT(POWER(Batmobile[[#This Row],[angvel_X]],2) + POWER(Batmobile[[#This Row],[angvel_Y]],2) + POWER(Batmobile[[#This Row],[angvel_Z]],2))</f>
        <v>2.0013999999999998</v>
      </c>
      <c r="U354" s="1">
        <f>DEGREES(ASIN(MAX(-1,MIN(1,2 * (Batmobile[[#This Row],[quart_W]]*Batmobile[[#This Row],[quart_Y]] - Batmobile[[#This Row],[quart_Z]]*Batmobile[[#This Row],[quart_X]])))))</f>
        <v>0.34241947351961788</v>
      </c>
      <c r="V35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49.464140668060487</v>
      </c>
      <c r="W35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89.998395720005064</v>
      </c>
      <c r="X354" s="1">
        <f>IF(Batmobile[[#This Row],[Yaw]]&gt;V353,(360-ABS(Batmobile[[#This Row],[Yaw]])-ABS(V353)),ABS(Batmobile[[#This Row],[Yaw]]-V353))</f>
        <v>0.95539923227736523</v>
      </c>
      <c r="Y354" s="1">
        <f>Batmobile[[#This Row],[Degree change]]+Y353</f>
        <v>279.68640340861248</v>
      </c>
    </row>
    <row r="355" spans="1:25">
      <c r="A355">
        <v>354</v>
      </c>
      <c r="B355" s="1">
        <v>-69.080001999999993</v>
      </c>
      <c r="C355" s="1">
        <v>599.22997999999995</v>
      </c>
      <c r="D355" s="1">
        <v>18.649999999999999</v>
      </c>
      <c r="E355" s="1">
        <v>1813.4099120000001</v>
      </c>
      <c r="F355" s="1">
        <v>1414.719971</v>
      </c>
      <c r="G355" s="1">
        <v>8.1999999999999993</v>
      </c>
      <c r="H355" s="1">
        <v>0</v>
      </c>
      <c r="I355" s="1">
        <v>0</v>
      </c>
      <c r="J355" s="1">
        <v>2.0013999999999998</v>
      </c>
      <c r="K355" s="1">
        <v>-1.044E-3</v>
      </c>
      <c r="L355" s="1">
        <v>2.797E-3</v>
      </c>
      <c r="M355" s="1">
        <v>0.35422100000000001</v>
      </c>
      <c r="N355" s="1">
        <v>0.93515700000000002</v>
      </c>
      <c r="O355">
        <v>1</v>
      </c>
      <c r="P355">
        <v>0</v>
      </c>
      <c r="Q355">
        <v>1</v>
      </c>
      <c r="R355">
        <v>1</v>
      </c>
      <c r="S355">
        <v>1</v>
      </c>
      <c r="T355" s="1">
        <f>SQRT(POWER(Batmobile[[#This Row],[angvel_X]],2) + POWER(Batmobile[[#This Row],[angvel_Y]],2) + POWER(Batmobile[[#This Row],[angvel_Z]],2))</f>
        <v>2.0013999999999998</v>
      </c>
      <c r="U355" s="1">
        <f>DEGREES(ASIN(MAX(-1,MIN(1,2 * (Batmobile[[#This Row],[quart_W]]*Batmobile[[#This Row],[quart_Y]] - Batmobile[[#This Row],[quart_Z]]*Batmobile[[#This Row],[quart_X]])))))</f>
        <v>0.34210835452145477</v>
      </c>
      <c r="V35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48.508383232219927</v>
      </c>
      <c r="W35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89.998343867025255</v>
      </c>
      <c r="X355" s="1">
        <f>IF(Batmobile[[#This Row],[Yaw]]&gt;V354,(360-ABS(Batmobile[[#This Row],[Yaw]])-ABS(V354)),ABS(Batmobile[[#This Row],[Yaw]]-V354))</f>
        <v>0.95575743584056028</v>
      </c>
      <c r="Y355" s="1">
        <f>Batmobile[[#This Row],[Degree change]]+Y354</f>
        <v>280.64216084445303</v>
      </c>
    </row>
    <row r="356" spans="1:25">
      <c r="A356">
        <v>355</v>
      </c>
      <c r="B356" s="1">
        <v>-53.919998</v>
      </c>
      <c r="C356" s="1">
        <v>611.05999799999995</v>
      </c>
      <c r="D356" s="1">
        <v>18.649999999999999</v>
      </c>
      <c r="E356" s="1">
        <v>1789.559937</v>
      </c>
      <c r="F356" s="1">
        <v>1444.7700199999999</v>
      </c>
      <c r="G356" s="1">
        <v>8.1999999999999993</v>
      </c>
      <c r="H356" s="1">
        <v>0</v>
      </c>
      <c r="I356" s="1">
        <v>0</v>
      </c>
      <c r="J356" s="1">
        <v>2.0013999999999998</v>
      </c>
      <c r="K356" s="1">
        <v>-1.065E-3</v>
      </c>
      <c r="L356" s="1">
        <v>2.7859999999999998E-3</v>
      </c>
      <c r="M356" s="1">
        <v>0.36200599999999999</v>
      </c>
      <c r="N356" s="1">
        <v>0.93217099999999997</v>
      </c>
      <c r="O356">
        <v>1</v>
      </c>
      <c r="P356">
        <v>0</v>
      </c>
      <c r="Q356">
        <v>1</v>
      </c>
      <c r="R356">
        <v>1</v>
      </c>
      <c r="S356">
        <v>1</v>
      </c>
      <c r="T356" s="1">
        <f>SQRT(POWER(Batmobile[[#This Row],[angvel_X]],2) + POWER(Batmobile[[#This Row],[angvel_Y]],2) + POWER(Batmobile[[#This Row],[angvel_Z]],2))</f>
        <v>2.0013999999999998</v>
      </c>
      <c r="U356" s="1">
        <f>DEGREES(ASIN(MAX(-1,MIN(1,2 * (Batmobile[[#This Row],[quart_W]]*Batmobile[[#This Row],[quart_Y]] - Batmobile[[#This Row],[quart_Z]]*Batmobile[[#This Row],[quart_X]])))))</f>
        <v>0.34177877679662388</v>
      </c>
      <c r="V35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47.552911317548535</v>
      </c>
      <c r="W35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89.998190956593717</v>
      </c>
      <c r="X356" s="1">
        <f>IF(Batmobile[[#This Row],[Yaw]]&gt;V355,(360-ABS(Batmobile[[#This Row],[Yaw]])-ABS(V355)),ABS(Batmobile[[#This Row],[Yaw]]-V355))</f>
        <v>0.95547191467139214</v>
      </c>
      <c r="Y356" s="1">
        <f>Batmobile[[#This Row],[Degree change]]+Y355</f>
        <v>281.59763275912439</v>
      </c>
    </row>
    <row r="357" spans="1:25">
      <c r="A357">
        <v>356</v>
      </c>
      <c r="B357" s="1">
        <v>-38.959999000000003</v>
      </c>
      <c r="C357" s="1">
        <v>623.14996299999996</v>
      </c>
      <c r="D357" s="1">
        <v>18.649999999999999</v>
      </c>
      <c r="E357" s="1">
        <v>1765.219971</v>
      </c>
      <c r="F357" s="1">
        <v>1474.419922</v>
      </c>
      <c r="G357" s="1">
        <v>8.1999999999999993</v>
      </c>
      <c r="H357" s="1">
        <v>-1E-4</v>
      </c>
      <c r="I357" s="1">
        <v>0</v>
      </c>
      <c r="J357" s="1">
        <v>2.0013999999999998</v>
      </c>
      <c r="K357" s="1">
        <v>-1.0870000000000001E-3</v>
      </c>
      <c r="L357" s="1">
        <v>2.7759999999999998E-3</v>
      </c>
      <c r="M357" s="1">
        <v>0.36976900000000001</v>
      </c>
      <c r="N357" s="1">
        <v>0.92911900000000003</v>
      </c>
      <c r="O357">
        <v>1</v>
      </c>
      <c r="P357">
        <v>0</v>
      </c>
      <c r="Q357">
        <v>1</v>
      </c>
      <c r="R357">
        <v>1</v>
      </c>
      <c r="S357">
        <v>1</v>
      </c>
      <c r="T357" s="1">
        <f>SQRT(POWER(Batmobile[[#This Row],[angvel_X]],2) + POWER(Batmobile[[#This Row],[angvel_Y]],2) + POWER(Batmobile[[#This Row],[angvel_Z]],2))</f>
        <v>2.0014000024982508</v>
      </c>
      <c r="U357" s="1">
        <f>DEGREES(ASIN(MAX(-1,MIN(1,2 * (Batmobile[[#This Row],[quart_W]]*Batmobile[[#This Row],[quart_Y]] - Batmobile[[#This Row],[quart_Z]]*Batmobile[[#This Row],[quart_X]])))))</f>
        <v>0.34161931419149022</v>
      </c>
      <c r="V35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46.597046500736774</v>
      </c>
      <c r="W35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89.998106181427374</v>
      </c>
      <c r="X357" s="1">
        <f>IF(Batmobile[[#This Row],[Yaw]]&gt;V356,(360-ABS(Batmobile[[#This Row],[Yaw]])-ABS(V356)),ABS(Batmobile[[#This Row],[Yaw]]-V356))</f>
        <v>0.95586481681176139</v>
      </c>
      <c r="Y357" s="1">
        <f>Batmobile[[#This Row],[Degree change]]+Y356</f>
        <v>282.55349757593615</v>
      </c>
    </row>
    <row r="358" spans="1:25">
      <c r="A358">
        <v>357</v>
      </c>
      <c r="B358" s="1">
        <v>-24.199998999999998</v>
      </c>
      <c r="C358" s="1">
        <v>635.47997999999995</v>
      </c>
      <c r="D358" s="1">
        <v>18.649999999999999</v>
      </c>
      <c r="E358" s="1">
        <v>1740.380005</v>
      </c>
      <c r="F358" s="1">
        <v>1503.650024</v>
      </c>
      <c r="G358" s="1">
        <v>8.1999999999999993</v>
      </c>
      <c r="H358" s="1">
        <v>-1E-4</v>
      </c>
      <c r="I358" s="1">
        <v>0</v>
      </c>
      <c r="J358" s="1">
        <v>2.0013999999999998</v>
      </c>
      <c r="K358" s="1">
        <v>-1.109E-3</v>
      </c>
      <c r="L358" s="1">
        <v>2.7650000000000001E-3</v>
      </c>
      <c r="M358" s="1">
        <v>0.37750499999999998</v>
      </c>
      <c r="N358" s="1">
        <v>0.92600300000000002</v>
      </c>
      <c r="O358">
        <v>1</v>
      </c>
      <c r="P358">
        <v>0</v>
      </c>
      <c r="Q358">
        <v>1</v>
      </c>
      <c r="R358">
        <v>1</v>
      </c>
      <c r="S358">
        <v>1</v>
      </c>
      <c r="T358" s="1">
        <f>SQRT(POWER(Batmobile[[#This Row],[angvel_X]],2) + POWER(Batmobile[[#This Row],[angvel_Y]],2) + POWER(Batmobile[[#This Row],[angvel_Z]],2))</f>
        <v>2.0014000024982508</v>
      </c>
      <c r="U358" s="1">
        <f>DEGREES(ASIN(MAX(-1,MIN(1,2 * (Batmobile[[#This Row],[quart_W]]*Batmobile[[#This Row],[quart_Y]] - Batmobile[[#This Row],[quart_Z]]*Batmobile[[#This Row],[quart_X]])))))</f>
        <v>0.34137615724122572</v>
      </c>
      <c r="V35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45.641335332795251</v>
      </c>
      <c r="W35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89.998067493876107</v>
      </c>
      <c r="X358" s="1">
        <f>IF(Batmobile[[#This Row],[Yaw]]&gt;V357,(360-ABS(Batmobile[[#This Row],[Yaw]])-ABS(V357)),ABS(Batmobile[[#This Row],[Yaw]]-V357))</f>
        <v>0.95571116794152289</v>
      </c>
      <c r="Y358" s="1">
        <f>Batmobile[[#This Row],[Degree change]]+Y357</f>
        <v>283.50920874387765</v>
      </c>
    </row>
    <row r="359" spans="1:25">
      <c r="A359">
        <v>358</v>
      </c>
      <c r="B359" s="1">
        <v>-9.65</v>
      </c>
      <c r="C359" s="1">
        <v>648.05999799999995</v>
      </c>
      <c r="D359" s="1">
        <v>18.649999999999999</v>
      </c>
      <c r="E359" s="1">
        <v>1715.059937</v>
      </c>
      <c r="F359" s="1">
        <v>1532.469971</v>
      </c>
      <c r="G359" s="1">
        <v>8.1999999999999993</v>
      </c>
      <c r="H359" s="1">
        <v>-2.0000000000000001E-4</v>
      </c>
      <c r="I359" s="1">
        <v>0</v>
      </c>
      <c r="J359" s="1">
        <v>2.0013999999999998</v>
      </c>
      <c r="K359" s="1">
        <v>-1.1299999999999999E-3</v>
      </c>
      <c r="L359" s="1">
        <v>2.7539999999999999E-3</v>
      </c>
      <c r="M359" s="1">
        <v>0.385214</v>
      </c>
      <c r="N359" s="1">
        <v>0.92282200000000003</v>
      </c>
      <c r="O359">
        <v>1</v>
      </c>
      <c r="P359">
        <v>0</v>
      </c>
      <c r="Q359">
        <v>1</v>
      </c>
      <c r="R359">
        <v>1</v>
      </c>
      <c r="S359">
        <v>1</v>
      </c>
      <c r="T359" s="1">
        <f>SQRT(POWER(Batmobile[[#This Row],[angvel_X]],2) + POWER(Batmobile[[#This Row],[angvel_Y]],2) + POWER(Batmobile[[#This Row],[angvel_Z]],2))</f>
        <v>2.0014000099930045</v>
      </c>
      <c r="U359" s="1">
        <f>DEGREES(ASIN(MAX(-1,MIN(1,2 * (Batmobile[[#This Row],[quart_W]]*Batmobile[[#This Row],[quart_Y]] - Batmobile[[#This Row],[quart_Z]]*Batmobile[[#This Row],[quart_X]])))))</f>
        <v>0.34111170594324808</v>
      </c>
      <c r="V35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44.685743937995682</v>
      </c>
      <c r="W35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89.997926945120312</v>
      </c>
      <c r="X359" s="1">
        <f>IF(Batmobile[[#This Row],[Yaw]]&gt;V358,(360-ABS(Batmobile[[#This Row],[Yaw]])-ABS(V358)),ABS(Batmobile[[#This Row],[Yaw]]-V358))</f>
        <v>0.95559139479956912</v>
      </c>
      <c r="Y359" s="1">
        <f>Batmobile[[#This Row],[Degree change]]+Y358</f>
        <v>284.46480013867722</v>
      </c>
    </row>
    <row r="360" spans="1:25">
      <c r="A360">
        <v>359</v>
      </c>
      <c r="B360" s="1">
        <v>4.6900000000000004</v>
      </c>
      <c r="C360" s="1">
        <v>660.88000499999998</v>
      </c>
      <c r="D360" s="1">
        <v>18.649999999999999</v>
      </c>
      <c r="E360" s="1">
        <v>1689.26001</v>
      </c>
      <c r="F360" s="1">
        <v>1560.8599850000001</v>
      </c>
      <c r="G360" s="1">
        <v>8.1999999999999993</v>
      </c>
      <c r="H360" s="1">
        <v>-2.0000000000000001E-4</v>
      </c>
      <c r="I360" s="1">
        <v>0</v>
      </c>
      <c r="J360" s="1">
        <v>2.0013999999999998</v>
      </c>
      <c r="K360" s="1">
        <v>-1.152E-3</v>
      </c>
      <c r="L360" s="1">
        <v>2.7430000000000002E-3</v>
      </c>
      <c r="M360" s="1">
        <v>0.39289600000000002</v>
      </c>
      <c r="N360" s="1">
        <v>0.91957800000000001</v>
      </c>
      <c r="O360">
        <v>1</v>
      </c>
      <c r="P360">
        <v>0</v>
      </c>
      <c r="Q360">
        <v>1</v>
      </c>
      <c r="R360">
        <v>1</v>
      </c>
      <c r="S360">
        <v>1</v>
      </c>
      <c r="T360" s="1">
        <f>SQRT(POWER(Batmobile[[#This Row],[angvel_X]],2) + POWER(Batmobile[[#This Row],[angvel_Y]],2) + POWER(Batmobile[[#This Row],[angvel_Z]],2))</f>
        <v>2.0014000099930045</v>
      </c>
      <c r="U360" s="1">
        <f>DEGREES(ASIN(MAX(-1,MIN(1,2 * (Batmobile[[#This Row],[quart_W]]*Batmobile[[#This Row],[quart_Y]] - Batmobile[[#This Row],[quart_Z]]*Batmobile[[#This Row],[quart_X]])))))</f>
        <v>0.34091403635730438</v>
      </c>
      <c r="V36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43.730145334867601</v>
      </c>
      <c r="W36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89.99789607640065</v>
      </c>
      <c r="X360" s="1">
        <f>IF(Batmobile[[#This Row],[Yaw]]&gt;V359,(360-ABS(Batmobile[[#This Row],[Yaw]])-ABS(V359)),ABS(Batmobile[[#This Row],[Yaw]]-V359))</f>
        <v>0.95559860312808098</v>
      </c>
      <c r="Y360" s="1">
        <f>Batmobile[[#This Row],[Degree change]]+Y359</f>
        <v>285.42039874180529</v>
      </c>
    </row>
    <row r="361" spans="1:25">
      <c r="A361">
        <v>360</v>
      </c>
      <c r="B361" s="1">
        <v>18.809999000000001</v>
      </c>
      <c r="C361" s="1">
        <v>673.94000200000005</v>
      </c>
      <c r="D361" s="1">
        <v>18.649999999999999</v>
      </c>
      <c r="E361" s="1">
        <v>1662.98999</v>
      </c>
      <c r="F361" s="1">
        <v>1588.8199460000001</v>
      </c>
      <c r="G361" s="1">
        <v>8.1999999999999993</v>
      </c>
      <c r="H361" s="1">
        <v>-2.9999999999999997E-4</v>
      </c>
      <c r="I361" s="1">
        <v>0</v>
      </c>
      <c r="J361" s="1">
        <v>2.0013999999999998</v>
      </c>
      <c r="K361" s="1">
        <v>-1.173E-3</v>
      </c>
      <c r="L361" s="1">
        <v>2.7320000000000001E-3</v>
      </c>
      <c r="M361" s="1">
        <v>0.40055200000000002</v>
      </c>
      <c r="N361" s="1">
        <v>0.916269</v>
      </c>
      <c r="O361">
        <v>1</v>
      </c>
      <c r="P361">
        <v>0</v>
      </c>
      <c r="Q361">
        <v>1</v>
      </c>
      <c r="R361">
        <v>1</v>
      </c>
      <c r="S361">
        <v>1</v>
      </c>
      <c r="T361" s="1">
        <f>SQRT(POWER(Batmobile[[#This Row],[angvel_X]],2) + POWER(Batmobile[[#This Row],[angvel_Y]],2) + POWER(Batmobile[[#This Row],[angvel_Z]],2))</f>
        <v>2.0014000224842605</v>
      </c>
      <c r="U361" s="1">
        <f>DEGREES(ASIN(MAX(-1,MIN(1,2 * (Batmobile[[#This Row],[quart_W]]*Batmobile[[#This Row],[quart_Y]] - Batmobile[[#This Row],[quart_Z]]*Batmobile[[#This Row],[quart_X]])))))</f>
        <v>0.34069353056579327</v>
      </c>
      <c r="V36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42.774395923234074</v>
      </c>
      <c r="W36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89.997762614457088</v>
      </c>
      <c r="X361" s="1">
        <f>IF(Batmobile[[#This Row],[Yaw]]&gt;V360,(360-ABS(Batmobile[[#This Row],[Yaw]])-ABS(V360)),ABS(Batmobile[[#This Row],[Yaw]]-V360))</f>
        <v>0.95574941163352634</v>
      </c>
      <c r="Y361" s="1">
        <f>Batmobile[[#This Row],[Degree change]]+Y360</f>
        <v>286.37614815343881</v>
      </c>
    </row>
    <row r="362" spans="1:25">
      <c r="A362">
        <v>361</v>
      </c>
      <c r="B362" s="1">
        <v>32.719996999999999</v>
      </c>
      <c r="C362" s="1">
        <v>687.22997999999995</v>
      </c>
      <c r="D362" s="1">
        <v>18.649999999999999</v>
      </c>
      <c r="E362" s="1">
        <v>1636.26001</v>
      </c>
      <c r="F362" s="1">
        <v>1616.339966</v>
      </c>
      <c r="G362" s="1">
        <v>8.1999999999999993</v>
      </c>
      <c r="H362" s="1">
        <v>-2.9999999999999997E-4</v>
      </c>
      <c r="I362" s="1">
        <v>0</v>
      </c>
      <c r="J362" s="1">
        <v>2.0013999999999998</v>
      </c>
      <c r="K362" s="1">
        <v>-1.1950000000000001E-3</v>
      </c>
      <c r="L362" s="1">
        <v>2.722E-3</v>
      </c>
      <c r="M362" s="1">
        <v>0.40817999999999999</v>
      </c>
      <c r="N362" s="1">
        <v>0.91289699999999996</v>
      </c>
      <c r="O362">
        <v>1</v>
      </c>
      <c r="P362">
        <v>0</v>
      </c>
      <c r="Q362">
        <v>1</v>
      </c>
      <c r="R362">
        <v>1</v>
      </c>
      <c r="S362">
        <v>1</v>
      </c>
      <c r="T362" s="1">
        <f>SQRT(POWER(Batmobile[[#This Row],[angvel_X]],2) + POWER(Batmobile[[#This Row],[angvel_Y]],2) + POWER(Batmobile[[#This Row],[angvel_Z]],2))</f>
        <v>2.0014000224842605</v>
      </c>
      <c r="U362" s="1">
        <f>DEGREES(ASIN(MAX(-1,MIN(1,2 * (Batmobile[[#This Row],[quart_W]]*Batmobile[[#This Row],[quart_Y]] - Batmobile[[#This Row],[quart_Z]]*Batmobile[[#This Row],[quart_X]])))))</f>
        <v>0.34064612663764593</v>
      </c>
      <c r="V36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41.818642250308955</v>
      </c>
      <c r="W36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89.997690475744065</v>
      </c>
      <c r="X362" s="1">
        <f>IF(Batmobile[[#This Row],[Yaw]]&gt;V361,(360-ABS(Batmobile[[#This Row],[Yaw]])-ABS(V361)),ABS(Batmobile[[#This Row],[Yaw]]-V361))</f>
        <v>0.9557536729251197</v>
      </c>
      <c r="Y362" s="1">
        <f>Batmobile[[#This Row],[Degree change]]+Y361</f>
        <v>287.33190182636395</v>
      </c>
    </row>
    <row r="363" spans="1:25">
      <c r="A363">
        <v>362</v>
      </c>
      <c r="B363" s="1">
        <v>46.399997999999997</v>
      </c>
      <c r="C363" s="1">
        <v>700.75</v>
      </c>
      <c r="D363" s="1">
        <v>18.649999999999999</v>
      </c>
      <c r="E363" s="1">
        <v>1609.0699460000001</v>
      </c>
      <c r="F363" s="1">
        <v>1643.4099120000001</v>
      </c>
      <c r="G363" s="1">
        <v>8.1999999999999993</v>
      </c>
      <c r="H363" s="1">
        <v>-2.9999999999999997E-4</v>
      </c>
      <c r="I363" s="1">
        <v>0</v>
      </c>
      <c r="J363" s="1">
        <v>2.0013999999999998</v>
      </c>
      <c r="K363" s="1">
        <v>-1.217E-3</v>
      </c>
      <c r="L363" s="1">
        <v>2.7109999999999999E-3</v>
      </c>
      <c r="M363" s="1">
        <v>0.41577599999999998</v>
      </c>
      <c r="N363" s="1">
        <v>0.90946199999999999</v>
      </c>
      <c r="O363">
        <v>1</v>
      </c>
      <c r="P363">
        <v>0</v>
      </c>
      <c r="Q363">
        <v>1</v>
      </c>
      <c r="R363">
        <v>1</v>
      </c>
      <c r="S363">
        <v>1</v>
      </c>
      <c r="T363" s="1">
        <f>SQRT(POWER(Batmobile[[#This Row],[angvel_X]],2) + POWER(Batmobile[[#This Row],[angvel_Y]],2) + POWER(Batmobile[[#This Row],[angvel_Z]],2))</f>
        <v>2.0014000224842605</v>
      </c>
      <c r="U363" s="1">
        <f>DEGREES(ASIN(MAX(-1,MIN(1,2 * (Batmobile[[#This Row],[quart_W]]*Batmobile[[#This Row],[quart_Y]] - Batmobile[[#This Row],[quart_Z]]*Batmobile[[#This Row],[quart_X]])))))</f>
        <v>0.34051665193132191</v>
      </c>
      <c r="V36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40.863379077482747</v>
      </c>
      <c r="W36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89.997667621574649</v>
      </c>
      <c r="X363" s="1">
        <f>IF(Batmobile[[#This Row],[Yaw]]&gt;V362,(360-ABS(Batmobile[[#This Row],[Yaw]])-ABS(V362)),ABS(Batmobile[[#This Row],[Yaw]]-V362))</f>
        <v>0.9552631728262071</v>
      </c>
      <c r="Y363" s="1">
        <f>Batmobile[[#This Row],[Degree change]]+Y362</f>
        <v>288.28716499919017</v>
      </c>
    </row>
    <row r="364" spans="1:25">
      <c r="A364">
        <v>363</v>
      </c>
      <c r="B364" s="1">
        <v>59.849997999999999</v>
      </c>
      <c r="C364" s="1">
        <v>714.5</v>
      </c>
      <c r="D364" s="1">
        <v>18.649999999999999</v>
      </c>
      <c r="E364" s="1">
        <v>1581.4399410000001</v>
      </c>
      <c r="F364" s="1">
        <v>1670.0200199999999</v>
      </c>
      <c r="G364" s="1">
        <v>8.1999999999999993</v>
      </c>
      <c r="H364" s="1">
        <v>-4.0000000000000002E-4</v>
      </c>
      <c r="I364" s="1">
        <v>0</v>
      </c>
      <c r="J364" s="1">
        <v>2.0013999999999998</v>
      </c>
      <c r="K364" s="1">
        <v>-1.238E-3</v>
      </c>
      <c r="L364" s="1">
        <v>2.7000000000000001E-3</v>
      </c>
      <c r="M364" s="1">
        <v>0.42334500000000003</v>
      </c>
      <c r="N364" s="1">
        <v>0.90596399999999999</v>
      </c>
      <c r="O364">
        <v>1</v>
      </c>
      <c r="P364">
        <v>0</v>
      </c>
      <c r="Q364">
        <v>1</v>
      </c>
      <c r="R364">
        <v>1</v>
      </c>
      <c r="S364">
        <v>1</v>
      </c>
      <c r="T364" s="1">
        <f>SQRT(POWER(Batmobile[[#This Row],[angvel_X]],2) + POWER(Batmobile[[#This Row],[angvel_Y]],2) + POWER(Batmobile[[#This Row],[angvel_Z]],2))</f>
        <v>2.0014000399720189</v>
      </c>
      <c r="U364" s="1">
        <f>DEGREES(ASIN(MAX(-1,MIN(1,2 * (Batmobile[[#This Row],[quart_W]]*Batmobile[[#This Row],[quart_Y]] - Batmobile[[#This Row],[quart_Z]]*Batmobile[[#This Row],[quart_X]])))))</f>
        <v>0.34036229850190425</v>
      </c>
      <c r="V36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39.907842127199501</v>
      </c>
      <c r="W36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89.997542189082509</v>
      </c>
      <c r="X364" s="1">
        <f>IF(Batmobile[[#This Row],[Yaw]]&gt;V363,(360-ABS(Batmobile[[#This Row],[Yaw]])-ABS(V363)),ABS(Batmobile[[#This Row],[Yaw]]-V363))</f>
        <v>0.95553695028324626</v>
      </c>
      <c r="Y364" s="1">
        <f>Batmobile[[#This Row],[Degree change]]+Y363</f>
        <v>289.24270194947343</v>
      </c>
    </row>
    <row r="365" spans="1:25">
      <c r="A365">
        <v>364</v>
      </c>
      <c r="B365" s="1">
        <v>73.069999999999993</v>
      </c>
      <c r="C365" s="1">
        <v>728.46997099999999</v>
      </c>
      <c r="D365" s="1">
        <v>18.649999999999999</v>
      </c>
      <c r="E365" s="1">
        <v>1553.369995</v>
      </c>
      <c r="F365" s="1">
        <v>1696.1599120000001</v>
      </c>
      <c r="G365" s="1">
        <v>8.1999999999999993</v>
      </c>
      <c r="H365" s="1">
        <v>-4.0000000000000002E-4</v>
      </c>
      <c r="I365" s="1">
        <v>0</v>
      </c>
      <c r="J365" s="1">
        <v>2.0013999999999998</v>
      </c>
      <c r="K365" s="1">
        <v>-1.2600000000000001E-3</v>
      </c>
      <c r="L365" s="1">
        <v>2.689E-3</v>
      </c>
      <c r="M365" s="1">
        <v>0.43088700000000002</v>
      </c>
      <c r="N365" s="1">
        <v>0.90240100000000001</v>
      </c>
      <c r="O365">
        <v>1</v>
      </c>
      <c r="P365">
        <v>0</v>
      </c>
      <c r="Q365">
        <v>1</v>
      </c>
      <c r="R365">
        <v>1</v>
      </c>
      <c r="S365">
        <v>1</v>
      </c>
      <c r="T365" s="1">
        <f>SQRT(POWER(Batmobile[[#This Row],[angvel_X]],2) + POWER(Batmobile[[#This Row],[angvel_Y]],2) + POWER(Batmobile[[#This Row],[angvel_Z]],2))</f>
        <v>2.0014000399720189</v>
      </c>
      <c r="U365" s="1">
        <f>DEGREES(ASIN(MAX(-1,MIN(1,2 * (Batmobile[[#This Row],[quart_W]]*Batmobile[[#This Row],[quart_Y]] - Batmobile[[#This Row],[quart_Z]]*Batmobile[[#This Row],[quart_X]])))))</f>
        <v>0.34027864507357358</v>
      </c>
      <c r="V36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38.952022427096963</v>
      </c>
      <c r="W36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89.997521354272038</v>
      </c>
      <c r="X365" s="1">
        <f>IF(Batmobile[[#This Row],[Yaw]]&gt;V364,(360-ABS(Batmobile[[#This Row],[Yaw]])-ABS(V364)),ABS(Batmobile[[#This Row],[Yaw]]-V364))</f>
        <v>0.95581970010253769</v>
      </c>
      <c r="Y365" s="1">
        <f>Batmobile[[#This Row],[Degree change]]+Y364</f>
        <v>290.19852164957598</v>
      </c>
    </row>
    <row r="366" spans="1:25">
      <c r="A366">
        <v>365</v>
      </c>
      <c r="B366" s="1">
        <v>86.059997999999993</v>
      </c>
      <c r="C366" s="1">
        <v>742.65997300000004</v>
      </c>
      <c r="D366" s="1">
        <v>18.649999999999999</v>
      </c>
      <c r="E366" s="1">
        <v>1524.8599850000001</v>
      </c>
      <c r="F366" s="1">
        <v>1721.829956</v>
      </c>
      <c r="G366" s="1">
        <v>8.1999999999999993</v>
      </c>
      <c r="H366" s="1">
        <v>-4.0000000000000002E-4</v>
      </c>
      <c r="I366" s="1">
        <v>0</v>
      </c>
      <c r="J366" s="1">
        <v>2.0013999999999998</v>
      </c>
      <c r="K366" s="1">
        <v>-1.281E-3</v>
      </c>
      <c r="L366" s="1">
        <v>2.679E-3</v>
      </c>
      <c r="M366" s="1">
        <v>0.43839600000000001</v>
      </c>
      <c r="N366" s="1">
        <v>0.89877700000000005</v>
      </c>
      <c r="O366">
        <v>1</v>
      </c>
      <c r="P366">
        <v>0</v>
      </c>
      <c r="Q366">
        <v>1</v>
      </c>
      <c r="R366">
        <v>1</v>
      </c>
      <c r="S366">
        <v>1</v>
      </c>
      <c r="T366" s="1">
        <f>SQRT(POWER(Batmobile[[#This Row],[angvel_X]],2) + POWER(Batmobile[[#This Row],[angvel_Y]],2) + POWER(Batmobile[[#This Row],[angvel_Z]],2))</f>
        <v>2.0014000399720189</v>
      </c>
      <c r="U366" s="1">
        <f>DEGREES(ASIN(MAX(-1,MIN(1,2 * (Batmobile[[#This Row],[quart_W]]*Batmobile[[#This Row],[quart_Y]] - Batmobile[[#This Row],[quart_Z]]*Batmobile[[#This Row],[quart_X]])))))</f>
        <v>0.34027119076119977</v>
      </c>
      <c r="V36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37.996577590500962</v>
      </c>
      <c r="W36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89.997349502407403</v>
      </c>
      <c r="X366" s="1">
        <f>IF(Batmobile[[#This Row],[Yaw]]&gt;V365,(360-ABS(Batmobile[[#This Row],[Yaw]])-ABS(V365)),ABS(Batmobile[[#This Row],[Yaw]]-V365))</f>
        <v>0.95544483659600132</v>
      </c>
      <c r="Y366" s="1">
        <f>Batmobile[[#This Row],[Degree change]]+Y365</f>
        <v>291.15396648617195</v>
      </c>
    </row>
    <row r="367" spans="1:25">
      <c r="A367">
        <v>366</v>
      </c>
      <c r="B367" s="1">
        <v>98.809997999999993</v>
      </c>
      <c r="C367" s="1">
        <v>757.05999799999995</v>
      </c>
      <c r="D367" s="1">
        <v>18.649999999999999</v>
      </c>
      <c r="E367" s="1">
        <v>1495.929932</v>
      </c>
      <c r="F367" s="1">
        <v>1747.0200199999999</v>
      </c>
      <c r="G367" s="1">
        <v>8.1999999999999993</v>
      </c>
      <c r="H367" s="1">
        <v>-4.0000000000000002E-4</v>
      </c>
      <c r="I367" s="1">
        <v>0</v>
      </c>
      <c r="J367" s="1">
        <v>2.0013999999999998</v>
      </c>
      <c r="K367" s="1">
        <v>-1.3029999999999999E-3</v>
      </c>
      <c r="L367" s="1">
        <v>2.6679999999999998E-3</v>
      </c>
      <c r="M367" s="1">
        <v>0.44587300000000002</v>
      </c>
      <c r="N367" s="1">
        <v>0.89509099999999997</v>
      </c>
      <c r="O367">
        <v>1</v>
      </c>
      <c r="P367">
        <v>0</v>
      </c>
      <c r="Q367">
        <v>1</v>
      </c>
      <c r="R367">
        <v>1</v>
      </c>
      <c r="S367">
        <v>1</v>
      </c>
      <c r="T367" s="1">
        <f>SQRT(POWER(Batmobile[[#This Row],[angvel_X]],2) + POWER(Batmobile[[#This Row],[angvel_Y]],2) + POWER(Batmobile[[#This Row],[angvel_Z]],2))</f>
        <v>2.0014000399720189</v>
      </c>
      <c r="U367" s="1">
        <f>DEGREES(ASIN(MAX(-1,MIN(1,2 * (Batmobile[[#This Row],[quart_W]]*Batmobile[[#This Row],[quart_Y]] - Batmobile[[#This Row],[quart_Z]]*Batmobile[[#This Row],[quart_X]])))))</f>
        <v>0.34023296784352058</v>
      </c>
      <c r="V36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37.041336797705817</v>
      </c>
      <c r="W36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89.997331620777359</v>
      </c>
      <c r="X367" s="1">
        <f>IF(Batmobile[[#This Row],[Yaw]]&gt;V366,(360-ABS(Batmobile[[#This Row],[Yaw]])-ABS(V366)),ABS(Batmobile[[#This Row],[Yaw]]-V366))</f>
        <v>0.95524079279514496</v>
      </c>
      <c r="Y367" s="1">
        <f>Batmobile[[#This Row],[Degree change]]+Y366</f>
        <v>292.10920727896712</v>
      </c>
    </row>
    <row r="368" spans="1:25">
      <c r="A368">
        <v>367</v>
      </c>
      <c r="B368" s="1">
        <v>111.32</v>
      </c>
      <c r="C368" s="1">
        <v>771.669983</v>
      </c>
      <c r="D368" s="1">
        <v>18.649999999999999</v>
      </c>
      <c r="E368" s="1">
        <v>1466.589966</v>
      </c>
      <c r="F368" s="1">
        <v>1771.7299800000001</v>
      </c>
      <c r="G368" s="1">
        <v>8.1999999999999993</v>
      </c>
      <c r="H368" s="1">
        <v>-4.0000000000000002E-4</v>
      </c>
      <c r="I368" s="1">
        <v>0</v>
      </c>
      <c r="J368" s="1">
        <v>2.0013999999999998</v>
      </c>
      <c r="K368" s="1">
        <v>-1.3240000000000001E-3</v>
      </c>
      <c r="L368" s="1">
        <v>2.6570000000000001E-3</v>
      </c>
      <c r="M368" s="1">
        <v>0.453324</v>
      </c>
      <c r="N368" s="1">
        <v>0.89134100000000005</v>
      </c>
      <c r="O368">
        <v>1</v>
      </c>
      <c r="P368">
        <v>0</v>
      </c>
      <c r="Q368">
        <v>1</v>
      </c>
      <c r="R368">
        <v>1</v>
      </c>
      <c r="S368">
        <v>1</v>
      </c>
      <c r="T368" s="1">
        <f>SQRT(POWER(Batmobile[[#This Row],[angvel_X]],2) + POWER(Batmobile[[#This Row],[angvel_Y]],2) + POWER(Batmobile[[#This Row],[angvel_Z]],2))</f>
        <v>2.0014000399720189</v>
      </c>
      <c r="U368" s="1">
        <f>DEGREES(ASIN(MAX(-1,MIN(1,2 * (Batmobile[[#This Row],[quart_W]]*Batmobile[[#This Row],[quart_Y]] - Batmobile[[#This Row],[quart_Z]]*Batmobile[[#This Row],[quart_X]])))))</f>
        <v>0.34016635528359385</v>
      </c>
      <c r="V36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36.085432421085187</v>
      </c>
      <c r="W36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89.997210060729628</v>
      </c>
      <c r="X368" s="1">
        <f>IF(Batmobile[[#This Row],[Yaw]]&gt;V367,(360-ABS(Batmobile[[#This Row],[Yaw]])-ABS(V367)),ABS(Batmobile[[#This Row],[Yaw]]-V367))</f>
        <v>0.9559043766206301</v>
      </c>
      <c r="Y368" s="1">
        <f>Batmobile[[#This Row],[Degree change]]+Y367</f>
        <v>293.06511165558777</v>
      </c>
    </row>
    <row r="369" spans="1:25">
      <c r="A369">
        <v>368</v>
      </c>
      <c r="B369" s="1">
        <v>123.579994</v>
      </c>
      <c r="C369" s="1">
        <v>786.48999000000003</v>
      </c>
      <c r="D369" s="1">
        <v>18.649999999999999</v>
      </c>
      <c r="E369" s="1">
        <v>1436.839966</v>
      </c>
      <c r="F369" s="1">
        <v>1795.9399410000001</v>
      </c>
      <c r="G369" s="1">
        <v>8.1999999999999993</v>
      </c>
      <c r="H369" s="1">
        <v>-4.0000000000000002E-4</v>
      </c>
      <c r="I369" s="1">
        <v>0</v>
      </c>
      <c r="J369" s="1">
        <v>2.0013999999999998</v>
      </c>
      <c r="K369" s="1">
        <v>-1.346E-3</v>
      </c>
      <c r="L369" s="1">
        <v>2.6459999999999999E-3</v>
      </c>
      <c r="M369" s="1">
        <v>0.46074199999999998</v>
      </c>
      <c r="N369" s="1">
        <v>0.88752900000000001</v>
      </c>
      <c r="O369">
        <v>1</v>
      </c>
      <c r="P369">
        <v>0</v>
      </c>
      <c r="Q369">
        <v>1</v>
      </c>
      <c r="R369">
        <v>1</v>
      </c>
      <c r="S369">
        <v>1</v>
      </c>
      <c r="T369" s="1">
        <f>SQRT(POWER(Batmobile[[#This Row],[angvel_X]],2) + POWER(Batmobile[[#This Row],[angvel_Y]],2) + POWER(Batmobile[[#This Row],[angvel_Z]],2))</f>
        <v>2.0014000399720189</v>
      </c>
      <c r="U369" s="1">
        <f>DEGREES(ASIN(MAX(-1,MIN(1,2 * (Batmobile[[#This Row],[quart_W]]*Batmobile[[#This Row],[quart_Y]] - Batmobile[[#This Row],[quart_Z]]*Batmobile[[#This Row],[quart_X]])))))</f>
        <v>0.34017397037067759</v>
      </c>
      <c r="V36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35.129738606172673</v>
      </c>
      <c r="W36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89.997191391829077</v>
      </c>
      <c r="X369" s="1">
        <f>IF(Batmobile[[#This Row],[Yaw]]&gt;V368,(360-ABS(Batmobile[[#This Row],[Yaw]])-ABS(V368)),ABS(Batmobile[[#This Row],[Yaw]]-V368))</f>
        <v>0.95569381491251448</v>
      </c>
      <c r="Y369" s="1">
        <f>Batmobile[[#This Row],[Degree change]]+Y368</f>
        <v>294.02080547050031</v>
      </c>
    </row>
    <row r="370" spans="1:25">
      <c r="A370">
        <v>369</v>
      </c>
      <c r="B370" s="1">
        <v>135.58999600000001</v>
      </c>
      <c r="C370" s="1">
        <v>801.51000999999997</v>
      </c>
      <c r="D370" s="1">
        <v>18.649999999999999</v>
      </c>
      <c r="E370" s="1">
        <v>1406.6899410000001</v>
      </c>
      <c r="F370" s="1">
        <v>1819.6499020000001</v>
      </c>
      <c r="G370" s="1">
        <v>8.1999999999999993</v>
      </c>
      <c r="H370" s="1">
        <v>-4.0000000000000002E-4</v>
      </c>
      <c r="I370" s="1">
        <v>0</v>
      </c>
      <c r="J370" s="1">
        <v>2.0013999999999998</v>
      </c>
      <c r="K370" s="1">
        <v>-1.3680000000000001E-3</v>
      </c>
      <c r="L370" s="1">
        <v>2.6350000000000002E-3</v>
      </c>
      <c r="M370" s="1">
        <v>0.46812700000000002</v>
      </c>
      <c r="N370" s="1">
        <v>0.883656</v>
      </c>
      <c r="O370">
        <v>1</v>
      </c>
      <c r="P370">
        <v>0</v>
      </c>
      <c r="Q370">
        <v>1</v>
      </c>
      <c r="R370">
        <v>1</v>
      </c>
      <c r="S370">
        <v>1</v>
      </c>
      <c r="T370" s="1">
        <f>SQRT(POWER(Batmobile[[#This Row],[angvel_X]],2) + POWER(Batmobile[[#This Row],[angvel_Y]],2) + POWER(Batmobile[[#This Row],[angvel_Z]],2))</f>
        <v>2.0014000399720189</v>
      </c>
      <c r="U370" s="1">
        <f>DEGREES(ASIN(MAX(-1,MIN(1,2 * (Batmobile[[#This Row],[quart_W]]*Batmobile[[#This Row],[quart_Y]] - Batmobile[[#This Row],[quart_Z]]*Batmobile[[#This Row],[quart_X]])))))</f>
        <v>0.34020500574965268</v>
      </c>
      <c r="V37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34.174161204193069</v>
      </c>
      <c r="W37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89.997172605463263</v>
      </c>
      <c r="X370" s="1">
        <f>IF(Batmobile[[#This Row],[Yaw]]&gt;V369,(360-ABS(Batmobile[[#This Row],[Yaw]])-ABS(V369)),ABS(Batmobile[[#This Row],[Yaw]]-V369))</f>
        <v>0.95557740197960328</v>
      </c>
      <c r="Y370" s="1">
        <f>Batmobile[[#This Row],[Degree change]]+Y369</f>
        <v>294.97638287247992</v>
      </c>
    </row>
    <row r="371" spans="1:25">
      <c r="A371">
        <v>370</v>
      </c>
      <c r="B371" s="1">
        <v>147.34999099999999</v>
      </c>
      <c r="C371" s="1">
        <v>816.72997999999995</v>
      </c>
      <c r="D371" s="1">
        <v>18.649999999999999</v>
      </c>
      <c r="E371" s="1">
        <v>1376.150024</v>
      </c>
      <c r="F371" s="1">
        <v>1842.8599850000001</v>
      </c>
      <c r="G371" s="1">
        <v>8.1999999999999993</v>
      </c>
      <c r="H371" s="1">
        <v>-4.0000000000000002E-4</v>
      </c>
      <c r="I371" s="1">
        <v>0</v>
      </c>
      <c r="J371" s="1">
        <v>2.0013999999999998</v>
      </c>
      <c r="K371" s="1">
        <v>-1.389E-3</v>
      </c>
      <c r="L371" s="1">
        <v>2.6250000000000002E-3</v>
      </c>
      <c r="M371" s="1">
        <v>0.47548000000000001</v>
      </c>
      <c r="N371" s="1">
        <v>0.87972099999999998</v>
      </c>
      <c r="O371">
        <v>1</v>
      </c>
      <c r="P371">
        <v>0</v>
      </c>
      <c r="Q371">
        <v>1</v>
      </c>
      <c r="R371">
        <v>1</v>
      </c>
      <c r="S371">
        <v>1</v>
      </c>
      <c r="T371" s="1">
        <f>SQRT(POWER(Batmobile[[#This Row],[angvel_X]],2) + POWER(Batmobile[[#This Row],[angvel_Y]],2) + POWER(Batmobile[[#This Row],[angvel_Z]],2))</f>
        <v>2.0014000399720189</v>
      </c>
      <c r="U371" s="1">
        <f>DEGREES(ASIN(MAX(-1,MIN(1,2 * (Batmobile[[#This Row],[quart_W]]*Batmobile[[#This Row],[quart_Y]] - Batmobile[[#This Row],[quart_Z]]*Batmobile[[#This Row],[quart_X]])))))</f>
        <v>0.34030562452770391</v>
      </c>
      <c r="V37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33.218518658624859</v>
      </c>
      <c r="W37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89.996997358158751</v>
      </c>
      <c r="X371" s="1">
        <f>IF(Batmobile[[#This Row],[Yaw]]&gt;V370,(360-ABS(Batmobile[[#This Row],[Yaw]])-ABS(V370)),ABS(Batmobile[[#This Row],[Yaw]]-V370))</f>
        <v>0.95564254556821027</v>
      </c>
      <c r="Y371" s="1">
        <f>Batmobile[[#This Row],[Degree change]]+Y370</f>
        <v>295.93202541804811</v>
      </c>
    </row>
    <row r="372" spans="1:25">
      <c r="A372">
        <v>371</v>
      </c>
      <c r="B372" s="1">
        <v>158.86000100000001</v>
      </c>
      <c r="C372" s="1">
        <v>832.13995399999999</v>
      </c>
      <c r="D372" s="1">
        <v>18.649999999999999</v>
      </c>
      <c r="E372" s="1">
        <v>1345.219971</v>
      </c>
      <c r="F372" s="1">
        <v>1865.549927</v>
      </c>
      <c r="G372" s="1">
        <v>8.1999999999999993</v>
      </c>
      <c r="H372" s="1">
        <v>-4.0000000000000002E-4</v>
      </c>
      <c r="I372" s="1">
        <v>0</v>
      </c>
      <c r="J372" s="1">
        <v>2.0013999999999998</v>
      </c>
      <c r="K372" s="1">
        <v>-1.4109999999999999E-3</v>
      </c>
      <c r="L372" s="1">
        <v>2.614E-3</v>
      </c>
      <c r="M372" s="1">
        <v>0.48280099999999998</v>
      </c>
      <c r="N372" s="1">
        <v>0.87572499999999998</v>
      </c>
      <c r="O372">
        <v>1</v>
      </c>
      <c r="P372">
        <v>0</v>
      </c>
      <c r="Q372">
        <v>1</v>
      </c>
      <c r="R372">
        <v>1</v>
      </c>
      <c r="S372">
        <v>1</v>
      </c>
      <c r="T372" s="1">
        <f>SQRT(POWER(Batmobile[[#This Row],[angvel_X]],2) + POWER(Batmobile[[#This Row],[angvel_Y]],2) + POWER(Batmobile[[#This Row],[angvel_Z]],2))</f>
        <v>2.0014000399720189</v>
      </c>
      <c r="U372" s="1">
        <f>DEGREES(ASIN(MAX(-1,MIN(1,2 * (Batmobile[[#This Row],[quart_W]]*Batmobile[[#This Row],[quart_Y]] - Batmobile[[#This Row],[quart_Z]]*Batmobile[[#This Row],[quart_X]])))))</f>
        <v>0.3403821748731356</v>
      </c>
      <c r="V37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32.262713685478694</v>
      </c>
      <c r="W37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89.996975435466098</v>
      </c>
      <c r="X372" s="1">
        <f>IF(Batmobile[[#This Row],[Yaw]]&gt;V371,(360-ABS(Batmobile[[#This Row],[Yaw]])-ABS(V371)),ABS(Batmobile[[#This Row],[Yaw]]-V371))</f>
        <v>0.95580497314616508</v>
      </c>
      <c r="Y372" s="1">
        <f>Batmobile[[#This Row],[Degree change]]+Y371</f>
        <v>296.88783039119426</v>
      </c>
    </row>
    <row r="373" spans="1:25">
      <c r="A373">
        <v>372</v>
      </c>
      <c r="B373" s="1">
        <v>170.11000100000001</v>
      </c>
      <c r="C373" s="1">
        <v>847.73999000000003</v>
      </c>
      <c r="D373" s="1">
        <v>18.649999999999999</v>
      </c>
      <c r="E373" s="1">
        <v>1313.919922</v>
      </c>
      <c r="F373" s="1">
        <v>1887.7299800000001</v>
      </c>
      <c r="G373" s="1">
        <v>8.1999999999999993</v>
      </c>
      <c r="H373" s="1">
        <v>-4.0000000000000002E-4</v>
      </c>
      <c r="I373" s="1">
        <v>0</v>
      </c>
      <c r="J373" s="1">
        <v>2.0013999999999998</v>
      </c>
      <c r="K373" s="1">
        <v>-1.4319999999999999E-3</v>
      </c>
      <c r="L373" s="1">
        <v>2.6029999999999998E-3</v>
      </c>
      <c r="M373" s="1">
        <v>0.490089</v>
      </c>
      <c r="N373" s="1">
        <v>0.87166699999999997</v>
      </c>
      <c r="O373">
        <v>1</v>
      </c>
      <c r="P373">
        <v>0</v>
      </c>
      <c r="Q373">
        <v>1</v>
      </c>
      <c r="R373">
        <v>1</v>
      </c>
      <c r="S373">
        <v>1</v>
      </c>
      <c r="T373" s="1">
        <f>SQRT(POWER(Batmobile[[#This Row],[angvel_X]],2) + POWER(Batmobile[[#This Row],[angvel_Y]],2) + POWER(Batmobile[[#This Row],[angvel_Z]],2))</f>
        <v>2.0014000399720189</v>
      </c>
      <c r="U373" s="1">
        <f>DEGREES(ASIN(MAX(-1,MIN(1,2 * (Batmobile[[#This Row],[quart_W]]*Batmobile[[#This Row],[quart_Y]] - Batmobile[[#This Row],[quart_Z]]*Batmobile[[#This Row],[quart_X]])))))</f>
        <v>0.34042563884345772</v>
      </c>
      <c r="V37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31.306853234205942</v>
      </c>
      <c r="W37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89.996851596002003</v>
      </c>
      <c r="X373" s="1">
        <f>IF(Batmobile[[#This Row],[Yaw]]&gt;V372,(360-ABS(Batmobile[[#This Row],[Yaw]])-ABS(V372)),ABS(Batmobile[[#This Row],[Yaw]]-V372))</f>
        <v>0.95586045127275199</v>
      </c>
      <c r="Y373" s="1">
        <f>Batmobile[[#This Row],[Degree change]]+Y372</f>
        <v>297.84369084246703</v>
      </c>
    </row>
    <row r="374" spans="1:25">
      <c r="A374">
        <v>373</v>
      </c>
      <c r="B374" s="1">
        <v>181.09999099999999</v>
      </c>
      <c r="C374" s="1">
        <v>863.52996800000005</v>
      </c>
      <c r="D374" s="1">
        <v>18.649999999999999</v>
      </c>
      <c r="E374" s="1">
        <v>1282.25</v>
      </c>
      <c r="F374" s="1">
        <v>1909.380005</v>
      </c>
      <c r="G374" s="1">
        <v>8.1999999999999993</v>
      </c>
      <c r="H374" s="1">
        <v>-4.0000000000000002E-4</v>
      </c>
      <c r="I374" s="1">
        <v>0</v>
      </c>
      <c r="J374" s="1">
        <v>2.0013999999999998</v>
      </c>
      <c r="K374" s="1">
        <v>-1.454E-3</v>
      </c>
      <c r="L374" s="1">
        <v>2.5920000000000001E-3</v>
      </c>
      <c r="M374" s="1">
        <v>0.49734</v>
      </c>
      <c r="N374" s="1">
        <v>0.86755099999999996</v>
      </c>
      <c r="O374">
        <v>1</v>
      </c>
      <c r="P374">
        <v>0</v>
      </c>
      <c r="Q374">
        <v>1</v>
      </c>
      <c r="R374">
        <v>1</v>
      </c>
      <c r="S374">
        <v>1</v>
      </c>
      <c r="T374" s="1">
        <f>SQRT(POWER(Batmobile[[#This Row],[angvel_X]],2) + POWER(Batmobile[[#This Row],[angvel_Y]],2) + POWER(Batmobile[[#This Row],[angvel_Z]],2))</f>
        <v>2.0014000399720189</v>
      </c>
      <c r="U374" s="1">
        <f>DEGREES(ASIN(MAX(-1,MIN(1,2 * (Batmobile[[#This Row],[quart_W]]*Batmobile[[#This Row],[quart_Y]] - Batmobile[[#This Row],[quart_Z]]*Batmobile[[#This Row],[quart_X]])))))</f>
        <v>0.34054801367392451</v>
      </c>
      <c r="V37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30.351347130055643</v>
      </c>
      <c r="W37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89.996827347616104</v>
      </c>
      <c r="X374" s="1">
        <f>IF(Batmobile[[#This Row],[Yaw]]&gt;V373,(360-ABS(Batmobile[[#This Row],[Yaw]])-ABS(V373)),ABS(Batmobile[[#This Row],[Yaw]]-V373))</f>
        <v>0.9555061041502988</v>
      </c>
      <c r="Y374" s="1">
        <f>Batmobile[[#This Row],[Degree change]]+Y373</f>
        <v>298.79919694661731</v>
      </c>
    </row>
    <row r="375" spans="1:25">
      <c r="A375">
        <v>374</v>
      </c>
      <c r="B375" s="1">
        <v>191.81999200000001</v>
      </c>
      <c r="C375" s="1">
        <v>879.5</v>
      </c>
      <c r="D375" s="1">
        <v>18.649999999999999</v>
      </c>
      <c r="E375" s="1">
        <v>1250.2299800000001</v>
      </c>
      <c r="F375" s="1">
        <v>1930.5</v>
      </c>
      <c r="G375" s="1">
        <v>8.1999999999999993</v>
      </c>
      <c r="H375" s="1">
        <v>-4.0000000000000002E-4</v>
      </c>
      <c r="I375" s="1">
        <v>0</v>
      </c>
      <c r="J375" s="1">
        <v>2.0013999999999998</v>
      </c>
      <c r="K375" s="1">
        <v>-1.475E-3</v>
      </c>
      <c r="L375" s="1">
        <v>2.581E-3</v>
      </c>
      <c r="M375" s="1">
        <v>0.50455799999999995</v>
      </c>
      <c r="N375" s="1">
        <v>0.86337200000000003</v>
      </c>
      <c r="O375">
        <v>1</v>
      </c>
      <c r="P375">
        <v>0</v>
      </c>
      <c r="Q375">
        <v>1</v>
      </c>
      <c r="R375">
        <v>1</v>
      </c>
      <c r="S375">
        <v>1</v>
      </c>
      <c r="T375" s="1">
        <f>SQRT(POWER(Batmobile[[#This Row],[angvel_X]],2) + POWER(Batmobile[[#This Row],[angvel_Y]],2) + POWER(Batmobile[[#This Row],[angvel_Z]],2))</f>
        <v>2.0014000399720189</v>
      </c>
      <c r="U375" s="1">
        <f>DEGREES(ASIN(MAX(-1,MIN(1,2 * (Batmobile[[#This Row],[quart_W]]*Batmobile[[#This Row],[quart_Y]] - Batmobile[[#This Row],[quart_Z]]*Batmobile[[#This Row],[quart_X]])))))</f>
        <v>0.34063529158506628</v>
      </c>
      <c r="V37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29.395682006635237</v>
      </c>
      <c r="W37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89.996700793641295</v>
      </c>
      <c r="X375" s="1">
        <f>IF(Batmobile[[#This Row],[Yaw]]&gt;V374,(360-ABS(Batmobile[[#This Row],[Yaw]])-ABS(V374)),ABS(Batmobile[[#This Row],[Yaw]]-V374))</f>
        <v>0.9556651234204061</v>
      </c>
      <c r="Y375" s="1">
        <f>Batmobile[[#This Row],[Degree change]]+Y374</f>
        <v>299.75486207003775</v>
      </c>
    </row>
    <row r="376" spans="1:25">
      <c r="A376">
        <v>375</v>
      </c>
      <c r="B376" s="1">
        <v>202.26998900000001</v>
      </c>
      <c r="C376" s="1">
        <v>895.64996299999996</v>
      </c>
      <c r="D376" s="1">
        <v>18.649999999999999</v>
      </c>
      <c r="E376" s="1">
        <v>1217.8599850000001</v>
      </c>
      <c r="F376" s="1">
        <v>1951.079956</v>
      </c>
      <c r="G376" s="1">
        <v>8.1999999999999993</v>
      </c>
      <c r="H376" s="1">
        <v>-4.0000000000000002E-4</v>
      </c>
      <c r="I376" s="1">
        <v>-1E-4</v>
      </c>
      <c r="J376" s="1">
        <v>2.0013999999999998</v>
      </c>
      <c r="K376" s="1">
        <v>-1.4970000000000001E-3</v>
      </c>
      <c r="L376" s="1">
        <v>2.5709999999999999E-3</v>
      </c>
      <c r="M376" s="1">
        <v>0.51173900000000005</v>
      </c>
      <c r="N376" s="1">
        <v>0.85913600000000001</v>
      </c>
      <c r="O376">
        <v>1</v>
      </c>
      <c r="P376">
        <v>0</v>
      </c>
      <c r="Q376">
        <v>1</v>
      </c>
      <c r="R376">
        <v>1</v>
      </c>
      <c r="S376">
        <v>1</v>
      </c>
      <c r="T376" s="1">
        <f>SQRT(POWER(Batmobile[[#This Row],[angvel_X]],2) + POWER(Batmobile[[#This Row],[angvel_Y]],2) + POWER(Batmobile[[#This Row],[angvel_Z]],2))</f>
        <v>2.0014000424702703</v>
      </c>
      <c r="U376" s="1">
        <f>DEGREES(ASIN(MAX(-1,MIN(1,2 * (Batmobile[[#This Row],[quart_W]]*Batmobile[[#This Row],[quart_Y]] - Batmobile[[#This Row],[quart_Z]]*Batmobile[[#This Row],[quart_X]])))))</f>
        <v>0.34090180841936868</v>
      </c>
      <c r="V37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28.440216161266775</v>
      </c>
      <c r="W37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89.99661325791503</v>
      </c>
      <c r="X376" s="1">
        <f>IF(Batmobile[[#This Row],[Yaw]]&gt;V375,(360-ABS(Batmobile[[#This Row],[Yaw]])-ABS(V375)),ABS(Batmobile[[#This Row],[Yaw]]-V375))</f>
        <v>0.95546584536846169</v>
      </c>
      <c r="Y376" s="1">
        <f>Batmobile[[#This Row],[Degree change]]+Y375</f>
        <v>300.7103279154062</v>
      </c>
    </row>
    <row r="377" spans="1:25">
      <c r="A377">
        <v>376</v>
      </c>
      <c r="B377" s="1">
        <v>212.449997</v>
      </c>
      <c r="C377" s="1">
        <v>911.96997099999999</v>
      </c>
      <c r="D377" s="1">
        <v>18.649999999999999</v>
      </c>
      <c r="E377" s="1">
        <v>1185.150024</v>
      </c>
      <c r="F377" s="1">
        <v>1971.119995</v>
      </c>
      <c r="G377" s="1">
        <v>8.1999999999999993</v>
      </c>
      <c r="H377" s="1">
        <v>-4.0000000000000002E-4</v>
      </c>
      <c r="I377" s="1">
        <v>-1E-4</v>
      </c>
      <c r="J377" s="1">
        <v>2.0013999999999998</v>
      </c>
      <c r="K377" s="1">
        <v>-1.519E-3</v>
      </c>
      <c r="L377" s="1">
        <v>2.5600000000000002E-3</v>
      </c>
      <c r="M377" s="1">
        <v>0.51888699999999999</v>
      </c>
      <c r="N377" s="1">
        <v>0.85483799999999999</v>
      </c>
      <c r="O377">
        <v>1</v>
      </c>
      <c r="P377">
        <v>0</v>
      </c>
      <c r="Q377">
        <v>1</v>
      </c>
      <c r="R377">
        <v>1</v>
      </c>
      <c r="S377">
        <v>1</v>
      </c>
      <c r="T377" s="1">
        <f>SQRT(POWER(Batmobile[[#This Row],[angvel_X]],2) + POWER(Batmobile[[#This Row],[angvel_Y]],2) + POWER(Batmobile[[#This Row],[angvel_Z]],2))</f>
        <v>2.0014000424702703</v>
      </c>
      <c r="U377" s="1">
        <f>DEGREES(ASIN(MAX(-1,MIN(1,2 * (Batmobile[[#This Row],[quart_W]]*Batmobile[[#This Row],[quart_Y]] - Batmobile[[#This Row],[quart_Z]]*Batmobile[[#This Row],[quart_X]])))))</f>
        <v>0.3410923424914189</v>
      </c>
      <c r="V37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27.48442577848045</v>
      </c>
      <c r="W37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89.996579175307915</v>
      </c>
      <c r="X377" s="1">
        <f>IF(Batmobile[[#This Row],[Yaw]]&gt;V376,(360-ABS(Batmobile[[#This Row],[Yaw]])-ABS(V376)),ABS(Batmobile[[#This Row],[Yaw]]-V376))</f>
        <v>0.95579038278632567</v>
      </c>
      <c r="Y377" s="1">
        <f>Batmobile[[#This Row],[Degree change]]+Y376</f>
        <v>301.66611829819254</v>
      </c>
    </row>
    <row r="378" spans="1:25">
      <c r="A378">
        <v>377</v>
      </c>
      <c r="B378" s="1">
        <v>222.36000100000001</v>
      </c>
      <c r="C378" s="1">
        <v>928.45996100000002</v>
      </c>
      <c r="D378" s="1">
        <v>18.649999999999999</v>
      </c>
      <c r="E378" s="1">
        <v>1152.1099850000001</v>
      </c>
      <c r="F378" s="1">
        <v>1990.619995</v>
      </c>
      <c r="G378" s="1">
        <v>8.1999999999999993</v>
      </c>
      <c r="H378" s="1">
        <v>-4.0000000000000002E-4</v>
      </c>
      <c r="I378" s="1">
        <v>-1E-4</v>
      </c>
      <c r="J378" s="1">
        <v>2.0013999999999998</v>
      </c>
      <c r="K378" s="1">
        <v>-1.5399999999999999E-3</v>
      </c>
      <c r="L378" s="1">
        <v>2.5490000000000001E-3</v>
      </c>
      <c r="M378" s="1">
        <v>0.52599700000000005</v>
      </c>
      <c r="N378" s="1">
        <v>0.85048100000000004</v>
      </c>
      <c r="O378">
        <v>1</v>
      </c>
      <c r="P378">
        <v>0</v>
      </c>
      <c r="Q378">
        <v>1</v>
      </c>
      <c r="R378">
        <v>1</v>
      </c>
      <c r="S378">
        <v>1</v>
      </c>
      <c r="T378" s="1">
        <f>SQRT(POWER(Batmobile[[#This Row],[angvel_X]],2) + POWER(Batmobile[[#This Row],[angvel_Y]],2) + POWER(Batmobile[[#This Row],[angvel_Z]],2))</f>
        <v>2.0014000424702703</v>
      </c>
      <c r="U378" s="1">
        <f>DEGREES(ASIN(MAX(-1,MIN(1,2 * (Batmobile[[#This Row],[quart_W]]*Batmobile[[#This Row],[quart_Y]] - Batmobile[[#This Row],[quart_Z]]*Batmobile[[#This Row],[quart_X]])))))</f>
        <v>0.34124553303676874</v>
      </c>
      <c r="V37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26.528910599783565</v>
      </c>
      <c r="W37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89.996444663576582</v>
      </c>
      <c r="X378" s="1">
        <f>IF(Batmobile[[#This Row],[Yaw]]&gt;V377,(360-ABS(Batmobile[[#This Row],[Yaw]])-ABS(V377)),ABS(Batmobile[[#This Row],[Yaw]]-V377))</f>
        <v>0.95551517869688496</v>
      </c>
      <c r="Y378" s="1">
        <f>Batmobile[[#This Row],[Degree change]]+Y377</f>
        <v>302.62163347688943</v>
      </c>
    </row>
    <row r="379" spans="1:25">
      <c r="A379">
        <v>378</v>
      </c>
      <c r="B379" s="1">
        <v>231.98999000000001</v>
      </c>
      <c r="C379" s="1">
        <v>945.10998500000005</v>
      </c>
      <c r="D379" s="1">
        <v>18.649999999999999</v>
      </c>
      <c r="E379" s="1">
        <v>1118.73999</v>
      </c>
      <c r="F379" s="1">
        <v>2009.559937</v>
      </c>
      <c r="G379" s="1">
        <v>8.1999999999999993</v>
      </c>
      <c r="H379" s="1">
        <v>-4.0000000000000002E-4</v>
      </c>
      <c r="I379" s="1">
        <v>-2.0000000000000001E-4</v>
      </c>
      <c r="J379" s="1">
        <v>2.0013999999999998</v>
      </c>
      <c r="K379" s="1">
        <v>-1.562E-3</v>
      </c>
      <c r="L379" s="1">
        <v>2.5379999999999999E-3</v>
      </c>
      <c r="M379" s="1">
        <v>0.53307000000000004</v>
      </c>
      <c r="N379" s="1">
        <v>0.84606599999999998</v>
      </c>
      <c r="O379">
        <v>1</v>
      </c>
      <c r="P379">
        <v>0</v>
      </c>
      <c r="Q379">
        <v>1</v>
      </c>
      <c r="R379">
        <v>1</v>
      </c>
      <c r="S379">
        <v>1</v>
      </c>
      <c r="T379" s="1">
        <f>SQRT(POWER(Batmobile[[#This Row],[angvel_X]],2) + POWER(Batmobile[[#This Row],[angvel_Y]],2) + POWER(Batmobile[[#This Row],[angvel_Z]],2))</f>
        <v>2.0014000499650235</v>
      </c>
      <c r="U379" s="1">
        <f>DEGREES(ASIN(MAX(-1,MIN(1,2 * (Batmobile[[#This Row],[quart_W]]*Batmobile[[#This Row],[quart_Y]] - Batmobile[[#This Row],[quart_Z]]*Batmobile[[#This Row],[quart_X]])))))</f>
        <v>0.34148152696733597</v>
      </c>
      <c r="V37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25.573429824476911</v>
      </c>
      <c r="W37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89.99640444629442</v>
      </c>
      <c r="X379" s="1">
        <f>IF(Batmobile[[#This Row],[Yaw]]&gt;V378,(360-ABS(Batmobile[[#This Row],[Yaw]])-ABS(V378)),ABS(Batmobile[[#This Row],[Yaw]]-V378))</f>
        <v>0.9554807753066541</v>
      </c>
      <c r="Y379" s="1">
        <f>Batmobile[[#This Row],[Degree change]]+Y378</f>
        <v>303.57711425219611</v>
      </c>
    </row>
    <row r="380" spans="1:25">
      <c r="A380">
        <v>379</v>
      </c>
      <c r="B380" s="1">
        <v>241.33999600000001</v>
      </c>
      <c r="C380" s="1">
        <v>961.919983</v>
      </c>
      <c r="D380" s="1">
        <v>18.649999999999999</v>
      </c>
      <c r="E380" s="1">
        <v>1085.0699460000001</v>
      </c>
      <c r="F380" s="1">
        <v>2027.9399410000001</v>
      </c>
      <c r="G380" s="1">
        <v>8.1999999999999993</v>
      </c>
      <c r="H380" s="1">
        <v>-4.0000000000000002E-4</v>
      </c>
      <c r="I380" s="1">
        <v>-2.0000000000000001E-4</v>
      </c>
      <c r="J380" s="1">
        <v>2.0013999999999998</v>
      </c>
      <c r="K380" s="1">
        <v>-1.583E-3</v>
      </c>
      <c r="L380" s="1">
        <v>2.5270000000000002E-3</v>
      </c>
      <c r="M380" s="1">
        <v>0.54010499999999995</v>
      </c>
      <c r="N380" s="1">
        <v>0.84159200000000001</v>
      </c>
      <c r="O380">
        <v>1</v>
      </c>
      <c r="P380">
        <v>0</v>
      </c>
      <c r="Q380">
        <v>1</v>
      </c>
      <c r="R380">
        <v>1</v>
      </c>
      <c r="S380">
        <v>1</v>
      </c>
      <c r="T380" s="1">
        <f>SQRT(POWER(Batmobile[[#This Row],[angvel_X]],2) + POWER(Batmobile[[#This Row],[angvel_Y]],2) + POWER(Batmobile[[#This Row],[angvel_Z]],2))</f>
        <v>2.0014000499650235</v>
      </c>
      <c r="U380" s="1">
        <f>DEGREES(ASIN(MAX(-1,MIN(1,2 * (Batmobile[[#This Row],[quart_W]]*Batmobile[[#This Row],[quart_Y]] - Batmobile[[#This Row],[quart_Z]]*Batmobile[[#This Row],[quart_X]])))))</f>
        <v>0.34167843898667483</v>
      </c>
      <c r="V38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24.618097271718284</v>
      </c>
      <c r="W38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89.996263652975188</v>
      </c>
      <c r="X380" s="1">
        <f>IF(Batmobile[[#This Row],[Yaw]]&gt;V379,(360-ABS(Batmobile[[#This Row],[Yaw]])-ABS(V379)),ABS(Batmobile[[#This Row],[Yaw]]-V379))</f>
        <v>0.95533255275862672</v>
      </c>
      <c r="Y380" s="1">
        <f>Batmobile[[#This Row],[Degree change]]+Y379</f>
        <v>304.53244680495476</v>
      </c>
    </row>
    <row r="381" spans="1:25">
      <c r="A381">
        <v>380</v>
      </c>
      <c r="B381" s="1">
        <v>250.409988</v>
      </c>
      <c r="C381" s="1">
        <v>978.88000499999998</v>
      </c>
      <c r="D381" s="1">
        <v>18.649999999999999</v>
      </c>
      <c r="E381" s="1">
        <v>1051.099976</v>
      </c>
      <c r="F381" s="1">
        <v>2045.75</v>
      </c>
      <c r="G381" s="1">
        <v>8.1999999999999993</v>
      </c>
      <c r="H381" s="1">
        <v>-2.9999999999999997E-4</v>
      </c>
      <c r="I381" s="1">
        <v>-2.9999999999999997E-4</v>
      </c>
      <c r="J381" s="1">
        <v>2.0013999999999998</v>
      </c>
      <c r="K381" s="1">
        <v>-1.6050000000000001E-3</v>
      </c>
      <c r="L381" s="1">
        <v>2.5170000000000001E-3</v>
      </c>
      <c r="M381" s="1">
        <v>0.54710199999999998</v>
      </c>
      <c r="N381" s="1">
        <v>0.83706100000000006</v>
      </c>
      <c r="O381">
        <v>1</v>
      </c>
      <c r="P381">
        <v>0</v>
      </c>
      <c r="Q381">
        <v>1</v>
      </c>
      <c r="R381">
        <v>1</v>
      </c>
      <c r="S381">
        <v>1</v>
      </c>
      <c r="T381" s="1">
        <f>SQRT(POWER(Batmobile[[#This Row],[angvel_X]],2) + POWER(Batmobile[[#This Row],[angvel_Y]],2) + POWER(Batmobile[[#This Row],[angvel_Z]],2))</f>
        <v>2.0014000449685212</v>
      </c>
      <c r="U381" s="1">
        <f>DEGREES(ASIN(MAX(-1,MIN(1,2 * (Batmobile[[#This Row],[quart_W]]*Batmobile[[#This Row],[quart_Y]] - Batmobile[[#This Row],[quart_Z]]*Batmobile[[#This Row],[quart_X]])))))</f>
        <v>0.34205568661467017</v>
      </c>
      <c r="V38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23.662796716591679</v>
      </c>
      <c r="W38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89.996152768621982</v>
      </c>
      <c r="X381" s="1">
        <f>IF(Batmobile[[#This Row],[Yaw]]&gt;V380,(360-ABS(Batmobile[[#This Row],[Yaw]])-ABS(V380)),ABS(Batmobile[[#This Row],[Yaw]]-V380))</f>
        <v>0.95530055512660539</v>
      </c>
      <c r="Y381" s="1">
        <f>Batmobile[[#This Row],[Degree change]]+Y380</f>
        <v>305.48774736008136</v>
      </c>
    </row>
    <row r="382" spans="1:25">
      <c r="A382">
        <v>381</v>
      </c>
      <c r="B382" s="1">
        <v>259.19998199999998</v>
      </c>
      <c r="C382" s="1">
        <v>995.98999000000003</v>
      </c>
      <c r="D382" s="1">
        <v>18.649999999999999</v>
      </c>
      <c r="E382" s="1">
        <v>1016.839966</v>
      </c>
      <c r="F382" s="1">
        <v>2062.98999</v>
      </c>
      <c r="G382" s="1">
        <v>8.1999999999999993</v>
      </c>
      <c r="H382" s="1">
        <v>-2.9999999999999997E-4</v>
      </c>
      <c r="I382" s="1">
        <v>-2.9999999999999997E-4</v>
      </c>
      <c r="J382" s="1">
        <v>2.0013999999999998</v>
      </c>
      <c r="K382" s="1">
        <v>-1.627E-3</v>
      </c>
      <c r="L382" s="1">
        <v>2.5000000000000001E-3</v>
      </c>
      <c r="M382" s="1">
        <v>0.55406100000000003</v>
      </c>
      <c r="N382" s="1">
        <v>0.83247099999999996</v>
      </c>
      <c r="O382">
        <v>1</v>
      </c>
      <c r="P382">
        <v>0</v>
      </c>
      <c r="Q382">
        <v>1</v>
      </c>
      <c r="R382">
        <v>1</v>
      </c>
      <c r="S382">
        <v>1</v>
      </c>
      <c r="T382" s="1">
        <f>SQRT(POWER(Batmobile[[#This Row],[angvel_X]],2) + POWER(Batmobile[[#This Row],[angvel_Y]],2) + POWER(Batmobile[[#This Row],[angvel_Z]],2))</f>
        <v>2.0014000449685212</v>
      </c>
      <c r="U382" s="1">
        <f>DEGREES(ASIN(MAX(-1,MIN(1,2 * (Batmobile[[#This Row],[quart_W]]*Batmobile[[#This Row],[quart_Y]] - Batmobile[[#This Row],[quart_Z]]*Batmobile[[#This Row],[quart_X]])))))</f>
        <v>0.34178679273338863</v>
      </c>
      <c r="V38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22.707517276357525</v>
      </c>
      <c r="W38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89.996479434511926</v>
      </c>
      <c r="X382" s="1">
        <f>IF(Batmobile[[#This Row],[Yaw]]&gt;V381,(360-ABS(Batmobile[[#This Row],[Yaw]])-ABS(V381)),ABS(Batmobile[[#This Row],[Yaw]]-V381))</f>
        <v>0.95527944023415401</v>
      </c>
      <c r="Y382" s="1">
        <f>Batmobile[[#This Row],[Degree change]]+Y381</f>
        <v>306.44302680031552</v>
      </c>
    </row>
    <row r="383" spans="1:25">
      <c r="A383">
        <v>382</v>
      </c>
      <c r="B383" s="1">
        <v>267.69998199999998</v>
      </c>
      <c r="C383" s="1">
        <v>1013.25</v>
      </c>
      <c r="D383" s="1">
        <v>18.649999999999999</v>
      </c>
      <c r="E383" s="1">
        <v>982.29998799999998</v>
      </c>
      <c r="F383" s="1">
        <v>2079.6599120000001</v>
      </c>
      <c r="G383" s="1">
        <v>8.1999999999999993</v>
      </c>
      <c r="H383" s="1">
        <v>-2.9999999999999997E-4</v>
      </c>
      <c r="I383" s="1">
        <v>-2.9999999999999997E-4</v>
      </c>
      <c r="J383" s="1">
        <v>2.0013999999999998</v>
      </c>
      <c r="K383" s="1">
        <v>-1.6479999999999999E-3</v>
      </c>
      <c r="L383" s="1">
        <v>2.4840000000000001E-3</v>
      </c>
      <c r="M383" s="1">
        <v>0.56098300000000001</v>
      </c>
      <c r="N383" s="1">
        <v>0.82782199999999995</v>
      </c>
      <c r="O383">
        <v>1</v>
      </c>
      <c r="P383">
        <v>0</v>
      </c>
      <c r="Q383">
        <v>1</v>
      </c>
      <c r="R383">
        <v>1</v>
      </c>
      <c r="S383">
        <v>1</v>
      </c>
      <c r="T383" s="1">
        <f>SQRT(POWER(Batmobile[[#This Row],[angvel_X]],2) + POWER(Batmobile[[#This Row],[angvel_Y]],2) + POWER(Batmobile[[#This Row],[angvel_Z]],2))</f>
        <v>2.0014000449685212</v>
      </c>
      <c r="U383" s="1">
        <f>DEGREES(ASIN(MAX(-1,MIN(1,2 * (Batmobile[[#This Row],[quart_W]]*Batmobile[[#This Row],[quart_Y]] - Batmobile[[#This Row],[quart_Z]]*Batmobile[[#This Row],[quart_X]])))))</f>
        <v>0.34157766915991872</v>
      </c>
      <c r="V38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21.752031825891272</v>
      </c>
      <c r="W38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89.996650301317388</v>
      </c>
      <c r="X383" s="1">
        <f>IF(Batmobile[[#This Row],[Yaw]]&gt;V382,(360-ABS(Batmobile[[#This Row],[Yaw]])-ABS(V382)),ABS(Batmobile[[#This Row],[Yaw]]-V382))</f>
        <v>0.95548545046625222</v>
      </c>
      <c r="Y383" s="1">
        <f>Batmobile[[#This Row],[Degree change]]+Y382</f>
        <v>307.39851225078178</v>
      </c>
    </row>
    <row r="384" spans="1:25">
      <c r="A384">
        <v>383</v>
      </c>
      <c r="B384" s="1">
        <v>275.91000400000001</v>
      </c>
      <c r="C384" s="1">
        <v>1030.6400149999999</v>
      </c>
      <c r="D384" s="1">
        <v>18.649999999999999</v>
      </c>
      <c r="E384" s="1">
        <v>947.47997999999995</v>
      </c>
      <c r="F384" s="1">
        <v>2095.75</v>
      </c>
      <c r="G384" s="1">
        <v>8.1999999999999993</v>
      </c>
      <c r="H384" s="1">
        <v>-2.9999999999999997E-4</v>
      </c>
      <c r="I384" s="1">
        <v>-2.9999999999999997E-4</v>
      </c>
      <c r="J384" s="1">
        <v>2.0013999999999998</v>
      </c>
      <c r="K384" s="1">
        <v>-1.67E-3</v>
      </c>
      <c r="L384" s="1">
        <v>2.4680000000000001E-3</v>
      </c>
      <c r="M384" s="1">
        <v>0.56786700000000001</v>
      </c>
      <c r="N384" s="1">
        <v>0.82311500000000004</v>
      </c>
      <c r="O384">
        <v>1</v>
      </c>
      <c r="P384">
        <v>0</v>
      </c>
      <c r="Q384">
        <v>1</v>
      </c>
      <c r="R384">
        <v>1</v>
      </c>
      <c r="S384">
        <v>1</v>
      </c>
      <c r="T384" s="1">
        <f>SQRT(POWER(Batmobile[[#This Row],[angvel_X]],2) + POWER(Batmobile[[#This Row],[angvel_Y]],2) + POWER(Batmobile[[#This Row],[angvel_Z]],2))</f>
        <v>2.0014000449685212</v>
      </c>
      <c r="U384" s="1">
        <f>DEGREES(ASIN(MAX(-1,MIN(1,2 * (Batmobile[[#This Row],[quart_W]]*Batmobile[[#This Row],[quart_Y]] - Batmobile[[#This Row],[quart_Z]]*Batmobile[[#This Row],[quart_X]])))))</f>
        <v>0.34146031133850191</v>
      </c>
      <c r="V38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20.796400793494904</v>
      </c>
      <c r="W38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89.996918153571315</v>
      </c>
      <c r="X384" s="1">
        <f>IF(Batmobile[[#This Row],[Yaw]]&gt;V383,(360-ABS(Batmobile[[#This Row],[Yaw]])-ABS(V383)),ABS(Batmobile[[#This Row],[Yaw]]-V383))</f>
        <v>0.9556310323963686</v>
      </c>
      <c r="Y384" s="1">
        <f>Batmobile[[#This Row],[Degree change]]+Y383</f>
        <v>308.35414328317813</v>
      </c>
    </row>
    <row r="385" spans="1:25">
      <c r="A385">
        <v>384</v>
      </c>
      <c r="B385" s="1">
        <v>283.82998700000002</v>
      </c>
      <c r="C385" s="1">
        <v>1048.169922</v>
      </c>
      <c r="D385" s="1">
        <v>18.649999999999999</v>
      </c>
      <c r="E385" s="1">
        <v>912.39996299999996</v>
      </c>
      <c r="F385" s="1">
        <v>2111.26001</v>
      </c>
      <c r="G385" s="1">
        <v>8.1999999999999993</v>
      </c>
      <c r="H385" s="1">
        <v>-2.9999999999999997E-4</v>
      </c>
      <c r="I385" s="1">
        <v>-2.9999999999999997E-4</v>
      </c>
      <c r="J385" s="1">
        <v>2.0013999999999998</v>
      </c>
      <c r="K385" s="1">
        <v>-1.691E-3</v>
      </c>
      <c r="L385" s="1">
        <v>2.4520000000000002E-3</v>
      </c>
      <c r="M385" s="1">
        <v>0.57471300000000003</v>
      </c>
      <c r="N385" s="1">
        <v>0.81835000000000002</v>
      </c>
      <c r="O385">
        <v>1</v>
      </c>
      <c r="P385">
        <v>0</v>
      </c>
      <c r="Q385">
        <v>1</v>
      </c>
      <c r="R385">
        <v>1</v>
      </c>
      <c r="S385">
        <v>1</v>
      </c>
      <c r="T385" s="1">
        <f>SQRT(POWER(Batmobile[[#This Row],[angvel_X]],2) + POWER(Batmobile[[#This Row],[angvel_Y]],2) + POWER(Batmobile[[#This Row],[angvel_Z]],2))</f>
        <v>2.0014000449685212</v>
      </c>
      <c r="U385" s="1">
        <f>DEGREES(ASIN(MAX(-1,MIN(1,2 * (Batmobile[[#This Row],[quart_W]]*Batmobile[[#This Row],[quart_Y]] - Batmobile[[#This Row],[quart_Z]]*Batmobile[[#This Row],[quart_X]])))))</f>
        <v>0.34130540062531911</v>
      </c>
      <c r="V38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19.840554026045076</v>
      </c>
      <c r="W38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89.997093170122696</v>
      </c>
      <c r="X385" s="1">
        <f>IF(Batmobile[[#This Row],[Yaw]]&gt;V384,(360-ABS(Batmobile[[#This Row],[Yaw]])-ABS(V384)),ABS(Batmobile[[#This Row],[Yaw]]-V384))</f>
        <v>0.95584676744982744</v>
      </c>
      <c r="Y385" s="1">
        <f>Batmobile[[#This Row],[Degree change]]+Y384</f>
        <v>309.30999005062796</v>
      </c>
    </row>
    <row r="386" spans="1:25">
      <c r="A386">
        <v>385</v>
      </c>
      <c r="B386" s="1">
        <v>291.459991</v>
      </c>
      <c r="C386" s="1">
        <v>1065.829956</v>
      </c>
      <c r="D386" s="1">
        <v>18.649999999999999</v>
      </c>
      <c r="E386" s="1">
        <v>877.05999799999995</v>
      </c>
      <c r="F386" s="1">
        <v>2126.1899410000001</v>
      </c>
      <c r="G386" s="1">
        <v>8.1999999999999993</v>
      </c>
      <c r="H386" s="1">
        <v>-2.9999999999999997E-4</v>
      </c>
      <c r="I386" s="1">
        <v>-2.9999999999999997E-4</v>
      </c>
      <c r="J386" s="1">
        <v>2.0013999999999998</v>
      </c>
      <c r="K386" s="1">
        <v>-1.7129999999999999E-3</v>
      </c>
      <c r="L386" s="1">
        <v>2.4359999999999998E-3</v>
      </c>
      <c r="M386" s="1">
        <v>0.581515</v>
      </c>
      <c r="N386" s="1">
        <v>0.81352999999999998</v>
      </c>
      <c r="O386">
        <v>1</v>
      </c>
      <c r="P386">
        <v>0</v>
      </c>
      <c r="Q386">
        <v>1</v>
      </c>
      <c r="R386">
        <v>1</v>
      </c>
      <c r="S386">
        <v>1</v>
      </c>
      <c r="T386" s="1">
        <f>SQRT(POWER(Batmobile[[#This Row],[angvel_X]],2) + POWER(Batmobile[[#This Row],[angvel_Y]],2) + POWER(Batmobile[[#This Row],[angvel_Z]],2))</f>
        <v>2.0014000449685212</v>
      </c>
      <c r="U386" s="1">
        <f>DEGREES(ASIN(MAX(-1,MIN(1,2 * (Batmobile[[#This Row],[quart_W]]*Batmobile[[#This Row],[quart_Y]] - Batmobile[[#This Row],[quart_Z]]*Batmobile[[#This Row],[quart_X]])))))</f>
        <v>0.34124356500642905</v>
      </c>
      <c r="V38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18.885293189076194</v>
      </c>
      <c r="W38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89.997365075065176</v>
      </c>
      <c r="X386" s="1">
        <f>IF(Batmobile[[#This Row],[Yaw]]&gt;V385,(360-ABS(Batmobile[[#This Row],[Yaw]])-ABS(V385)),ABS(Batmobile[[#This Row],[Yaw]]-V385))</f>
        <v>0.95526083696888264</v>
      </c>
      <c r="Y386" s="1">
        <f>Batmobile[[#This Row],[Degree change]]+Y385</f>
        <v>310.26525088759684</v>
      </c>
    </row>
    <row r="387" spans="1:25">
      <c r="A387">
        <v>386</v>
      </c>
      <c r="B387" s="1">
        <v>298.790009</v>
      </c>
      <c r="C387" s="1">
        <v>1083.6099850000001</v>
      </c>
      <c r="D387" s="1">
        <v>18.649999999999999</v>
      </c>
      <c r="E387" s="1">
        <v>841.47997999999995</v>
      </c>
      <c r="F387" s="1">
        <v>2140.5200199999999</v>
      </c>
      <c r="G387" s="1">
        <v>8.1999999999999993</v>
      </c>
      <c r="H387" s="1">
        <v>-2.9999999999999997E-4</v>
      </c>
      <c r="I387" s="1">
        <v>-2.9999999999999997E-4</v>
      </c>
      <c r="J387" s="1">
        <v>2.0013999999999998</v>
      </c>
      <c r="K387" s="1">
        <v>-1.7340000000000001E-3</v>
      </c>
      <c r="L387" s="1">
        <v>2.4199999999999998E-3</v>
      </c>
      <c r="M387" s="1">
        <v>0.58828000000000003</v>
      </c>
      <c r="N387" s="1">
        <v>0.80865100000000001</v>
      </c>
      <c r="O387">
        <v>1</v>
      </c>
      <c r="P387">
        <v>0</v>
      </c>
      <c r="Q387">
        <v>1</v>
      </c>
      <c r="R387">
        <v>1</v>
      </c>
      <c r="S387">
        <v>1</v>
      </c>
      <c r="T387" s="1">
        <f>SQRT(POWER(Batmobile[[#This Row],[angvel_X]],2) + POWER(Batmobile[[#This Row],[angvel_Y]],2) + POWER(Batmobile[[#This Row],[angvel_Z]],2))</f>
        <v>2.0014000449685212</v>
      </c>
      <c r="U387" s="1">
        <f>DEGREES(ASIN(MAX(-1,MIN(1,2 * (Batmobile[[#This Row],[quart_W]]*Batmobile[[#This Row],[quart_Y]] - Batmobile[[#This Row],[quart_Z]]*Batmobile[[#This Row],[quart_X]])))))</f>
        <v>0.3411425696640451</v>
      </c>
      <c r="V38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17.929547325542952</v>
      </c>
      <c r="W38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89.997543484020127</v>
      </c>
      <c r="X387" s="1">
        <f>IF(Batmobile[[#This Row],[Yaw]]&gt;V386,(360-ABS(Batmobile[[#This Row],[Yaw]])-ABS(V386)),ABS(Batmobile[[#This Row],[Yaw]]-V386))</f>
        <v>0.95574586353324165</v>
      </c>
      <c r="Y387" s="1">
        <f>Batmobile[[#This Row],[Degree change]]+Y386</f>
        <v>311.22099675113009</v>
      </c>
    </row>
    <row r="388" spans="1:25">
      <c r="A388">
        <v>387</v>
      </c>
      <c r="B388" s="1">
        <v>305.82000699999998</v>
      </c>
      <c r="C388" s="1">
        <v>1101.51001</v>
      </c>
      <c r="D388" s="1">
        <v>18.649999999999999</v>
      </c>
      <c r="E388" s="1">
        <v>805.65997300000004</v>
      </c>
      <c r="F388" s="1">
        <v>2154.25</v>
      </c>
      <c r="G388" s="1">
        <v>8.1999999999999993</v>
      </c>
      <c r="H388" s="1">
        <v>-2.9999999999999997E-4</v>
      </c>
      <c r="I388" s="1">
        <v>-2.9999999999999997E-4</v>
      </c>
      <c r="J388" s="1">
        <v>2.0013999999999998</v>
      </c>
      <c r="K388" s="1">
        <v>-1.756E-3</v>
      </c>
      <c r="L388" s="1">
        <v>2.4030000000000002E-3</v>
      </c>
      <c r="M388" s="1">
        <v>0.59500200000000003</v>
      </c>
      <c r="N388" s="1">
        <v>0.80371800000000004</v>
      </c>
      <c r="O388">
        <v>1</v>
      </c>
      <c r="P388">
        <v>0</v>
      </c>
      <c r="Q388">
        <v>1</v>
      </c>
      <c r="R388">
        <v>1</v>
      </c>
      <c r="S388">
        <v>1</v>
      </c>
      <c r="T388" s="1">
        <f>SQRT(POWER(Batmobile[[#This Row],[angvel_X]],2) + POWER(Batmobile[[#This Row],[angvel_Y]],2) + POWER(Batmobile[[#This Row],[angvel_Z]],2))</f>
        <v>2.0014000449685212</v>
      </c>
      <c r="U388" s="1">
        <f>DEGREES(ASIN(MAX(-1,MIN(1,2 * (Batmobile[[#This Row],[quart_W]]*Batmobile[[#This Row],[quart_Y]] - Batmobile[[#This Row],[quart_Z]]*Batmobile[[#This Row],[quart_X]])))))</f>
        <v>0.34104458366496321</v>
      </c>
      <c r="V38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16.974082728186723</v>
      </c>
      <c r="W38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89.997884487980798</v>
      </c>
      <c r="X388" s="1">
        <f>IF(Batmobile[[#This Row],[Yaw]]&gt;V387,(360-ABS(Batmobile[[#This Row],[Yaw]])-ABS(V387)),ABS(Batmobile[[#This Row],[Yaw]]-V387))</f>
        <v>0.95546459735622946</v>
      </c>
      <c r="Y388" s="1">
        <f>Batmobile[[#This Row],[Degree change]]+Y387</f>
        <v>312.17646134848633</v>
      </c>
    </row>
    <row r="389" spans="1:25">
      <c r="A389">
        <v>388</v>
      </c>
      <c r="B389" s="1">
        <v>312.54998799999998</v>
      </c>
      <c r="C389" s="1">
        <v>1119.530029</v>
      </c>
      <c r="D389" s="1">
        <v>18.649999999999999</v>
      </c>
      <c r="E389" s="1">
        <v>769.61999500000002</v>
      </c>
      <c r="F389" s="1">
        <v>2167.389893</v>
      </c>
      <c r="G389" s="1">
        <v>8.1999999999999993</v>
      </c>
      <c r="H389" s="1">
        <v>-2.9999999999999997E-4</v>
      </c>
      <c r="I389" s="1">
        <v>-2.0000000000000001E-4</v>
      </c>
      <c r="J389" s="1">
        <v>2.0013999999999998</v>
      </c>
      <c r="K389" s="1">
        <v>-1.7780000000000001E-3</v>
      </c>
      <c r="L389" s="1">
        <v>2.3869999999999998E-3</v>
      </c>
      <c r="M389" s="1">
        <v>0.60168699999999997</v>
      </c>
      <c r="N389" s="1">
        <v>0.79872699999999996</v>
      </c>
      <c r="O389">
        <v>1</v>
      </c>
      <c r="P389">
        <v>0</v>
      </c>
      <c r="Q389">
        <v>1</v>
      </c>
      <c r="R389">
        <v>1</v>
      </c>
      <c r="S389">
        <v>1</v>
      </c>
      <c r="T389" s="1">
        <f>SQRT(POWER(Batmobile[[#This Row],[angvel_X]],2) + POWER(Batmobile[[#This Row],[angvel_Y]],2) + POWER(Batmobile[[#This Row],[angvel_Z]],2))</f>
        <v>2.0014000324772656</v>
      </c>
      <c r="U389" s="1">
        <f>DEGREES(ASIN(MAX(-1,MIN(1,2 * (Batmobile[[#This Row],[quart_W]]*Batmobile[[#This Row],[quart_Y]] - Batmobile[[#This Row],[quart_Z]]*Batmobile[[#This Row],[quart_X]])))))</f>
        <v>0.34106784261117179</v>
      </c>
      <c r="V38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16.017969306408197</v>
      </c>
      <c r="W38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89.998156159008957</v>
      </c>
      <c r="X389" s="1">
        <f>IF(Batmobile[[#This Row],[Yaw]]&gt;V388,(360-ABS(Batmobile[[#This Row],[Yaw]])-ABS(V388)),ABS(Batmobile[[#This Row],[Yaw]]-V388))</f>
        <v>0.95611342177852521</v>
      </c>
      <c r="Y389" s="1">
        <f>Batmobile[[#This Row],[Degree change]]+Y388</f>
        <v>313.13257477026485</v>
      </c>
    </row>
    <row r="390" spans="1:25">
      <c r="A390">
        <v>389</v>
      </c>
      <c r="B390" s="1">
        <v>318.97998000000001</v>
      </c>
      <c r="C390" s="1">
        <v>1137.660034</v>
      </c>
      <c r="D390" s="1">
        <v>18.649999999999999</v>
      </c>
      <c r="E390" s="1">
        <v>733.36999500000002</v>
      </c>
      <c r="F390" s="1">
        <v>2179.929932</v>
      </c>
      <c r="G390" s="1">
        <v>8.1999999999999993</v>
      </c>
      <c r="H390" s="1">
        <v>-2.9999999999999997E-4</v>
      </c>
      <c r="I390" s="1">
        <v>-2.0000000000000001E-4</v>
      </c>
      <c r="J390" s="1">
        <v>2.0013999999999998</v>
      </c>
      <c r="K390" s="1">
        <v>-1.799E-3</v>
      </c>
      <c r="L390" s="1">
        <v>2.3709999999999998E-3</v>
      </c>
      <c r="M390" s="1">
        <v>0.60832799999999998</v>
      </c>
      <c r="N390" s="1">
        <v>0.79368000000000005</v>
      </c>
      <c r="O390">
        <v>1</v>
      </c>
      <c r="P390">
        <v>0</v>
      </c>
      <c r="Q390">
        <v>1</v>
      </c>
      <c r="R390">
        <v>1</v>
      </c>
      <c r="S390">
        <v>1</v>
      </c>
      <c r="T390" s="1">
        <f>SQRT(POWER(Batmobile[[#This Row],[angvel_X]],2) + POWER(Batmobile[[#This Row],[angvel_Y]],2) + POWER(Batmobile[[#This Row],[angvel_Z]],2))</f>
        <v>2.0014000324772656</v>
      </c>
      <c r="U390" s="1">
        <f>DEGREES(ASIN(MAX(-1,MIN(1,2 * (Batmobile[[#This Row],[quart_W]]*Batmobile[[#This Row],[quart_Y]] - Batmobile[[#This Row],[quart_Z]]*Batmobile[[#This Row],[quart_X]])))))</f>
        <v>0.34104910850742237</v>
      </c>
      <c r="V39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15.062199986084515</v>
      </c>
      <c r="W39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89.998336631883134</v>
      </c>
      <c r="X390" s="1">
        <f>IF(Batmobile[[#This Row],[Yaw]]&gt;V389,(360-ABS(Batmobile[[#This Row],[Yaw]])-ABS(V389)),ABS(Batmobile[[#This Row],[Yaw]]-V389))</f>
        <v>0.95576932032368234</v>
      </c>
      <c r="Y390" s="1">
        <f>Batmobile[[#This Row],[Degree change]]+Y389</f>
        <v>314.08834409058852</v>
      </c>
    </row>
    <row r="391" spans="1:25">
      <c r="A391">
        <v>390</v>
      </c>
      <c r="B391" s="1">
        <v>325.10998499999999</v>
      </c>
      <c r="C391" s="1">
        <v>1155.8900149999999</v>
      </c>
      <c r="D391" s="1">
        <v>18.649999999999999</v>
      </c>
      <c r="E391" s="1">
        <v>696.90997300000004</v>
      </c>
      <c r="F391" s="1">
        <v>2191.8498540000001</v>
      </c>
      <c r="G391" s="1">
        <v>8.1999999999999993</v>
      </c>
      <c r="H391" s="1">
        <v>-2.9999999999999997E-4</v>
      </c>
      <c r="I391" s="1">
        <v>-2.0000000000000001E-4</v>
      </c>
      <c r="J391" s="1">
        <v>2.0013999999999998</v>
      </c>
      <c r="K391" s="1">
        <v>-1.8209999999999999E-3</v>
      </c>
      <c r="L391" s="1">
        <v>2.3549999999999999E-3</v>
      </c>
      <c r="M391" s="1">
        <v>0.61492500000000005</v>
      </c>
      <c r="N391" s="1">
        <v>0.78857999999999995</v>
      </c>
      <c r="O391">
        <v>1</v>
      </c>
      <c r="P391">
        <v>0</v>
      </c>
      <c r="Q391">
        <v>1</v>
      </c>
      <c r="R391">
        <v>1</v>
      </c>
      <c r="S391">
        <v>1</v>
      </c>
      <c r="T391" s="1">
        <f>SQRT(POWER(Batmobile[[#This Row],[angvel_X]],2) + POWER(Batmobile[[#This Row],[angvel_Y]],2) + POWER(Batmobile[[#This Row],[angvel_Z]],2))</f>
        <v>2.0014000324772656</v>
      </c>
      <c r="U391" s="1">
        <f>DEGREES(ASIN(MAX(-1,MIN(1,2 * (Batmobile[[#This Row],[quart_W]]*Batmobile[[#This Row],[quart_Y]] - Batmobile[[#This Row],[quart_Z]]*Batmobile[[#This Row],[quart_X]])))))</f>
        <v>0.34112783120944762</v>
      </c>
      <c r="V39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14.10665782494447</v>
      </c>
      <c r="W39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89.998608353096387</v>
      </c>
      <c r="X391" s="1">
        <f>IF(Batmobile[[#This Row],[Yaw]]&gt;V390,(360-ABS(Batmobile[[#This Row],[Yaw]])-ABS(V390)),ABS(Batmobile[[#This Row],[Yaw]]-V390))</f>
        <v>0.95554216114004475</v>
      </c>
      <c r="Y391" s="1">
        <f>Batmobile[[#This Row],[Degree change]]+Y390</f>
        <v>315.04388625172857</v>
      </c>
    </row>
    <row r="392" spans="1:25">
      <c r="A392">
        <v>391</v>
      </c>
      <c r="B392" s="1">
        <v>330.92999300000002</v>
      </c>
      <c r="C392" s="1">
        <v>1174.219971</v>
      </c>
      <c r="D392" s="1">
        <v>18.649999999999999</v>
      </c>
      <c r="E392" s="1">
        <v>660.26000999999997</v>
      </c>
      <c r="F392" s="1">
        <v>2203.169922</v>
      </c>
      <c r="G392" s="1">
        <v>8.1999999999999993</v>
      </c>
      <c r="H392" s="1">
        <v>-2.9999999999999997E-4</v>
      </c>
      <c r="I392" s="1">
        <v>-1E-4</v>
      </c>
      <c r="J392" s="1">
        <v>2.0013999999999998</v>
      </c>
      <c r="K392" s="1">
        <v>-1.8420000000000001E-3</v>
      </c>
      <c r="L392" s="1">
        <v>2.3389999999999999E-3</v>
      </c>
      <c r="M392" s="1">
        <v>0.62148000000000003</v>
      </c>
      <c r="N392" s="1">
        <v>0.78342400000000001</v>
      </c>
      <c r="O392">
        <v>1</v>
      </c>
      <c r="P392">
        <v>0</v>
      </c>
      <c r="Q392">
        <v>1</v>
      </c>
      <c r="R392">
        <v>1</v>
      </c>
      <c r="S392">
        <v>1</v>
      </c>
      <c r="T392" s="1">
        <f>SQRT(POWER(Batmobile[[#This Row],[angvel_X]],2) + POWER(Batmobile[[#This Row],[angvel_Y]],2) + POWER(Batmobile[[#This Row],[angvel_Z]],2))</f>
        <v>2.0014000249825119</v>
      </c>
      <c r="U392" s="1">
        <f>DEGREES(ASIN(MAX(-1,MIN(1,2 * (Batmobile[[#This Row],[quart_W]]*Batmobile[[#This Row],[quart_Y]] - Batmobile[[#This Row],[quart_Z]]*Batmobile[[#This Row],[quart_X]])))))</f>
        <v>0.34116342065537342</v>
      </c>
      <c r="V39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13.151014238143475</v>
      </c>
      <c r="W39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89.998788205783441</v>
      </c>
      <c r="X392" s="1">
        <f>IF(Batmobile[[#This Row],[Yaw]]&gt;V391,(360-ABS(Batmobile[[#This Row],[Yaw]])-ABS(V391)),ABS(Batmobile[[#This Row],[Yaw]]-V391))</f>
        <v>0.95564358680099559</v>
      </c>
      <c r="Y392" s="1">
        <f>Batmobile[[#This Row],[Degree change]]+Y391</f>
        <v>315.99952983852955</v>
      </c>
    </row>
    <row r="393" spans="1:25">
      <c r="A393">
        <v>392</v>
      </c>
      <c r="B393" s="1">
        <v>336.44998199999998</v>
      </c>
      <c r="C393" s="1">
        <v>1192.650024</v>
      </c>
      <c r="D393" s="1">
        <v>18.649999999999999</v>
      </c>
      <c r="E393" s="1">
        <v>623.419983</v>
      </c>
      <c r="F393" s="1">
        <v>2213.8798830000001</v>
      </c>
      <c r="G393" s="1">
        <v>8.1999999999999993</v>
      </c>
      <c r="H393" s="1">
        <v>-2.9999999999999997E-4</v>
      </c>
      <c r="I393" s="1">
        <v>-1E-4</v>
      </c>
      <c r="J393" s="1">
        <v>2.0013999999999998</v>
      </c>
      <c r="K393" s="1">
        <v>-1.864E-3</v>
      </c>
      <c r="L393" s="1">
        <v>2.3219999999999998E-3</v>
      </c>
      <c r="M393" s="1">
        <v>0.62799199999999999</v>
      </c>
      <c r="N393" s="1">
        <v>0.77821399999999996</v>
      </c>
      <c r="O393">
        <v>1</v>
      </c>
      <c r="P393">
        <v>0</v>
      </c>
      <c r="Q393">
        <v>1</v>
      </c>
      <c r="R393">
        <v>1</v>
      </c>
      <c r="S393">
        <v>1</v>
      </c>
      <c r="T393" s="1">
        <f>SQRT(POWER(Batmobile[[#This Row],[angvel_X]],2) + POWER(Batmobile[[#This Row],[angvel_Y]],2) + POWER(Batmobile[[#This Row],[angvel_Z]],2))</f>
        <v>2.0014000249825119</v>
      </c>
      <c r="U393" s="1">
        <f>DEGREES(ASIN(MAX(-1,MIN(1,2 * (Batmobile[[#This Row],[quart_W]]*Batmobile[[#This Row],[quart_Y]] - Batmobile[[#This Row],[quart_Z]]*Batmobile[[#This Row],[quart_X]])))))</f>
        <v>0.34120869658308167</v>
      </c>
      <c r="V39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12.195327305638283</v>
      </c>
      <c r="W39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89.999128340641192</v>
      </c>
      <c r="X393" s="1">
        <f>IF(Batmobile[[#This Row],[Yaw]]&gt;V392,(360-ABS(Batmobile[[#This Row],[Yaw]])-ABS(V392)),ABS(Batmobile[[#This Row],[Yaw]]-V392))</f>
        <v>0.95568693250519132</v>
      </c>
      <c r="Y393" s="1">
        <f>Batmobile[[#This Row],[Degree change]]+Y392</f>
        <v>316.95521677103477</v>
      </c>
    </row>
    <row r="394" spans="1:25">
      <c r="A394">
        <v>393</v>
      </c>
      <c r="B394" s="1">
        <v>341.66000400000001</v>
      </c>
      <c r="C394" s="1">
        <v>1211.169922</v>
      </c>
      <c r="D394" s="1">
        <v>18.649999999999999</v>
      </c>
      <c r="E394" s="1">
        <v>586.40997300000004</v>
      </c>
      <c r="F394" s="1">
        <v>2223.969971</v>
      </c>
      <c r="G394" s="1">
        <v>8.1999999999999993</v>
      </c>
      <c r="H394" s="1">
        <v>-2.0000000000000001E-4</v>
      </c>
      <c r="I394" s="1">
        <v>-1E-4</v>
      </c>
      <c r="J394" s="1">
        <v>2.0013999999999998</v>
      </c>
      <c r="K394" s="1">
        <v>-1.885E-3</v>
      </c>
      <c r="L394" s="1">
        <v>2.3059999999999999E-3</v>
      </c>
      <c r="M394" s="1">
        <v>0.63446000000000002</v>
      </c>
      <c r="N394" s="1">
        <v>0.77295000000000003</v>
      </c>
      <c r="O394">
        <v>1</v>
      </c>
      <c r="P394">
        <v>0</v>
      </c>
      <c r="Q394">
        <v>1</v>
      </c>
      <c r="R394">
        <v>1</v>
      </c>
      <c r="S394">
        <v>1</v>
      </c>
      <c r="T394" s="1">
        <f>SQRT(POWER(Batmobile[[#This Row],[angvel_X]],2) + POWER(Batmobile[[#This Row],[angvel_Y]],2) + POWER(Batmobile[[#This Row],[angvel_Z]],2))</f>
        <v>2.0014000124912559</v>
      </c>
      <c r="U394" s="1">
        <f>DEGREES(ASIN(MAX(-1,MIN(1,2 * (Batmobile[[#This Row],[quart_W]]*Batmobile[[#This Row],[quart_Y]] - Batmobile[[#This Row],[quart_Z]]*Batmobile[[#This Row],[quart_X]])))))</f>
        <v>0.34129920306007527</v>
      </c>
      <c r="V39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11.23968979269686</v>
      </c>
      <c r="W39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89.999306249247439</v>
      </c>
      <c r="X394" s="1">
        <f>IF(Batmobile[[#This Row],[Yaw]]&gt;V393,(360-ABS(Batmobile[[#This Row],[Yaw]])-ABS(V393)),ABS(Batmobile[[#This Row],[Yaw]]-V393))</f>
        <v>0.95563751294142385</v>
      </c>
      <c r="Y394" s="1">
        <f>Batmobile[[#This Row],[Degree change]]+Y393</f>
        <v>317.91085428397622</v>
      </c>
    </row>
    <row r="395" spans="1:25">
      <c r="A395">
        <v>394</v>
      </c>
      <c r="B395" s="1">
        <v>346.55999800000001</v>
      </c>
      <c r="C395" s="1">
        <v>1229.7700199999999</v>
      </c>
      <c r="D395" s="1">
        <v>18.649999999999999</v>
      </c>
      <c r="E395" s="1">
        <v>549.22997999999995</v>
      </c>
      <c r="F395" s="1">
        <v>2233.4399410000001</v>
      </c>
      <c r="G395" s="1">
        <v>8.1999999999999993</v>
      </c>
      <c r="H395" s="1">
        <v>-2.0000000000000001E-4</v>
      </c>
      <c r="I395" s="1">
        <v>0</v>
      </c>
      <c r="J395" s="1">
        <v>2.0013999999999998</v>
      </c>
      <c r="K395" s="1">
        <v>-1.9070000000000001E-3</v>
      </c>
      <c r="L395" s="1">
        <v>2.2899999999999999E-3</v>
      </c>
      <c r="M395" s="1">
        <v>0.64088500000000004</v>
      </c>
      <c r="N395" s="1">
        <v>0.76763099999999995</v>
      </c>
      <c r="O395">
        <v>1</v>
      </c>
      <c r="P395">
        <v>0</v>
      </c>
      <c r="Q395">
        <v>1</v>
      </c>
      <c r="R395">
        <v>1</v>
      </c>
      <c r="S395">
        <v>1</v>
      </c>
      <c r="T395" s="1">
        <f>SQRT(POWER(Batmobile[[#This Row],[angvel_X]],2) + POWER(Batmobile[[#This Row],[angvel_Y]],2) + POWER(Batmobile[[#This Row],[angvel_Z]],2))</f>
        <v>2.0014000099930045</v>
      </c>
      <c r="U395" s="1">
        <f>DEGREES(ASIN(MAX(-1,MIN(1,2 * (Batmobile[[#This Row],[quart_W]]*Batmobile[[#This Row],[quart_Y]] - Batmobile[[#This Row],[quart_Z]]*Batmobile[[#This Row],[quart_X]])))))</f>
        <v>0.34148975902737172</v>
      </c>
      <c r="V39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10.283888637163765</v>
      </c>
      <c r="W39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89.999569777487039</v>
      </c>
      <c r="X395" s="1">
        <f>IF(Batmobile[[#This Row],[Yaw]]&gt;V394,(360-ABS(Batmobile[[#This Row],[Yaw]])-ABS(V394)),ABS(Batmobile[[#This Row],[Yaw]]-V394))</f>
        <v>0.95580115553309497</v>
      </c>
      <c r="Y395" s="1">
        <f>Batmobile[[#This Row],[Degree change]]+Y394</f>
        <v>318.86665543950932</v>
      </c>
    </row>
    <row r="396" spans="1:25">
      <c r="A396">
        <v>395</v>
      </c>
      <c r="B396" s="1">
        <v>351.14999399999999</v>
      </c>
      <c r="C396" s="1">
        <v>1248.4499510000001</v>
      </c>
      <c r="D396" s="1">
        <v>18.649999999999999</v>
      </c>
      <c r="E396" s="1">
        <v>511.89999399999999</v>
      </c>
      <c r="F396" s="1">
        <v>2242.290039</v>
      </c>
      <c r="G396" s="1">
        <v>8.1999999999999993</v>
      </c>
      <c r="H396" s="1">
        <v>-2.0000000000000001E-4</v>
      </c>
      <c r="I396" s="1">
        <v>0</v>
      </c>
      <c r="J396" s="1">
        <v>2.0013999999999998</v>
      </c>
      <c r="K396" s="1">
        <v>-1.9289999999999999E-3</v>
      </c>
      <c r="L396" s="1">
        <v>2.274E-3</v>
      </c>
      <c r="M396" s="1">
        <v>0.647262</v>
      </c>
      <c r="N396" s="1">
        <v>0.762262</v>
      </c>
      <c r="O396">
        <v>1</v>
      </c>
      <c r="P396">
        <v>0</v>
      </c>
      <c r="Q396">
        <v>1</v>
      </c>
      <c r="R396">
        <v>1</v>
      </c>
      <c r="S396">
        <v>1</v>
      </c>
      <c r="T396" s="1">
        <f>SQRT(POWER(Batmobile[[#This Row],[angvel_X]],2) + POWER(Batmobile[[#This Row],[angvel_Y]],2) + POWER(Batmobile[[#This Row],[angvel_Z]],2))</f>
        <v>2.0014000099930045</v>
      </c>
      <c r="U396" s="1">
        <f>DEGREES(ASIN(MAX(-1,MIN(1,2 * (Batmobile[[#This Row],[quart_W]]*Batmobile[[#This Row],[quart_Y]] - Batmobile[[#This Row],[quart_Z]]*Batmobile[[#This Row],[quart_X]])))))</f>
        <v>0.34170857561291806</v>
      </c>
      <c r="V39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9.3285939871546635</v>
      </c>
      <c r="W39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89.999831502720937</v>
      </c>
      <c r="X396" s="1">
        <f>IF(Batmobile[[#This Row],[Yaw]]&gt;V395,(360-ABS(Batmobile[[#This Row],[Yaw]])-ABS(V395)),ABS(Batmobile[[#This Row],[Yaw]]-V395))</f>
        <v>0.95529465000910108</v>
      </c>
      <c r="Y396" s="1">
        <f>Batmobile[[#This Row],[Degree change]]+Y395</f>
        <v>319.8219500895184</v>
      </c>
    </row>
    <row r="397" spans="1:25">
      <c r="A397">
        <v>396</v>
      </c>
      <c r="B397" s="1">
        <v>355.42999300000002</v>
      </c>
      <c r="C397" s="1">
        <v>1267.1999510000001</v>
      </c>
      <c r="D397" s="1">
        <v>18.649999999999999</v>
      </c>
      <c r="E397" s="1">
        <v>474.42999300000002</v>
      </c>
      <c r="F397" s="1">
        <v>2250.5200199999999</v>
      </c>
      <c r="G397" s="1">
        <v>8.1999999999999993</v>
      </c>
      <c r="H397" s="1">
        <v>-1E-4</v>
      </c>
      <c r="I397" s="1">
        <v>0</v>
      </c>
      <c r="J397" s="1">
        <v>2.0013999999999998</v>
      </c>
      <c r="K397" s="1">
        <v>-1.9499999999999999E-3</v>
      </c>
      <c r="L397" s="1">
        <v>2.258E-3</v>
      </c>
      <c r="M397" s="1">
        <v>0.65359599999999995</v>
      </c>
      <c r="N397" s="1">
        <v>0.75683800000000001</v>
      </c>
      <c r="O397">
        <v>1</v>
      </c>
      <c r="P397">
        <v>0</v>
      </c>
      <c r="Q397">
        <v>1</v>
      </c>
      <c r="R397">
        <v>1</v>
      </c>
      <c r="S397">
        <v>1</v>
      </c>
      <c r="T397" s="1">
        <f>SQRT(POWER(Batmobile[[#This Row],[angvel_X]],2) + POWER(Batmobile[[#This Row],[angvel_Y]],2) + POWER(Batmobile[[#This Row],[angvel_Z]],2))</f>
        <v>2.0014000024982508</v>
      </c>
      <c r="U397" s="1">
        <f>DEGREES(ASIN(MAX(-1,MIN(1,2 * (Batmobile[[#This Row],[quart_W]]*Batmobile[[#This Row],[quart_Y]] - Batmobile[[#This Row],[quart_Z]]*Batmobile[[#This Row],[quart_X]])))))</f>
        <v>0.34188049099133921</v>
      </c>
      <c r="V39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8.3730032077318377</v>
      </c>
      <c r="W39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90.000001642355457</v>
      </c>
      <c r="X397" s="1">
        <f>IF(Batmobile[[#This Row],[Yaw]]&gt;V396,(360-ABS(Batmobile[[#This Row],[Yaw]])-ABS(V396)),ABS(Batmobile[[#This Row],[Yaw]]-V396))</f>
        <v>0.95559077942282578</v>
      </c>
      <c r="Y397" s="1">
        <f>Batmobile[[#This Row],[Degree change]]+Y396</f>
        <v>320.77754086894123</v>
      </c>
    </row>
    <row r="398" spans="1:25">
      <c r="A398">
        <v>397</v>
      </c>
      <c r="B398" s="1">
        <v>359.38998400000003</v>
      </c>
      <c r="C398" s="1">
        <v>1286.0200199999999</v>
      </c>
      <c r="D398" s="1">
        <v>18.649999999999999</v>
      </c>
      <c r="E398" s="1">
        <v>436.82998700000002</v>
      </c>
      <c r="F398" s="1">
        <v>2258.1198730000001</v>
      </c>
      <c r="G398" s="1">
        <v>8.1999999999999993</v>
      </c>
      <c r="H398" s="1">
        <v>-1E-4</v>
      </c>
      <c r="I398" s="1">
        <v>0</v>
      </c>
      <c r="J398" s="1">
        <v>2.0013999999999998</v>
      </c>
      <c r="K398" s="1">
        <v>-1.9719999999999998E-3</v>
      </c>
      <c r="L398" s="1">
        <v>2.2420000000000001E-3</v>
      </c>
      <c r="M398" s="1">
        <v>0.65988599999999997</v>
      </c>
      <c r="N398" s="1">
        <v>0.75136000000000003</v>
      </c>
      <c r="O398">
        <v>1</v>
      </c>
      <c r="P398">
        <v>0</v>
      </c>
      <c r="Q398">
        <v>1</v>
      </c>
      <c r="R398">
        <v>1</v>
      </c>
      <c r="S398">
        <v>1</v>
      </c>
      <c r="T398" s="1">
        <f>SQRT(POWER(Batmobile[[#This Row],[angvel_X]],2) + POWER(Batmobile[[#This Row],[angvel_Y]],2) + POWER(Batmobile[[#This Row],[angvel_Z]],2))</f>
        <v>2.0014000024982508</v>
      </c>
      <c r="U398" s="1">
        <f>DEGREES(ASIN(MAX(-1,MIN(1,2 * (Batmobile[[#This Row],[quart_W]]*Batmobile[[#This Row],[quart_Y]] - Batmobile[[#This Row],[quart_Z]]*Batmobile[[#This Row],[quart_X]])))))</f>
        <v>0.3421545883415375</v>
      </c>
      <c r="V39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7.4171920316705116</v>
      </c>
      <c r="W39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90.000254112229868</v>
      </c>
      <c r="X398" s="1">
        <f>IF(Batmobile[[#This Row],[Yaw]]&gt;V397,(360-ABS(Batmobile[[#This Row],[Yaw]])-ABS(V397)),ABS(Batmobile[[#This Row],[Yaw]]-V397))</f>
        <v>0.95581117606132615</v>
      </c>
      <c r="Y398" s="1">
        <f>Batmobile[[#This Row],[Degree change]]+Y397</f>
        <v>321.73335204500256</v>
      </c>
    </row>
    <row r="399" spans="1:25">
      <c r="A399">
        <v>398</v>
      </c>
      <c r="B399" s="1">
        <v>363.03997800000002</v>
      </c>
      <c r="C399" s="1">
        <v>1304.9099120000001</v>
      </c>
      <c r="D399" s="1">
        <v>18.649999999999999</v>
      </c>
      <c r="E399" s="1">
        <v>399.10998499999999</v>
      </c>
      <c r="F399" s="1">
        <v>2265.0898440000001</v>
      </c>
      <c r="G399" s="1">
        <v>8.1999999999999993</v>
      </c>
      <c r="H399" s="1">
        <v>0</v>
      </c>
      <c r="I399" s="1">
        <v>0</v>
      </c>
      <c r="J399" s="1">
        <v>2.0013999999999998</v>
      </c>
      <c r="K399" s="1">
        <v>-1.993E-3</v>
      </c>
      <c r="L399" s="1">
        <v>2.225E-3</v>
      </c>
      <c r="M399" s="1">
        <v>0.66612800000000005</v>
      </c>
      <c r="N399" s="1">
        <v>0.74583200000000005</v>
      </c>
      <c r="O399">
        <v>1</v>
      </c>
      <c r="P399">
        <v>0</v>
      </c>
      <c r="Q399">
        <v>1</v>
      </c>
      <c r="R399">
        <v>1</v>
      </c>
      <c r="S399">
        <v>1</v>
      </c>
      <c r="T399" s="1">
        <f>SQRT(POWER(Batmobile[[#This Row],[angvel_X]],2) + POWER(Batmobile[[#This Row],[angvel_Y]],2) + POWER(Batmobile[[#This Row],[angvel_Z]],2))</f>
        <v>2.0013999999999998</v>
      </c>
      <c r="U399" s="1">
        <f>DEGREES(ASIN(MAX(-1,MIN(1,2 * (Batmobile[[#This Row],[quart_W]]*Batmobile[[#This Row],[quart_Y]] - Batmobile[[#This Row],[quart_Z]]*Batmobile[[#This Row],[quart_X]])))))</f>
        <v>0.34229496458864478</v>
      </c>
      <c r="V39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6.4616986889149164</v>
      </c>
      <c r="W39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90.000493712333167</v>
      </c>
      <c r="X399" s="1">
        <f>IF(Batmobile[[#This Row],[Yaw]]&gt;V398,(360-ABS(Batmobile[[#This Row],[Yaw]])-ABS(V398)),ABS(Batmobile[[#This Row],[Yaw]]-V398))</f>
        <v>0.95549334275559517</v>
      </c>
      <c r="Y399" s="1">
        <f>Batmobile[[#This Row],[Degree change]]+Y398</f>
        <v>322.68884538775814</v>
      </c>
    </row>
    <row r="400" spans="1:25">
      <c r="A400">
        <v>399</v>
      </c>
      <c r="B400" s="1">
        <v>366.36999500000002</v>
      </c>
      <c r="C400" s="1">
        <v>1323.849976</v>
      </c>
      <c r="D400" s="1">
        <v>18.649999999999999</v>
      </c>
      <c r="E400" s="1">
        <v>361.27999899999998</v>
      </c>
      <c r="F400" s="1">
        <v>2271.429932</v>
      </c>
      <c r="G400" s="1">
        <v>8.1999999999999993</v>
      </c>
      <c r="H400" s="1">
        <v>0</v>
      </c>
      <c r="I400" s="1">
        <v>0</v>
      </c>
      <c r="J400" s="1">
        <v>2.0013999999999998</v>
      </c>
      <c r="K400" s="1">
        <v>-2.0100000000000001E-3</v>
      </c>
      <c r="L400" s="1">
        <v>2.209E-3</v>
      </c>
      <c r="M400" s="1">
        <v>0.67232599999999998</v>
      </c>
      <c r="N400" s="1">
        <v>0.74024900000000005</v>
      </c>
      <c r="O400">
        <v>1</v>
      </c>
      <c r="P400">
        <v>0</v>
      </c>
      <c r="Q400">
        <v>1</v>
      </c>
      <c r="R400">
        <v>1</v>
      </c>
      <c r="S400">
        <v>1</v>
      </c>
      <c r="T400" s="1">
        <f>SQRT(POWER(Batmobile[[#This Row],[angvel_X]],2) + POWER(Batmobile[[#This Row],[angvel_Y]],2) + POWER(Batmobile[[#This Row],[angvel_Z]],2))</f>
        <v>2.0013999999999998</v>
      </c>
      <c r="U400" s="1">
        <f>DEGREES(ASIN(MAX(-1,MIN(1,2 * (Batmobile[[#This Row],[quart_W]]*Batmobile[[#This Row],[quart_Y]] - Batmobile[[#This Row],[quart_Z]]*Batmobile[[#This Row],[quart_X]])))))</f>
        <v>0.34223950094069483</v>
      </c>
      <c r="V40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5.5058551532883735</v>
      </c>
      <c r="W40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90.000313110519599</v>
      </c>
      <c r="X400" s="1">
        <f>IF(Batmobile[[#This Row],[Yaw]]&gt;V399,(360-ABS(Batmobile[[#This Row],[Yaw]])-ABS(V399)),ABS(Batmobile[[#This Row],[Yaw]]-V399))</f>
        <v>0.9558435356265429</v>
      </c>
      <c r="Y400" s="1">
        <f>Batmobile[[#This Row],[Degree change]]+Y399</f>
        <v>323.64468892338471</v>
      </c>
    </row>
    <row r="401" spans="1:25">
      <c r="A401">
        <v>400</v>
      </c>
      <c r="B401" s="1">
        <v>369.38998400000003</v>
      </c>
      <c r="C401" s="1">
        <v>1342.849976</v>
      </c>
      <c r="D401" s="1">
        <v>18.649999999999999</v>
      </c>
      <c r="E401" s="1">
        <v>323.33999599999999</v>
      </c>
      <c r="F401" s="1">
        <v>2277.139893</v>
      </c>
      <c r="G401" s="1">
        <v>8.1999999999999993</v>
      </c>
      <c r="H401" s="1">
        <v>0</v>
      </c>
      <c r="I401" s="1">
        <v>0</v>
      </c>
      <c r="J401" s="1">
        <v>2.0013999999999998</v>
      </c>
      <c r="K401" s="1">
        <v>-2.026E-3</v>
      </c>
      <c r="L401" s="1">
        <v>2.1930000000000001E-3</v>
      </c>
      <c r="M401" s="1">
        <v>0.67847599999999997</v>
      </c>
      <c r="N401" s="1">
        <v>0.73461600000000005</v>
      </c>
      <c r="O401">
        <v>1</v>
      </c>
      <c r="P401">
        <v>0</v>
      </c>
      <c r="Q401">
        <v>1</v>
      </c>
      <c r="R401">
        <v>1</v>
      </c>
      <c r="S401">
        <v>1</v>
      </c>
      <c r="T401" s="1">
        <f>SQRT(POWER(Batmobile[[#This Row],[angvel_X]],2) + POWER(Batmobile[[#This Row],[angvel_Y]],2) + POWER(Batmobile[[#This Row],[angvel_Z]],2))</f>
        <v>2.0013999999999998</v>
      </c>
      <c r="U401" s="1">
        <f>DEGREES(ASIN(MAX(-1,MIN(1,2 * (Batmobile[[#This Row],[quart_W]]*Batmobile[[#This Row],[quart_Y]] - Batmobile[[#This Row],[quart_Z]]*Batmobile[[#This Row],[quart_X]])))))</f>
        <v>0.34212719497013178</v>
      </c>
      <c r="V40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4.5501979621887525</v>
      </c>
      <c r="W40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90.000049750583116</v>
      </c>
      <c r="X401" s="1">
        <f>IF(Batmobile[[#This Row],[Yaw]]&gt;V400,(360-ABS(Batmobile[[#This Row],[Yaw]])-ABS(V400)),ABS(Batmobile[[#This Row],[Yaw]]-V400))</f>
        <v>0.955657191099621</v>
      </c>
      <c r="Y401" s="1">
        <f>Batmobile[[#This Row],[Degree change]]+Y400</f>
        <v>324.60034611448435</v>
      </c>
    </row>
    <row r="402" spans="1:25">
      <c r="A402">
        <v>401</v>
      </c>
      <c r="B402" s="1">
        <v>372.08999599999999</v>
      </c>
      <c r="C402" s="1">
        <v>1361.8900149999999</v>
      </c>
      <c r="D402" s="1">
        <v>18.649999999999999</v>
      </c>
      <c r="E402" s="1">
        <v>285.32000699999998</v>
      </c>
      <c r="F402" s="1">
        <v>2282.209961</v>
      </c>
      <c r="G402" s="1">
        <v>8.1999999999999993</v>
      </c>
      <c r="H402" s="1">
        <v>0</v>
      </c>
      <c r="I402" s="1">
        <v>0</v>
      </c>
      <c r="J402" s="1">
        <v>2.0013999999999998</v>
      </c>
      <c r="K402" s="1">
        <v>-2.042E-3</v>
      </c>
      <c r="L402" s="1">
        <v>2.1770000000000001E-3</v>
      </c>
      <c r="M402" s="1">
        <v>0.68457800000000002</v>
      </c>
      <c r="N402" s="1">
        <v>0.72893300000000005</v>
      </c>
      <c r="O402">
        <v>1</v>
      </c>
      <c r="P402">
        <v>0</v>
      </c>
      <c r="Q402">
        <v>1</v>
      </c>
      <c r="R402">
        <v>1</v>
      </c>
      <c r="S402">
        <v>1</v>
      </c>
      <c r="T402" s="1">
        <f>SQRT(POWER(Batmobile[[#This Row],[angvel_X]],2) + POWER(Batmobile[[#This Row],[angvel_Y]],2) + POWER(Batmobile[[#This Row],[angvel_Z]],2))</f>
        <v>2.0013999999999998</v>
      </c>
      <c r="U402" s="1">
        <f>DEGREES(ASIN(MAX(-1,MIN(1,2 * (Batmobile[[#This Row],[quart_W]]*Batmobile[[#This Row],[quart_Y]] - Batmobile[[#This Row],[quart_Z]]*Batmobile[[#This Row],[quart_X]])))))</f>
        <v>0.34203439168579608</v>
      </c>
      <c r="V40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3.5946659074021938</v>
      </c>
      <c r="W40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89.999788561055155</v>
      </c>
      <c r="X402" s="1">
        <f>IF(Batmobile[[#This Row],[Yaw]]&gt;V401,(360-ABS(Batmobile[[#This Row],[Yaw]])-ABS(V401)),ABS(Batmobile[[#This Row],[Yaw]]-V401))</f>
        <v>0.95553205478655867</v>
      </c>
      <c r="Y402" s="1">
        <f>Batmobile[[#This Row],[Degree change]]+Y401</f>
        <v>325.5558781692709</v>
      </c>
    </row>
    <row r="403" spans="1:25">
      <c r="A403">
        <v>402</v>
      </c>
      <c r="B403" s="1">
        <v>374.47000100000002</v>
      </c>
      <c r="C403" s="1">
        <v>1380.9799800000001</v>
      </c>
      <c r="D403" s="1">
        <v>18.649999999999999</v>
      </c>
      <c r="E403" s="1">
        <v>247.220001</v>
      </c>
      <c r="F403" s="1">
        <v>2286.6499020000001</v>
      </c>
      <c r="G403" s="1">
        <v>8.1999999999999993</v>
      </c>
      <c r="H403" s="1">
        <v>0</v>
      </c>
      <c r="I403" s="1">
        <v>0</v>
      </c>
      <c r="J403" s="1">
        <v>2.0013999999999998</v>
      </c>
      <c r="K403" s="1">
        <v>-2.0579999999999999E-3</v>
      </c>
      <c r="L403" s="1">
        <v>2.1610000000000002E-3</v>
      </c>
      <c r="M403" s="1">
        <v>0.69063099999999999</v>
      </c>
      <c r="N403" s="1">
        <v>0.72320099999999998</v>
      </c>
      <c r="O403">
        <v>1</v>
      </c>
      <c r="P403">
        <v>0</v>
      </c>
      <c r="Q403">
        <v>1</v>
      </c>
      <c r="R403">
        <v>1</v>
      </c>
      <c r="S403">
        <v>1</v>
      </c>
      <c r="T403" s="1">
        <f>SQRT(POWER(Batmobile[[#This Row],[angvel_X]],2) + POWER(Batmobile[[#This Row],[angvel_Y]],2) + POWER(Batmobile[[#This Row],[angvel_Z]],2))</f>
        <v>2.0013999999999998</v>
      </c>
      <c r="U403" s="1">
        <f>DEGREES(ASIN(MAX(-1,MIN(1,2 * (Batmobile[[#This Row],[quart_W]]*Batmobile[[#This Row],[quart_Y]] - Batmobile[[#This Row],[quart_Z]]*Batmobile[[#This Row],[quart_X]])))))</f>
        <v>0.34196111389124811</v>
      </c>
      <c r="V40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2.639354397404619</v>
      </c>
      <c r="W40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89.999529486356167</v>
      </c>
      <c r="X403" s="1">
        <f>IF(Batmobile[[#This Row],[Yaw]]&gt;V402,(360-ABS(Batmobile[[#This Row],[Yaw]])-ABS(V402)),ABS(Batmobile[[#This Row],[Yaw]]-V402))</f>
        <v>0.95531150999757486</v>
      </c>
      <c r="Y403" s="1">
        <f>Batmobile[[#This Row],[Degree change]]+Y402</f>
        <v>326.51118967926845</v>
      </c>
    </row>
    <row r="404" spans="1:25">
      <c r="A404">
        <v>403</v>
      </c>
      <c r="B404" s="1">
        <v>376.52999899999998</v>
      </c>
      <c r="C404" s="1">
        <v>1400.099976</v>
      </c>
      <c r="D404" s="1">
        <v>18.649999999999999</v>
      </c>
      <c r="E404" s="1">
        <v>209.04998800000001</v>
      </c>
      <c r="F404" s="1">
        <v>2290.459961</v>
      </c>
      <c r="G404" s="1">
        <v>8.1999999999999993</v>
      </c>
      <c r="H404" s="1">
        <v>0</v>
      </c>
      <c r="I404" s="1">
        <v>0</v>
      </c>
      <c r="J404" s="1">
        <v>2.0013999999999998</v>
      </c>
      <c r="K404" s="1">
        <v>-2.0739999999999999E-3</v>
      </c>
      <c r="L404" s="1">
        <v>2.1440000000000001E-3</v>
      </c>
      <c r="M404" s="1">
        <v>0.696635</v>
      </c>
      <c r="N404" s="1">
        <v>0.71741900000000003</v>
      </c>
      <c r="O404">
        <v>1</v>
      </c>
      <c r="P404">
        <v>0</v>
      </c>
      <c r="Q404">
        <v>1</v>
      </c>
      <c r="R404">
        <v>1</v>
      </c>
      <c r="S404">
        <v>1</v>
      </c>
      <c r="T404" s="1">
        <f>SQRT(POWER(Batmobile[[#This Row],[angvel_X]],2) + POWER(Batmobile[[#This Row],[angvel_Y]],2) + POWER(Batmobile[[#This Row],[angvel_Z]],2))</f>
        <v>2.0013999999999998</v>
      </c>
      <c r="U404" s="1">
        <f>DEGREES(ASIN(MAX(-1,MIN(1,2 * (Batmobile[[#This Row],[quart_W]]*Batmobile[[#This Row],[quart_Y]] - Batmobile[[#This Row],[quart_Z]]*Batmobile[[#This Row],[quart_X]])))))</f>
        <v>0.34182490415766648</v>
      </c>
      <c r="V40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1.6842058700711966</v>
      </c>
      <c r="W40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89.999351579686774</v>
      </c>
      <c r="X404" s="1">
        <f>IF(Batmobile[[#This Row],[Yaw]]&gt;V403,(360-ABS(Batmobile[[#This Row],[Yaw]])-ABS(V403)),ABS(Batmobile[[#This Row],[Yaw]]-V403))</f>
        <v>0.95514852733342237</v>
      </c>
      <c r="Y404" s="1">
        <f>Batmobile[[#This Row],[Degree change]]+Y403</f>
        <v>327.4663382066019</v>
      </c>
    </row>
    <row r="405" spans="1:25">
      <c r="A405">
        <v>404</v>
      </c>
      <c r="B405" s="1">
        <v>378.26998900000001</v>
      </c>
      <c r="C405" s="1">
        <v>1419.26001</v>
      </c>
      <c r="D405" s="1">
        <v>18.649999999999999</v>
      </c>
      <c r="E405" s="1">
        <v>170.81999200000001</v>
      </c>
      <c r="F405" s="1">
        <v>2293.6298830000001</v>
      </c>
      <c r="G405" s="1">
        <v>8.1999999999999993</v>
      </c>
      <c r="H405" s="1">
        <v>0</v>
      </c>
      <c r="I405" s="1">
        <v>0</v>
      </c>
      <c r="J405" s="1">
        <v>2.0013999999999998</v>
      </c>
      <c r="K405" s="1">
        <v>-2.0899999999999998E-3</v>
      </c>
      <c r="L405" s="1">
        <v>2.1280000000000001E-3</v>
      </c>
      <c r="M405" s="1">
        <v>0.70259099999999997</v>
      </c>
      <c r="N405" s="1">
        <v>0.71158699999999997</v>
      </c>
      <c r="O405">
        <v>1</v>
      </c>
      <c r="P405">
        <v>0</v>
      </c>
      <c r="Q405">
        <v>1</v>
      </c>
      <c r="R405">
        <v>1</v>
      </c>
      <c r="S405">
        <v>1</v>
      </c>
      <c r="T405" s="1">
        <f>SQRT(POWER(Batmobile[[#This Row],[angvel_X]],2) + POWER(Batmobile[[#This Row],[angvel_Y]],2) + POWER(Batmobile[[#This Row],[angvel_Z]],2))</f>
        <v>2.0013999999999998</v>
      </c>
      <c r="U405" s="1">
        <f>DEGREES(ASIN(MAX(-1,MIN(1,2 * (Batmobile[[#This Row],[quart_W]]*Batmobile[[#This Row],[quart_Y]] - Batmobile[[#This Row],[quart_Z]]*Batmobile[[#This Row],[quart_X]])))))</f>
        <v>0.3417910990462058</v>
      </c>
      <c r="V40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0.72899127843332256</v>
      </c>
      <c r="W40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89.999095075212807</v>
      </c>
      <c r="X405" s="1">
        <f>IF(Batmobile[[#This Row],[Yaw]]&gt;V404,(360-ABS(Batmobile[[#This Row],[Yaw]])-ABS(V404)),ABS(Batmobile[[#This Row],[Yaw]]-V404))</f>
        <v>0.95521459163787403</v>
      </c>
      <c r="Y405" s="1">
        <f>Batmobile[[#This Row],[Degree change]]+Y404</f>
        <v>328.42155279823976</v>
      </c>
    </row>
    <row r="406" spans="1:25">
      <c r="A406">
        <v>405</v>
      </c>
      <c r="B406" s="1">
        <v>379.69000199999999</v>
      </c>
      <c r="C406" s="1">
        <v>1438.4399410000001</v>
      </c>
      <c r="D406" s="1">
        <v>18.649999999999999</v>
      </c>
      <c r="E406" s="1">
        <v>132.550003</v>
      </c>
      <c r="F406" s="1">
        <v>2296.1599120000001</v>
      </c>
      <c r="G406" s="1">
        <v>8.1999999999999993</v>
      </c>
      <c r="H406" s="1">
        <v>0</v>
      </c>
      <c r="I406" s="1">
        <v>0</v>
      </c>
      <c r="J406" s="1">
        <v>2.0013999999999998</v>
      </c>
      <c r="K406" s="1">
        <v>-2.1069999999999999E-3</v>
      </c>
      <c r="L406" s="1">
        <v>2.1120000000000002E-3</v>
      </c>
      <c r="M406" s="1">
        <v>0.70850000000000002</v>
      </c>
      <c r="N406" s="1">
        <v>0.705704</v>
      </c>
      <c r="O406">
        <v>1</v>
      </c>
      <c r="P406">
        <v>0</v>
      </c>
      <c r="Q406">
        <v>1</v>
      </c>
      <c r="R406">
        <v>1</v>
      </c>
      <c r="S406">
        <v>1</v>
      </c>
      <c r="T406" s="1">
        <f>SQRT(POWER(Batmobile[[#This Row],[angvel_X]],2) + POWER(Batmobile[[#This Row],[angvel_Y]],2) + POWER(Batmobile[[#This Row],[angvel_Z]],2))</f>
        <v>2.0013999999999998</v>
      </c>
      <c r="U406" s="1">
        <f>DEGREES(ASIN(MAX(-1,MIN(1,2 * (Batmobile[[#This Row],[quart_W]]*Batmobile[[#This Row],[quart_Y]] - Batmobile[[#This Row],[quart_Z]]*Batmobile[[#This Row],[quart_X]])))))</f>
        <v>0.34185802422871281</v>
      </c>
      <c r="V40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-0.22651912751889214</v>
      </c>
      <c r="W40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89.998918961575839</v>
      </c>
      <c r="X406" s="1">
        <f>IF(Batmobile[[#This Row],[Yaw]]&gt;V405,(360-ABS(Batmobile[[#This Row],[Yaw]])-ABS(V405)),ABS(Batmobile[[#This Row],[Yaw]]-V405))</f>
        <v>0.9555104059522147</v>
      </c>
      <c r="Y406" s="1">
        <f>Batmobile[[#This Row],[Degree change]]+Y405</f>
        <v>329.37706320419198</v>
      </c>
    </row>
    <row r="407" spans="1:25">
      <c r="A407">
        <v>406</v>
      </c>
      <c r="B407" s="1">
        <v>380.78997800000002</v>
      </c>
      <c r="C407" s="1">
        <v>1457.6400149999999</v>
      </c>
      <c r="D407" s="1">
        <v>18.649999999999999</v>
      </c>
      <c r="E407" s="1">
        <v>94.239998</v>
      </c>
      <c r="F407" s="1">
        <v>2298.0500489999999</v>
      </c>
      <c r="G407" s="1">
        <v>8.1999999999999993</v>
      </c>
      <c r="H407" s="1">
        <v>0</v>
      </c>
      <c r="I407" s="1">
        <v>0</v>
      </c>
      <c r="J407" s="1">
        <v>2.0013999999999998</v>
      </c>
      <c r="K407" s="1">
        <v>-2.1229999999999999E-3</v>
      </c>
      <c r="L407" s="1">
        <v>2.0960000000000002E-3</v>
      </c>
      <c r="M407" s="1">
        <v>0.71436200000000005</v>
      </c>
      <c r="N407" s="1">
        <v>0.69977</v>
      </c>
      <c r="O407">
        <v>1</v>
      </c>
      <c r="P407">
        <v>0</v>
      </c>
      <c r="Q407">
        <v>1</v>
      </c>
      <c r="R407">
        <v>1</v>
      </c>
      <c r="S407">
        <v>1</v>
      </c>
      <c r="T407" s="1">
        <f>SQRT(POWER(Batmobile[[#This Row],[angvel_X]],2) + POWER(Batmobile[[#This Row],[angvel_Y]],2) + POWER(Batmobile[[#This Row],[angvel_Z]],2))</f>
        <v>2.0013999999999998</v>
      </c>
      <c r="U407" s="1">
        <f>DEGREES(ASIN(MAX(-1,MIN(1,2 * (Batmobile[[#This Row],[quart_W]]*Batmobile[[#This Row],[quart_Y]] - Batmobile[[#This Row],[quart_Z]]*Batmobile[[#This Row],[quart_X]])))))</f>
        <v>0.34186399432602327</v>
      </c>
      <c r="V40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-1.1823988015992111</v>
      </c>
      <c r="W40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89.998660281422914</v>
      </c>
      <c r="X407" s="1">
        <f>IF(Batmobile[[#This Row],[Yaw]]&gt;V406,(360-ABS(Batmobile[[#This Row],[Yaw]])-ABS(V406)),ABS(Batmobile[[#This Row],[Yaw]]-V406))</f>
        <v>0.95587967408031893</v>
      </c>
      <c r="Y407" s="1">
        <f>Batmobile[[#This Row],[Degree change]]+Y406</f>
        <v>330.33294287827232</v>
      </c>
    </row>
    <row r="408" spans="1:25">
      <c r="A408">
        <v>407</v>
      </c>
      <c r="B408" s="1">
        <v>381.56997699999999</v>
      </c>
      <c r="C408" s="1">
        <v>1476.8599850000001</v>
      </c>
      <c r="D408" s="1">
        <v>18.649999999999999</v>
      </c>
      <c r="E408" s="1">
        <v>55.899997999999997</v>
      </c>
      <c r="F408" s="1">
        <v>2299.3000489999999</v>
      </c>
      <c r="G408" s="1">
        <v>8.1999999999999993</v>
      </c>
      <c r="H408" s="1">
        <v>0</v>
      </c>
      <c r="I408" s="1">
        <v>0</v>
      </c>
      <c r="J408" s="1">
        <v>2.0013999999999998</v>
      </c>
      <c r="K408" s="1">
        <v>-2.1389999999999998E-3</v>
      </c>
      <c r="L408" s="1">
        <v>2.0799999999999998E-3</v>
      </c>
      <c r="M408" s="1">
        <v>0.72017399999999998</v>
      </c>
      <c r="N408" s="1">
        <v>0.69378700000000004</v>
      </c>
      <c r="O408">
        <v>1</v>
      </c>
      <c r="P408">
        <v>0</v>
      </c>
      <c r="Q408">
        <v>1</v>
      </c>
      <c r="R408">
        <v>1</v>
      </c>
      <c r="S408">
        <v>1</v>
      </c>
      <c r="T408" s="1">
        <f>SQRT(POWER(Batmobile[[#This Row],[angvel_X]],2) + POWER(Batmobile[[#This Row],[angvel_Y]],2) + POWER(Batmobile[[#This Row],[angvel_Z]],2))</f>
        <v>2.0013999999999998</v>
      </c>
      <c r="U408" s="1">
        <f>DEGREES(ASIN(MAX(-1,MIN(1,2 * (Batmobile[[#This Row],[quart_W]]*Batmobile[[#This Row],[quart_Y]] - Batmobile[[#This Row],[quart_Z]]*Batmobile[[#This Row],[quart_X]])))))</f>
        <v>0.34188928513332051</v>
      </c>
      <c r="V40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-2.1382305715726804</v>
      </c>
      <c r="W40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89.998401244307331</v>
      </c>
      <c r="X408" s="1">
        <f>IF(Batmobile[[#This Row],[Yaw]]&gt;V407,(360-ABS(Batmobile[[#This Row],[Yaw]])-ABS(V407)),ABS(Batmobile[[#This Row],[Yaw]]-V407))</f>
        <v>0.9558317699734693</v>
      </c>
      <c r="Y408" s="1">
        <f>Batmobile[[#This Row],[Degree change]]+Y407</f>
        <v>331.28877464824581</v>
      </c>
    </row>
    <row r="409" spans="1:25">
      <c r="A409">
        <v>408</v>
      </c>
      <c r="B409" s="1">
        <v>382.02999899999998</v>
      </c>
      <c r="C409" s="1">
        <v>1496.089966</v>
      </c>
      <c r="D409" s="1">
        <v>18.649999999999999</v>
      </c>
      <c r="E409" s="1">
        <v>17.549999</v>
      </c>
      <c r="F409" s="1">
        <v>2299.9099120000001</v>
      </c>
      <c r="G409" s="1">
        <v>8.1999999999999993</v>
      </c>
      <c r="H409" s="1">
        <v>0</v>
      </c>
      <c r="I409" s="1">
        <v>0</v>
      </c>
      <c r="J409" s="1">
        <v>2.0013999999999998</v>
      </c>
      <c r="K409" s="1">
        <v>-2.1549999999999998E-3</v>
      </c>
      <c r="L409" s="1">
        <v>2.0639999999999999E-3</v>
      </c>
      <c r="M409" s="1">
        <v>0.72593600000000003</v>
      </c>
      <c r="N409" s="1">
        <v>0.68775600000000003</v>
      </c>
      <c r="O409">
        <v>1</v>
      </c>
      <c r="P409">
        <v>0</v>
      </c>
      <c r="Q409">
        <v>1</v>
      </c>
      <c r="R409">
        <v>1</v>
      </c>
      <c r="S409">
        <v>1</v>
      </c>
      <c r="T409" s="1">
        <f>SQRT(POWER(Batmobile[[#This Row],[angvel_X]],2) + POWER(Batmobile[[#This Row],[angvel_Y]],2) + POWER(Batmobile[[#This Row],[angvel_Z]],2))</f>
        <v>2.0013999999999998</v>
      </c>
      <c r="U409" s="1">
        <f>DEGREES(ASIN(MAX(-1,MIN(1,2 * (Batmobile[[#This Row],[quart_W]]*Batmobile[[#This Row],[quart_Y]] - Batmobile[[#This Row],[quart_Z]]*Batmobile[[#This Row],[quart_X]])))))</f>
        <v>0.3419341276714542</v>
      </c>
      <c r="V40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-3.0940786424292193</v>
      </c>
      <c r="W40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89.998141552627956</v>
      </c>
      <c r="X409" s="1">
        <f>IF(Batmobile[[#This Row],[Yaw]]&gt;V408,(360-ABS(Batmobile[[#This Row],[Yaw]])-ABS(V408)),ABS(Batmobile[[#This Row],[Yaw]]-V408))</f>
        <v>0.95584807085653889</v>
      </c>
      <c r="Y409" s="1">
        <f>Batmobile[[#This Row],[Degree change]]+Y408</f>
        <v>332.24462271910232</v>
      </c>
    </row>
    <row r="410" spans="1:25">
      <c r="A410">
        <v>409</v>
      </c>
      <c r="B410" s="1">
        <v>382.169983</v>
      </c>
      <c r="C410" s="1">
        <v>1515.3199460000001</v>
      </c>
      <c r="D410" s="1">
        <v>18.649999999999999</v>
      </c>
      <c r="E410" s="1">
        <v>-20.799999</v>
      </c>
      <c r="F410" s="1">
        <v>2299.889893</v>
      </c>
      <c r="G410" s="1">
        <v>8.1999999999999993</v>
      </c>
      <c r="H410" s="1">
        <v>0</v>
      </c>
      <c r="I410" s="1">
        <v>0</v>
      </c>
      <c r="J410" s="1">
        <v>2.0013999999999998</v>
      </c>
      <c r="K410" s="1">
        <v>-2.1710000000000002E-3</v>
      </c>
      <c r="L410" s="1">
        <v>2.0470000000000002E-3</v>
      </c>
      <c r="M410" s="1">
        <v>0.73164799999999997</v>
      </c>
      <c r="N410" s="1">
        <v>0.68167599999999995</v>
      </c>
      <c r="O410">
        <v>1</v>
      </c>
      <c r="P410">
        <v>0</v>
      </c>
      <c r="Q410">
        <v>1</v>
      </c>
      <c r="R410">
        <v>1</v>
      </c>
      <c r="S410">
        <v>1</v>
      </c>
      <c r="T410" s="1">
        <f>SQRT(POWER(Batmobile[[#This Row],[angvel_X]],2) + POWER(Batmobile[[#This Row],[angvel_Y]],2) + POWER(Batmobile[[#This Row],[angvel_Z]],2))</f>
        <v>2.0013999999999998</v>
      </c>
      <c r="U410" s="1">
        <f>DEGREES(ASIN(MAX(-1,MIN(1,2 * (Batmobile[[#This Row],[quart_W]]*Batmobile[[#This Row],[quart_Y]] - Batmobile[[#This Row],[quart_Z]]*Batmobile[[#This Row],[quart_X]])))))</f>
        <v>0.34192016054516133</v>
      </c>
      <c r="V41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-4.0500145814471713</v>
      </c>
      <c r="W41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89.997964260747366</v>
      </c>
      <c r="X410" s="1">
        <f>IF(Batmobile[[#This Row],[Yaw]]&gt;V409,(360-ABS(Batmobile[[#This Row],[Yaw]])-ABS(V409)),ABS(Batmobile[[#This Row],[Yaw]]-V409))</f>
        <v>0.95593593901795204</v>
      </c>
      <c r="Y410" s="1">
        <f>Batmobile[[#This Row],[Degree change]]+Y409</f>
        <v>333.20055865812026</v>
      </c>
    </row>
    <row r="411" spans="1:25">
      <c r="A411">
        <v>410</v>
      </c>
      <c r="B411" s="1">
        <v>381.98998999999998</v>
      </c>
      <c r="C411" s="1">
        <v>1534.549927</v>
      </c>
      <c r="D411" s="1">
        <v>18.649999999999999</v>
      </c>
      <c r="E411" s="1">
        <v>-59.149997999999997</v>
      </c>
      <c r="F411" s="1">
        <v>2299.219971</v>
      </c>
      <c r="G411" s="1">
        <v>8.1999999999999993</v>
      </c>
      <c r="H411" s="1">
        <v>0</v>
      </c>
      <c r="I411" s="1">
        <v>-1E-4</v>
      </c>
      <c r="J411" s="1">
        <v>2.0013999999999998</v>
      </c>
      <c r="K411" s="1">
        <v>-2.1879999999999998E-3</v>
      </c>
      <c r="L411" s="1">
        <v>2.0309999999999998E-3</v>
      </c>
      <c r="M411" s="1">
        <v>0.73730600000000002</v>
      </c>
      <c r="N411" s="1">
        <v>0.67555200000000004</v>
      </c>
      <c r="O411">
        <v>1</v>
      </c>
      <c r="P411">
        <v>0</v>
      </c>
      <c r="Q411">
        <v>1</v>
      </c>
      <c r="R411">
        <v>1</v>
      </c>
      <c r="S411">
        <v>1</v>
      </c>
      <c r="T411" s="1">
        <f>SQRT(POWER(Batmobile[[#This Row],[angvel_X]],2) + POWER(Batmobile[[#This Row],[angvel_Y]],2) + POWER(Batmobile[[#This Row],[angvel_Z]],2))</f>
        <v>2.0014000024982508</v>
      </c>
      <c r="U411" s="1">
        <f>DEGREES(ASIN(MAX(-1,MIN(1,2 * (Batmobile[[#This Row],[quart_W]]*Batmobile[[#This Row],[quart_Y]] - Batmobile[[#This Row],[quart_Z]]*Batmobile[[#This Row],[quart_X]])))))</f>
        <v>0.34208896379434017</v>
      </c>
      <c r="V41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-5.0054282443391314</v>
      </c>
      <c r="W41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89.997781386512429</v>
      </c>
      <c r="X411" s="1">
        <f>IF(Batmobile[[#This Row],[Yaw]]&gt;V410,(360-ABS(Batmobile[[#This Row],[Yaw]])-ABS(V410)),ABS(Batmobile[[#This Row],[Yaw]]-V410))</f>
        <v>0.95541366289196006</v>
      </c>
      <c r="Y411" s="1">
        <f>Batmobile[[#This Row],[Degree change]]+Y410</f>
        <v>334.1559723210122</v>
      </c>
    </row>
    <row r="412" spans="1:25">
      <c r="A412">
        <v>411</v>
      </c>
      <c r="B412" s="1">
        <v>381.48998999999998</v>
      </c>
      <c r="C412" s="1">
        <v>1553.7799070000001</v>
      </c>
      <c r="D412" s="1">
        <v>18.649999999999999</v>
      </c>
      <c r="E412" s="1">
        <v>-97.479996</v>
      </c>
      <c r="F412" s="1">
        <v>2297.9099120000001</v>
      </c>
      <c r="G412" s="1">
        <v>8.1999999999999993</v>
      </c>
      <c r="H412" s="1">
        <v>0</v>
      </c>
      <c r="I412" s="1">
        <v>-1E-4</v>
      </c>
      <c r="J412" s="1">
        <v>2.0013999999999998</v>
      </c>
      <c r="K412" s="1">
        <v>-2.2039999999999998E-3</v>
      </c>
      <c r="L412" s="1">
        <v>2.0149999999999999E-3</v>
      </c>
      <c r="M412" s="1">
        <v>0.74291300000000005</v>
      </c>
      <c r="N412" s="1">
        <v>0.669381</v>
      </c>
      <c r="O412">
        <v>1</v>
      </c>
      <c r="P412">
        <v>0</v>
      </c>
      <c r="Q412">
        <v>1</v>
      </c>
      <c r="R412">
        <v>1</v>
      </c>
      <c r="S412">
        <v>1</v>
      </c>
      <c r="T412" s="1">
        <f>SQRT(POWER(Batmobile[[#This Row],[angvel_X]],2) + POWER(Batmobile[[#This Row],[angvel_Y]],2) + POWER(Batmobile[[#This Row],[angvel_Z]],2))</f>
        <v>2.0014000024982508</v>
      </c>
      <c r="U412" s="1">
        <f>DEGREES(ASIN(MAX(-1,MIN(1,2 * (Batmobile[[#This Row],[quart_W]]*Batmobile[[#This Row],[quart_Y]] - Batmobile[[#This Row],[quart_Z]]*Batmobile[[#This Row],[quart_X]])))))</f>
        <v>0.34219339603800603</v>
      </c>
      <c r="V41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-5.9608838567580156</v>
      </c>
      <c r="W41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89.997518593447978</v>
      </c>
      <c r="X412" s="1">
        <f>IF(Batmobile[[#This Row],[Yaw]]&gt;V411,(360-ABS(Batmobile[[#This Row],[Yaw]])-ABS(V411)),ABS(Batmobile[[#This Row],[Yaw]]-V411))</f>
        <v>0.95545561241888421</v>
      </c>
      <c r="Y412" s="1">
        <f>Batmobile[[#This Row],[Degree change]]+Y411</f>
        <v>335.11142793343106</v>
      </c>
    </row>
    <row r="413" spans="1:25">
      <c r="A413">
        <v>412</v>
      </c>
      <c r="B413" s="1">
        <v>380.669983</v>
      </c>
      <c r="C413" s="1">
        <v>1573</v>
      </c>
      <c r="D413" s="1">
        <v>18.649999999999999</v>
      </c>
      <c r="E413" s="1">
        <v>-135.78999300000001</v>
      </c>
      <c r="F413" s="1">
        <v>2295.969971</v>
      </c>
      <c r="G413" s="1">
        <v>8.1999999999999993</v>
      </c>
      <c r="H413" s="1">
        <v>0</v>
      </c>
      <c r="I413" s="1">
        <v>-2.0000000000000001E-4</v>
      </c>
      <c r="J413" s="1">
        <v>2.0013999999999998</v>
      </c>
      <c r="K413" s="1">
        <v>-2.2200000000000002E-3</v>
      </c>
      <c r="L413" s="1">
        <v>1.9989999999999999E-3</v>
      </c>
      <c r="M413" s="1">
        <v>0.748471</v>
      </c>
      <c r="N413" s="1">
        <v>0.663161</v>
      </c>
      <c r="O413">
        <v>1</v>
      </c>
      <c r="P413">
        <v>0</v>
      </c>
      <c r="Q413">
        <v>1</v>
      </c>
      <c r="R413">
        <v>1</v>
      </c>
      <c r="S413">
        <v>1</v>
      </c>
      <c r="T413" s="1">
        <f>SQRT(POWER(Batmobile[[#This Row],[angvel_X]],2) + POWER(Batmobile[[#This Row],[angvel_Y]],2) + POWER(Batmobile[[#This Row],[angvel_Z]],2))</f>
        <v>2.0014000099930045</v>
      </c>
      <c r="U413" s="1">
        <f>DEGREES(ASIN(MAX(-1,MIN(1,2 * (Batmobile[[#This Row],[quart_W]]*Batmobile[[#This Row],[quart_Y]] - Batmobile[[#This Row],[quart_Z]]*Batmobile[[#This Row],[quart_X]])))))</f>
        <v>0.34231732810345677</v>
      </c>
      <c r="V41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-6.9167916151599904</v>
      </c>
      <c r="W41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89.997252491252681</v>
      </c>
      <c r="X413" s="1">
        <f>IF(Batmobile[[#This Row],[Yaw]]&gt;V412,(360-ABS(Batmobile[[#This Row],[Yaw]])-ABS(V412)),ABS(Batmobile[[#This Row],[Yaw]]-V412))</f>
        <v>0.95590775840197484</v>
      </c>
      <c r="Y413" s="1">
        <f>Batmobile[[#This Row],[Degree change]]+Y412</f>
        <v>336.06733569183302</v>
      </c>
    </row>
    <row r="414" spans="1:25">
      <c r="A414">
        <v>413</v>
      </c>
      <c r="B414" s="1">
        <v>379.52999899999998</v>
      </c>
      <c r="C414" s="1">
        <v>1592.1999510000001</v>
      </c>
      <c r="D414" s="1">
        <v>18.649999999999999</v>
      </c>
      <c r="E414" s="1">
        <v>-174.05999800000001</v>
      </c>
      <c r="F414" s="1">
        <v>2293.3798830000001</v>
      </c>
      <c r="G414" s="1">
        <v>8.1999999999999993</v>
      </c>
      <c r="H414" s="1">
        <v>0</v>
      </c>
      <c r="I414" s="1">
        <v>-2.0000000000000001E-4</v>
      </c>
      <c r="J414" s="1">
        <v>2.0013999999999998</v>
      </c>
      <c r="K414" s="1">
        <v>-2.2360000000000001E-3</v>
      </c>
      <c r="L414" s="1">
        <v>1.977E-3</v>
      </c>
      <c r="M414" s="1">
        <v>0.75397400000000003</v>
      </c>
      <c r="N414" s="1">
        <v>0.65689699999999995</v>
      </c>
      <c r="O414">
        <v>1</v>
      </c>
      <c r="P414">
        <v>0</v>
      </c>
      <c r="Q414">
        <v>1</v>
      </c>
      <c r="R414">
        <v>1</v>
      </c>
      <c r="S414">
        <v>1</v>
      </c>
      <c r="T414" s="1">
        <f>SQRT(POWER(Batmobile[[#This Row],[angvel_X]],2) + POWER(Batmobile[[#This Row],[angvel_Y]],2) + POWER(Batmobile[[#This Row],[angvel_Z]],2))</f>
        <v>2.0014000099930045</v>
      </c>
      <c r="U414" s="1">
        <f>DEGREES(ASIN(MAX(-1,MIN(1,2 * (Batmobile[[#This Row],[quart_W]]*Batmobile[[#This Row],[quart_Y]] - Batmobile[[#This Row],[quart_Z]]*Batmobile[[#This Row],[quart_X]])))))</f>
        <v>0.34200870163401215</v>
      </c>
      <c r="V41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-7.872200434082103</v>
      </c>
      <c r="W41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89.997503589182628</v>
      </c>
      <c r="X414" s="1">
        <f>IF(Batmobile[[#This Row],[Yaw]]&gt;V413,(360-ABS(Batmobile[[#This Row],[Yaw]])-ABS(V413)),ABS(Batmobile[[#This Row],[Yaw]]-V413))</f>
        <v>0.9554088189221126</v>
      </c>
      <c r="Y414" s="1">
        <f>Batmobile[[#This Row],[Degree change]]+Y413</f>
        <v>337.02274451075516</v>
      </c>
    </row>
    <row r="415" spans="1:25">
      <c r="A415">
        <v>414</v>
      </c>
      <c r="B415" s="1">
        <v>378.06997699999999</v>
      </c>
      <c r="C415" s="1">
        <v>1611.380005</v>
      </c>
      <c r="D415" s="1">
        <v>18.649999999999999</v>
      </c>
      <c r="E415" s="1">
        <v>-212.279999</v>
      </c>
      <c r="F415" s="1">
        <v>2290.1599120000001</v>
      </c>
      <c r="G415" s="1">
        <v>8.1999999999999993</v>
      </c>
      <c r="H415" s="1">
        <v>0</v>
      </c>
      <c r="I415" s="1">
        <v>-2.0000000000000001E-4</v>
      </c>
      <c r="J415" s="1">
        <v>2.0013999999999998</v>
      </c>
      <c r="K415" s="1">
        <v>-2.2520000000000001E-3</v>
      </c>
      <c r="L415" s="1">
        <v>1.9559999999999998E-3</v>
      </c>
      <c r="M415" s="1">
        <v>0.75942699999999996</v>
      </c>
      <c r="N415" s="1">
        <v>0.65058499999999997</v>
      </c>
      <c r="O415">
        <v>1</v>
      </c>
      <c r="P415">
        <v>0</v>
      </c>
      <c r="Q415">
        <v>1</v>
      </c>
      <c r="R415">
        <v>1</v>
      </c>
      <c r="S415">
        <v>1</v>
      </c>
      <c r="T415" s="1">
        <f>SQRT(POWER(Batmobile[[#This Row],[angvel_X]],2) + POWER(Batmobile[[#This Row],[angvel_Y]],2) + POWER(Batmobile[[#This Row],[angvel_Z]],2))</f>
        <v>2.0014000099930045</v>
      </c>
      <c r="U415" s="1">
        <f>DEGREES(ASIN(MAX(-1,MIN(1,2 * (Batmobile[[#This Row],[quart_W]]*Batmobile[[#This Row],[quart_Y]] - Batmobile[[#This Row],[quart_Z]]*Batmobile[[#This Row],[quart_X]])))))</f>
        <v>0.3418027346509635</v>
      </c>
      <c r="V41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-8.8280301385918261</v>
      </c>
      <c r="W41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89.997671252734023</v>
      </c>
      <c r="X415" s="1">
        <f>IF(Batmobile[[#This Row],[Yaw]]&gt;V414,(360-ABS(Batmobile[[#This Row],[Yaw]])-ABS(V414)),ABS(Batmobile[[#This Row],[Yaw]]-V414))</f>
        <v>0.95582970450972304</v>
      </c>
      <c r="Y415" s="1">
        <f>Batmobile[[#This Row],[Degree change]]+Y414</f>
        <v>337.97857421526487</v>
      </c>
    </row>
    <row r="416" spans="1:25">
      <c r="A416">
        <v>415</v>
      </c>
      <c r="B416" s="1">
        <v>376.28997800000002</v>
      </c>
      <c r="C416" s="1">
        <v>1630.5299070000001</v>
      </c>
      <c r="D416" s="1">
        <v>18.649999999999999</v>
      </c>
      <c r="E416" s="1">
        <v>-250.439987</v>
      </c>
      <c r="F416" s="1">
        <v>2286.3000489999999</v>
      </c>
      <c r="G416" s="1">
        <v>8.1999999999999993</v>
      </c>
      <c r="H416" s="1">
        <v>0</v>
      </c>
      <c r="I416" s="1">
        <v>-2.0000000000000001E-4</v>
      </c>
      <c r="J416" s="1">
        <v>2.0013999999999998</v>
      </c>
      <c r="K416" s="1">
        <v>-2.2690000000000002E-3</v>
      </c>
      <c r="L416" s="1">
        <v>1.934E-3</v>
      </c>
      <c r="M416" s="1">
        <v>0.76482600000000001</v>
      </c>
      <c r="N416" s="1">
        <v>0.64422999999999997</v>
      </c>
      <c r="O416">
        <v>1</v>
      </c>
      <c r="P416">
        <v>0</v>
      </c>
      <c r="Q416">
        <v>1</v>
      </c>
      <c r="R416">
        <v>1</v>
      </c>
      <c r="S416">
        <v>1</v>
      </c>
      <c r="T416" s="1">
        <f>SQRT(POWER(Batmobile[[#This Row],[angvel_X]],2) + POWER(Batmobile[[#This Row],[angvel_Y]],2) + POWER(Batmobile[[#This Row],[angvel_Z]],2))</f>
        <v>2.0014000099930045</v>
      </c>
      <c r="U416" s="1">
        <f>DEGREES(ASIN(MAX(-1,MIN(1,2 * (Batmobile[[#This Row],[quart_W]]*Batmobile[[#This Row],[quart_Y]] - Batmobile[[#This Row],[quart_Z]]*Batmobile[[#This Row],[quart_X]])))))</f>
        <v>0.341637393279355</v>
      </c>
      <c r="V41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-9.7836400421355219</v>
      </c>
      <c r="W41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89.998004282162412</v>
      </c>
      <c r="X416" s="1">
        <f>IF(Batmobile[[#This Row],[Yaw]]&gt;V415,(360-ABS(Batmobile[[#This Row],[Yaw]])-ABS(V415)),ABS(Batmobile[[#This Row],[Yaw]]-V415))</f>
        <v>0.95560990354369579</v>
      </c>
      <c r="Y416" s="1">
        <f>Batmobile[[#This Row],[Degree change]]+Y415</f>
        <v>338.93418411880856</v>
      </c>
    </row>
    <row r="417" spans="1:25">
      <c r="A417">
        <v>416</v>
      </c>
      <c r="B417" s="1">
        <v>374.19000199999999</v>
      </c>
      <c r="C417" s="1">
        <v>1649.6499020000001</v>
      </c>
      <c r="D417" s="1">
        <v>18.649999999999999</v>
      </c>
      <c r="E417" s="1">
        <v>-288.540009</v>
      </c>
      <c r="F417" s="1">
        <v>2281.8100589999999</v>
      </c>
      <c r="G417" s="1">
        <v>8.1999999999999993</v>
      </c>
      <c r="H417" s="1">
        <v>0</v>
      </c>
      <c r="I417" s="1">
        <v>-2.0000000000000001E-4</v>
      </c>
      <c r="J417" s="1">
        <v>2.0013999999999998</v>
      </c>
      <c r="K417" s="1">
        <v>-2.2850000000000001E-3</v>
      </c>
      <c r="L417" s="1">
        <v>1.9120000000000001E-3</v>
      </c>
      <c r="M417" s="1">
        <v>0.77017000000000002</v>
      </c>
      <c r="N417" s="1">
        <v>0.63783199999999995</v>
      </c>
      <c r="O417">
        <v>1</v>
      </c>
      <c r="P417">
        <v>0</v>
      </c>
      <c r="Q417">
        <v>1</v>
      </c>
      <c r="R417">
        <v>1</v>
      </c>
      <c r="S417">
        <v>1</v>
      </c>
      <c r="T417" s="1">
        <f>SQRT(POWER(Batmobile[[#This Row],[angvel_X]],2) + POWER(Batmobile[[#This Row],[angvel_Y]],2) + POWER(Batmobile[[#This Row],[angvel_Z]],2))</f>
        <v>2.0014000099930045</v>
      </c>
      <c r="U417" s="1">
        <f>DEGREES(ASIN(MAX(-1,MIN(1,2 * (Batmobile[[#This Row],[quart_W]]*Batmobile[[#This Row],[quart_Y]] - Batmobile[[#This Row],[quart_Z]]*Batmobile[[#This Row],[quart_X]])))))</f>
        <v>0.34141304423132884</v>
      </c>
      <c r="V41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-10.73892890008567</v>
      </c>
      <c r="W41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89.998267468627688</v>
      </c>
      <c r="X417" s="1">
        <f>IF(Batmobile[[#This Row],[Yaw]]&gt;V416,(360-ABS(Batmobile[[#This Row],[Yaw]])-ABS(V416)),ABS(Batmobile[[#This Row],[Yaw]]-V416))</f>
        <v>0.95528885795014773</v>
      </c>
      <c r="Y417" s="1">
        <f>Batmobile[[#This Row],[Degree change]]+Y416</f>
        <v>339.88947297675873</v>
      </c>
    </row>
    <row r="418" spans="1:25">
      <c r="A418">
        <v>417</v>
      </c>
      <c r="B418" s="1">
        <v>371.76998900000001</v>
      </c>
      <c r="C418" s="1">
        <v>1668.7299800000001</v>
      </c>
      <c r="D418" s="1">
        <v>18.649999999999999</v>
      </c>
      <c r="E418" s="1">
        <v>-326.54998799999998</v>
      </c>
      <c r="F418" s="1">
        <v>2276.679932</v>
      </c>
      <c r="G418" s="1">
        <v>8.1999999999999993</v>
      </c>
      <c r="H418" s="1">
        <v>0</v>
      </c>
      <c r="I418" s="1">
        <v>-2.0000000000000001E-4</v>
      </c>
      <c r="J418" s="1">
        <v>2.0013999999999998</v>
      </c>
      <c r="K418" s="1">
        <v>-2.3010000000000001E-3</v>
      </c>
      <c r="L418" s="1">
        <v>1.8910000000000001E-3</v>
      </c>
      <c r="M418" s="1">
        <v>0.77546400000000004</v>
      </c>
      <c r="N418" s="1">
        <v>0.63138499999999997</v>
      </c>
      <c r="O418">
        <v>1</v>
      </c>
      <c r="P418">
        <v>0</v>
      </c>
      <c r="Q418">
        <v>1</v>
      </c>
      <c r="R418">
        <v>1</v>
      </c>
      <c r="S418">
        <v>1</v>
      </c>
      <c r="T418" s="1">
        <f>SQRT(POWER(Batmobile[[#This Row],[angvel_X]],2) + POWER(Batmobile[[#This Row],[angvel_Y]],2) + POWER(Batmobile[[#This Row],[angvel_Z]],2))</f>
        <v>2.0014000099930045</v>
      </c>
      <c r="U418" s="1">
        <f>DEGREES(ASIN(MAX(-1,MIN(1,2 * (Batmobile[[#This Row],[quart_W]]*Batmobile[[#This Row],[quart_Y]] - Batmobile[[#This Row],[quart_Z]]*Batmobile[[#This Row],[quart_X]])))))</f>
        <v>0.34128910725002254</v>
      </c>
      <c r="V41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-11.694863259894547</v>
      </c>
      <c r="W41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89.998443184286756</v>
      </c>
      <c r="X418" s="1">
        <f>IF(Batmobile[[#This Row],[Yaw]]&gt;V417,(360-ABS(Batmobile[[#This Row],[Yaw]])-ABS(V417)),ABS(Batmobile[[#This Row],[Yaw]]-V417))</f>
        <v>0.95593435980887698</v>
      </c>
      <c r="Y418" s="1">
        <f>Batmobile[[#This Row],[Degree change]]+Y417</f>
        <v>340.84540733656758</v>
      </c>
    </row>
    <row r="419" spans="1:25">
      <c r="A419">
        <v>418</v>
      </c>
      <c r="B419" s="1">
        <v>369.02999899999998</v>
      </c>
      <c r="C419" s="1">
        <v>1687.7700199999999</v>
      </c>
      <c r="D419" s="1">
        <v>18.649999999999999</v>
      </c>
      <c r="E419" s="1">
        <v>-364.47000100000002</v>
      </c>
      <c r="F419" s="1">
        <v>2270.919922</v>
      </c>
      <c r="G419" s="1">
        <v>8.1999999999999993</v>
      </c>
      <c r="H419" s="1">
        <v>0</v>
      </c>
      <c r="I419" s="1">
        <v>-2.0000000000000001E-4</v>
      </c>
      <c r="J419" s="1">
        <v>2.0013999999999998</v>
      </c>
      <c r="K419" s="1">
        <v>-2.317E-3</v>
      </c>
      <c r="L419" s="1">
        <v>1.869E-3</v>
      </c>
      <c r="M419" s="1">
        <v>0.78070300000000004</v>
      </c>
      <c r="N419" s="1">
        <v>0.62489499999999998</v>
      </c>
      <c r="O419">
        <v>1</v>
      </c>
      <c r="P419">
        <v>0</v>
      </c>
      <c r="Q419">
        <v>1</v>
      </c>
      <c r="R419">
        <v>1</v>
      </c>
      <c r="S419">
        <v>1</v>
      </c>
      <c r="T419" s="1">
        <f>SQRT(POWER(Batmobile[[#This Row],[angvel_X]],2) + POWER(Batmobile[[#This Row],[angvel_Y]],2) + POWER(Batmobile[[#This Row],[angvel_Z]],2))</f>
        <v>2.0014000099930045</v>
      </c>
      <c r="U419" s="1">
        <f>DEGREES(ASIN(MAX(-1,MIN(1,2 * (Batmobile[[#This Row],[quart_W]]*Batmobile[[#This Row],[quart_Y]] - Batmobile[[#This Row],[quart_Z]]*Batmobile[[#This Row],[quart_X]])))))</f>
        <v>0.34112018563971513</v>
      </c>
      <c r="V41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-12.65061446761049</v>
      </c>
      <c r="W41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89.998710570923535</v>
      </c>
      <c r="X419" s="1">
        <f>IF(Batmobile[[#This Row],[Yaw]]&gt;V418,(360-ABS(Batmobile[[#This Row],[Yaw]])-ABS(V418)),ABS(Batmobile[[#This Row],[Yaw]]-V418))</f>
        <v>0.95575120771594335</v>
      </c>
      <c r="Y419" s="1">
        <f>Batmobile[[#This Row],[Degree change]]+Y418</f>
        <v>341.80115854428351</v>
      </c>
    </row>
    <row r="420" spans="1:25">
      <c r="A420">
        <v>419</v>
      </c>
      <c r="B420" s="1">
        <v>365.97998000000001</v>
      </c>
      <c r="C420" s="1">
        <v>1706.76001</v>
      </c>
      <c r="D420" s="1">
        <v>18.649999999999999</v>
      </c>
      <c r="E420" s="1">
        <v>-402.28997800000002</v>
      </c>
      <c r="F420" s="1">
        <v>2264.5200199999999</v>
      </c>
      <c r="G420" s="1">
        <v>8.1999999999999993</v>
      </c>
      <c r="H420" s="1">
        <v>0</v>
      </c>
      <c r="I420" s="1">
        <v>-2.0000000000000001E-4</v>
      </c>
      <c r="J420" s="1">
        <v>2.0013999999999998</v>
      </c>
      <c r="K420" s="1">
        <v>-2.333E-3</v>
      </c>
      <c r="L420" s="1">
        <v>1.848E-3</v>
      </c>
      <c r="M420" s="1">
        <v>0.78588800000000003</v>
      </c>
      <c r="N420" s="1">
        <v>0.61836199999999997</v>
      </c>
      <c r="O420">
        <v>1</v>
      </c>
      <c r="P420">
        <v>0</v>
      </c>
      <c r="Q420">
        <v>1</v>
      </c>
      <c r="R420">
        <v>1</v>
      </c>
      <c r="S420">
        <v>1</v>
      </c>
      <c r="T420" s="1">
        <f>SQRT(POWER(Batmobile[[#This Row],[angvel_X]],2) + POWER(Batmobile[[#This Row],[angvel_Y]],2) + POWER(Batmobile[[#This Row],[angvel_Z]],2))</f>
        <v>2.0014000099930045</v>
      </c>
      <c r="U420" s="1">
        <f>DEGREES(ASIN(MAX(-1,MIN(1,2 * (Batmobile[[#This Row],[quart_W]]*Batmobile[[#This Row],[quart_Y]] - Batmobile[[#This Row],[quart_Z]]*Batmobile[[#This Row],[quart_X]])))))</f>
        <v>0.34105052121718921</v>
      </c>
      <c r="V42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-13.60640629779504</v>
      </c>
      <c r="W42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89.998890450094109</v>
      </c>
      <c r="X420" s="1">
        <f>IF(Batmobile[[#This Row],[Yaw]]&gt;V419,(360-ABS(Batmobile[[#This Row],[Yaw]])-ABS(V419)),ABS(Batmobile[[#This Row],[Yaw]]-V419))</f>
        <v>0.95579183018455005</v>
      </c>
      <c r="Y420" s="1">
        <f>Batmobile[[#This Row],[Degree change]]+Y419</f>
        <v>342.75695037446803</v>
      </c>
    </row>
    <row r="421" spans="1:25">
      <c r="A421">
        <v>420</v>
      </c>
      <c r="B421" s="1">
        <v>362.60998499999999</v>
      </c>
      <c r="C421" s="1">
        <v>1725.6999510000001</v>
      </c>
      <c r="D421" s="1">
        <v>18.649999999999999</v>
      </c>
      <c r="E421" s="1">
        <v>-440</v>
      </c>
      <c r="F421" s="1">
        <v>2257.5</v>
      </c>
      <c r="G421" s="1">
        <v>8.1999999999999993</v>
      </c>
      <c r="H421" s="1">
        <v>0</v>
      </c>
      <c r="I421" s="1">
        <v>-2.0000000000000001E-4</v>
      </c>
      <c r="J421" s="1">
        <v>2.0013999999999998</v>
      </c>
      <c r="K421" s="1">
        <v>-2.349E-3</v>
      </c>
      <c r="L421" s="1">
        <v>1.8259999999999999E-3</v>
      </c>
      <c r="M421" s="1">
        <v>0.791018</v>
      </c>
      <c r="N421" s="1">
        <v>0.61178600000000005</v>
      </c>
      <c r="O421">
        <v>1</v>
      </c>
      <c r="P421">
        <v>0</v>
      </c>
      <c r="Q421">
        <v>1</v>
      </c>
      <c r="R421">
        <v>1</v>
      </c>
      <c r="S421">
        <v>1</v>
      </c>
      <c r="T421" s="1">
        <f>SQRT(POWER(Batmobile[[#This Row],[angvel_X]],2) + POWER(Batmobile[[#This Row],[angvel_Y]],2) + POWER(Batmobile[[#This Row],[angvel_Z]],2))</f>
        <v>2.0014000099930045</v>
      </c>
      <c r="U421" s="1">
        <f>DEGREES(ASIN(MAX(-1,MIN(1,2 * (Batmobile[[#This Row],[quart_W]]*Batmobile[[#This Row],[quart_Y]] - Batmobile[[#This Row],[quart_Z]]*Batmobile[[#This Row],[quart_X]])))))</f>
        <v>0.34093739878120738</v>
      </c>
      <c r="V42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-14.562144490617841</v>
      </c>
      <c r="W42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89.999161913607566</v>
      </c>
      <c r="X421" s="1">
        <f>IF(Batmobile[[#This Row],[Yaw]]&gt;V420,(360-ABS(Batmobile[[#This Row],[Yaw]])-ABS(V420)),ABS(Batmobile[[#This Row],[Yaw]]-V420))</f>
        <v>0.95573819282280148</v>
      </c>
      <c r="Y421" s="1">
        <f>Batmobile[[#This Row],[Degree change]]+Y420</f>
        <v>343.71268856729085</v>
      </c>
    </row>
    <row r="422" spans="1:25">
      <c r="A422">
        <v>421</v>
      </c>
      <c r="B422" s="1">
        <v>358.92999300000002</v>
      </c>
      <c r="C422" s="1">
        <v>1744.579956</v>
      </c>
      <c r="D422" s="1">
        <v>18.649999999999999</v>
      </c>
      <c r="E422" s="1">
        <v>-477.58999599999999</v>
      </c>
      <c r="F422" s="1">
        <v>2249.8498540000001</v>
      </c>
      <c r="G422" s="1">
        <v>8.1999999999999993</v>
      </c>
      <c r="H422" s="1">
        <v>-1E-4</v>
      </c>
      <c r="I422" s="1">
        <v>-2.0000000000000001E-4</v>
      </c>
      <c r="J422" s="1">
        <v>2.0013999999999998</v>
      </c>
      <c r="K422" s="1">
        <v>-2.366E-3</v>
      </c>
      <c r="L422" s="1">
        <v>1.805E-3</v>
      </c>
      <c r="M422" s="1">
        <v>0.79609300000000005</v>
      </c>
      <c r="N422" s="1">
        <v>0.60516599999999998</v>
      </c>
      <c r="O422">
        <v>1</v>
      </c>
      <c r="P422">
        <v>0</v>
      </c>
      <c r="Q422">
        <v>1</v>
      </c>
      <c r="R422">
        <v>1</v>
      </c>
      <c r="S422">
        <v>1</v>
      </c>
      <c r="T422" s="1">
        <f>SQRT(POWER(Batmobile[[#This Row],[angvel_X]],2) + POWER(Batmobile[[#This Row],[angvel_Y]],2) + POWER(Batmobile[[#This Row],[angvel_Z]],2))</f>
        <v>2.0014000124912559</v>
      </c>
      <c r="U422" s="1">
        <f>DEGREES(ASIN(MAX(-1,MIN(1,2 * (Batmobile[[#This Row],[quart_W]]*Batmobile[[#This Row],[quart_Y]] - Batmobile[[#This Row],[quart_Z]]*Batmobile[[#This Row],[quart_X]])))))</f>
        <v>0.3410128185513116</v>
      </c>
      <c r="V42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-15.517922211891111</v>
      </c>
      <c r="W42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89.999412695367212</v>
      </c>
      <c r="X422" s="1">
        <f>IF(Batmobile[[#This Row],[Yaw]]&gt;V421,(360-ABS(Batmobile[[#This Row],[Yaw]])-ABS(V421)),ABS(Batmobile[[#This Row],[Yaw]]-V421))</f>
        <v>0.95577772127326988</v>
      </c>
      <c r="Y422" s="1">
        <f>Batmobile[[#This Row],[Degree change]]+Y421</f>
        <v>344.6684662885641</v>
      </c>
    </row>
    <row r="423" spans="1:25">
      <c r="A423">
        <v>422</v>
      </c>
      <c r="B423" s="1">
        <v>354.92999300000002</v>
      </c>
      <c r="C423" s="1">
        <v>1763.3900149999999</v>
      </c>
      <c r="D423" s="1">
        <v>18.649999999999999</v>
      </c>
      <c r="E423" s="1">
        <v>-515.04998799999998</v>
      </c>
      <c r="F423" s="1">
        <v>2241.570068</v>
      </c>
      <c r="G423" s="1">
        <v>8.1999999999999993</v>
      </c>
      <c r="H423" s="1">
        <v>-1E-4</v>
      </c>
      <c r="I423" s="1">
        <v>-2.0000000000000001E-4</v>
      </c>
      <c r="J423" s="1">
        <v>2.0013999999999998</v>
      </c>
      <c r="K423" s="1">
        <v>-2.382E-3</v>
      </c>
      <c r="L423" s="1">
        <v>1.7830000000000001E-3</v>
      </c>
      <c r="M423" s="1">
        <v>0.80110999999999999</v>
      </c>
      <c r="N423" s="1">
        <v>0.59850899999999996</v>
      </c>
      <c r="O423">
        <v>1</v>
      </c>
      <c r="P423">
        <v>0</v>
      </c>
      <c r="Q423">
        <v>1</v>
      </c>
      <c r="R423">
        <v>1</v>
      </c>
      <c r="S423">
        <v>1</v>
      </c>
      <c r="T423" s="1">
        <f>SQRT(POWER(Batmobile[[#This Row],[angvel_X]],2) + POWER(Batmobile[[#This Row],[angvel_Y]],2) + POWER(Batmobile[[#This Row],[angvel_Z]],2))</f>
        <v>2.0014000124912559</v>
      </c>
      <c r="U423" s="1">
        <f>DEGREES(ASIN(MAX(-1,MIN(1,2 * (Batmobile[[#This Row],[quart_W]]*Batmobile[[#This Row],[quart_Y]] - Batmobile[[#This Row],[quart_Z]]*Batmobile[[#This Row],[quart_X]])))))</f>
        <v>0.34095608315112236</v>
      </c>
      <c r="V42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-16.473160589554652</v>
      </c>
      <c r="W42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89.999687080205945</v>
      </c>
      <c r="X423" s="1">
        <f>IF(Batmobile[[#This Row],[Yaw]]&gt;V422,(360-ABS(Batmobile[[#This Row],[Yaw]])-ABS(V422)),ABS(Batmobile[[#This Row],[Yaw]]-V422))</f>
        <v>0.95523837766354092</v>
      </c>
      <c r="Y423" s="1">
        <f>Batmobile[[#This Row],[Degree change]]+Y422</f>
        <v>345.62370466622764</v>
      </c>
    </row>
    <row r="424" spans="1:25">
      <c r="A424">
        <v>423</v>
      </c>
      <c r="B424" s="1">
        <v>350.61999500000002</v>
      </c>
      <c r="C424" s="1">
        <v>1782.1400149999999</v>
      </c>
      <c r="D424" s="1">
        <v>18.649999999999999</v>
      </c>
      <c r="E424" s="1">
        <v>-552.35998500000005</v>
      </c>
      <c r="F424" s="1">
        <v>2232.669922</v>
      </c>
      <c r="G424" s="1">
        <v>8.1999999999999993</v>
      </c>
      <c r="H424" s="1">
        <v>-1E-4</v>
      </c>
      <c r="I424" s="1">
        <v>-1E-4</v>
      </c>
      <c r="J424" s="1">
        <v>2.0013999999999998</v>
      </c>
      <c r="K424" s="1">
        <v>-2.398E-3</v>
      </c>
      <c r="L424" s="1">
        <v>1.761E-3</v>
      </c>
      <c r="M424" s="1">
        <v>0.80607300000000004</v>
      </c>
      <c r="N424" s="1">
        <v>0.59180900000000003</v>
      </c>
      <c r="O424">
        <v>1</v>
      </c>
      <c r="P424">
        <v>0</v>
      </c>
      <c r="Q424">
        <v>1</v>
      </c>
      <c r="R424">
        <v>1</v>
      </c>
      <c r="S424">
        <v>1</v>
      </c>
      <c r="T424" s="1">
        <f>SQRT(POWER(Batmobile[[#This Row],[angvel_X]],2) + POWER(Batmobile[[#This Row],[angvel_Y]],2) + POWER(Batmobile[[#This Row],[angvel_Z]],2))</f>
        <v>2.0014000049965022</v>
      </c>
      <c r="U424" s="1">
        <f>DEGREES(ASIN(MAX(-1,MIN(1,2 * (Batmobile[[#This Row],[quart_W]]*Batmobile[[#This Row],[quart_Y]] - Batmobile[[#This Row],[quart_Z]]*Batmobile[[#This Row],[quart_X]])))))</f>
        <v>0.34092779411965102</v>
      </c>
      <c r="V42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-17.428697536637525</v>
      </c>
      <c r="W42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89.999961431121605</v>
      </c>
      <c r="X424" s="1">
        <f>IF(Batmobile[[#This Row],[Yaw]]&gt;V423,(360-ABS(Batmobile[[#This Row],[Yaw]])-ABS(V423)),ABS(Batmobile[[#This Row],[Yaw]]-V423))</f>
        <v>0.95553694708287296</v>
      </c>
      <c r="Y424" s="1">
        <f>Batmobile[[#This Row],[Degree change]]+Y423</f>
        <v>346.5792416133105</v>
      </c>
    </row>
    <row r="425" spans="1:25">
      <c r="A425">
        <v>424</v>
      </c>
      <c r="B425" s="1">
        <v>346</v>
      </c>
      <c r="C425" s="1">
        <v>1800.809937</v>
      </c>
      <c r="D425" s="1">
        <v>18.649999999999999</v>
      </c>
      <c r="E425" s="1">
        <v>-589.51995799999997</v>
      </c>
      <c r="F425" s="1">
        <v>2223.139893</v>
      </c>
      <c r="G425" s="1">
        <v>8.1999999999999993</v>
      </c>
      <c r="H425" s="1">
        <v>-1E-4</v>
      </c>
      <c r="I425" s="1">
        <v>-1E-4</v>
      </c>
      <c r="J425" s="1">
        <v>2.0013999999999998</v>
      </c>
      <c r="K425" s="1">
        <v>-2.4139999999999999E-3</v>
      </c>
      <c r="L425" s="1">
        <v>1.74E-3</v>
      </c>
      <c r="M425" s="1">
        <v>0.81098099999999995</v>
      </c>
      <c r="N425" s="1">
        <v>0.58506499999999995</v>
      </c>
      <c r="O425">
        <v>1</v>
      </c>
      <c r="P425">
        <v>0</v>
      </c>
      <c r="Q425">
        <v>1</v>
      </c>
      <c r="R425">
        <v>1</v>
      </c>
      <c r="S425">
        <v>1</v>
      </c>
      <c r="T425" s="1">
        <f>SQRT(POWER(Batmobile[[#This Row],[angvel_X]],2) + POWER(Batmobile[[#This Row],[angvel_Y]],2) + POWER(Batmobile[[#This Row],[angvel_Z]],2))</f>
        <v>2.0014000049965022</v>
      </c>
      <c r="U425" s="1">
        <f>DEGREES(ASIN(MAX(-1,MIN(1,2 * (Batmobile[[#This Row],[quart_W]]*Batmobile[[#This Row],[quart_Y]] - Batmobile[[#This Row],[quart_Z]]*Batmobile[[#This Row],[quart_X]])))))</f>
        <v>0.34099454843710891</v>
      </c>
      <c r="V42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-18.384478130143158</v>
      </c>
      <c r="W42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90.000142092611895</v>
      </c>
      <c r="X425" s="1">
        <f>IF(Batmobile[[#This Row],[Yaw]]&gt;V424,(360-ABS(Batmobile[[#This Row],[Yaw]])-ABS(V424)),ABS(Batmobile[[#This Row],[Yaw]]-V424))</f>
        <v>0.95578059350563294</v>
      </c>
      <c r="Y425" s="1">
        <f>Batmobile[[#This Row],[Degree change]]+Y424</f>
        <v>347.53502220681611</v>
      </c>
    </row>
    <row r="426" spans="1:25">
      <c r="A426">
        <v>425</v>
      </c>
      <c r="B426" s="1">
        <v>341.07000699999998</v>
      </c>
      <c r="C426" s="1">
        <v>1819.3999020000001</v>
      </c>
      <c r="D426" s="1">
        <v>18.649999999999999</v>
      </c>
      <c r="E426" s="1">
        <v>-626.51995799999997</v>
      </c>
      <c r="F426" s="1">
        <v>2213</v>
      </c>
      <c r="G426" s="1">
        <v>8.1999999999999993</v>
      </c>
      <c r="H426" s="1">
        <v>-1E-4</v>
      </c>
      <c r="I426" s="1">
        <v>0</v>
      </c>
      <c r="J426" s="1">
        <v>2.0013999999999998</v>
      </c>
      <c r="K426" s="1">
        <v>-2.4299999999999999E-3</v>
      </c>
      <c r="L426" s="1">
        <v>1.7179999999999999E-3</v>
      </c>
      <c r="M426" s="1">
        <v>0.81583000000000006</v>
      </c>
      <c r="N426" s="1">
        <v>0.57828400000000002</v>
      </c>
      <c r="O426">
        <v>1</v>
      </c>
      <c r="P426">
        <v>0</v>
      </c>
      <c r="Q426">
        <v>1</v>
      </c>
      <c r="R426">
        <v>1</v>
      </c>
      <c r="S426">
        <v>1</v>
      </c>
      <c r="T426" s="1">
        <f>SQRT(POWER(Batmobile[[#This Row],[angvel_X]],2) + POWER(Batmobile[[#This Row],[angvel_Y]],2) + POWER(Batmobile[[#This Row],[angvel_Z]],2))</f>
        <v>2.0014000024982508</v>
      </c>
      <c r="U426" s="1">
        <f>DEGREES(ASIN(MAX(-1,MIN(1,2 * (Batmobile[[#This Row],[quart_W]]*Batmobile[[#This Row],[quart_Y]] - Batmobile[[#This Row],[quart_Z]]*Batmobile[[#This Row],[quart_X]])))))</f>
        <v>0.34102177335271078</v>
      </c>
      <c r="V42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-19.3397457107456</v>
      </c>
      <c r="W42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90.000416453728562</v>
      </c>
      <c r="X426" s="1">
        <f>IF(Batmobile[[#This Row],[Yaw]]&gt;V425,(360-ABS(Batmobile[[#This Row],[Yaw]])-ABS(V425)),ABS(Batmobile[[#This Row],[Yaw]]-V425))</f>
        <v>0.95526758060244177</v>
      </c>
      <c r="Y426" s="1">
        <f>Batmobile[[#This Row],[Degree change]]+Y425</f>
        <v>348.49028978741853</v>
      </c>
    </row>
    <row r="427" spans="1:25">
      <c r="A427">
        <v>426</v>
      </c>
      <c r="B427" s="1">
        <v>335.82998700000002</v>
      </c>
      <c r="C427" s="1">
        <v>1837.9099120000001</v>
      </c>
      <c r="D427" s="1">
        <v>18.649999999999999</v>
      </c>
      <c r="E427" s="1">
        <v>-663.339966</v>
      </c>
      <c r="F427" s="1">
        <v>2202.25</v>
      </c>
      <c r="G427" s="1">
        <v>8.1999999999999993</v>
      </c>
      <c r="H427" s="1">
        <v>-1E-4</v>
      </c>
      <c r="I427" s="1">
        <v>0</v>
      </c>
      <c r="J427" s="1">
        <v>2.0013999999999998</v>
      </c>
      <c r="K427" s="1">
        <v>-2.447E-3</v>
      </c>
      <c r="L427" s="1">
        <v>1.6969999999999999E-3</v>
      </c>
      <c r="M427" s="1">
        <v>0.82062500000000005</v>
      </c>
      <c r="N427" s="1">
        <v>0.57145900000000005</v>
      </c>
      <c r="O427">
        <v>1</v>
      </c>
      <c r="P427">
        <v>0</v>
      </c>
      <c r="Q427">
        <v>1</v>
      </c>
      <c r="R427">
        <v>1</v>
      </c>
      <c r="S427">
        <v>1</v>
      </c>
      <c r="T427" s="1">
        <f>SQRT(POWER(Batmobile[[#This Row],[angvel_X]],2) + POWER(Batmobile[[#This Row],[angvel_Y]],2) + POWER(Batmobile[[#This Row],[angvel_Z]],2))</f>
        <v>2.0014000024982508</v>
      </c>
      <c r="U427" s="1">
        <f>DEGREES(ASIN(MAX(-1,MIN(1,2 * (Batmobile[[#This Row],[quart_W]]*Batmobile[[#This Row],[quart_Y]] - Batmobile[[#This Row],[quart_Z]]*Batmobile[[#This Row],[quart_X]])))))</f>
        <v>0.34123680662018901</v>
      </c>
      <c r="V42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-20.295553061980296</v>
      </c>
      <c r="W42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90.000660007289966</v>
      </c>
      <c r="X427" s="1">
        <f>IF(Batmobile[[#This Row],[Yaw]]&gt;V426,(360-ABS(Batmobile[[#This Row],[Yaw]])-ABS(V426)),ABS(Batmobile[[#This Row],[Yaw]]-V426))</f>
        <v>0.95580735123469651</v>
      </c>
      <c r="Y427" s="1">
        <f>Batmobile[[#This Row],[Degree change]]+Y426</f>
        <v>349.44609713865322</v>
      </c>
    </row>
    <row r="428" spans="1:25">
      <c r="A428">
        <v>427</v>
      </c>
      <c r="B428" s="1">
        <v>330.27999899999998</v>
      </c>
      <c r="C428" s="1">
        <v>1856.329956</v>
      </c>
      <c r="D428" s="1">
        <v>18.649999999999999</v>
      </c>
      <c r="E428" s="1">
        <v>-699.97997999999995</v>
      </c>
      <c r="F428" s="1">
        <v>2190.8798830000001</v>
      </c>
      <c r="G428" s="1">
        <v>8.1999999999999993</v>
      </c>
      <c r="H428" s="1">
        <v>-1E-4</v>
      </c>
      <c r="I428" s="1">
        <v>0</v>
      </c>
      <c r="J428" s="1">
        <v>2.0013999999999998</v>
      </c>
      <c r="K428" s="1">
        <v>-2.4629999999999999E-3</v>
      </c>
      <c r="L428" s="1">
        <v>1.6750000000000001E-3</v>
      </c>
      <c r="M428" s="1">
        <v>0.82536100000000001</v>
      </c>
      <c r="N428" s="1">
        <v>0.56459700000000002</v>
      </c>
      <c r="O428">
        <v>1</v>
      </c>
      <c r="P428">
        <v>0</v>
      </c>
      <c r="Q428">
        <v>1</v>
      </c>
      <c r="R428">
        <v>1</v>
      </c>
      <c r="S428">
        <v>1</v>
      </c>
      <c r="T428" s="1">
        <f>SQRT(POWER(Batmobile[[#This Row],[angvel_X]],2) + POWER(Batmobile[[#This Row],[angvel_Y]],2) + POWER(Batmobile[[#This Row],[angvel_Z]],2))</f>
        <v>2.0014000024982508</v>
      </c>
      <c r="U428" s="1">
        <f>DEGREES(ASIN(MAX(-1,MIN(1,2 * (Batmobile[[#This Row],[quart_W]]*Batmobile[[#This Row],[quart_Y]] - Batmobile[[#This Row],[quart_Z]]*Batmobile[[#This Row],[quart_X]])))))</f>
        <v>0.34132032472180818</v>
      </c>
      <c r="V42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-21.250974332139883</v>
      </c>
      <c r="W42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90.000930813498059</v>
      </c>
      <c r="X428" s="1">
        <f>IF(Batmobile[[#This Row],[Yaw]]&gt;V427,(360-ABS(Batmobile[[#This Row],[Yaw]])-ABS(V427)),ABS(Batmobile[[#This Row],[Yaw]]-V427))</f>
        <v>0.95542127015958656</v>
      </c>
      <c r="Y428" s="1">
        <f>Batmobile[[#This Row],[Degree change]]+Y427</f>
        <v>350.40151840881282</v>
      </c>
    </row>
    <row r="429" spans="1:25">
      <c r="A429">
        <v>428</v>
      </c>
      <c r="B429" s="1">
        <v>324.419983</v>
      </c>
      <c r="C429" s="1">
        <v>1874.6499020000001</v>
      </c>
      <c r="D429" s="1">
        <v>18.649999999999999</v>
      </c>
      <c r="E429" s="1">
        <v>-736.419983</v>
      </c>
      <c r="F429" s="1">
        <v>2178.8999020000001</v>
      </c>
      <c r="G429" s="1">
        <v>8.1999999999999993</v>
      </c>
      <c r="H429" s="1">
        <v>-1E-4</v>
      </c>
      <c r="I429" s="1">
        <v>0</v>
      </c>
      <c r="J429" s="1">
        <v>2.0013999999999998</v>
      </c>
      <c r="K429" s="1">
        <v>-2.4789999999999999E-3</v>
      </c>
      <c r="L429" s="1">
        <v>1.6540000000000001E-3</v>
      </c>
      <c r="M429" s="1">
        <v>0.83003899999999997</v>
      </c>
      <c r="N429" s="1">
        <v>0.557697</v>
      </c>
      <c r="O429">
        <v>1</v>
      </c>
      <c r="P429">
        <v>0</v>
      </c>
      <c r="Q429">
        <v>1</v>
      </c>
      <c r="R429">
        <v>1</v>
      </c>
      <c r="S429">
        <v>1</v>
      </c>
      <c r="T429" s="1">
        <f>SQRT(POWER(Batmobile[[#This Row],[angvel_X]],2) + POWER(Batmobile[[#This Row],[angvel_Y]],2) + POWER(Batmobile[[#This Row],[angvel_Z]],2))</f>
        <v>2.0014000024982508</v>
      </c>
      <c r="U429" s="1">
        <f>DEGREES(ASIN(MAX(-1,MIN(1,2 * (Batmobile[[#This Row],[quart_W]]*Batmobile[[#This Row],[quart_Y]] - Batmobile[[#This Row],[quart_Z]]*Batmobile[[#This Row],[quart_X]])))))</f>
        <v>0.34149604265252781</v>
      </c>
      <c r="V42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-22.206256925545283</v>
      </c>
      <c r="W42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90.001105410722062</v>
      </c>
      <c r="X429" s="1">
        <f>IF(Batmobile[[#This Row],[Yaw]]&gt;V428,(360-ABS(Batmobile[[#This Row],[Yaw]])-ABS(V428)),ABS(Batmobile[[#This Row],[Yaw]]-V428))</f>
        <v>0.95528259340539989</v>
      </c>
      <c r="Y429" s="1">
        <f>Batmobile[[#This Row],[Degree change]]+Y428</f>
        <v>351.35680100221822</v>
      </c>
    </row>
    <row r="430" spans="1:25">
      <c r="A430">
        <v>429</v>
      </c>
      <c r="B430" s="1">
        <v>318.25997899999999</v>
      </c>
      <c r="C430" s="1">
        <v>1892.869995</v>
      </c>
      <c r="D430" s="1">
        <v>18.649999999999999</v>
      </c>
      <c r="E430" s="1">
        <v>-772.64996299999996</v>
      </c>
      <c r="F430" s="1">
        <v>2166.3100589999999</v>
      </c>
      <c r="G430" s="1">
        <v>8.1999999999999993</v>
      </c>
      <c r="H430" s="1">
        <v>-1E-4</v>
      </c>
      <c r="I430" s="1">
        <v>0</v>
      </c>
      <c r="J430" s="1">
        <v>2.0013999999999998</v>
      </c>
      <c r="K430" s="1">
        <v>-2.4949999999999998E-3</v>
      </c>
      <c r="L430" s="1">
        <v>1.632E-3</v>
      </c>
      <c r="M430" s="1">
        <v>0.83466200000000002</v>
      </c>
      <c r="N430" s="1">
        <v>0.55075399999999997</v>
      </c>
      <c r="O430">
        <v>1</v>
      </c>
      <c r="P430">
        <v>0</v>
      </c>
      <c r="Q430">
        <v>1</v>
      </c>
      <c r="R430">
        <v>1</v>
      </c>
      <c r="S430">
        <v>1</v>
      </c>
      <c r="T430" s="1">
        <f>SQRT(POWER(Batmobile[[#This Row],[angvel_X]],2) + POWER(Batmobile[[#This Row],[angvel_Y]],2) + POWER(Batmobile[[#This Row],[angvel_Z]],2))</f>
        <v>2.0014000024982508</v>
      </c>
      <c r="U430" s="1">
        <f>DEGREES(ASIN(MAX(-1,MIN(1,2 * (Batmobile[[#This Row],[quart_W]]*Batmobile[[#This Row],[quart_Y]] - Batmobile[[#This Row],[quart_Z]]*Batmobile[[#This Row],[quart_X]])))))</f>
        <v>0.34163523937812218</v>
      </c>
      <c r="V43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-23.162103823772206</v>
      </c>
      <c r="W43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90.001370865543009</v>
      </c>
      <c r="X430" s="1">
        <f>IF(Batmobile[[#This Row],[Yaw]]&gt;V429,(360-ABS(Batmobile[[#This Row],[Yaw]])-ABS(V429)),ABS(Batmobile[[#This Row],[Yaw]]-V429))</f>
        <v>0.95584689822692326</v>
      </c>
      <c r="Y430" s="1">
        <f>Batmobile[[#This Row],[Degree change]]+Y429</f>
        <v>352.31264790044514</v>
      </c>
    </row>
    <row r="431" spans="1:25">
      <c r="A431">
        <v>430</v>
      </c>
      <c r="B431" s="1">
        <v>311.78997800000002</v>
      </c>
      <c r="C431" s="1">
        <v>1910.98999</v>
      </c>
      <c r="D431" s="1">
        <v>18.649999999999999</v>
      </c>
      <c r="E431" s="1">
        <v>-808.669983</v>
      </c>
      <c r="F431" s="1">
        <v>2153.1298830000001</v>
      </c>
      <c r="G431" s="1">
        <v>8.1999999999999993</v>
      </c>
      <c r="H431" s="1">
        <v>-1E-4</v>
      </c>
      <c r="I431" s="1">
        <v>0</v>
      </c>
      <c r="J431" s="1">
        <v>2.0013999999999998</v>
      </c>
      <c r="K431" s="1">
        <v>-2.5110000000000002E-3</v>
      </c>
      <c r="L431" s="1">
        <v>1.6100000000000001E-3</v>
      </c>
      <c r="M431" s="1">
        <v>0.83922699999999995</v>
      </c>
      <c r="N431" s="1">
        <v>0.54377299999999995</v>
      </c>
      <c r="O431">
        <v>1</v>
      </c>
      <c r="P431">
        <v>0</v>
      </c>
      <c r="Q431">
        <v>1</v>
      </c>
      <c r="R431">
        <v>1</v>
      </c>
      <c r="S431">
        <v>1</v>
      </c>
      <c r="T431" s="1">
        <f>SQRT(POWER(Batmobile[[#This Row],[angvel_X]],2) + POWER(Batmobile[[#This Row],[angvel_Y]],2) + POWER(Batmobile[[#This Row],[angvel_Z]],2))</f>
        <v>2.0014000024982508</v>
      </c>
      <c r="U431" s="1">
        <f>DEGREES(ASIN(MAX(-1,MIN(1,2 * (Batmobile[[#This Row],[quart_W]]*Batmobile[[#This Row],[quart_Y]] - Batmobile[[#This Row],[quart_Z]]*Batmobile[[#This Row],[quart_X]])))))</f>
        <v>0.34180269603292096</v>
      </c>
      <c r="V43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-24.117949451875454</v>
      </c>
      <c r="W43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90.001633936600442</v>
      </c>
      <c r="X431" s="1">
        <f>IF(Batmobile[[#This Row],[Yaw]]&gt;V430,(360-ABS(Batmobile[[#This Row],[Yaw]])-ABS(V430)),ABS(Batmobile[[#This Row],[Yaw]]-V430))</f>
        <v>0.95584562810324769</v>
      </c>
      <c r="Y431" s="1">
        <f>Batmobile[[#This Row],[Degree change]]+Y430</f>
        <v>353.26849352854839</v>
      </c>
    </row>
    <row r="432" spans="1:25">
      <c r="A432">
        <v>431</v>
      </c>
      <c r="B432" s="1">
        <v>305.01998900000001</v>
      </c>
      <c r="C432" s="1">
        <v>1929</v>
      </c>
      <c r="D432" s="1">
        <v>18.649999999999999</v>
      </c>
      <c r="E432" s="1">
        <v>-844.46997099999999</v>
      </c>
      <c r="F432" s="1">
        <v>2139.3398440000001</v>
      </c>
      <c r="G432" s="1">
        <v>8.1999999999999993</v>
      </c>
      <c r="H432" s="1">
        <v>-1E-4</v>
      </c>
      <c r="I432" s="1">
        <v>0</v>
      </c>
      <c r="J432" s="1">
        <v>2.0013999999999998</v>
      </c>
      <c r="K432" s="1">
        <v>-2.5270000000000002E-3</v>
      </c>
      <c r="L432" s="1">
        <v>1.5889999999999999E-3</v>
      </c>
      <c r="M432" s="1">
        <v>0.84373299999999996</v>
      </c>
      <c r="N432" s="1">
        <v>0.53675499999999998</v>
      </c>
      <c r="O432">
        <v>1</v>
      </c>
      <c r="P432">
        <v>0</v>
      </c>
      <c r="Q432">
        <v>1</v>
      </c>
      <c r="R432">
        <v>1</v>
      </c>
      <c r="S432">
        <v>1</v>
      </c>
      <c r="T432" s="1">
        <f>SQRT(POWER(Batmobile[[#This Row],[angvel_X]],2) + POWER(Batmobile[[#This Row],[angvel_Y]],2) + POWER(Batmobile[[#This Row],[angvel_Z]],2))</f>
        <v>2.0014000024982508</v>
      </c>
      <c r="U432" s="1">
        <f>DEGREES(ASIN(MAX(-1,MIN(1,2 * (Batmobile[[#This Row],[quart_W]]*Batmobile[[#This Row],[quart_Y]] - Batmobile[[#This Row],[quart_Z]]*Batmobile[[#This Row],[quart_X]])))))</f>
        <v>0.34205978207538174</v>
      </c>
      <c r="V43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-25.073669626226593</v>
      </c>
      <c r="W43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90.001797761375414</v>
      </c>
      <c r="X432" s="1">
        <f>IF(Batmobile[[#This Row],[Yaw]]&gt;V431,(360-ABS(Batmobile[[#This Row],[Yaw]])-ABS(V431)),ABS(Batmobile[[#This Row],[Yaw]]-V431))</f>
        <v>0.95572017435113921</v>
      </c>
      <c r="Y432" s="1">
        <f>Batmobile[[#This Row],[Degree change]]+Y431</f>
        <v>354.22421370289953</v>
      </c>
    </row>
    <row r="433" spans="1:25">
      <c r="A433">
        <v>432</v>
      </c>
      <c r="B433" s="1">
        <v>297.94998199999998</v>
      </c>
      <c r="C433" s="1">
        <v>1946.8900149999999</v>
      </c>
      <c r="D433" s="1">
        <v>18.649999999999999</v>
      </c>
      <c r="E433" s="1">
        <v>-880.02996800000005</v>
      </c>
      <c r="F433" s="1">
        <v>2124.959961</v>
      </c>
      <c r="G433" s="1">
        <v>8.1999999999999993</v>
      </c>
      <c r="H433" s="1">
        <v>-1E-4</v>
      </c>
      <c r="I433" s="1">
        <v>0</v>
      </c>
      <c r="J433" s="1">
        <v>2.0013999999999998</v>
      </c>
      <c r="K433" s="1">
        <v>-2.5379999999999999E-3</v>
      </c>
      <c r="L433" s="1">
        <v>1.567E-3</v>
      </c>
      <c r="M433" s="1">
        <v>0.84818099999999996</v>
      </c>
      <c r="N433" s="1">
        <v>0.529698</v>
      </c>
      <c r="O433">
        <v>1</v>
      </c>
      <c r="P433">
        <v>0</v>
      </c>
      <c r="Q433">
        <v>1</v>
      </c>
      <c r="R433">
        <v>1</v>
      </c>
      <c r="S433">
        <v>1</v>
      </c>
      <c r="T433" s="1">
        <f>SQRT(POWER(Batmobile[[#This Row],[angvel_X]],2) + POWER(Batmobile[[#This Row],[angvel_Y]],2) + POWER(Batmobile[[#This Row],[angvel_Z]],2))</f>
        <v>2.0014000024982508</v>
      </c>
      <c r="U433" s="1">
        <f>DEGREES(ASIN(MAX(-1,MIN(1,2 * (Batmobile[[#This Row],[quart_W]]*Batmobile[[#This Row],[quart_Y]] - Batmobile[[#This Row],[quart_Z]]*Batmobile[[#This Row],[quart_X]])))))</f>
        <v>0.34179657868287511</v>
      </c>
      <c r="V43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-26.02956133548761</v>
      </c>
      <c r="W43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90.001750290813533</v>
      </c>
      <c r="X433" s="1">
        <f>IF(Batmobile[[#This Row],[Yaw]]&gt;V432,(360-ABS(Batmobile[[#This Row],[Yaw]])-ABS(V432)),ABS(Batmobile[[#This Row],[Yaw]]-V432))</f>
        <v>0.9558917092610173</v>
      </c>
      <c r="Y433" s="1">
        <f>Batmobile[[#This Row],[Degree change]]+Y432</f>
        <v>355.18010541216057</v>
      </c>
    </row>
    <row r="434" spans="1:25">
      <c r="A434">
        <v>433</v>
      </c>
      <c r="B434" s="1">
        <v>290.58999599999999</v>
      </c>
      <c r="C434" s="1">
        <v>1964.6599120000001</v>
      </c>
      <c r="D434" s="1">
        <v>18.649999999999999</v>
      </c>
      <c r="E434" s="1">
        <v>-915.34997599999997</v>
      </c>
      <c r="F434" s="1">
        <v>2109.9799800000001</v>
      </c>
      <c r="G434" s="1">
        <v>8.1999999999999993</v>
      </c>
      <c r="H434" s="1">
        <v>-1E-4</v>
      </c>
      <c r="I434" s="1">
        <v>0</v>
      </c>
      <c r="J434" s="1">
        <v>2.0013999999999998</v>
      </c>
      <c r="K434" s="1">
        <v>-2.5490000000000001E-3</v>
      </c>
      <c r="L434" s="1">
        <v>1.5460000000000001E-3</v>
      </c>
      <c r="M434" s="1">
        <v>0.85257000000000005</v>
      </c>
      <c r="N434" s="1">
        <v>0.52260399999999996</v>
      </c>
      <c r="O434">
        <v>1</v>
      </c>
      <c r="P434">
        <v>0</v>
      </c>
      <c r="Q434">
        <v>1</v>
      </c>
      <c r="R434">
        <v>1</v>
      </c>
      <c r="S434">
        <v>1</v>
      </c>
      <c r="T434" s="1">
        <f>SQRT(POWER(Batmobile[[#This Row],[angvel_X]],2) + POWER(Batmobile[[#This Row],[angvel_Y]],2) + POWER(Batmobile[[#This Row],[angvel_Z]],2))</f>
        <v>2.0014000024982508</v>
      </c>
      <c r="U434" s="1">
        <f>DEGREES(ASIN(MAX(-1,MIN(1,2 * (Batmobile[[#This Row],[quart_W]]*Batmobile[[#This Row],[quart_Y]] - Batmobile[[#This Row],[quart_Z]]*Batmobile[[#This Row],[quart_X]])))))</f>
        <v>0.34161627367961017</v>
      </c>
      <c r="V43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-26.985463586998254</v>
      </c>
      <c r="W43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90.001609395548016</v>
      </c>
      <c r="X434" s="1">
        <f>IF(Batmobile[[#This Row],[Yaw]]&gt;V433,(360-ABS(Batmobile[[#This Row],[Yaw]])-ABS(V433)),ABS(Batmobile[[#This Row],[Yaw]]-V433))</f>
        <v>0.95590225151064345</v>
      </c>
      <c r="Y434" s="1">
        <f>Batmobile[[#This Row],[Degree change]]+Y433</f>
        <v>356.13600766367119</v>
      </c>
    </row>
    <row r="435" spans="1:25">
      <c r="A435">
        <v>434</v>
      </c>
      <c r="B435" s="1">
        <v>282.92999300000002</v>
      </c>
      <c r="C435" s="1">
        <v>1982.299927</v>
      </c>
      <c r="D435" s="1">
        <v>18.649999999999999</v>
      </c>
      <c r="E435" s="1">
        <v>-950.419983</v>
      </c>
      <c r="F435" s="1">
        <v>2094.419922</v>
      </c>
      <c r="G435" s="1">
        <v>8.1999999999999993</v>
      </c>
      <c r="H435" s="1">
        <v>-1E-4</v>
      </c>
      <c r="I435" s="1">
        <v>0</v>
      </c>
      <c r="J435" s="1">
        <v>2.0013999999999998</v>
      </c>
      <c r="K435" s="1">
        <v>-2.5600000000000002E-3</v>
      </c>
      <c r="L435" s="1">
        <v>1.524E-3</v>
      </c>
      <c r="M435" s="1">
        <v>0.85689800000000005</v>
      </c>
      <c r="N435" s="1">
        <v>0.51547699999999996</v>
      </c>
      <c r="O435">
        <v>1</v>
      </c>
      <c r="P435">
        <v>0</v>
      </c>
      <c r="Q435">
        <v>1</v>
      </c>
      <c r="R435">
        <v>1</v>
      </c>
      <c r="S435">
        <v>1</v>
      </c>
      <c r="T435" s="1">
        <f>SQRT(POWER(Batmobile[[#This Row],[angvel_X]],2) + POWER(Batmobile[[#This Row],[angvel_Y]],2) + POWER(Batmobile[[#This Row],[angvel_Z]],2))</f>
        <v>2.0014000024982508</v>
      </c>
      <c r="U435" s="1">
        <f>DEGREES(ASIN(MAX(-1,MIN(1,2 * (Batmobile[[#This Row],[quart_W]]*Batmobile[[#This Row],[quart_Y]] - Batmobile[[#This Row],[quart_Z]]*Batmobile[[#This Row],[quart_X]])))))</f>
        <v>0.34139844431997129</v>
      </c>
      <c r="V43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-27.940967698596918</v>
      </c>
      <c r="W43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90.001570914066164</v>
      </c>
      <c r="X435" s="1">
        <f>IF(Batmobile[[#This Row],[Yaw]]&gt;V434,(360-ABS(Batmobile[[#This Row],[Yaw]])-ABS(V434)),ABS(Batmobile[[#This Row],[Yaw]]-V434))</f>
        <v>0.955504111598664</v>
      </c>
      <c r="Y435" s="1">
        <f>Batmobile[[#This Row],[Degree change]]+Y434</f>
        <v>357.09151177526985</v>
      </c>
    </row>
    <row r="436" spans="1:25">
      <c r="A436">
        <v>435</v>
      </c>
      <c r="B436" s="1">
        <v>274.97998000000001</v>
      </c>
      <c r="C436" s="1">
        <v>1999.809937</v>
      </c>
      <c r="D436" s="1">
        <v>18.649999999999999</v>
      </c>
      <c r="E436" s="1">
        <v>-985.21997099999999</v>
      </c>
      <c r="F436" s="1">
        <v>2078.280029</v>
      </c>
      <c r="G436" s="1">
        <v>8.1999999999999993</v>
      </c>
      <c r="H436" s="1">
        <v>-1E-4</v>
      </c>
      <c r="I436" s="1">
        <v>0</v>
      </c>
      <c r="J436" s="1">
        <v>2.0013999999999998</v>
      </c>
      <c r="K436" s="1">
        <v>-2.5709999999999999E-3</v>
      </c>
      <c r="L436" s="1">
        <v>1.5020000000000001E-3</v>
      </c>
      <c r="M436" s="1">
        <v>0.86116700000000002</v>
      </c>
      <c r="N436" s="1">
        <v>0.50831300000000001</v>
      </c>
      <c r="O436">
        <v>1</v>
      </c>
      <c r="P436">
        <v>0</v>
      </c>
      <c r="Q436">
        <v>1</v>
      </c>
      <c r="R436">
        <v>1</v>
      </c>
      <c r="S436">
        <v>1</v>
      </c>
      <c r="T436" s="1">
        <f>SQRT(POWER(Batmobile[[#This Row],[angvel_X]],2) + POWER(Batmobile[[#This Row],[angvel_Y]],2) + POWER(Batmobile[[#This Row],[angvel_Z]],2))</f>
        <v>2.0014000024982508</v>
      </c>
      <c r="U436" s="1">
        <f>DEGREES(ASIN(MAX(-1,MIN(1,2 * (Batmobile[[#This Row],[quart_W]]*Batmobile[[#This Row],[quart_Y]] - Batmobile[[#This Row],[quart_Z]]*Batmobile[[#This Row],[quart_X]])))))</f>
        <v>0.34120371027215662</v>
      </c>
      <c r="V43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-28.896610366938962</v>
      </c>
      <c r="W43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90.001535541399278</v>
      </c>
      <c r="X436" s="1">
        <f>IF(Batmobile[[#This Row],[Yaw]]&gt;V435,(360-ABS(Batmobile[[#This Row],[Yaw]])-ABS(V435)),ABS(Batmobile[[#This Row],[Yaw]]-V435))</f>
        <v>0.95564266834204403</v>
      </c>
      <c r="Y436" s="1">
        <f>Batmobile[[#This Row],[Degree change]]+Y435</f>
        <v>358.04715444361187</v>
      </c>
    </row>
    <row r="437" spans="1:25">
      <c r="A437">
        <v>436</v>
      </c>
      <c r="B437" s="1">
        <v>266.73998999999998</v>
      </c>
      <c r="C437" s="1">
        <v>2017.1899410000001</v>
      </c>
      <c r="D437" s="1">
        <v>18.649999999999999</v>
      </c>
      <c r="E437" s="1">
        <v>-1019.75</v>
      </c>
      <c r="F437" s="1">
        <v>2061.5600589999999</v>
      </c>
      <c r="G437" s="1">
        <v>8.1999999999999993</v>
      </c>
      <c r="H437" s="1">
        <v>-1E-4</v>
      </c>
      <c r="I437" s="1">
        <v>0</v>
      </c>
      <c r="J437" s="1">
        <v>2.0013999999999998</v>
      </c>
      <c r="K437" s="1">
        <v>-2.581E-3</v>
      </c>
      <c r="L437" s="1">
        <v>1.4809999999999999E-3</v>
      </c>
      <c r="M437" s="1">
        <v>0.86537500000000001</v>
      </c>
      <c r="N437" s="1">
        <v>0.50111600000000001</v>
      </c>
      <c r="O437">
        <v>1</v>
      </c>
      <c r="P437">
        <v>0</v>
      </c>
      <c r="Q437">
        <v>1</v>
      </c>
      <c r="R437">
        <v>1</v>
      </c>
      <c r="S437">
        <v>1</v>
      </c>
      <c r="T437" s="1">
        <f>SQRT(POWER(Batmobile[[#This Row],[angvel_X]],2) + POWER(Batmobile[[#This Row],[angvel_Y]],2) + POWER(Batmobile[[#This Row],[angvel_Z]],2))</f>
        <v>2.0014000024982508</v>
      </c>
      <c r="U437" s="1">
        <f>DEGREES(ASIN(MAX(-1,MIN(1,2 * (Batmobile[[#This Row],[quart_W]]*Batmobile[[#This Row],[quart_Y]] - Batmobile[[#This Row],[quart_Z]]*Batmobile[[#This Row],[quart_X]])))))</f>
        <v>0.34099047314532283</v>
      </c>
      <c r="V43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-29.851978505255008</v>
      </c>
      <c r="W43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90.001347623006509</v>
      </c>
      <c r="X437" s="1">
        <f>IF(Batmobile[[#This Row],[Yaw]]&gt;V436,(360-ABS(Batmobile[[#This Row],[Yaw]])-ABS(V436)),ABS(Batmobile[[#This Row],[Yaw]]-V436))</f>
        <v>0.95536813831604661</v>
      </c>
      <c r="Y437" s="1">
        <f>Batmobile[[#This Row],[Degree change]]+Y436</f>
        <v>359.00252258192791</v>
      </c>
    </row>
    <row r="438" spans="1:25">
      <c r="A438">
        <v>437</v>
      </c>
      <c r="B438" s="1">
        <v>258.209991</v>
      </c>
      <c r="C438" s="1">
        <v>2034.429932</v>
      </c>
      <c r="D438" s="1">
        <v>18.649999999999999</v>
      </c>
      <c r="E438" s="1">
        <v>-1053.98999</v>
      </c>
      <c r="F438" s="1">
        <v>2044.26001</v>
      </c>
      <c r="G438" s="1">
        <v>8.1999999999999993</v>
      </c>
      <c r="H438" s="1">
        <v>-2.0000000000000001E-4</v>
      </c>
      <c r="I438" s="1">
        <v>0</v>
      </c>
      <c r="J438" s="1">
        <v>2.0013999999999998</v>
      </c>
      <c r="K438" s="1">
        <v>-2.5920000000000001E-3</v>
      </c>
      <c r="L438" s="1">
        <v>1.459E-3</v>
      </c>
      <c r="M438" s="1">
        <v>0.86952399999999996</v>
      </c>
      <c r="N438" s="1">
        <v>0.49388199999999999</v>
      </c>
      <c r="O438">
        <v>1</v>
      </c>
      <c r="P438">
        <v>0</v>
      </c>
      <c r="Q438">
        <v>1</v>
      </c>
      <c r="R438">
        <v>1</v>
      </c>
      <c r="S438">
        <v>1</v>
      </c>
      <c r="T438" s="1">
        <f>SQRT(POWER(Batmobile[[#This Row],[angvel_X]],2) + POWER(Batmobile[[#This Row],[angvel_Y]],2) + POWER(Batmobile[[#This Row],[angvel_Z]],2))</f>
        <v>2.0014000099930045</v>
      </c>
      <c r="U438" s="1">
        <f>DEGREES(ASIN(MAX(-1,MIN(1,2 * (Batmobile[[#This Row],[quart_W]]*Batmobile[[#This Row],[quart_Y]] - Batmobile[[#This Row],[quart_Z]]*Batmobile[[#This Row],[quart_X]])))))</f>
        <v>0.34084085689259264</v>
      </c>
      <c r="V43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-30.80761943434505</v>
      </c>
      <c r="W43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90.00131858577285</v>
      </c>
      <c r="X438" s="1">
        <f>IF(Batmobile[[#This Row],[Yaw]]&gt;V437,(360-ABS(Batmobile[[#This Row],[Yaw]])-ABS(V437)),ABS(Batmobile[[#This Row],[Yaw]]-V437))</f>
        <v>0.95564092909004117</v>
      </c>
      <c r="Y438" s="1">
        <f>Batmobile[[#This Row],[Degree change]]+Y437</f>
        <v>359.95816351101797</v>
      </c>
    </row>
    <row r="439" spans="1:25">
      <c r="A439">
        <v>438</v>
      </c>
      <c r="B439" s="1">
        <v>249.38999899999999</v>
      </c>
      <c r="C439" s="1">
        <v>2051.5200199999999</v>
      </c>
      <c r="D439" s="1">
        <v>18.649999999999999</v>
      </c>
      <c r="E439" s="1">
        <v>-1087.9399410000001</v>
      </c>
      <c r="F439" s="1">
        <v>2026.3999020000001</v>
      </c>
      <c r="G439" s="1">
        <v>8.1999999999999993</v>
      </c>
      <c r="H439" s="1">
        <v>-2.0000000000000001E-4</v>
      </c>
      <c r="I439" s="1">
        <v>0</v>
      </c>
      <c r="J439" s="1">
        <v>2.0013999999999998</v>
      </c>
      <c r="K439" s="1">
        <v>-2.6029999999999998E-3</v>
      </c>
      <c r="L439" s="1">
        <v>1.438E-3</v>
      </c>
      <c r="M439" s="1">
        <v>0.87361100000000003</v>
      </c>
      <c r="N439" s="1">
        <v>0.48661500000000002</v>
      </c>
      <c r="O439">
        <v>1</v>
      </c>
      <c r="P439">
        <v>0</v>
      </c>
      <c r="Q439">
        <v>1</v>
      </c>
      <c r="R439">
        <v>1</v>
      </c>
      <c r="S439">
        <v>1</v>
      </c>
      <c r="T439" s="1">
        <f>SQRT(POWER(Batmobile[[#This Row],[angvel_X]],2) + POWER(Batmobile[[#This Row],[angvel_Y]],2) + POWER(Batmobile[[#This Row],[angvel_Z]],2))</f>
        <v>2.0014000099930045</v>
      </c>
      <c r="U439" s="1">
        <f>DEGREES(ASIN(MAX(-1,MIN(1,2 * (Batmobile[[#This Row],[quart_W]]*Batmobile[[#This Row],[quart_Y]] - Batmobile[[#This Row],[quart_Z]]*Batmobile[[#This Row],[quart_X]])))))</f>
        <v>0.34077001021006281</v>
      </c>
      <c r="V43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-31.762973980581823</v>
      </c>
      <c r="W43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90.001192486866728</v>
      </c>
      <c r="X439" s="1">
        <f>IF(Batmobile[[#This Row],[Yaw]]&gt;V438,(360-ABS(Batmobile[[#This Row],[Yaw]])-ABS(V438)),ABS(Batmobile[[#This Row],[Yaw]]-V438))</f>
        <v>0.95535454623677296</v>
      </c>
      <c r="Y439" s="1">
        <f>Batmobile[[#This Row],[Degree change]]+Y438</f>
        <v>360.91351805725475</v>
      </c>
    </row>
    <row r="440" spans="1:25">
      <c r="A440">
        <v>439</v>
      </c>
      <c r="B440" s="1">
        <v>240.28999300000001</v>
      </c>
      <c r="C440" s="1">
        <v>2068.469971</v>
      </c>
      <c r="D440" s="1">
        <v>18.649999999999999</v>
      </c>
      <c r="E440" s="1">
        <v>-1121.579956</v>
      </c>
      <c r="F440" s="1">
        <v>2007.969971</v>
      </c>
      <c r="G440" s="1">
        <v>8.1999999999999993</v>
      </c>
      <c r="H440" s="1">
        <v>-2.0000000000000001E-4</v>
      </c>
      <c r="I440" s="1">
        <v>0</v>
      </c>
      <c r="J440" s="1">
        <v>2.0013999999999998</v>
      </c>
      <c r="K440" s="1">
        <v>-2.614E-3</v>
      </c>
      <c r="L440" s="1">
        <v>1.4159999999999999E-3</v>
      </c>
      <c r="M440" s="1">
        <v>0.87763999999999998</v>
      </c>
      <c r="N440" s="1">
        <v>0.47931099999999999</v>
      </c>
      <c r="O440">
        <v>1</v>
      </c>
      <c r="P440">
        <v>0</v>
      </c>
      <c r="Q440">
        <v>1</v>
      </c>
      <c r="R440">
        <v>1</v>
      </c>
      <c r="S440">
        <v>1</v>
      </c>
      <c r="T440" s="1">
        <f>SQRT(POWER(Batmobile[[#This Row],[angvel_X]],2) + POWER(Batmobile[[#This Row],[angvel_Y]],2) + POWER(Batmobile[[#This Row],[angvel_Z]],2))</f>
        <v>2.0014000099930045</v>
      </c>
      <c r="U440" s="1">
        <f>DEGREES(ASIN(MAX(-1,MIN(1,2 * (Batmobile[[#This Row],[quart_W]]*Batmobile[[#This Row],[quart_Y]] - Batmobile[[#This Row],[quart_Z]]*Batmobile[[#This Row],[quart_X]])))))</f>
        <v>0.3406661349066783</v>
      </c>
      <c r="V44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-32.718883437002759</v>
      </c>
      <c r="W44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90.001166644510818</v>
      </c>
      <c r="X440" s="1">
        <f>IF(Batmobile[[#This Row],[Yaw]]&gt;V439,(360-ABS(Batmobile[[#This Row],[Yaw]])-ABS(V439)),ABS(Batmobile[[#This Row],[Yaw]]-V439))</f>
        <v>0.95590945642093672</v>
      </c>
      <c r="Y440" s="1">
        <f>Batmobile[[#This Row],[Degree change]]+Y439</f>
        <v>361.8694275136757</v>
      </c>
    </row>
    <row r="441" spans="1:25">
      <c r="A441">
        <v>440</v>
      </c>
      <c r="B441" s="1">
        <v>230.909988</v>
      </c>
      <c r="C441" s="1">
        <v>2085.26001</v>
      </c>
      <c r="D441" s="1">
        <v>18.649999999999999</v>
      </c>
      <c r="E441" s="1">
        <v>-1154.919922</v>
      </c>
      <c r="F441" s="1">
        <v>1988.98999</v>
      </c>
      <c r="G441" s="1">
        <v>8.1999999999999993</v>
      </c>
      <c r="H441" s="1">
        <v>-2.0000000000000001E-4</v>
      </c>
      <c r="I441" s="1">
        <v>0</v>
      </c>
      <c r="J441" s="1">
        <v>2.0013999999999998</v>
      </c>
      <c r="K441" s="1">
        <v>-2.6250000000000002E-3</v>
      </c>
      <c r="L441" s="1">
        <v>1.395E-3</v>
      </c>
      <c r="M441" s="1">
        <v>0.88160799999999995</v>
      </c>
      <c r="N441" s="1">
        <v>0.471974</v>
      </c>
      <c r="O441">
        <v>1</v>
      </c>
      <c r="P441">
        <v>0</v>
      </c>
      <c r="Q441">
        <v>1</v>
      </c>
      <c r="R441">
        <v>1</v>
      </c>
      <c r="S441">
        <v>1</v>
      </c>
      <c r="T441" s="1">
        <f>SQRT(POWER(Batmobile[[#This Row],[angvel_X]],2) + POWER(Batmobile[[#This Row],[angvel_Y]],2) + POWER(Batmobile[[#This Row],[angvel_Z]],2))</f>
        <v>2.0014000099930045</v>
      </c>
      <c r="U441" s="1">
        <f>DEGREES(ASIN(MAX(-1,MIN(1,2 * (Batmobile[[#This Row],[quart_W]]*Batmobile[[#This Row],[quart_Y]] - Batmobile[[#This Row],[quart_Z]]*Batmobile[[#This Row],[quart_X]])))))</f>
        <v>0.34063970893855117</v>
      </c>
      <c r="V44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-33.674781748851665</v>
      </c>
      <c r="W44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90.001041494103973</v>
      </c>
      <c r="X441" s="1">
        <f>IF(Batmobile[[#This Row],[Yaw]]&gt;V440,(360-ABS(Batmobile[[#This Row],[Yaw]])-ABS(V440)),ABS(Batmobile[[#This Row],[Yaw]]-V440))</f>
        <v>0.95589831184890528</v>
      </c>
      <c r="Y441" s="1">
        <f>Batmobile[[#This Row],[Degree change]]+Y440</f>
        <v>362.8253258255246</v>
      </c>
    </row>
    <row r="442" spans="1:25">
      <c r="A442">
        <v>441</v>
      </c>
      <c r="B442" s="1">
        <v>221.25</v>
      </c>
      <c r="C442" s="1">
        <v>2101.889893</v>
      </c>
      <c r="D442" s="1">
        <v>18.649999999999999</v>
      </c>
      <c r="E442" s="1">
        <v>-1187.929932</v>
      </c>
      <c r="F442" s="1">
        <v>1969.4499510000001</v>
      </c>
      <c r="G442" s="1">
        <v>8.1999999999999993</v>
      </c>
      <c r="H442" s="1">
        <v>-2.0000000000000001E-4</v>
      </c>
      <c r="I442" s="1">
        <v>0</v>
      </c>
      <c r="J442" s="1">
        <v>2.0013999999999998</v>
      </c>
      <c r="K442" s="1">
        <v>-2.6350000000000002E-3</v>
      </c>
      <c r="L442" s="1">
        <v>1.3730000000000001E-3</v>
      </c>
      <c r="M442" s="1">
        <v>0.88551299999999999</v>
      </c>
      <c r="N442" s="1">
        <v>0.46460400000000002</v>
      </c>
      <c r="O442">
        <v>1</v>
      </c>
      <c r="P442">
        <v>0</v>
      </c>
      <c r="Q442">
        <v>1</v>
      </c>
      <c r="R442">
        <v>1</v>
      </c>
      <c r="S442">
        <v>1</v>
      </c>
      <c r="T442" s="1">
        <f>SQRT(POWER(Batmobile[[#This Row],[angvel_X]],2) + POWER(Batmobile[[#This Row],[angvel_Y]],2) + POWER(Batmobile[[#This Row],[angvel_Z]],2))</f>
        <v>2.0014000099930045</v>
      </c>
      <c r="U442" s="1">
        <f>DEGREES(ASIN(MAX(-1,MIN(1,2 * (Batmobile[[#This Row],[quart_W]]*Batmobile[[#This Row],[quart_Y]] - Batmobile[[#This Row],[quart_Z]]*Batmobile[[#This Row],[quart_X]])))))</f>
        <v>0.34047965802884061</v>
      </c>
      <c r="V44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-34.630459615363307</v>
      </c>
      <c r="W44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90.000965129038022</v>
      </c>
      <c r="X442" s="1">
        <f>IF(Batmobile[[#This Row],[Yaw]]&gt;V441,(360-ABS(Batmobile[[#This Row],[Yaw]])-ABS(V441)),ABS(Batmobile[[#This Row],[Yaw]]-V441))</f>
        <v>0.95567786651164255</v>
      </c>
      <c r="Y442" s="1">
        <f>Batmobile[[#This Row],[Degree change]]+Y441</f>
        <v>363.78100369203622</v>
      </c>
    </row>
    <row r="443" spans="1:25">
      <c r="A443">
        <v>442</v>
      </c>
      <c r="B443" s="1">
        <v>211.30999800000001</v>
      </c>
      <c r="C443" s="1">
        <v>2118.3598630000001</v>
      </c>
      <c r="D443" s="1">
        <v>18.649999999999999</v>
      </c>
      <c r="E443" s="1">
        <v>-1220.6099850000001</v>
      </c>
      <c r="F443" s="1">
        <v>1949.3599850000001</v>
      </c>
      <c r="G443" s="1">
        <v>8.1999999999999993</v>
      </c>
      <c r="H443" s="1">
        <v>-2.0000000000000001E-4</v>
      </c>
      <c r="I443" s="1">
        <v>0</v>
      </c>
      <c r="J443" s="1">
        <v>2.0013999999999998</v>
      </c>
      <c r="K443" s="1">
        <v>-2.6459999999999999E-3</v>
      </c>
      <c r="L443" s="1">
        <v>1.351E-3</v>
      </c>
      <c r="M443" s="1">
        <v>0.88935799999999998</v>
      </c>
      <c r="N443" s="1">
        <v>0.45720300000000003</v>
      </c>
      <c r="O443">
        <v>1</v>
      </c>
      <c r="P443">
        <v>0</v>
      </c>
      <c r="Q443">
        <v>1</v>
      </c>
      <c r="R443">
        <v>1</v>
      </c>
      <c r="S443">
        <v>1</v>
      </c>
      <c r="T443" s="1">
        <f>SQRT(POWER(Batmobile[[#This Row],[angvel_X]],2) + POWER(Batmobile[[#This Row],[angvel_Y]],2) + POWER(Batmobile[[#This Row],[angvel_Z]],2))</f>
        <v>2.0014000099930045</v>
      </c>
      <c r="U443" s="1">
        <f>DEGREES(ASIN(MAX(-1,MIN(1,2 * (Batmobile[[#This Row],[quart_W]]*Batmobile[[#This Row],[quart_Y]] - Batmobile[[#This Row],[quart_Z]]*Batmobile[[#This Row],[quart_X]])))))</f>
        <v>0.34044464671006208</v>
      </c>
      <c r="V443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-35.586280061599908</v>
      </c>
      <c r="W443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90.000943847745773</v>
      </c>
      <c r="X443" s="1">
        <f>IF(Batmobile[[#This Row],[Yaw]]&gt;V442,(360-ABS(Batmobile[[#This Row],[Yaw]])-ABS(V442)),ABS(Batmobile[[#This Row],[Yaw]]-V442))</f>
        <v>0.95582044623660067</v>
      </c>
      <c r="Y443" s="1">
        <f>Batmobile[[#This Row],[Degree change]]+Y442</f>
        <v>364.73682413827282</v>
      </c>
    </row>
    <row r="444" spans="1:25">
      <c r="A444">
        <v>443</v>
      </c>
      <c r="B444" s="1">
        <v>201.09999099999999</v>
      </c>
      <c r="C444" s="1">
        <v>2134.6599120000001</v>
      </c>
      <c r="D444" s="1">
        <v>18.649999999999999</v>
      </c>
      <c r="E444" s="1">
        <v>-1252.959961</v>
      </c>
      <c r="F444" s="1">
        <v>1928.7299800000001</v>
      </c>
      <c r="G444" s="1">
        <v>8.1999999999999993</v>
      </c>
      <c r="H444" s="1">
        <v>-2.0000000000000001E-4</v>
      </c>
      <c r="I444" s="1">
        <v>0</v>
      </c>
      <c r="J444" s="1">
        <v>2.0013999999999998</v>
      </c>
      <c r="K444" s="1">
        <v>-2.6570000000000001E-3</v>
      </c>
      <c r="L444" s="1">
        <v>1.33E-3</v>
      </c>
      <c r="M444" s="1">
        <v>0.89314000000000004</v>
      </c>
      <c r="N444" s="1">
        <v>0.44976899999999997</v>
      </c>
      <c r="O444">
        <v>1</v>
      </c>
      <c r="P444">
        <v>0</v>
      </c>
      <c r="Q444">
        <v>1</v>
      </c>
      <c r="R444">
        <v>1</v>
      </c>
      <c r="S444">
        <v>1</v>
      </c>
      <c r="T444" s="1">
        <f>SQRT(POWER(Batmobile[[#This Row],[angvel_X]],2) + POWER(Batmobile[[#This Row],[angvel_Y]],2) + POWER(Batmobile[[#This Row],[angvel_Z]],2))</f>
        <v>2.0014000099930045</v>
      </c>
      <c r="U444" s="1">
        <f>DEGREES(ASIN(MAX(-1,MIN(1,2 * (Batmobile[[#This Row],[quart_W]]*Batmobile[[#This Row],[quart_Y]] - Batmobile[[#This Row],[quart_Z]]*Batmobile[[#This Row],[quart_X]])))))</f>
        <v>0.34048397855067702</v>
      </c>
      <c r="V444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-36.542017544627363</v>
      </c>
      <c r="W444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90.000820493831625</v>
      </c>
      <c r="X444" s="1">
        <f>IF(Batmobile[[#This Row],[Yaw]]&gt;V443,(360-ABS(Batmobile[[#This Row],[Yaw]])-ABS(V443)),ABS(Batmobile[[#This Row],[Yaw]]-V443))</f>
        <v>0.95573748302745543</v>
      </c>
      <c r="Y444" s="1">
        <f>Batmobile[[#This Row],[Degree change]]+Y443</f>
        <v>365.69256162130029</v>
      </c>
    </row>
    <row r="445" spans="1:25">
      <c r="A445">
        <v>444</v>
      </c>
      <c r="B445" s="1">
        <v>190.61999499999999</v>
      </c>
      <c r="C445" s="1">
        <v>2150.790039</v>
      </c>
      <c r="D445" s="1">
        <v>18.649999999999999</v>
      </c>
      <c r="E445" s="1">
        <v>-1284.959961</v>
      </c>
      <c r="F445" s="1">
        <v>1907.559937</v>
      </c>
      <c r="G445" s="1">
        <v>8.1999999999999993</v>
      </c>
      <c r="H445" s="1">
        <v>-2.0000000000000001E-4</v>
      </c>
      <c r="I445" s="1">
        <v>0</v>
      </c>
      <c r="J445" s="1">
        <v>2.0013999999999998</v>
      </c>
      <c r="K445" s="1">
        <v>-2.6679999999999998E-3</v>
      </c>
      <c r="L445" s="1">
        <v>1.3079999999999999E-3</v>
      </c>
      <c r="M445" s="1">
        <v>0.89685800000000004</v>
      </c>
      <c r="N445" s="1">
        <v>0.44230799999999998</v>
      </c>
      <c r="O445">
        <v>1</v>
      </c>
      <c r="P445">
        <v>0</v>
      </c>
      <c r="Q445">
        <v>1</v>
      </c>
      <c r="R445">
        <v>1</v>
      </c>
      <c r="S445">
        <v>1</v>
      </c>
      <c r="T445" s="1">
        <f>SQRT(POWER(Batmobile[[#This Row],[angvel_X]],2) + POWER(Batmobile[[#This Row],[angvel_Y]],2) + POWER(Batmobile[[#This Row],[angvel_Z]],2))</f>
        <v>2.0014000099930045</v>
      </c>
      <c r="U445" s="1">
        <f>DEGREES(ASIN(MAX(-1,MIN(1,2 * (Batmobile[[#This Row],[quart_W]]*Batmobile[[#This Row],[quart_Y]] - Batmobile[[#This Row],[quart_Z]]*Batmobile[[#This Row],[quart_X]])))))</f>
        <v>0.34049432153824322</v>
      </c>
      <c r="V445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-37.497241746630174</v>
      </c>
      <c r="W445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90.000800720366058</v>
      </c>
      <c r="X445" s="1">
        <f>IF(Batmobile[[#This Row],[Yaw]]&gt;V444,(360-ABS(Batmobile[[#This Row],[Yaw]])-ABS(V444)),ABS(Batmobile[[#This Row],[Yaw]]-V444))</f>
        <v>0.95522420200281033</v>
      </c>
      <c r="Y445" s="1">
        <f>Batmobile[[#This Row],[Degree change]]+Y444</f>
        <v>366.64778582330308</v>
      </c>
    </row>
    <row r="446" spans="1:25">
      <c r="A446">
        <v>445</v>
      </c>
      <c r="B446" s="1">
        <v>179.86999499999999</v>
      </c>
      <c r="C446" s="1">
        <v>2166.73999</v>
      </c>
      <c r="D446" s="1">
        <v>18.649999999999999</v>
      </c>
      <c r="E446" s="1">
        <v>-1316.599976</v>
      </c>
      <c r="F446" s="1">
        <v>1885.8599850000001</v>
      </c>
      <c r="G446" s="1">
        <v>8.1999999999999993</v>
      </c>
      <c r="H446" s="1">
        <v>-2.0000000000000001E-4</v>
      </c>
      <c r="I446" s="1">
        <v>0</v>
      </c>
      <c r="J446" s="1">
        <v>2.0013999999999998</v>
      </c>
      <c r="K446" s="1">
        <v>-2.679E-3</v>
      </c>
      <c r="L446" s="1">
        <v>1.2869999999999999E-3</v>
      </c>
      <c r="M446" s="1">
        <v>0.90051499999999995</v>
      </c>
      <c r="N446" s="1">
        <v>0.43481399999999998</v>
      </c>
      <c r="O446">
        <v>1</v>
      </c>
      <c r="P446">
        <v>0</v>
      </c>
      <c r="Q446">
        <v>1</v>
      </c>
      <c r="R446">
        <v>1</v>
      </c>
      <c r="S446">
        <v>1</v>
      </c>
      <c r="T446" s="1">
        <f>SQRT(POWER(Batmobile[[#This Row],[angvel_X]],2) + POWER(Batmobile[[#This Row],[angvel_Y]],2) + POWER(Batmobile[[#This Row],[angvel_Z]],2))</f>
        <v>2.0014000099930045</v>
      </c>
      <c r="U446" s="1">
        <f>DEGREES(ASIN(MAX(-1,MIN(1,2 * (Batmobile[[#This Row],[quart_W]]*Batmobile[[#This Row],[quart_Y]] - Batmobile[[#This Row],[quart_Z]]*Batmobile[[#This Row],[quart_X]])))))</f>
        <v>0.34057789406537492</v>
      </c>
      <c r="V446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-38.452785791422762</v>
      </c>
      <c r="W446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90.000676549172354</v>
      </c>
      <c r="X446" s="1">
        <f>IF(Batmobile[[#This Row],[Yaw]]&gt;V445,(360-ABS(Batmobile[[#This Row],[Yaw]])-ABS(V445)),ABS(Batmobile[[#This Row],[Yaw]]-V445))</f>
        <v>0.95554404479258892</v>
      </c>
      <c r="Y446" s="1">
        <f>Batmobile[[#This Row],[Degree change]]+Y445</f>
        <v>367.60332986809567</v>
      </c>
    </row>
    <row r="447" spans="1:25">
      <c r="A447">
        <v>446</v>
      </c>
      <c r="B447" s="1">
        <v>168.86000100000001</v>
      </c>
      <c r="C447" s="1">
        <v>2182.51001</v>
      </c>
      <c r="D447" s="1">
        <v>18.649999999999999</v>
      </c>
      <c r="E447" s="1">
        <v>-1347.869995</v>
      </c>
      <c r="F447" s="1">
        <v>1863.6400149999999</v>
      </c>
      <c r="G447" s="1">
        <v>8.1999999999999993</v>
      </c>
      <c r="H447" s="1">
        <v>-2.0000000000000001E-4</v>
      </c>
      <c r="I447" s="1">
        <v>0</v>
      </c>
      <c r="J447" s="1">
        <v>2.0013999999999998</v>
      </c>
      <c r="K447" s="1">
        <v>-2.689E-3</v>
      </c>
      <c r="L447" s="1">
        <v>1.2650000000000001E-3</v>
      </c>
      <c r="M447" s="1">
        <v>0.90410999999999997</v>
      </c>
      <c r="N447" s="1">
        <v>0.427288</v>
      </c>
      <c r="O447">
        <v>1</v>
      </c>
      <c r="P447">
        <v>0</v>
      </c>
      <c r="Q447">
        <v>1</v>
      </c>
      <c r="R447">
        <v>1</v>
      </c>
      <c r="S447">
        <v>1</v>
      </c>
      <c r="T447" s="1">
        <f>SQRT(POWER(Batmobile[[#This Row],[angvel_X]],2) + POWER(Batmobile[[#This Row],[angvel_Y]],2) + POWER(Batmobile[[#This Row],[angvel_Z]],2))</f>
        <v>2.0014000099930045</v>
      </c>
      <c r="U447" s="1">
        <f>DEGREES(ASIN(MAX(-1,MIN(1,2 * (Batmobile[[#This Row],[quart_W]]*Batmobile[[#This Row],[quart_Y]] - Batmobile[[#This Row],[quart_Z]]*Batmobile[[#This Row],[quart_X]])))))</f>
        <v>0.3405304302053524</v>
      </c>
      <c r="V447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-39.408525412282778</v>
      </c>
      <c r="W447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90.000604857246259</v>
      </c>
      <c r="X447" s="1">
        <f>IF(Batmobile[[#This Row],[Yaw]]&gt;V446,(360-ABS(Batmobile[[#This Row],[Yaw]])-ABS(V446)),ABS(Batmobile[[#This Row],[Yaw]]-V446))</f>
        <v>0.95573962086001529</v>
      </c>
      <c r="Y447" s="1">
        <f>Batmobile[[#This Row],[Degree change]]+Y446</f>
        <v>368.55906948895569</v>
      </c>
    </row>
    <row r="448" spans="1:25">
      <c r="A448">
        <v>447</v>
      </c>
      <c r="B448" s="1">
        <v>157.58000200000001</v>
      </c>
      <c r="C448" s="1">
        <v>2198.0898440000001</v>
      </c>
      <c r="D448" s="1">
        <v>18.649999999999999</v>
      </c>
      <c r="E448" s="1">
        <v>-1378.76001</v>
      </c>
      <c r="F448" s="1">
        <v>1840.8999020000001</v>
      </c>
      <c r="G448" s="1">
        <v>8.1999999999999993</v>
      </c>
      <c r="H448" s="1">
        <v>-2.0000000000000001E-4</v>
      </c>
      <c r="I448" s="1">
        <v>0</v>
      </c>
      <c r="J448" s="1">
        <v>2.0013999999999998</v>
      </c>
      <c r="K448" s="1">
        <v>-2.7000000000000001E-3</v>
      </c>
      <c r="L448" s="1">
        <v>1.2440000000000001E-3</v>
      </c>
      <c r="M448" s="1">
        <v>0.90764100000000003</v>
      </c>
      <c r="N448" s="1">
        <v>0.419736</v>
      </c>
      <c r="O448">
        <v>1</v>
      </c>
      <c r="P448">
        <v>0</v>
      </c>
      <c r="Q448">
        <v>1</v>
      </c>
      <c r="R448">
        <v>1</v>
      </c>
      <c r="S448">
        <v>1</v>
      </c>
      <c r="T448" s="1">
        <f>SQRT(POWER(Batmobile[[#This Row],[angvel_X]],2) + POWER(Batmobile[[#This Row],[angvel_Y]],2) + POWER(Batmobile[[#This Row],[angvel_Z]],2))</f>
        <v>2.0014000099930045</v>
      </c>
      <c r="U448" s="1">
        <f>DEGREES(ASIN(MAX(-1,MIN(1,2 * (Batmobile[[#This Row],[quart_W]]*Batmobile[[#This Row],[quart_Y]] - Batmobile[[#This Row],[quart_Z]]*Batmobile[[#This Row],[quart_X]])))))</f>
        <v>0.34065776361614192</v>
      </c>
      <c r="V448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-40.363875176951424</v>
      </c>
      <c r="W448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90.000479206993163</v>
      </c>
      <c r="X448" s="1">
        <f>IF(Batmobile[[#This Row],[Yaw]]&gt;V447,(360-ABS(Batmobile[[#This Row],[Yaw]])-ABS(V447)),ABS(Batmobile[[#This Row],[Yaw]]-V447))</f>
        <v>0.95534976466864663</v>
      </c>
      <c r="Y448" s="1">
        <f>Batmobile[[#This Row],[Degree change]]+Y447</f>
        <v>369.51441925362434</v>
      </c>
    </row>
    <row r="449" spans="1:25">
      <c r="A449">
        <v>448</v>
      </c>
      <c r="B449" s="1">
        <v>146.050003</v>
      </c>
      <c r="C449" s="1">
        <v>2213.4799800000001</v>
      </c>
      <c r="D449" s="1">
        <v>18.649999999999999</v>
      </c>
      <c r="E449" s="1">
        <v>-1409.2700199999999</v>
      </c>
      <c r="F449" s="1">
        <v>1817.6499020000001</v>
      </c>
      <c r="G449" s="1">
        <v>8.1999999999999993</v>
      </c>
      <c r="H449" s="1">
        <v>-2.0000000000000001E-4</v>
      </c>
      <c r="I449" s="1">
        <v>0</v>
      </c>
      <c r="J449" s="1">
        <v>2.0013999999999998</v>
      </c>
      <c r="K449" s="1">
        <v>-2.7109999999999999E-3</v>
      </c>
      <c r="L449" s="1">
        <v>1.222E-3</v>
      </c>
      <c r="M449" s="1">
        <v>0.911111</v>
      </c>
      <c r="N449" s="1">
        <v>0.41215099999999999</v>
      </c>
      <c r="O449">
        <v>1</v>
      </c>
      <c r="P449">
        <v>0</v>
      </c>
      <c r="Q449">
        <v>1</v>
      </c>
      <c r="R449">
        <v>1</v>
      </c>
      <c r="S449">
        <v>1</v>
      </c>
      <c r="T449" s="1">
        <f>SQRT(POWER(Batmobile[[#This Row],[angvel_X]],2) + POWER(Batmobile[[#This Row],[angvel_Y]],2) + POWER(Batmobile[[#This Row],[angvel_Z]],2))</f>
        <v>2.0014000099930045</v>
      </c>
      <c r="U449" s="1">
        <f>DEGREES(ASIN(MAX(-1,MIN(1,2 * (Batmobile[[#This Row],[quart_W]]*Batmobile[[#This Row],[quart_Y]] - Batmobile[[#This Row],[quart_Z]]*Batmobile[[#This Row],[quart_X]])))))</f>
        <v>0.34075954094006927</v>
      </c>
      <c r="V449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-41.319748829303784</v>
      </c>
      <c r="W449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90.000454216772837</v>
      </c>
      <c r="X449" s="1">
        <f>IF(Batmobile[[#This Row],[Yaw]]&gt;V448,(360-ABS(Batmobile[[#This Row],[Yaw]])-ABS(V448)),ABS(Batmobile[[#This Row],[Yaw]]-V448))</f>
        <v>0.95587365235235922</v>
      </c>
      <c r="Y449" s="1">
        <f>Batmobile[[#This Row],[Degree change]]+Y448</f>
        <v>370.47029290597669</v>
      </c>
    </row>
    <row r="450" spans="1:25">
      <c r="A450">
        <v>449</v>
      </c>
      <c r="B450" s="1">
        <v>134.259995</v>
      </c>
      <c r="C450" s="1">
        <v>2228.679932</v>
      </c>
      <c r="D450" s="1">
        <v>18.649999999999999</v>
      </c>
      <c r="E450" s="1">
        <v>-1439.3900149999999</v>
      </c>
      <c r="F450" s="1">
        <v>1793.8900149999999</v>
      </c>
      <c r="G450" s="1">
        <v>8.1999999999999993</v>
      </c>
      <c r="H450" s="1">
        <v>-2.0000000000000001E-4</v>
      </c>
      <c r="I450" s="1">
        <v>0</v>
      </c>
      <c r="J450" s="1">
        <v>2.0013999999999998</v>
      </c>
      <c r="K450" s="1">
        <v>-2.722E-3</v>
      </c>
      <c r="L450" s="1">
        <v>1.1999999999999999E-3</v>
      </c>
      <c r="M450" s="1">
        <v>0.914516</v>
      </c>
      <c r="N450" s="1">
        <v>0.40453800000000001</v>
      </c>
      <c r="O450">
        <v>1</v>
      </c>
      <c r="P450">
        <v>0</v>
      </c>
      <c r="Q450">
        <v>1</v>
      </c>
      <c r="R450">
        <v>1</v>
      </c>
      <c r="S450">
        <v>1</v>
      </c>
      <c r="T450" s="1">
        <f>SQRT(POWER(Batmobile[[#This Row],[angvel_X]],2) + POWER(Batmobile[[#This Row],[angvel_Y]],2) + POWER(Batmobile[[#This Row],[angvel_Z]],2))</f>
        <v>2.0014000099930045</v>
      </c>
      <c r="U450" s="1">
        <f>DEGREES(ASIN(MAX(-1,MIN(1,2 * (Batmobile[[#This Row],[quart_W]]*Batmobile[[#This Row],[quart_Y]] - Batmobile[[#This Row],[quart_Z]]*Batmobile[[#This Row],[quart_X]])))))</f>
        <v>0.34088418541536336</v>
      </c>
      <c r="V450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-42.275372712887709</v>
      </c>
      <c r="W450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90.000427804904973</v>
      </c>
      <c r="X450" s="1">
        <f>IF(Batmobile[[#This Row],[Yaw]]&gt;V449,(360-ABS(Batmobile[[#This Row],[Yaw]])-ABS(V449)),ABS(Batmobile[[#This Row],[Yaw]]-V449))</f>
        <v>0.95562388358392525</v>
      </c>
      <c r="Y450" s="1">
        <f>Batmobile[[#This Row],[Degree change]]+Y449</f>
        <v>371.42591678956063</v>
      </c>
    </row>
    <row r="451" spans="1:25">
      <c r="A451">
        <v>450</v>
      </c>
      <c r="B451" s="1">
        <v>122.219994</v>
      </c>
      <c r="C451" s="1">
        <v>2243.679932</v>
      </c>
      <c r="D451" s="1">
        <v>18.649999999999999</v>
      </c>
      <c r="E451" s="1">
        <v>-1469.1099850000001</v>
      </c>
      <c r="F451" s="1">
        <v>1769.6400149999999</v>
      </c>
      <c r="G451" s="1">
        <v>8.1999999999999993</v>
      </c>
      <c r="H451" s="1">
        <v>-2.0000000000000001E-4</v>
      </c>
      <c r="I451" s="1">
        <v>0</v>
      </c>
      <c r="J451" s="1">
        <v>2.0013999999999998</v>
      </c>
      <c r="K451" s="1">
        <v>-2.7320000000000001E-3</v>
      </c>
      <c r="L451" s="1">
        <v>1.1789999999999999E-3</v>
      </c>
      <c r="M451" s="1">
        <v>0.91785700000000003</v>
      </c>
      <c r="N451" s="1">
        <v>0.396899</v>
      </c>
      <c r="O451">
        <v>1</v>
      </c>
      <c r="P451">
        <v>0</v>
      </c>
      <c r="Q451">
        <v>1</v>
      </c>
      <c r="R451">
        <v>1</v>
      </c>
      <c r="S451">
        <v>1</v>
      </c>
      <c r="T451" s="1">
        <f>SQRT(POWER(Batmobile[[#This Row],[angvel_X]],2) + POWER(Batmobile[[#This Row],[angvel_Y]],2) + POWER(Batmobile[[#This Row],[angvel_Z]],2))</f>
        <v>2.0014000099930045</v>
      </c>
      <c r="U451" s="1">
        <f>DEGREES(ASIN(MAX(-1,MIN(1,2 * (Batmobile[[#This Row],[quart_W]]*Batmobile[[#This Row],[quart_Y]] - Batmobile[[#This Row],[quart_Z]]*Batmobile[[#This Row],[quart_X]])))))</f>
        <v>0.34097254772867591</v>
      </c>
      <c r="V451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-43.230797710602594</v>
      </c>
      <c r="W451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90.000249202665515</v>
      </c>
      <c r="X451" s="1">
        <f>IF(Batmobile[[#This Row],[Yaw]]&gt;V450,(360-ABS(Batmobile[[#This Row],[Yaw]])-ABS(V450)),ABS(Batmobile[[#This Row],[Yaw]]-V450))</f>
        <v>0.95542499771488565</v>
      </c>
      <c r="Y451" s="1">
        <f>Batmobile[[#This Row],[Degree change]]+Y450</f>
        <v>372.38134178727552</v>
      </c>
    </row>
    <row r="452" spans="1:25">
      <c r="A452">
        <v>451</v>
      </c>
      <c r="B452" s="1">
        <v>109.93</v>
      </c>
      <c r="C452" s="1">
        <v>2258.4799800000001</v>
      </c>
      <c r="D452" s="1">
        <v>18.649999999999999</v>
      </c>
      <c r="E452" s="1">
        <v>-1498.419922</v>
      </c>
      <c r="F452" s="1">
        <v>1744.8900149999999</v>
      </c>
      <c r="G452" s="1">
        <v>8.1999999999999993</v>
      </c>
      <c r="H452" s="1">
        <v>-2.0000000000000001E-4</v>
      </c>
      <c r="I452" s="1">
        <v>0</v>
      </c>
      <c r="J452" s="1">
        <v>2.0013999999999998</v>
      </c>
      <c r="K452" s="1">
        <v>-2.7430000000000002E-3</v>
      </c>
      <c r="L452" s="1">
        <v>1.157E-3</v>
      </c>
      <c r="M452" s="1">
        <v>0.92113400000000001</v>
      </c>
      <c r="N452" s="1">
        <v>0.389233</v>
      </c>
      <c r="O452">
        <v>1</v>
      </c>
      <c r="P452">
        <v>0</v>
      </c>
      <c r="Q452">
        <v>1</v>
      </c>
      <c r="R452">
        <v>1</v>
      </c>
      <c r="S452">
        <v>1</v>
      </c>
      <c r="T452" s="1">
        <f>SQRT(POWER(Batmobile[[#This Row],[angvel_X]],2) + POWER(Batmobile[[#This Row],[angvel_Y]],2) + POWER(Batmobile[[#This Row],[angvel_Z]],2))</f>
        <v>2.0014000099930045</v>
      </c>
      <c r="U452" s="1">
        <f>DEGREES(ASIN(MAX(-1,MIN(1,2 * (Batmobile[[#This Row],[quart_W]]*Batmobile[[#This Row],[quart_Y]] - Batmobile[[#This Row],[quart_Z]]*Batmobile[[#This Row],[quart_X]])))))</f>
        <v>0.34114259292654392</v>
      </c>
      <c r="V452" s="1">
        <f>DEGREES(ATAN2(2*(Batmobile[[#This Row],[quart_W]]*Batmobile[[#This Row],[quart_Z]]+Batmobile[[#This Row],[quart_X]]*Batmobile[[#This Row],[quart_Y]]),1 - 2*(Batmobile[[#This Row],[quart_Y]]*Batmobile[[#This Row],[quart_Y]]+Batmobile[[#This Row],[quart_Z]]*Batmobile[[#This Row],[quart_Z]])))</f>
        <v>-44.186156208988045</v>
      </c>
      <c r="W452" s="1">
        <f>DEGREES(ATAN2(2 *(Batmobile[[#This Row],[quart_W]]*Batmobile[[#This Row],[quart_X]]+Batmobile[[#This Row],[quart_Y]]*Batmobile[[#This Row],[quart_Z]]), 1 - 2*(Batmobile[[#This Row],[quart_X]]*Batmobile[[#This Row],[quart_X]]+Batmobile[[#This Row],[quart_Y]]*Batmobile[[#This Row],[quart_Y]])))</f>
        <v>90.000219341413811</v>
      </c>
      <c r="X452" s="1">
        <f>IF(Batmobile[[#This Row],[Yaw]]&gt;V451,(360-ABS(Batmobile[[#This Row],[Yaw]])-ABS(V451)),ABS(Batmobile[[#This Row],[Yaw]]-V451))</f>
        <v>0.95535849838545062</v>
      </c>
      <c r="Y452" s="1">
        <f>Batmobile[[#This Row],[Degree change]]+Y451</f>
        <v>373.33670028566098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452"/>
  <sheetViews>
    <sheetView topLeftCell="A2" workbookViewId="0">
      <selection activeCell="Y7" sqref="Y7"/>
    </sheetView>
  </sheetViews>
  <sheetFormatPr defaultRowHeight="14.5"/>
  <cols>
    <col min="8" max="9" width="11.1796875" customWidth="1"/>
    <col min="10" max="10" width="11" customWidth="1"/>
    <col min="11" max="12" width="10" customWidth="1"/>
    <col min="13" max="13" width="9.81640625" customWidth="1"/>
    <col min="14" max="14" width="10.81640625" customWidth="1"/>
    <col min="16" max="16" width="13.81640625" customWidth="1"/>
    <col min="17" max="17" width="16.54296875" customWidth="1"/>
    <col min="18" max="18" width="16.1796875" customWidth="1"/>
    <col min="19" max="19" width="10.26953125" customWidth="1"/>
    <col min="20" max="20" width="14.26953125" bestFit="1" customWidth="1"/>
    <col min="24" max="24" width="16.54296875" bestFit="1" customWidth="1"/>
    <col min="25" max="25" width="17.1796875" bestFit="1" customWidth="1"/>
  </cols>
  <sheetData>
    <row r="1" spans="1: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32</v>
      </c>
      <c r="V1" t="s">
        <v>31</v>
      </c>
      <c r="W1" t="s">
        <v>33</v>
      </c>
      <c r="X1" t="s">
        <v>35</v>
      </c>
      <c r="Y1" s="1" t="s">
        <v>34</v>
      </c>
    </row>
    <row r="2" spans="1:25">
      <c r="A2">
        <v>1</v>
      </c>
      <c r="B2" s="1">
        <v>865.19995100000006</v>
      </c>
      <c r="C2" s="1">
        <v>1074.48999</v>
      </c>
      <c r="D2" s="1">
        <v>18.34</v>
      </c>
      <c r="E2" s="1">
        <v>-1179.309937</v>
      </c>
      <c r="F2" s="1">
        <v>1974.619995</v>
      </c>
      <c r="G2" s="1">
        <v>7.82</v>
      </c>
      <c r="H2" s="1">
        <v>-4.0000000000000002E-4</v>
      </c>
      <c r="I2" s="1">
        <v>-2.9999999999999997E-4</v>
      </c>
      <c r="J2" s="1">
        <v>0</v>
      </c>
      <c r="K2" s="1">
        <v>-7.404E-3</v>
      </c>
      <c r="L2" s="1">
        <v>4.2050000000000004E-3</v>
      </c>
      <c r="M2" s="1">
        <v>0.869668</v>
      </c>
      <c r="N2" s="1">
        <v>0.493564</v>
      </c>
      <c r="O2">
        <v>0</v>
      </c>
      <c r="P2">
        <v>0</v>
      </c>
      <c r="Q2">
        <v>1</v>
      </c>
      <c r="R2">
        <v>1</v>
      </c>
      <c r="S2">
        <v>1</v>
      </c>
      <c r="T2" s="1">
        <f>SQRT(POWER(Breakout[[#This Row],[angvel_X]],2) + POWER(Breakout[[#This Row],[angvel_Y]],2) + POWER(Breakout[[#This Row],[angvel_Z]],2))</f>
        <v>5.0000000000000001E-4</v>
      </c>
      <c r="U2" s="1">
        <f>DEGREES(ASIN(MAX(-1,MIN(1,2 * (Breakout[[#This Row],[quart_W]]*Breakout[[#This Row],[quart_Y]] - Breakout[[#This Row],[quart_Z]]*Breakout[[#This Row],[quart_X]])))))</f>
        <v>0.97573223452861158</v>
      </c>
      <c r="V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2" s="1" t="e">
        <f>IF(Breakout[[#This Row],[Yaw]]&gt;V1,(360-ABS(Breakout[[#This Row],[Yaw]])-ABS(V1)),ABS(Breakout[[#This Row],[Yaw]]-V1))</f>
        <v>#VALUE!</v>
      </c>
      <c r="Y2" s="1"/>
    </row>
    <row r="3" spans="1:25">
      <c r="A3">
        <v>2</v>
      </c>
      <c r="B3" s="1">
        <v>855.339966</v>
      </c>
      <c r="C3" s="1">
        <v>1091</v>
      </c>
      <c r="D3" s="1">
        <v>18.34</v>
      </c>
      <c r="E3" s="1">
        <v>-1179.309937</v>
      </c>
      <c r="F3" s="1">
        <v>1974.619995</v>
      </c>
      <c r="G3" s="1">
        <v>7.82</v>
      </c>
      <c r="H3" s="1">
        <v>-4.0000000000000002E-4</v>
      </c>
      <c r="I3" s="1">
        <v>-2.9999999999999997E-4</v>
      </c>
      <c r="J3" s="1">
        <v>0</v>
      </c>
      <c r="K3" s="1">
        <v>-7.404E-3</v>
      </c>
      <c r="L3" s="1">
        <v>4.2050000000000004E-3</v>
      </c>
      <c r="M3" s="1">
        <v>0.869668</v>
      </c>
      <c r="N3" s="1">
        <v>0.493564</v>
      </c>
      <c r="O3">
        <v>0</v>
      </c>
      <c r="P3">
        <v>0</v>
      </c>
      <c r="Q3">
        <v>1</v>
      </c>
      <c r="R3">
        <v>1</v>
      </c>
      <c r="S3">
        <v>1</v>
      </c>
      <c r="T3" s="1">
        <f>SQRT(POWER(Breakout[[#This Row],[angvel_X]],2) + POWER(Breakout[[#This Row],[angvel_Y]],2) + POWER(Breakout[[#This Row],[angvel_Z]],2))</f>
        <v>5.0000000000000001E-4</v>
      </c>
      <c r="U3" s="1">
        <f>DEGREES(ASIN(MAX(-1,MIN(1,2 * (Breakout[[#This Row],[quart_W]]*Breakout[[#This Row],[quart_Y]] - Breakout[[#This Row],[quart_Z]]*Breakout[[#This Row],[quart_X]])))))</f>
        <v>0.97573223452861158</v>
      </c>
      <c r="V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3" s="1">
        <f>IF(Breakout[[#This Row],[Yaw]]&gt;V2,(360-ABS(Breakout[[#This Row],[Yaw]])-ABS(V2)),ABS(Breakout[[#This Row],[Yaw]]-V2))</f>
        <v>0</v>
      </c>
      <c r="Y3" s="1">
        <f>Breakout[[#This Row],[Degree change]]+Y2</f>
        <v>0</v>
      </c>
    </row>
    <row r="4" spans="1:25">
      <c r="A4">
        <v>3</v>
      </c>
      <c r="B4" s="1">
        <v>845.47997999999995</v>
      </c>
      <c r="C4" s="1">
        <v>1107.51001</v>
      </c>
      <c r="D4" s="1">
        <v>18.34</v>
      </c>
      <c r="E4" s="1">
        <v>-1179.309937</v>
      </c>
      <c r="F4" s="1">
        <v>1974.619995</v>
      </c>
      <c r="G4" s="1">
        <v>7.82</v>
      </c>
      <c r="H4" s="1">
        <v>-4.0000000000000002E-4</v>
      </c>
      <c r="I4" s="1">
        <v>-2.9999999999999997E-4</v>
      </c>
      <c r="J4" s="1">
        <v>0</v>
      </c>
      <c r="K4" s="1">
        <v>-7.404E-3</v>
      </c>
      <c r="L4" s="1">
        <v>4.2050000000000004E-3</v>
      </c>
      <c r="M4" s="1">
        <v>0.869668</v>
      </c>
      <c r="N4" s="1">
        <v>0.493564</v>
      </c>
      <c r="O4">
        <v>0</v>
      </c>
      <c r="P4">
        <v>0</v>
      </c>
      <c r="Q4">
        <v>1</v>
      </c>
      <c r="R4">
        <v>1</v>
      </c>
      <c r="S4">
        <v>1</v>
      </c>
      <c r="T4" s="1">
        <f>SQRT(POWER(Breakout[[#This Row],[angvel_X]],2) + POWER(Breakout[[#This Row],[angvel_Y]],2) + POWER(Breakout[[#This Row],[angvel_Z]],2))</f>
        <v>5.0000000000000001E-4</v>
      </c>
      <c r="U4" s="1">
        <f>DEGREES(ASIN(MAX(-1,MIN(1,2 * (Breakout[[#This Row],[quart_W]]*Breakout[[#This Row],[quart_Y]] - Breakout[[#This Row],[quart_Z]]*Breakout[[#This Row],[quart_X]])))))</f>
        <v>0.97573223452861158</v>
      </c>
      <c r="V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4" s="1">
        <f>IF(Breakout[[#This Row],[Yaw]]&gt;V3,(360-ABS(Breakout[[#This Row],[Yaw]])-ABS(V3)),ABS(Breakout[[#This Row],[Yaw]]-V3))</f>
        <v>0</v>
      </c>
      <c r="Y4" s="1">
        <f>Breakout[[#This Row],[Degree change]]+Y3</f>
        <v>0</v>
      </c>
    </row>
    <row r="5" spans="1:25">
      <c r="A5">
        <v>4</v>
      </c>
      <c r="B5" s="1">
        <v>835.61999500000002</v>
      </c>
      <c r="C5" s="1">
        <v>1124.0200199999999</v>
      </c>
      <c r="D5" s="1">
        <v>18.34</v>
      </c>
      <c r="E5" s="1">
        <v>-1179.309937</v>
      </c>
      <c r="F5" s="1">
        <v>1974.619995</v>
      </c>
      <c r="G5" s="1">
        <v>7.82</v>
      </c>
      <c r="H5" s="1">
        <v>-4.0000000000000002E-4</v>
      </c>
      <c r="I5" s="1">
        <v>-2.9999999999999997E-4</v>
      </c>
      <c r="J5" s="1">
        <v>0</v>
      </c>
      <c r="K5" s="1">
        <v>-7.404E-3</v>
      </c>
      <c r="L5" s="1">
        <v>4.2050000000000004E-3</v>
      </c>
      <c r="M5" s="1">
        <v>0.869668</v>
      </c>
      <c r="N5" s="1">
        <v>0.493564</v>
      </c>
      <c r="O5">
        <v>0</v>
      </c>
      <c r="P5">
        <v>0</v>
      </c>
      <c r="Q5">
        <v>1</v>
      </c>
      <c r="R5">
        <v>1</v>
      </c>
      <c r="S5">
        <v>1</v>
      </c>
      <c r="T5" s="1">
        <f>SQRT(POWER(Breakout[[#This Row],[angvel_X]],2) + POWER(Breakout[[#This Row],[angvel_Y]],2) + POWER(Breakout[[#This Row],[angvel_Z]],2))</f>
        <v>5.0000000000000001E-4</v>
      </c>
      <c r="U5" s="1">
        <f>DEGREES(ASIN(MAX(-1,MIN(1,2 * (Breakout[[#This Row],[quart_W]]*Breakout[[#This Row],[quart_Y]] - Breakout[[#This Row],[quart_Z]]*Breakout[[#This Row],[quart_X]])))))</f>
        <v>0.97573223452861158</v>
      </c>
      <c r="V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5" s="1">
        <f>IF(Breakout[[#This Row],[Yaw]]&gt;V4,(360-ABS(Breakout[[#This Row],[Yaw]])-ABS(V4)),ABS(Breakout[[#This Row],[Yaw]]-V4))</f>
        <v>0</v>
      </c>
      <c r="Y5" s="1">
        <f>Breakout[[#This Row],[Degree change]]+Y4</f>
        <v>0</v>
      </c>
    </row>
    <row r="6" spans="1:25">
      <c r="A6">
        <v>5</v>
      </c>
      <c r="B6" s="1">
        <v>825.76000999999997</v>
      </c>
      <c r="C6" s="1">
        <v>1140.530029</v>
      </c>
      <c r="D6" s="1">
        <v>18.34</v>
      </c>
      <c r="E6" s="1">
        <v>-1179.309937</v>
      </c>
      <c r="F6" s="1">
        <v>1974.619995</v>
      </c>
      <c r="G6" s="1">
        <v>7.82</v>
      </c>
      <c r="H6" s="1">
        <v>-4.0000000000000002E-4</v>
      </c>
      <c r="I6" s="1">
        <v>-2.9999999999999997E-4</v>
      </c>
      <c r="J6" s="1">
        <v>0</v>
      </c>
      <c r="K6" s="1">
        <v>-7.404E-3</v>
      </c>
      <c r="L6" s="1">
        <v>4.2050000000000004E-3</v>
      </c>
      <c r="M6" s="1">
        <v>0.869668</v>
      </c>
      <c r="N6" s="1">
        <v>0.493564</v>
      </c>
      <c r="O6">
        <v>0</v>
      </c>
      <c r="P6">
        <v>0</v>
      </c>
      <c r="Q6">
        <v>1</v>
      </c>
      <c r="R6">
        <v>1</v>
      </c>
      <c r="S6">
        <v>1</v>
      </c>
      <c r="T6" s="1">
        <f>SQRT(POWER(Breakout[[#This Row],[angvel_X]],2) + POWER(Breakout[[#This Row],[angvel_Y]],2) + POWER(Breakout[[#This Row],[angvel_Z]],2))</f>
        <v>5.0000000000000001E-4</v>
      </c>
      <c r="U6" s="1">
        <f>DEGREES(ASIN(MAX(-1,MIN(1,2 * (Breakout[[#This Row],[quart_W]]*Breakout[[#This Row],[quart_Y]] - Breakout[[#This Row],[quart_Z]]*Breakout[[#This Row],[quart_X]])))))</f>
        <v>0.97573223452861158</v>
      </c>
      <c r="V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6" s="1">
        <f>IF(Breakout[[#This Row],[Yaw]]&gt;V5,(360-ABS(Breakout[[#This Row],[Yaw]])-ABS(V5)),ABS(Breakout[[#This Row],[Yaw]]-V5))</f>
        <v>0</v>
      </c>
      <c r="Y6" s="1">
        <f>Breakout[[#This Row],[Degree change]]+Y5</f>
        <v>0</v>
      </c>
    </row>
    <row r="7" spans="1:25">
      <c r="A7">
        <v>6</v>
      </c>
      <c r="B7" s="1">
        <v>815.89996299999996</v>
      </c>
      <c r="C7" s="1">
        <v>1157.0399170000001</v>
      </c>
      <c r="D7" s="1">
        <v>18.34</v>
      </c>
      <c r="E7" s="1">
        <v>-1179.309937</v>
      </c>
      <c r="F7" s="1">
        <v>1974.619995</v>
      </c>
      <c r="G7" s="1">
        <v>7.82</v>
      </c>
      <c r="H7" s="1">
        <v>-4.0000000000000002E-4</v>
      </c>
      <c r="I7" s="1">
        <v>-2.9999999999999997E-4</v>
      </c>
      <c r="J7" s="1">
        <v>0</v>
      </c>
      <c r="K7" s="1">
        <v>-7.404E-3</v>
      </c>
      <c r="L7" s="1">
        <v>4.2050000000000004E-3</v>
      </c>
      <c r="M7" s="1">
        <v>0.869668</v>
      </c>
      <c r="N7" s="1">
        <v>0.493564</v>
      </c>
      <c r="O7">
        <v>0</v>
      </c>
      <c r="P7">
        <v>0</v>
      </c>
      <c r="Q7">
        <v>1</v>
      </c>
      <c r="R7">
        <v>1</v>
      </c>
      <c r="S7">
        <v>1</v>
      </c>
      <c r="T7" s="1">
        <f>SQRT(POWER(Breakout[[#This Row],[angvel_X]],2) + POWER(Breakout[[#This Row],[angvel_Y]],2) + POWER(Breakout[[#This Row],[angvel_Z]],2))</f>
        <v>5.0000000000000001E-4</v>
      </c>
      <c r="U7" s="1">
        <f>DEGREES(ASIN(MAX(-1,MIN(1,2 * (Breakout[[#This Row],[quart_W]]*Breakout[[#This Row],[quart_Y]] - Breakout[[#This Row],[quart_Z]]*Breakout[[#This Row],[quart_X]])))))</f>
        <v>0.97573223452861158</v>
      </c>
      <c r="V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7" s="1">
        <f>IF(Breakout[[#This Row],[Yaw]]&gt;V6,(360-ABS(Breakout[[#This Row],[Yaw]])-ABS(V6)),ABS(Breakout[[#This Row],[Yaw]]-V6))</f>
        <v>0</v>
      </c>
      <c r="Y7" s="1">
        <f>Breakout[[#This Row],[Degree change]]+Y6</f>
        <v>0</v>
      </c>
    </row>
    <row r="8" spans="1:25">
      <c r="A8">
        <v>7</v>
      </c>
      <c r="B8" s="1">
        <v>806.03997800000002</v>
      </c>
      <c r="C8" s="1">
        <v>1173.549927</v>
      </c>
      <c r="D8" s="1">
        <v>18.34</v>
      </c>
      <c r="E8" s="1">
        <v>-1179.309937</v>
      </c>
      <c r="F8" s="1">
        <v>1974.619995</v>
      </c>
      <c r="G8" s="1">
        <v>7.82</v>
      </c>
      <c r="H8" s="1">
        <v>-4.0000000000000002E-4</v>
      </c>
      <c r="I8" s="1">
        <v>-2.9999999999999997E-4</v>
      </c>
      <c r="J8" s="1">
        <v>0</v>
      </c>
      <c r="K8" s="1">
        <v>-7.404E-3</v>
      </c>
      <c r="L8" s="1">
        <v>4.2050000000000004E-3</v>
      </c>
      <c r="M8" s="1">
        <v>0.869668</v>
      </c>
      <c r="N8" s="1">
        <v>0.493564</v>
      </c>
      <c r="O8">
        <v>0</v>
      </c>
      <c r="P8">
        <v>0</v>
      </c>
      <c r="Q8">
        <v>1</v>
      </c>
      <c r="R8">
        <v>1</v>
      </c>
      <c r="S8">
        <v>1</v>
      </c>
      <c r="T8" s="1">
        <f>SQRT(POWER(Breakout[[#This Row],[angvel_X]],2) + POWER(Breakout[[#This Row],[angvel_Y]],2) + POWER(Breakout[[#This Row],[angvel_Z]],2))</f>
        <v>5.0000000000000001E-4</v>
      </c>
      <c r="U8" s="1">
        <f>DEGREES(ASIN(MAX(-1,MIN(1,2 * (Breakout[[#This Row],[quart_W]]*Breakout[[#This Row],[quart_Y]] - Breakout[[#This Row],[quart_Z]]*Breakout[[#This Row],[quart_X]])))))</f>
        <v>0.97573223452861158</v>
      </c>
      <c r="V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8" s="1">
        <f>IF(Breakout[[#This Row],[Yaw]]&gt;V7,(360-ABS(Breakout[[#This Row],[Yaw]])-ABS(V7)),ABS(Breakout[[#This Row],[Yaw]]-V7))</f>
        <v>0</v>
      </c>
      <c r="Y8" s="1">
        <f>Breakout[[#This Row],[Degree change]]+Y7</f>
        <v>0</v>
      </c>
    </row>
    <row r="9" spans="1:25">
      <c r="A9">
        <v>8</v>
      </c>
      <c r="B9" s="1">
        <v>796.17999299999997</v>
      </c>
      <c r="C9" s="1">
        <v>1190.059937</v>
      </c>
      <c r="D9" s="1">
        <v>18.34</v>
      </c>
      <c r="E9" s="1">
        <v>-1179.309937</v>
      </c>
      <c r="F9" s="1">
        <v>1974.619995</v>
      </c>
      <c r="G9" s="1">
        <v>7.82</v>
      </c>
      <c r="H9" s="1">
        <v>-4.0000000000000002E-4</v>
      </c>
      <c r="I9" s="1">
        <v>-2.9999999999999997E-4</v>
      </c>
      <c r="J9" s="1">
        <v>0</v>
      </c>
      <c r="K9" s="1">
        <v>-7.404E-3</v>
      </c>
      <c r="L9" s="1">
        <v>4.2050000000000004E-3</v>
      </c>
      <c r="M9" s="1">
        <v>0.869668</v>
      </c>
      <c r="N9" s="1">
        <v>0.493564</v>
      </c>
      <c r="O9">
        <v>0</v>
      </c>
      <c r="P9">
        <v>0</v>
      </c>
      <c r="Q9">
        <v>1</v>
      </c>
      <c r="R9">
        <v>1</v>
      </c>
      <c r="S9">
        <v>1</v>
      </c>
      <c r="T9" s="1">
        <f>SQRT(POWER(Breakout[[#This Row],[angvel_X]],2) + POWER(Breakout[[#This Row],[angvel_Y]],2) + POWER(Breakout[[#This Row],[angvel_Z]],2))</f>
        <v>5.0000000000000001E-4</v>
      </c>
      <c r="U9" s="1">
        <f>DEGREES(ASIN(MAX(-1,MIN(1,2 * (Breakout[[#This Row],[quart_W]]*Breakout[[#This Row],[quart_Y]] - Breakout[[#This Row],[quart_Z]]*Breakout[[#This Row],[quart_X]])))))</f>
        <v>0.97573223452861158</v>
      </c>
      <c r="V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9" s="1">
        <f>IF(Breakout[[#This Row],[Yaw]]&gt;V8,(360-ABS(Breakout[[#This Row],[Yaw]])-ABS(V8)),ABS(Breakout[[#This Row],[Yaw]]-V8))</f>
        <v>0</v>
      </c>
      <c r="Y9" s="1">
        <f>Breakout[[#This Row],[Degree change]]+Y8</f>
        <v>0</v>
      </c>
    </row>
    <row r="10" spans="1:25">
      <c r="A10">
        <v>9</v>
      </c>
      <c r="B10" s="1">
        <v>786.32000700000003</v>
      </c>
      <c r="C10" s="1">
        <v>1206.5699460000001</v>
      </c>
      <c r="D10" s="1">
        <v>18.34</v>
      </c>
      <c r="E10" s="1">
        <v>-1179.309937</v>
      </c>
      <c r="F10" s="1">
        <v>1974.619995</v>
      </c>
      <c r="G10" s="1">
        <v>7.82</v>
      </c>
      <c r="H10" s="1">
        <v>-4.0000000000000002E-4</v>
      </c>
      <c r="I10" s="1">
        <v>-2.9999999999999997E-4</v>
      </c>
      <c r="J10" s="1">
        <v>0</v>
      </c>
      <c r="K10" s="1">
        <v>-7.404E-3</v>
      </c>
      <c r="L10" s="1">
        <v>4.2050000000000004E-3</v>
      </c>
      <c r="M10" s="1">
        <v>0.869668</v>
      </c>
      <c r="N10" s="1">
        <v>0.493564</v>
      </c>
      <c r="O10">
        <v>0</v>
      </c>
      <c r="P10">
        <v>0</v>
      </c>
      <c r="Q10">
        <v>1</v>
      </c>
      <c r="R10">
        <v>1</v>
      </c>
      <c r="S10">
        <v>1</v>
      </c>
      <c r="T10" s="1">
        <f>SQRT(POWER(Breakout[[#This Row],[angvel_X]],2) + POWER(Breakout[[#This Row],[angvel_Y]],2) + POWER(Breakout[[#This Row],[angvel_Z]],2))</f>
        <v>5.0000000000000001E-4</v>
      </c>
      <c r="U10" s="1">
        <f>DEGREES(ASIN(MAX(-1,MIN(1,2 * (Breakout[[#This Row],[quart_W]]*Breakout[[#This Row],[quart_Y]] - Breakout[[#This Row],[quart_Z]]*Breakout[[#This Row],[quart_X]])))))</f>
        <v>0.97573223452861158</v>
      </c>
      <c r="V1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1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10" s="1">
        <f>IF(Breakout[[#This Row],[Yaw]]&gt;V9,(360-ABS(Breakout[[#This Row],[Yaw]])-ABS(V9)),ABS(Breakout[[#This Row],[Yaw]]-V9))</f>
        <v>0</v>
      </c>
      <c r="Y10" s="1">
        <f>Breakout[[#This Row],[Degree change]]+Y9</f>
        <v>0</v>
      </c>
    </row>
    <row r="11" spans="1:25">
      <c r="A11">
        <v>10</v>
      </c>
      <c r="B11" s="1">
        <v>776.45996100000002</v>
      </c>
      <c r="C11" s="1">
        <v>1223.079956</v>
      </c>
      <c r="D11" s="1">
        <v>18.34</v>
      </c>
      <c r="E11" s="1">
        <v>-1179.309937</v>
      </c>
      <c r="F11" s="1">
        <v>1974.619995</v>
      </c>
      <c r="G11" s="1">
        <v>7.82</v>
      </c>
      <c r="H11" s="1">
        <v>-4.0000000000000002E-4</v>
      </c>
      <c r="I11" s="1">
        <v>-2.9999999999999997E-4</v>
      </c>
      <c r="J11" s="1">
        <v>0</v>
      </c>
      <c r="K11" s="1">
        <v>-7.404E-3</v>
      </c>
      <c r="L11" s="1">
        <v>4.2050000000000004E-3</v>
      </c>
      <c r="M11" s="1">
        <v>0.869668</v>
      </c>
      <c r="N11" s="1">
        <v>0.493564</v>
      </c>
      <c r="O11">
        <v>0</v>
      </c>
      <c r="P11">
        <v>0</v>
      </c>
      <c r="Q11">
        <v>1</v>
      </c>
      <c r="R11">
        <v>1</v>
      </c>
      <c r="S11">
        <v>1</v>
      </c>
      <c r="T11" s="1">
        <f>SQRT(POWER(Breakout[[#This Row],[angvel_X]],2) + POWER(Breakout[[#This Row],[angvel_Y]],2) + POWER(Breakout[[#This Row],[angvel_Z]],2))</f>
        <v>5.0000000000000001E-4</v>
      </c>
      <c r="U11" s="1">
        <f>DEGREES(ASIN(MAX(-1,MIN(1,2 * (Breakout[[#This Row],[quart_W]]*Breakout[[#This Row],[quart_Y]] - Breakout[[#This Row],[quart_Z]]*Breakout[[#This Row],[quart_X]])))))</f>
        <v>0.97573223452861158</v>
      </c>
      <c r="V1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1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11" s="1">
        <f>IF(Breakout[[#This Row],[Yaw]]&gt;V10,(360-ABS(Breakout[[#This Row],[Yaw]])-ABS(V10)),ABS(Breakout[[#This Row],[Yaw]]-V10))</f>
        <v>0</v>
      </c>
      <c r="Y11" s="1">
        <f>Breakout[[#This Row],[Degree change]]+Y10</f>
        <v>0</v>
      </c>
    </row>
    <row r="12" spans="1:25">
      <c r="A12">
        <v>11</v>
      </c>
      <c r="B12" s="1">
        <v>766.59997599999997</v>
      </c>
      <c r="C12" s="1">
        <v>1239.589966</v>
      </c>
      <c r="D12" s="1">
        <v>18.34</v>
      </c>
      <c r="E12" s="1">
        <v>-1179.309937</v>
      </c>
      <c r="F12" s="1">
        <v>1974.619995</v>
      </c>
      <c r="G12" s="1">
        <v>7.82</v>
      </c>
      <c r="H12" s="1">
        <v>-4.0000000000000002E-4</v>
      </c>
      <c r="I12" s="1">
        <v>-2.9999999999999997E-4</v>
      </c>
      <c r="J12" s="1">
        <v>0</v>
      </c>
      <c r="K12" s="1">
        <v>-7.404E-3</v>
      </c>
      <c r="L12" s="1">
        <v>4.2050000000000004E-3</v>
      </c>
      <c r="M12" s="1">
        <v>0.869668</v>
      </c>
      <c r="N12" s="1">
        <v>0.493564</v>
      </c>
      <c r="O12">
        <v>0</v>
      </c>
      <c r="P12">
        <v>0</v>
      </c>
      <c r="Q12">
        <v>1</v>
      </c>
      <c r="R12">
        <v>1</v>
      </c>
      <c r="S12">
        <v>1</v>
      </c>
      <c r="T12" s="1">
        <f>SQRT(POWER(Breakout[[#This Row],[angvel_X]],2) + POWER(Breakout[[#This Row],[angvel_Y]],2) + POWER(Breakout[[#This Row],[angvel_Z]],2))</f>
        <v>5.0000000000000001E-4</v>
      </c>
      <c r="U12" s="1">
        <f>DEGREES(ASIN(MAX(-1,MIN(1,2 * (Breakout[[#This Row],[quart_W]]*Breakout[[#This Row],[quart_Y]] - Breakout[[#This Row],[quart_Z]]*Breakout[[#This Row],[quart_X]])))))</f>
        <v>0.97573223452861158</v>
      </c>
      <c r="V1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1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12" s="1">
        <f>IF(Breakout[[#This Row],[Yaw]]&gt;V11,(360-ABS(Breakout[[#This Row],[Yaw]])-ABS(V11)),ABS(Breakout[[#This Row],[Yaw]]-V11))</f>
        <v>0</v>
      </c>
      <c r="Y12" s="1">
        <f>Breakout[[#This Row],[Degree change]]+Y11</f>
        <v>0</v>
      </c>
    </row>
    <row r="13" spans="1:25">
      <c r="A13">
        <v>12</v>
      </c>
      <c r="B13" s="1">
        <v>756.73999000000003</v>
      </c>
      <c r="C13" s="1">
        <v>1256.099976</v>
      </c>
      <c r="D13" s="1">
        <v>18.34</v>
      </c>
      <c r="E13" s="1">
        <v>-1179.309937</v>
      </c>
      <c r="F13" s="1">
        <v>1974.619995</v>
      </c>
      <c r="G13" s="1">
        <v>7.82</v>
      </c>
      <c r="H13" s="1">
        <v>-4.0000000000000002E-4</v>
      </c>
      <c r="I13" s="1">
        <v>-2.9999999999999997E-4</v>
      </c>
      <c r="J13" s="1">
        <v>0</v>
      </c>
      <c r="K13" s="1">
        <v>-7.404E-3</v>
      </c>
      <c r="L13" s="1">
        <v>4.2050000000000004E-3</v>
      </c>
      <c r="M13" s="1">
        <v>0.869668</v>
      </c>
      <c r="N13" s="1">
        <v>0.493564</v>
      </c>
      <c r="O13">
        <v>0</v>
      </c>
      <c r="P13">
        <v>0</v>
      </c>
      <c r="Q13">
        <v>1</v>
      </c>
      <c r="R13">
        <v>1</v>
      </c>
      <c r="S13">
        <v>1</v>
      </c>
      <c r="T13" s="1">
        <f>SQRT(POWER(Breakout[[#This Row],[angvel_X]],2) + POWER(Breakout[[#This Row],[angvel_Y]],2) + POWER(Breakout[[#This Row],[angvel_Z]],2))</f>
        <v>5.0000000000000001E-4</v>
      </c>
      <c r="U13" s="1">
        <f>DEGREES(ASIN(MAX(-1,MIN(1,2 * (Breakout[[#This Row],[quart_W]]*Breakout[[#This Row],[quart_Y]] - Breakout[[#This Row],[quart_Z]]*Breakout[[#This Row],[quart_X]])))))</f>
        <v>0.97573223452861158</v>
      </c>
      <c r="V1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1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13" s="1">
        <f>IF(Breakout[[#This Row],[Yaw]]&gt;V12,(360-ABS(Breakout[[#This Row],[Yaw]])-ABS(V12)),ABS(Breakout[[#This Row],[Yaw]]-V12))</f>
        <v>0</v>
      </c>
      <c r="Y13" s="1">
        <f>Breakout[[#This Row],[Degree change]]+Y12</f>
        <v>0</v>
      </c>
    </row>
    <row r="14" spans="1:25">
      <c r="A14">
        <v>13</v>
      </c>
      <c r="B14" s="1">
        <v>746.88000499999998</v>
      </c>
      <c r="C14" s="1">
        <v>1272.6099850000001</v>
      </c>
      <c r="D14" s="1">
        <v>18.34</v>
      </c>
      <c r="E14" s="1">
        <v>-1179.309937</v>
      </c>
      <c r="F14" s="1">
        <v>1974.619995</v>
      </c>
      <c r="G14" s="1">
        <v>7.82</v>
      </c>
      <c r="H14" s="1">
        <v>-4.0000000000000002E-4</v>
      </c>
      <c r="I14" s="1">
        <v>-2.9999999999999997E-4</v>
      </c>
      <c r="J14" s="1">
        <v>0</v>
      </c>
      <c r="K14" s="1">
        <v>-7.404E-3</v>
      </c>
      <c r="L14" s="1">
        <v>4.2050000000000004E-3</v>
      </c>
      <c r="M14" s="1">
        <v>0.869668</v>
      </c>
      <c r="N14" s="1">
        <v>0.493564</v>
      </c>
      <c r="O14">
        <v>0</v>
      </c>
      <c r="P14">
        <v>0</v>
      </c>
      <c r="Q14">
        <v>1</v>
      </c>
      <c r="R14">
        <v>1</v>
      </c>
      <c r="S14">
        <v>1</v>
      </c>
      <c r="T14" s="1">
        <f>SQRT(POWER(Breakout[[#This Row],[angvel_X]],2) + POWER(Breakout[[#This Row],[angvel_Y]],2) + POWER(Breakout[[#This Row],[angvel_Z]],2))</f>
        <v>5.0000000000000001E-4</v>
      </c>
      <c r="U14" s="1">
        <f>DEGREES(ASIN(MAX(-1,MIN(1,2 * (Breakout[[#This Row],[quart_W]]*Breakout[[#This Row],[quart_Y]] - Breakout[[#This Row],[quart_Z]]*Breakout[[#This Row],[quart_X]])))))</f>
        <v>0.97573223452861158</v>
      </c>
      <c r="V1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1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14" s="1">
        <f>IF(Breakout[[#This Row],[Yaw]]&gt;V13,(360-ABS(Breakout[[#This Row],[Yaw]])-ABS(V13)),ABS(Breakout[[#This Row],[Yaw]]-V13))</f>
        <v>0</v>
      </c>
      <c r="Y14" s="1">
        <f>Breakout[[#This Row],[Degree change]]+Y13</f>
        <v>0</v>
      </c>
    </row>
    <row r="15" spans="1:25">
      <c r="A15">
        <v>14</v>
      </c>
      <c r="B15" s="1">
        <v>737.01995799999997</v>
      </c>
      <c r="C15" s="1">
        <v>1289.119995</v>
      </c>
      <c r="D15" s="1">
        <v>18.34</v>
      </c>
      <c r="E15" s="1">
        <v>-1179.309937</v>
      </c>
      <c r="F15" s="1">
        <v>1974.619995</v>
      </c>
      <c r="G15" s="1">
        <v>7.82</v>
      </c>
      <c r="H15" s="1">
        <v>-4.0000000000000002E-4</v>
      </c>
      <c r="I15" s="1">
        <v>-2.9999999999999997E-4</v>
      </c>
      <c r="J15" s="1">
        <v>0</v>
      </c>
      <c r="K15" s="1">
        <v>-7.404E-3</v>
      </c>
      <c r="L15" s="1">
        <v>4.2050000000000004E-3</v>
      </c>
      <c r="M15" s="1">
        <v>0.869668</v>
      </c>
      <c r="N15" s="1">
        <v>0.493564</v>
      </c>
      <c r="O15">
        <v>0</v>
      </c>
      <c r="P15">
        <v>0</v>
      </c>
      <c r="Q15">
        <v>1</v>
      </c>
      <c r="R15">
        <v>1</v>
      </c>
      <c r="S15">
        <v>1</v>
      </c>
      <c r="T15" s="1">
        <f>SQRT(POWER(Breakout[[#This Row],[angvel_X]],2) + POWER(Breakout[[#This Row],[angvel_Y]],2) + POWER(Breakout[[#This Row],[angvel_Z]],2))</f>
        <v>5.0000000000000001E-4</v>
      </c>
      <c r="U15" s="1">
        <f>DEGREES(ASIN(MAX(-1,MIN(1,2 * (Breakout[[#This Row],[quart_W]]*Breakout[[#This Row],[quart_Y]] - Breakout[[#This Row],[quart_Z]]*Breakout[[#This Row],[quart_X]])))))</f>
        <v>0.97573223452861158</v>
      </c>
      <c r="V1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1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15" s="1">
        <f>IF(Breakout[[#This Row],[Yaw]]&gt;V14,(360-ABS(Breakout[[#This Row],[Yaw]])-ABS(V14)),ABS(Breakout[[#This Row],[Yaw]]-V14))</f>
        <v>0</v>
      </c>
      <c r="Y15" s="1">
        <f>Breakout[[#This Row],[Degree change]]+Y14</f>
        <v>0</v>
      </c>
    </row>
    <row r="16" spans="1:25">
      <c r="A16">
        <v>15</v>
      </c>
      <c r="B16" s="1">
        <v>727.15997300000004</v>
      </c>
      <c r="C16" s="1">
        <v>1305.630005</v>
      </c>
      <c r="D16" s="1">
        <v>18.34</v>
      </c>
      <c r="E16" s="1">
        <v>-1179.309937</v>
      </c>
      <c r="F16" s="1">
        <v>1974.619995</v>
      </c>
      <c r="G16" s="1">
        <v>7.82</v>
      </c>
      <c r="H16" s="1">
        <v>-4.0000000000000002E-4</v>
      </c>
      <c r="I16" s="1">
        <v>-2.9999999999999997E-4</v>
      </c>
      <c r="J16" s="1">
        <v>0</v>
      </c>
      <c r="K16" s="1">
        <v>-7.404E-3</v>
      </c>
      <c r="L16" s="1">
        <v>4.2050000000000004E-3</v>
      </c>
      <c r="M16" s="1">
        <v>0.869668</v>
      </c>
      <c r="N16" s="1">
        <v>0.493564</v>
      </c>
      <c r="O16">
        <v>0</v>
      </c>
      <c r="P16">
        <v>0</v>
      </c>
      <c r="Q16">
        <v>1</v>
      </c>
      <c r="R16">
        <v>1</v>
      </c>
      <c r="S16">
        <v>1</v>
      </c>
      <c r="T16" s="1">
        <f>SQRT(POWER(Breakout[[#This Row],[angvel_X]],2) + POWER(Breakout[[#This Row],[angvel_Y]],2) + POWER(Breakout[[#This Row],[angvel_Z]],2))</f>
        <v>5.0000000000000001E-4</v>
      </c>
      <c r="U16" s="1">
        <f>DEGREES(ASIN(MAX(-1,MIN(1,2 * (Breakout[[#This Row],[quart_W]]*Breakout[[#This Row],[quart_Y]] - Breakout[[#This Row],[quart_Z]]*Breakout[[#This Row],[quart_X]])))))</f>
        <v>0.97573223452861158</v>
      </c>
      <c r="V1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1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16" s="1">
        <f>IF(Breakout[[#This Row],[Yaw]]&gt;V15,(360-ABS(Breakout[[#This Row],[Yaw]])-ABS(V15)),ABS(Breakout[[#This Row],[Yaw]]-V15))</f>
        <v>0</v>
      </c>
      <c r="Y16" s="1">
        <f>Breakout[[#This Row],[Degree change]]+Y15</f>
        <v>0</v>
      </c>
    </row>
    <row r="17" spans="1:25">
      <c r="A17">
        <v>16</v>
      </c>
      <c r="B17" s="1">
        <v>717.29998799999998</v>
      </c>
      <c r="C17" s="1">
        <v>1322.1400149999999</v>
      </c>
      <c r="D17" s="1">
        <v>18.34</v>
      </c>
      <c r="E17" s="1">
        <v>-1179.309937</v>
      </c>
      <c r="F17" s="1">
        <v>1974.619995</v>
      </c>
      <c r="G17" s="1">
        <v>7.82</v>
      </c>
      <c r="H17" s="1">
        <v>-4.0000000000000002E-4</v>
      </c>
      <c r="I17" s="1">
        <v>-2.9999999999999997E-4</v>
      </c>
      <c r="J17" s="1">
        <v>0</v>
      </c>
      <c r="K17" s="1">
        <v>-7.404E-3</v>
      </c>
      <c r="L17" s="1">
        <v>4.2050000000000004E-3</v>
      </c>
      <c r="M17" s="1">
        <v>0.869668</v>
      </c>
      <c r="N17" s="1">
        <v>0.493564</v>
      </c>
      <c r="O17">
        <v>0</v>
      </c>
      <c r="P17">
        <v>0</v>
      </c>
      <c r="Q17">
        <v>1</v>
      </c>
      <c r="R17">
        <v>1</v>
      </c>
      <c r="S17">
        <v>1</v>
      </c>
      <c r="T17" s="1">
        <f>SQRT(POWER(Breakout[[#This Row],[angvel_X]],2) + POWER(Breakout[[#This Row],[angvel_Y]],2) + POWER(Breakout[[#This Row],[angvel_Z]],2))</f>
        <v>5.0000000000000001E-4</v>
      </c>
      <c r="U17" s="1">
        <f>DEGREES(ASIN(MAX(-1,MIN(1,2 * (Breakout[[#This Row],[quart_W]]*Breakout[[#This Row],[quart_Y]] - Breakout[[#This Row],[quart_Z]]*Breakout[[#This Row],[quart_X]])))))</f>
        <v>0.97573223452861158</v>
      </c>
      <c r="V1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1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17" s="1">
        <f>IF(Breakout[[#This Row],[Yaw]]&gt;V16,(360-ABS(Breakout[[#This Row],[Yaw]])-ABS(V16)),ABS(Breakout[[#This Row],[Yaw]]-V16))</f>
        <v>0</v>
      </c>
      <c r="Y17" s="1">
        <f>Breakout[[#This Row],[Degree change]]+Y16</f>
        <v>0</v>
      </c>
    </row>
    <row r="18" spans="1:25">
      <c r="A18">
        <v>17</v>
      </c>
      <c r="B18" s="1">
        <v>707.44000200000005</v>
      </c>
      <c r="C18" s="1">
        <v>1338.650024</v>
      </c>
      <c r="D18" s="1">
        <v>18.34</v>
      </c>
      <c r="E18" s="1">
        <v>-1179.309937</v>
      </c>
      <c r="F18" s="1">
        <v>1974.619995</v>
      </c>
      <c r="G18" s="1">
        <v>7.82</v>
      </c>
      <c r="H18" s="1">
        <v>-4.0000000000000002E-4</v>
      </c>
      <c r="I18" s="1">
        <v>-2.9999999999999997E-4</v>
      </c>
      <c r="J18" s="1">
        <v>0</v>
      </c>
      <c r="K18" s="1">
        <v>-7.404E-3</v>
      </c>
      <c r="L18" s="1">
        <v>4.2050000000000004E-3</v>
      </c>
      <c r="M18" s="1">
        <v>0.869668</v>
      </c>
      <c r="N18" s="1">
        <v>0.493564</v>
      </c>
      <c r="O18">
        <v>0</v>
      </c>
      <c r="P18">
        <v>0</v>
      </c>
      <c r="Q18">
        <v>1</v>
      </c>
      <c r="R18">
        <v>1</v>
      </c>
      <c r="S18">
        <v>1</v>
      </c>
      <c r="T18" s="1">
        <f>SQRT(POWER(Breakout[[#This Row],[angvel_X]],2) + POWER(Breakout[[#This Row],[angvel_Y]],2) + POWER(Breakout[[#This Row],[angvel_Z]],2))</f>
        <v>5.0000000000000001E-4</v>
      </c>
      <c r="U18" s="1">
        <f>DEGREES(ASIN(MAX(-1,MIN(1,2 * (Breakout[[#This Row],[quart_W]]*Breakout[[#This Row],[quart_Y]] - Breakout[[#This Row],[quart_Z]]*Breakout[[#This Row],[quart_X]])))))</f>
        <v>0.97573223452861158</v>
      </c>
      <c r="V1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1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18" s="1">
        <f>IF(Breakout[[#This Row],[Yaw]]&gt;V17,(360-ABS(Breakout[[#This Row],[Yaw]])-ABS(V17)),ABS(Breakout[[#This Row],[Yaw]]-V17))</f>
        <v>0</v>
      </c>
      <c r="Y18" s="1">
        <f>Breakout[[#This Row],[Degree change]]+Y17</f>
        <v>0</v>
      </c>
    </row>
    <row r="19" spans="1:25">
      <c r="A19">
        <v>18</v>
      </c>
      <c r="B19" s="1">
        <v>697.57995600000004</v>
      </c>
      <c r="C19" s="1">
        <v>1355.1599120000001</v>
      </c>
      <c r="D19" s="1">
        <v>18.34</v>
      </c>
      <c r="E19" s="1">
        <v>-1179.309937</v>
      </c>
      <c r="F19" s="1">
        <v>1974.619995</v>
      </c>
      <c r="G19" s="1">
        <v>7.82</v>
      </c>
      <c r="H19" s="1">
        <v>-4.0000000000000002E-4</v>
      </c>
      <c r="I19" s="1">
        <v>-2.9999999999999997E-4</v>
      </c>
      <c r="J19" s="1">
        <v>0</v>
      </c>
      <c r="K19" s="1">
        <v>-7.404E-3</v>
      </c>
      <c r="L19" s="1">
        <v>4.2050000000000004E-3</v>
      </c>
      <c r="M19" s="1">
        <v>0.869668</v>
      </c>
      <c r="N19" s="1">
        <v>0.493564</v>
      </c>
      <c r="O19">
        <v>0</v>
      </c>
      <c r="P19">
        <v>0</v>
      </c>
      <c r="Q19">
        <v>1</v>
      </c>
      <c r="R19">
        <v>1</v>
      </c>
      <c r="S19">
        <v>1</v>
      </c>
      <c r="T19" s="1">
        <f>SQRT(POWER(Breakout[[#This Row],[angvel_X]],2) + POWER(Breakout[[#This Row],[angvel_Y]],2) + POWER(Breakout[[#This Row],[angvel_Z]],2))</f>
        <v>5.0000000000000001E-4</v>
      </c>
      <c r="U19" s="1">
        <f>DEGREES(ASIN(MAX(-1,MIN(1,2 * (Breakout[[#This Row],[quart_W]]*Breakout[[#This Row],[quart_Y]] - Breakout[[#This Row],[quart_Z]]*Breakout[[#This Row],[quart_X]])))))</f>
        <v>0.97573223452861158</v>
      </c>
      <c r="V1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1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19" s="1">
        <f>IF(Breakout[[#This Row],[Yaw]]&gt;V18,(360-ABS(Breakout[[#This Row],[Yaw]])-ABS(V18)),ABS(Breakout[[#This Row],[Yaw]]-V18))</f>
        <v>0</v>
      </c>
      <c r="Y19" s="1">
        <f>Breakout[[#This Row],[Degree change]]+Y18</f>
        <v>0</v>
      </c>
    </row>
    <row r="20" spans="1:25">
      <c r="A20">
        <v>19</v>
      </c>
      <c r="B20" s="1">
        <v>687.71997099999999</v>
      </c>
      <c r="C20" s="1">
        <v>1371.669922</v>
      </c>
      <c r="D20" s="1">
        <v>18.34</v>
      </c>
      <c r="E20" s="1">
        <v>-1179.309937</v>
      </c>
      <c r="F20" s="1">
        <v>1974.619995</v>
      </c>
      <c r="G20" s="1">
        <v>7.82</v>
      </c>
      <c r="H20" s="1">
        <v>-4.0000000000000002E-4</v>
      </c>
      <c r="I20" s="1">
        <v>-2.9999999999999997E-4</v>
      </c>
      <c r="J20" s="1">
        <v>0</v>
      </c>
      <c r="K20" s="1">
        <v>-7.404E-3</v>
      </c>
      <c r="L20" s="1">
        <v>4.2050000000000004E-3</v>
      </c>
      <c r="M20" s="1">
        <v>0.869668</v>
      </c>
      <c r="N20" s="1">
        <v>0.493564</v>
      </c>
      <c r="O20">
        <v>0</v>
      </c>
      <c r="P20">
        <v>0</v>
      </c>
      <c r="Q20">
        <v>1</v>
      </c>
      <c r="R20">
        <v>1</v>
      </c>
      <c r="S20">
        <v>1</v>
      </c>
      <c r="T20" s="1">
        <f>SQRT(POWER(Breakout[[#This Row],[angvel_X]],2) + POWER(Breakout[[#This Row],[angvel_Y]],2) + POWER(Breakout[[#This Row],[angvel_Z]],2))</f>
        <v>5.0000000000000001E-4</v>
      </c>
      <c r="U20" s="1">
        <f>DEGREES(ASIN(MAX(-1,MIN(1,2 * (Breakout[[#This Row],[quart_W]]*Breakout[[#This Row],[quart_Y]] - Breakout[[#This Row],[quart_Z]]*Breakout[[#This Row],[quart_X]])))))</f>
        <v>0.97573223452861158</v>
      </c>
      <c r="V2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2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20" s="1">
        <f>IF(Breakout[[#This Row],[Yaw]]&gt;V19,(360-ABS(Breakout[[#This Row],[Yaw]])-ABS(V19)),ABS(Breakout[[#This Row],[Yaw]]-V19))</f>
        <v>0</v>
      </c>
      <c r="Y20" s="1">
        <f>Breakout[[#This Row],[Degree change]]+Y19</f>
        <v>0</v>
      </c>
    </row>
    <row r="21" spans="1:25">
      <c r="A21">
        <v>20</v>
      </c>
      <c r="B21" s="1">
        <v>677.85998500000005</v>
      </c>
      <c r="C21" s="1">
        <v>1388.179932</v>
      </c>
      <c r="D21" s="1">
        <v>18.34</v>
      </c>
      <c r="E21" s="1">
        <v>-1179.309937</v>
      </c>
      <c r="F21" s="1">
        <v>1974.619995</v>
      </c>
      <c r="G21" s="1">
        <v>7.82</v>
      </c>
      <c r="H21" s="1">
        <v>-4.0000000000000002E-4</v>
      </c>
      <c r="I21" s="1">
        <v>-2.9999999999999997E-4</v>
      </c>
      <c r="J21" s="1">
        <v>0</v>
      </c>
      <c r="K21" s="1">
        <v>-7.404E-3</v>
      </c>
      <c r="L21" s="1">
        <v>4.2050000000000004E-3</v>
      </c>
      <c r="M21" s="1">
        <v>0.869668</v>
      </c>
      <c r="N21" s="1">
        <v>0.493564</v>
      </c>
      <c r="O21">
        <v>0</v>
      </c>
      <c r="P21">
        <v>0</v>
      </c>
      <c r="Q21">
        <v>1</v>
      </c>
      <c r="R21">
        <v>1</v>
      </c>
      <c r="S21">
        <v>1</v>
      </c>
      <c r="T21" s="1">
        <f>SQRT(POWER(Breakout[[#This Row],[angvel_X]],2) + POWER(Breakout[[#This Row],[angvel_Y]],2) + POWER(Breakout[[#This Row],[angvel_Z]],2))</f>
        <v>5.0000000000000001E-4</v>
      </c>
      <c r="U21" s="1">
        <f>DEGREES(ASIN(MAX(-1,MIN(1,2 * (Breakout[[#This Row],[quart_W]]*Breakout[[#This Row],[quart_Y]] - Breakout[[#This Row],[quart_Z]]*Breakout[[#This Row],[quart_X]])))))</f>
        <v>0.97573223452861158</v>
      </c>
      <c r="V2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2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21" s="1">
        <f>IF(Breakout[[#This Row],[Yaw]]&gt;V20,(360-ABS(Breakout[[#This Row],[Yaw]])-ABS(V20)),ABS(Breakout[[#This Row],[Yaw]]-V20))</f>
        <v>0</v>
      </c>
      <c r="Y21" s="1">
        <f>Breakout[[#This Row],[Degree change]]+Y20</f>
        <v>0</v>
      </c>
    </row>
    <row r="22" spans="1:25">
      <c r="A22">
        <v>21</v>
      </c>
      <c r="B22" s="1">
        <v>668</v>
      </c>
      <c r="C22" s="1">
        <v>1404.6899410000001</v>
      </c>
      <c r="D22" s="1">
        <v>18.34</v>
      </c>
      <c r="E22" s="1">
        <v>-1179.309937</v>
      </c>
      <c r="F22" s="1">
        <v>1974.619995</v>
      </c>
      <c r="G22" s="1">
        <v>7.82</v>
      </c>
      <c r="H22" s="1">
        <v>-4.0000000000000002E-4</v>
      </c>
      <c r="I22" s="1">
        <v>-2.9999999999999997E-4</v>
      </c>
      <c r="J22" s="1">
        <v>0</v>
      </c>
      <c r="K22" s="1">
        <v>-7.404E-3</v>
      </c>
      <c r="L22" s="1">
        <v>4.2050000000000004E-3</v>
      </c>
      <c r="M22" s="1">
        <v>0.869668</v>
      </c>
      <c r="N22" s="1">
        <v>0.493564</v>
      </c>
      <c r="O22">
        <v>0</v>
      </c>
      <c r="P22">
        <v>0</v>
      </c>
      <c r="Q22">
        <v>1</v>
      </c>
      <c r="R22">
        <v>1</v>
      </c>
      <c r="S22">
        <v>1</v>
      </c>
      <c r="T22" s="1">
        <f>SQRT(POWER(Breakout[[#This Row],[angvel_X]],2) + POWER(Breakout[[#This Row],[angvel_Y]],2) + POWER(Breakout[[#This Row],[angvel_Z]],2))</f>
        <v>5.0000000000000001E-4</v>
      </c>
      <c r="U22" s="1">
        <f>DEGREES(ASIN(MAX(-1,MIN(1,2 * (Breakout[[#This Row],[quart_W]]*Breakout[[#This Row],[quart_Y]] - Breakout[[#This Row],[quart_Z]]*Breakout[[#This Row],[quart_X]])))))</f>
        <v>0.97573223452861158</v>
      </c>
      <c r="V2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2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22" s="1">
        <f>IF(Breakout[[#This Row],[Yaw]]&gt;V21,(360-ABS(Breakout[[#This Row],[Yaw]])-ABS(V21)),ABS(Breakout[[#This Row],[Yaw]]-V21))</f>
        <v>0</v>
      </c>
      <c r="Y22" s="1">
        <f>Breakout[[#This Row],[Degree change]]+Y21</f>
        <v>0</v>
      </c>
    </row>
    <row r="23" spans="1:25">
      <c r="A23">
        <v>22</v>
      </c>
      <c r="B23" s="1">
        <v>658.14001499999995</v>
      </c>
      <c r="C23" s="1">
        <v>1421.1999510000001</v>
      </c>
      <c r="D23" s="1">
        <v>18.34</v>
      </c>
      <c r="E23" s="1">
        <v>-1179.309937</v>
      </c>
      <c r="F23" s="1">
        <v>1974.619995</v>
      </c>
      <c r="G23" s="1">
        <v>7.82</v>
      </c>
      <c r="H23" s="1">
        <v>-4.0000000000000002E-4</v>
      </c>
      <c r="I23" s="1">
        <v>-2.9999999999999997E-4</v>
      </c>
      <c r="J23" s="1">
        <v>0</v>
      </c>
      <c r="K23" s="1">
        <v>-7.404E-3</v>
      </c>
      <c r="L23" s="1">
        <v>4.2050000000000004E-3</v>
      </c>
      <c r="M23" s="1">
        <v>0.869668</v>
      </c>
      <c r="N23" s="1">
        <v>0.493564</v>
      </c>
      <c r="O23">
        <v>0</v>
      </c>
      <c r="P23">
        <v>0</v>
      </c>
      <c r="Q23">
        <v>1</v>
      </c>
      <c r="R23">
        <v>1</v>
      </c>
      <c r="S23">
        <v>1</v>
      </c>
      <c r="T23" s="1">
        <f>SQRT(POWER(Breakout[[#This Row],[angvel_X]],2) + POWER(Breakout[[#This Row],[angvel_Y]],2) + POWER(Breakout[[#This Row],[angvel_Z]],2))</f>
        <v>5.0000000000000001E-4</v>
      </c>
      <c r="U23" s="1">
        <f>DEGREES(ASIN(MAX(-1,MIN(1,2 * (Breakout[[#This Row],[quart_W]]*Breakout[[#This Row],[quart_Y]] - Breakout[[#This Row],[quart_Z]]*Breakout[[#This Row],[quart_X]])))))</f>
        <v>0.97573223452861158</v>
      </c>
      <c r="V2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2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23" s="1">
        <f>IF(Breakout[[#This Row],[Yaw]]&gt;V22,(360-ABS(Breakout[[#This Row],[Yaw]])-ABS(V22)),ABS(Breakout[[#This Row],[Yaw]]-V22))</f>
        <v>0</v>
      </c>
      <c r="Y23" s="1">
        <f>Breakout[[#This Row],[Degree change]]+Y22</f>
        <v>0</v>
      </c>
    </row>
    <row r="24" spans="1:25">
      <c r="A24">
        <v>23</v>
      </c>
      <c r="B24" s="1">
        <v>648.27996800000005</v>
      </c>
      <c r="C24" s="1">
        <v>1437.709961</v>
      </c>
      <c r="D24" s="1">
        <v>18.34</v>
      </c>
      <c r="E24" s="1">
        <v>-1179.309937</v>
      </c>
      <c r="F24" s="1">
        <v>1974.619995</v>
      </c>
      <c r="G24" s="1">
        <v>7.82</v>
      </c>
      <c r="H24" s="1">
        <v>-4.0000000000000002E-4</v>
      </c>
      <c r="I24" s="1">
        <v>-2.9999999999999997E-4</v>
      </c>
      <c r="J24" s="1">
        <v>0</v>
      </c>
      <c r="K24" s="1">
        <v>-7.404E-3</v>
      </c>
      <c r="L24" s="1">
        <v>4.2050000000000004E-3</v>
      </c>
      <c r="M24" s="1">
        <v>0.869668</v>
      </c>
      <c r="N24" s="1">
        <v>0.493564</v>
      </c>
      <c r="O24">
        <v>0</v>
      </c>
      <c r="P24">
        <v>0</v>
      </c>
      <c r="Q24">
        <v>1</v>
      </c>
      <c r="R24">
        <v>1</v>
      </c>
      <c r="S24">
        <v>1</v>
      </c>
      <c r="T24" s="1">
        <f>SQRT(POWER(Breakout[[#This Row],[angvel_X]],2) + POWER(Breakout[[#This Row],[angvel_Y]],2) + POWER(Breakout[[#This Row],[angvel_Z]],2))</f>
        <v>5.0000000000000001E-4</v>
      </c>
      <c r="U24" s="1">
        <f>DEGREES(ASIN(MAX(-1,MIN(1,2 * (Breakout[[#This Row],[quart_W]]*Breakout[[#This Row],[quart_Y]] - Breakout[[#This Row],[quart_Z]]*Breakout[[#This Row],[quart_X]])))))</f>
        <v>0.97573223452861158</v>
      </c>
      <c r="V2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2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24" s="1">
        <f>IF(Breakout[[#This Row],[Yaw]]&gt;V23,(360-ABS(Breakout[[#This Row],[Yaw]])-ABS(V23)),ABS(Breakout[[#This Row],[Yaw]]-V23))</f>
        <v>0</v>
      </c>
      <c r="Y24" s="1">
        <f>Breakout[[#This Row],[Degree change]]+Y23</f>
        <v>0</v>
      </c>
    </row>
    <row r="25" spans="1:25">
      <c r="A25">
        <v>24</v>
      </c>
      <c r="B25" s="1">
        <v>638.419983</v>
      </c>
      <c r="C25" s="1">
        <v>1454.219971</v>
      </c>
      <c r="D25" s="1">
        <v>18.34</v>
      </c>
      <c r="E25" s="1">
        <v>-1179.309937</v>
      </c>
      <c r="F25" s="1">
        <v>1974.619995</v>
      </c>
      <c r="G25" s="1">
        <v>7.82</v>
      </c>
      <c r="H25" s="1">
        <v>-4.0000000000000002E-4</v>
      </c>
      <c r="I25" s="1">
        <v>-2.9999999999999997E-4</v>
      </c>
      <c r="J25" s="1">
        <v>0</v>
      </c>
      <c r="K25" s="1">
        <v>-7.404E-3</v>
      </c>
      <c r="L25" s="1">
        <v>4.2050000000000004E-3</v>
      </c>
      <c r="M25" s="1">
        <v>0.869668</v>
      </c>
      <c r="N25" s="1">
        <v>0.493564</v>
      </c>
      <c r="O25">
        <v>0</v>
      </c>
      <c r="P25">
        <v>0</v>
      </c>
      <c r="Q25">
        <v>1</v>
      </c>
      <c r="R25">
        <v>1</v>
      </c>
      <c r="S25">
        <v>1</v>
      </c>
      <c r="T25" s="1">
        <f>SQRT(POWER(Breakout[[#This Row],[angvel_X]],2) + POWER(Breakout[[#This Row],[angvel_Y]],2) + POWER(Breakout[[#This Row],[angvel_Z]],2))</f>
        <v>5.0000000000000001E-4</v>
      </c>
      <c r="U25" s="1">
        <f>DEGREES(ASIN(MAX(-1,MIN(1,2 * (Breakout[[#This Row],[quart_W]]*Breakout[[#This Row],[quart_Y]] - Breakout[[#This Row],[quart_Z]]*Breakout[[#This Row],[quart_X]])))))</f>
        <v>0.97573223452861158</v>
      </c>
      <c r="V2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2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25" s="1">
        <f>IF(Breakout[[#This Row],[Yaw]]&gt;V24,(360-ABS(Breakout[[#This Row],[Yaw]])-ABS(V24)),ABS(Breakout[[#This Row],[Yaw]]-V24))</f>
        <v>0</v>
      </c>
      <c r="Y25" s="1">
        <f>Breakout[[#This Row],[Degree change]]+Y24</f>
        <v>0</v>
      </c>
    </row>
    <row r="26" spans="1:25">
      <c r="A26">
        <v>25</v>
      </c>
      <c r="B26" s="1">
        <v>628.55999799999995</v>
      </c>
      <c r="C26" s="1">
        <v>1470.7299800000001</v>
      </c>
      <c r="D26" s="1">
        <v>18.34</v>
      </c>
      <c r="E26" s="1">
        <v>-1179.309937</v>
      </c>
      <c r="F26" s="1">
        <v>1974.619995</v>
      </c>
      <c r="G26" s="1">
        <v>7.82</v>
      </c>
      <c r="H26" s="1">
        <v>-4.0000000000000002E-4</v>
      </c>
      <c r="I26" s="1">
        <v>-2.9999999999999997E-4</v>
      </c>
      <c r="J26" s="1">
        <v>0</v>
      </c>
      <c r="K26" s="1">
        <v>-7.404E-3</v>
      </c>
      <c r="L26" s="1">
        <v>4.2050000000000004E-3</v>
      </c>
      <c r="M26" s="1">
        <v>0.869668</v>
      </c>
      <c r="N26" s="1">
        <v>0.493564</v>
      </c>
      <c r="O26">
        <v>0</v>
      </c>
      <c r="P26">
        <v>0</v>
      </c>
      <c r="Q26">
        <v>1</v>
      </c>
      <c r="R26">
        <v>1</v>
      </c>
      <c r="S26">
        <v>1</v>
      </c>
      <c r="T26" s="1">
        <f>SQRT(POWER(Breakout[[#This Row],[angvel_X]],2) + POWER(Breakout[[#This Row],[angvel_Y]],2) + POWER(Breakout[[#This Row],[angvel_Z]],2))</f>
        <v>5.0000000000000001E-4</v>
      </c>
      <c r="U26" s="1">
        <f>DEGREES(ASIN(MAX(-1,MIN(1,2 * (Breakout[[#This Row],[quart_W]]*Breakout[[#This Row],[quart_Y]] - Breakout[[#This Row],[quart_Z]]*Breakout[[#This Row],[quart_X]])))))</f>
        <v>0.97573223452861158</v>
      </c>
      <c r="V2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2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26" s="1">
        <f>IF(Breakout[[#This Row],[Yaw]]&gt;V25,(360-ABS(Breakout[[#This Row],[Yaw]])-ABS(V25)),ABS(Breakout[[#This Row],[Yaw]]-V25))</f>
        <v>0</v>
      </c>
      <c r="Y26" s="1">
        <f>Breakout[[#This Row],[Degree change]]+Y25</f>
        <v>0</v>
      </c>
    </row>
    <row r="27" spans="1:25">
      <c r="A27">
        <v>26</v>
      </c>
      <c r="B27" s="1">
        <v>618.70001200000002</v>
      </c>
      <c r="C27" s="1">
        <v>1487.23999</v>
      </c>
      <c r="D27" s="1">
        <v>18.34</v>
      </c>
      <c r="E27" s="1">
        <v>-1179.309937</v>
      </c>
      <c r="F27" s="1">
        <v>1974.619995</v>
      </c>
      <c r="G27" s="1">
        <v>7.82</v>
      </c>
      <c r="H27" s="1">
        <v>-4.0000000000000002E-4</v>
      </c>
      <c r="I27" s="1">
        <v>-2.9999999999999997E-4</v>
      </c>
      <c r="J27" s="1">
        <v>0</v>
      </c>
      <c r="K27" s="1">
        <v>-7.404E-3</v>
      </c>
      <c r="L27" s="1">
        <v>4.2050000000000004E-3</v>
      </c>
      <c r="M27" s="1">
        <v>0.869668</v>
      </c>
      <c r="N27" s="1">
        <v>0.493564</v>
      </c>
      <c r="O27">
        <v>0</v>
      </c>
      <c r="P27">
        <v>0</v>
      </c>
      <c r="Q27">
        <v>1</v>
      </c>
      <c r="R27">
        <v>1</v>
      </c>
      <c r="S27">
        <v>1</v>
      </c>
      <c r="T27" s="1">
        <f>SQRT(POWER(Breakout[[#This Row],[angvel_X]],2) + POWER(Breakout[[#This Row],[angvel_Y]],2) + POWER(Breakout[[#This Row],[angvel_Z]],2))</f>
        <v>5.0000000000000001E-4</v>
      </c>
      <c r="U27" s="1">
        <f>DEGREES(ASIN(MAX(-1,MIN(1,2 * (Breakout[[#This Row],[quart_W]]*Breakout[[#This Row],[quart_Y]] - Breakout[[#This Row],[quart_Z]]*Breakout[[#This Row],[quart_X]])))))</f>
        <v>0.97573223452861158</v>
      </c>
      <c r="V2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2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27" s="1">
        <f>IF(Breakout[[#This Row],[Yaw]]&gt;V26,(360-ABS(Breakout[[#This Row],[Yaw]])-ABS(V26)),ABS(Breakout[[#This Row],[Yaw]]-V26))</f>
        <v>0</v>
      </c>
      <c r="Y27" s="1">
        <f>Breakout[[#This Row],[Degree change]]+Y26</f>
        <v>0</v>
      </c>
    </row>
    <row r="28" spans="1:25">
      <c r="A28">
        <v>27</v>
      </c>
      <c r="B28" s="1">
        <v>608.839966</v>
      </c>
      <c r="C28" s="1">
        <v>1503.75</v>
      </c>
      <c r="D28" s="1">
        <v>18.34</v>
      </c>
      <c r="E28" s="1">
        <v>-1179.309937</v>
      </c>
      <c r="F28" s="1">
        <v>1974.619995</v>
      </c>
      <c r="G28" s="1">
        <v>7.82</v>
      </c>
      <c r="H28" s="1">
        <v>-4.0000000000000002E-4</v>
      </c>
      <c r="I28" s="1">
        <v>-2.9999999999999997E-4</v>
      </c>
      <c r="J28" s="1">
        <v>0</v>
      </c>
      <c r="K28" s="1">
        <v>-7.404E-3</v>
      </c>
      <c r="L28" s="1">
        <v>4.2050000000000004E-3</v>
      </c>
      <c r="M28" s="1">
        <v>0.869668</v>
      </c>
      <c r="N28" s="1">
        <v>0.493564</v>
      </c>
      <c r="O28">
        <v>0</v>
      </c>
      <c r="P28">
        <v>0</v>
      </c>
      <c r="Q28">
        <v>1</v>
      </c>
      <c r="R28">
        <v>1</v>
      </c>
      <c r="S28">
        <v>1</v>
      </c>
      <c r="T28" s="1">
        <f>SQRT(POWER(Breakout[[#This Row],[angvel_X]],2) + POWER(Breakout[[#This Row],[angvel_Y]],2) + POWER(Breakout[[#This Row],[angvel_Z]],2))</f>
        <v>5.0000000000000001E-4</v>
      </c>
      <c r="U28" s="1">
        <f>DEGREES(ASIN(MAX(-1,MIN(1,2 * (Breakout[[#This Row],[quart_W]]*Breakout[[#This Row],[quart_Y]] - Breakout[[#This Row],[quart_Z]]*Breakout[[#This Row],[quart_X]])))))</f>
        <v>0.97573223452861158</v>
      </c>
      <c r="V2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2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28" s="1">
        <f>IF(Breakout[[#This Row],[Yaw]]&gt;V27,(360-ABS(Breakout[[#This Row],[Yaw]])-ABS(V27)),ABS(Breakout[[#This Row],[Yaw]]-V27))</f>
        <v>0</v>
      </c>
      <c r="Y28" s="1">
        <f>Breakout[[#This Row],[Degree change]]+Y27</f>
        <v>0</v>
      </c>
    </row>
    <row r="29" spans="1:25">
      <c r="A29">
        <v>28</v>
      </c>
      <c r="B29" s="1">
        <v>598.97997999999995</v>
      </c>
      <c r="C29" s="1">
        <v>1520.26001</v>
      </c>
      <c r="D29" s="1">
        <v>18.34</v>
      </c>
      <c r="E29" s="1">
        <v>-1179.309937</v>
      </c>
      <c r="F29" s="1">
        <v>1974.619995</v>
      </c>
      <c r="G29" s="1">
        <v>7.82</v>
      </c>
      <c r="H29" s="1">
        <v>-4.0000000000000002E-4</v>
      </c>
      <c r="I29" s="1">
        <v>-2.9999999999999997E-4</v>
      </c>
      <c r="J29" s="1">
        <v>0</v>
      </c>
      <c r="K29" s="1">
        <v>-7.404E-3</v>
      </c>
      <c r="L29" s="1">
        <v>4.2050000000000004E-3</v>
      </c>
      <c r="M29" s="1">
        <v>0.869668</v>
      </c>
      <c r="N29" s="1">
        <v>0.493564</v>
      </c>
      <c r="O29">
        <v>0</v>
      </c>
      <c r="P29">
        <v>0</v>
      </c>
      <c r="Q29">
        <v>1</v>
      </c>
      <c r="R29">
        <v>1</v>
      </c>
      <c r="S29">
        <v>1</v>
      </c>
      <c r="T29" s="1">
        <f>SQRT(POWER(Breakout[[#This Row],[angvel_X]],2) + POWER(Breakout[[#This Row],[angvel_Y]],2) + POWER(Breakout[[#This Row],[angvel_Z]],2))</f>
        <v>5.0000000000000001E-4</v>
      </c>
      <c r="U29" s="1">
        <f>DEGREES(ASIN(MAX(-1,MIN(1,2 * (Breakout[[#This Row],[quart_W]]*Breakout[[#This Row],[quart_Y]] - Breakout[[#This Row],[quart_Z]]*Breakout[[#This Row],[quart_X]])))))</f>
        <v>0.97573223452861158</v>
      </c>
      <c r="V2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2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29" s="1">
        <f>IF(Breakout[[#This Row],[Yaw]]&gt;V28,(360-ABS(Breakout[[#This Row],[Yaw]])-ABS(V28)),ABS(Breakout[[#This Row],[Yaw]]-V28))</f>
        <v>0</v>
      </c>
      <c r="Y29" s="1">
        <f>Breakout[[#This Row],[Degree change]]+Y28</f>
        <v>0</v>
      </c>
    </row>
    <row r="30" spans="1:25">
      <c r="A30">
        <v>29</v>
      </c>
      <c r="B30" s="1">
        <v>589.11999500000002</v>
      </c>
      <c r="C30" s="1">
        <v>1536.7700199999999</v>
      </c>
      <c r="D30" s="1">
        <v>18.34</v>
      </c>
      <c r="E30" s="1">
        <v>-1179.309937</v>
      </c>
      <c r="F30" s="1">
        <v>1974.619995</v>
      </c>
      <c r="G30" s="1">
        <v>7.82</v>
      </c>
      <c r="H30" s="1">
        <v>-4.0000000000000002E-4</v>
      </c>
      <c r="I30" s="1">
        <v>-2.9999999999999997E-4</v>
      </c>
      <c r="J30" s="1">
        <v>0</v>
      </c>
      <c r="K30" s="1">
        <v>-7.404E-3</v>
      </c>
      <c r="L30" s="1">
        <v>4.2050000000000004E-3</v>
      </c>
      <c r="M30" s="1">
        <v>0.869668</v>
      </c>
      <c r="N30" s="1">
        <v>0.493564</v>
      </c>
      <c r="O30">
        <v>0</v>
      </c>
      <c r="P30">
        <v>0</v>
      </c>
      <c r="Q30">
        <v>1</v>
      </c>
      <c r="R30">
        <v>1</v>
      </c>
      <c r="S30">
        <v>1</v>
      </c>
      <c r="T30" s="1">
        <f>SQRT(POWER(Breakout[[#This Row],[angvel_X]],2) + POWER(Breakout[[#This Row],[angvel_Y]],2) + POWER(Breakout[[#This Row],[angvel_Z]],2))</f>
        <v>5.0000000000000001E-4</v>
      </c>
      <c r="U30" s="1">
        <f>DEGREES(ASIN(MAX(-1,MIN(1,2 * (Breakout[[#This Row],[quart_W]]*Breakout[[#This Row],[quart_Y]] - Breakout[[#This Row],[quart_Z]]*Breakout[[#This Row],[quart_X]])))))</f>
        <v>0.97573223452861158</v>
      </c>
      <c r="V3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3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30" s="1">
        <f>IF(Breakout[[#This Row],[Yaw]]&gt;V29,(360-ABS(Breakout[[#This Row],[Yaw]])-ABS(V29)),ABS(Breakout[[#This Row],[Yaw]]-V29))</f>
        <v>0</v>
      </c>
      <c r="Y30" s="1">
        <f>Breakout[[#This Row],[Degree change]]+Y29</f>
        <v>0</v>
      </c>
    </row>
    <row r="31" spans="1:25">
      <c r="A31">
        <v>30</v>
      </c>
      <c r="B31" s="1">
        <v>579.26000999999997</v>
      </c>
      <c r="C31" s="1">
        <v>1553.2799070000001</v>
      </c>
      <c r="D31" s="1">
        <v>18.34</v>
      </c>
      <c r="E31" s="1">
        <v>-1179.309937</v>
      </c>
      <c r="F31" s="1">
        <v>1974.619995</v>
      </c>
      <c r="G31" s="1">
        <v>7.82</v>
      </c>
      <c r="H31" s="1">
        <v>-4.0000000000000002E-4</v>
      </c>
      <c r="I31" s="1">
        <v>-2.9999999999999997E-4</v>
      </c>
      <c r="J31" s="1">
        <v>0</v>
      </c>
      <c r="K31" s="1">
        <v>-7.404E-3</v>
      </c>
      <c r="L31" s="1">
        <v>4.2050000000000004E-3</v>
      </c>
      <c r="M31" s="1">
        <v>0.869668</v>
      </c>
      <c r="N31" s="1">
        <v>0.493564</v>
      </c>
      <c r="O31">
        <v>0</v>
      </c>
      <c r="P31">
        <v>0</v>
      </c>
      <c r="Q31">
        <v>1</v>
      </c>
      <c r="R31">
        <v>1</v>
      </c>
      <c r="S31">
        <v>1</v>
      </c>
      <c r="T31" s="1">
        <f>SQRT(POWER(Breakout[[#This Row],[angvel_X]],2) + POWER(Breakout[[#This Row],[angvel_Y]],2) + POWER(Breakout[[#This Row],[angvel_Z]],2))</f>
        <v>5.0000000000000001E-4</v>
      </c>
      <c r="U31" s="1">
        <f>DEGREES(ASIN(MAX(-1,MIN(1,2 * (Breakout[[#This Row],[quart_W]]*Breakout[[#This Row],[quart_Y]] - Breakout[[#This Row],[quart_Z]]*Breakout[[#This Row],[quart_X]])))))</f>
        <v>0.97573223452861158</v>
      </c>
      <c r="V3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3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31" s="1">
        <f>IF(Breakout[[#This Row],[Yaw]]&gt;V30,(360-ABS(Breakout[[#This Row],[Yaw]])-ABS(V30)),ABS(Breakout[[#This Row],[Yaw]]-V30))</f>
        <v>0</v>
      </c>
      <c r="Y31" s="1">
        <f>Breakout[[#This Row],[Degree change]]+Y30</f>
        <v>0</v>
      </c>
    </row>
    <row r="32" spans="1:25">
      <c r="A32">
        <v>31</v>
      </c>
      <c r="B32" s="1">
        <v>569.39996299999996</v>
      </c>
      <c r="C32" s="1">
        <v>1569.7899170000001</v>
      </c>
      <c r="D32" s="1">
        <v>18.34</v>
      </c>
      <c r="E32" s="1">
        <v>-1179.309937</v>
      </c>
      <c r="F32" s="1">
        <v>1974.619995</v>
      </c>
      <c r="G32" s="1">
        <v>7.82</v>
      </c>
      <c r="H32" s="1">
        <v>-4.0000000000000002E-4</v>
      </c>
      <c r="I32" s="1">
        <v>-2.9999999999999997E-4</v>
      </c>
      <c r="J32" s="1">
        <v>0</v>
      </c>
      <c r="K32" s="1">
        <v>-7.404E-3</v>
      </c>
      <c r="L32" s="1">
        <v>4.2050000000000004E-3</v>
      </c>
      <c r="M32" s="1">
        <v>0.869668</v>
      </c>
      <c r="N32" s="1">
        <v>0.493564</v>
      </c>
      <c r="O32">
        <v>0</v>
      </c>
      <c r="P32">
        <v>0</v>
      </c>
      <c r="Q32">
        <v>1</v>
      </c>
      <c r="R32">
        <v>1</v>
      </c>
      <c r="S32">
        <v>1</v>
      </c>
      <c r="T32" s="1">
        <f>SQRT(POWER(Breakout[[#This Row],[angvel_X]],2) + POWER(Breakout[[#This Row],[angvel_Y]],2) + POWER(Breakout[[#This Row],[angvel_Z]],2))</f>
        <v>5.0000000000000001E-4</v>
      </c>
      <c r="U32" s="1">
        <f>DEGREES(ASIN(MAX(-1,MIN(1,2 * (Breakout[[#This Row],[quart_W]]*Breakout[[#This Row],[quart_Y]] - Breakout[[#This Row],[quart_Z]]*Breakout[[#This Row],[quart_X]])))))</f>
        <v>0.97573223452861158</v>
      </c>
      <c r="V3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3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32" s="1">
        <f>IF(Breakout[[#This Row],[Yaw]]&gt;V31,(360-ABS(Breakout[[#This Row],[Yaw]])-ABS(V31)),ABS(Breakout[[#This Row],[Yaw]]-V31))</f>
        <v>0</v>
      </c>
      <c r="Y32" s="1">
        <f>Breakout[[#This Row],[Degree change]]+Y31</f>
        <v>0</v>
      </c>
    </row>
    <row r="33" spans="1:25">
      <c r="A33">
        <v>32</v>
      </c>
      <c r="B33" s="1">
        <v>559.53997800000002</v>
      </c>
      <c r="C33" s="1">
        <v>1586.299927</v>
      </c>
      <c r="D33" s="1">
        <v>18.34</v>
      </c>
      <c r="E33" s="1">
        <v>-1179.309937</v>
      </c>
      <c r="F33" s="1">
        <v>1974.619995</v>
      </c>
      <c r="G33" s="1">
        <v>7.82</v>
      </c>
      <c r="H33" s="1">
        <v>-4.0000000000000002E-4</v>
      </c>
      <c r="I33" s="1">
        <v>-2.9999999999999997E-4</v>
      </c>
      <c r="J33" s="1">
        <v>0</v>
      </c>
      <c r="K33" s="1">
        <v>-7.404E-3</v>
      </c>
      <c r="L33" s="1">
        <v>4.2050000000000004E-3</v>
      </c>
      <c r="M33" s="1">
        <v>0.869668</v>
      </c>
      <c r="N33" s="1">
        <v>0.493564</v>
      </c>
      <c r="O33">
        <v>0</v>
      </c>
      <c r="P33">
        <v>0</v>
      </c>
      <c r="Q33">
        <v>1</v>
      </c>
      <c r="R33">
        <v>1</v>
      </c>
      <c r="S33">
        <v>1</v>
      </c>
      <c r="T33" s="1">
        <f>SQRT(POWER(Breakout[[#This Row],[angvel_X]],2) + POWER(Breakout[[#This Row],[angvel_Y]],2) + POWER(Breakout[[#This Row],[angvel_Z]],2))</f>
        <v>5.0000000000000001E-4</v>
      </c>
      <c r="U33" s="1">
        <f>DEGREES(ASIN(MAX(-1,MIN(1,2 * (Breakout[[#This Row],[quart_W]]*Breakout[[#This Row],[quart_Y]] - Breakout[[#This Row],[quart_Z]]*Breakout[[#This Row],[quart_X]])))))</f>
        <v>0.97573223452861158</v>
      </c>
      <c r="V3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3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33" s="1">
        <f>IF(Breakout[[#This Row],[Yaw]]&gt;V32,(360-ABS(Breakout[[#This Row],[Yaw]])-ABS(V32)),ABS(Breakout[[#This Row],[Yaw]]-V32))</f>
        <v>0</v>
      </c>
      <c r="Y33" s="1">
        <f>Breakout[[#This Row],[Degree change]]+Y32</f>
        <v>0</v>
      </c>
    </row>
    <row r="34" spans="1:25">
      <c r="A34">
        <v>33</v>
      </c>
      <c r="B34" s="1">
        <v>549.67999299999997</v>
      </c>
      <c r="C34" s="1">
        <v>1602.809937</v>
      </c>
      <c r="D34" s="1">
        <v>18.34</v>
      </c>
      <c r="E34" s="1">
        <v>-1179.309937</v>
      </c>
      <c r="F34" s="1">
        <v>1974.619995</v>
      </c>
      <c r="G34" s="1">
        <v>7.82</v>
      </c>
      <c r="H34" s="1">
        <v>-4.0000000000000002E-4</v>
      </c>
      <c r="I34" s="1">
        <v>-2.9999999999999997E-4</v>
      </c>
      <c r="J34" s="1">
        <v>0</v>
      </c>
      <c r="K34" s="1">
        <v>-7.404E-3</v>
      </c>
      <c r="L34" s="1">
        <v>4.2050000000000004E-3</v>
      </c>
      <c r="M34" s="1">
        <v>0.869668</v>
      </c>
      <c r="N34" s="1">
        <v>0.493564</v>
      </c>
      <c r="O34">
        <v>0</v>
      </c>
      <c r="P34">
        <v>0</v>
      </c>
      <c r="Q34">
        <v>1</v>
      </c>
      <c r="R34">
        <v>1</v>
      </c>
      <c r="S34">
        <v>1</v>
      </c>
      <c r="T34" s="1">
        <f>SQRT(POWER(Breakout[[#This Row],[angvel_X]],2) + POWER(Breakout[[#This Row],[angvel_Y]],2) + POWER(Breakout[[#This Row],[angvel_Z]],2))</f>
        <v>5.0000000000000001E-4</v>
      </c>
      <c r="U34" s="1">
        <f>DEGREES(ASIN(MAX(-1,MIN(1,2 * (Breakout[[#This Row],[quart_W]]*Breakout[[#This Row],[quart_Y]] - Breakout[[#This Row],[quart_Z]]*Breakout[[#This Row],[quart_X]])))))</f>
        <v>0.97573223452861158</v>
      </c>
      <c r="V3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3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34" s="1">
        <f>IF(Breakout[[#This Row],[Yaw]]&gt;V33,(360-ABS(Breakout[[#This Row],[Yaw]])-ABS(V33)),ABS(Breakout[[#This Row],[Yaw]]-V33))</f>
        <v>0</v>
      </c>
      <c r="Y34" s="1">
        <f>Breakout[[#This Row],[Degree change]]+Y33</f>
        <v>0</v>
      </c>
    </row>
    <row r="35" spans="1:25">
      <c r="A35">
        <v>34</v>
      </c>
      <c r="B35" s="1">
        <v>539.82000700000003</v>
      </c>
      <c r="C35" s="1">
        <v>1619.3199460000001</v>
      </c>
      <c r="D35" s="1">
        <v>18.34</v>
      </c>
      <c r="E35" s="1">
        <v>-1179.309937</v>
      </c>
      <c r="F35" s="1">
        <v>1974.619995</v>
      </c>
      <c r="G35" s="1">
        <v>7.82</v>
      </c>
      <c r="H35" s="1">
        <v>-4.0000000000000002E-4</v>
      </c>
      <c r="I35" s="1">
        <v>-2.9999999999999997E-4</v>
      </c>
      <c r="J35" s="1">
        <v>0</v>
      </c>
      <c r="K35" s="1">
        <v>-7.404E-3</v>
      </c>
      <c r="L35" s="1">
        <v>4.2050000000000004E-3</v>
      </c>
      <c r="M35" s="1">
        <v>0.869668</v>
      </c>
      <c r="N35" s="1">
        <v>0.493564</v>
      </c>
      <c r="O35">
        <v>0</v>
      </c>
      <c r="P35">
        <v>0</v>
      </c>
      <c r="Q35">
        <v>1</v>
      </c>
      <c r="R35">
        <v>1</v>
      </c>
      <c r="S35">
        <v>1</v>
      </c>
      <c r="T35" s="1">
        <f>SQRT(POWER(Breakout[[#This Row],[angvel_X]],2) + POWER(Breakout[[#This Row],[angvel_Y]],2) + POWER(Breakout[[#This Row],[angvel_Z]],2))</f>
        <v>5.0000000000000001E-4</v>
      </c>
      <c r="U35" s="1">
        <f>DEGREES(ASIN(MAX(-1,MIN(1,2 * (Breakout[[#This Row],[quart_W]]*Breakout[[#This Row],[quart_Y]] - Breakout[[#This Row],[quart_Z]]*Breakout[[#This Row],[quart_X]])))))</f>
        <v>0.97573223452861158</v>
      </c>
      <c r="V3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3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35" s="1">
        <f>IF(Breakout[[#This Row],[Yaw]]&gt;V34,(360-ABS(Breakout[[#This Row],[Yaw]])-ABS(V34)),ABS(Breakout[[#This Row],[Yaw]]-V34))</f>
        <v>0</v>
      </c>
      <c r="Y35" s="1">
        <f>Breakout[[#This Row],[Degree change]]+Y34</f>
        <v>0</v>
      </c>
    </row>
    <row r="36" spans="1:25">
      <c r="A36">
        <v>35</v>
      </c>
      <c r="B36" s="1">
        <v>529.95996100000002</v>
      </c>
      <c r="C36" s="1">
        <v>1635.829956</v>
      </c>
      <c r="D36" s="1">
        <v>18.34</v>
      </c>
      <c r="E36" s="1">
        <v>-1179.309937</v>
      </c>
      <c r="F36" s="1">
        <v>1974.619995</v>
      </c>
      <c r="G36" s="1">
        <v>7.82</v>
      </c>
      <c r="H36" s="1">
        <v>-4.0000000000000002E-4</v>
      </c>
      <c r="I36" s="1">
        <v>-2.9999999999999997E-4</v>
      </c>
      <c r="J36" s="1">
        <v>0</v>
      </c>
      <c r="K36" s="1">
        <v>-7.404E-3</v>
      </c>
      <c r="L36" s="1">
        <v>4.2050000000000004E-3</v>
      </c>
      <c r="M36" s="1">
        <v>0.869668</v>
      </c>
      <c r="N36" s="1">
        <v>0.493564</v>
      </c>
      <c r="O36">
        <v>0</v>
      </c>
      <c r="P36">
        <v>0</v>
      </c>
      <c r="Q36">
        <v>1</v>
      </c>
      <c r="R36">
        <v>1</v>
      </c>
      <c r="S36">
        <v>1</v>
      </c>
      <c r="T36" s="1">
        <f>SQRT(POWER(Breakout[[#This Row],[angvel_X]],2) + POWER(Breakout[[#This Row],[angvel_Y]],2) + POWER(Breakout[[#This Row],[angvel_Z]],2))</f>
        <v>5.0000000000000001E-4</v>
      </c>
      <c r="U36" s="1">
        <f>DEGREES(ASIN(MAX(-1,MIN(1,2 * (Breakout[[#This Row],[quart_W]]*Breakout[[#This Row],[quart_Y]] - Breakout[[#This Row],[quart_Z]]*Breakout[[#This Row],[quart_X]])))))</f>
        <v>0.97573223452861158</v>
      </c>
      <c r="V3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3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36" s="1">
        <f>IF(Breakout[[#This Row],[Yaw]]&gt;V35,(360-ABS(Breakout[[#This Row],[Yaw]])-ABS(V35)),ABS(Breakout[[#This Row],[Yaw]]-V35))</f>
        <v>0</v>
      </c>
      <c r="Y36" s="1">
        <f>Breakout[[#This Row],[Degree change]]+Y35</f>
        <v>0</v>
      </c>
    </row>
    <row r="37" spans="1:25">
      <c r="A37">
        <v>36</v>
      </c>
      <c r="B37" s="1">
        <v>520.09997599999997</v>
      </c>
      <c r="C37" s="1">
        <v>1652.339966</v>
      </c>
      <c r="D37" s="1">
        <v>18.34</v>
      </c>
      <c r="E37" s="1">
        <v>-1179.309937</v>
      </c>
      <c r="F37" s="1">
        <v>1974.619995</v>
      </c>
      <c r="G37" s="1">
        <v>7.82</v>
      </c>
      <c r="H37" s="1">
        <v>-4.0000000000000002E-4</v>
      </c>
      <c r="I37" s="1">
        <v>-2.9999999999999997E-4</v>
      </c>
      <c r="J37" s="1">
        <v>0</v>
      </c>
      <c r="K37" s="1">
        <v>-7.404E-3</v>
      </c>
      <c r="L37" s="1">
        <v>4.2050000000000004E-3</v>
      </c>
      <c r="M37" s="1">
        <v>0.869668</v>
      </c>
      <c r="N37" s="1">
        <v>0.493564</v>
      </c>
      <c r="O37">
        <v>0</v>
      </c>
      <c r="P37">
        <v>0</v>
      </c>
      <c r="Q37">
        <v>1</v>
      </c>
      <c r="R37">
        <v>1</v>
      </c>
      <c r="S37">
        <v>1</v>
      </c>
      <c r="T37" s="1">
        <f>SQRT(POWER(Breakout[[#This Row],[angvel_X]],2) + POWER(Breakout[[#This Row],[angvel_Y]],2) + POWER(Breakout[[#This Row],[angvel_Z]],2))</f>
        <v>5.0000000000000001E-4</v>
      </c>
      <c r="U37" s="1">
        <f>DEGREES(ASIN(MAX(-1,MIN(1,2 * (Breakout[[#This Row],[quart_W]]*Breakout[[#This Row],[quart_Y]] - Breakout[[#This Row],[quart_Z]]*Breakout[[#This Row],[quart_X]])))))</f>
        <v>0.97573223452861158</v>
      </c>
      <c r="V3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3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37" s="1">
        <f>IF(Breakout[[#This Row],[Yaw]]&gt;V36,(360-ABS(Breakout[[#This Row],[Yaw]])-ABS(V36)),ABS(Breakout[[#This Row],[Yaw]]-V36))</f>
        <v>0</v>
      </c>
      <c r="Y37" s="1">
        <f>Breakout[[#This Row],[Degree change]]+Y36</f>
        <v>0</v>
      </c>
    </row>
    <row r="38" spans="1:25">
      <c r="A38">
        <v>37</v>
      </c>
      <c r="B38" s="1">
        <v>510.23998999999998</v>
      </c>
      <c r="C38" s="1">
        <v>1668.849976</v>
      </c>
      <c r="D38" s="1">
        <v>18.34</v>
      </c>
      <c r="E38" s="1">
        <v>-1179.309937</v>
      </c>
      <c r="F38" s="1">
        <v>1974.619995</v>
      </c>
      <c r="G38" s="1">
        <v>7.82</v>
      </c>
      <c r="H38" s="1">
        <v>-4.0000000000000002E-4</v>
      </c>
      <c r="I38" s="1">
        <v>-2.9999999999999997E-4</v>
      </c>
      <c r="J38" s="1">
        <v>0</v>
      </c>
      <c r="K38" s="1">
        <v>-7.404E-3</v>
      </c>
      <c r="L38" s="1">
        <v>4.2050000000000004E-3</v>
      </c>
      <c r="M38" s="1">
        <v>0.869668</v>
      </c>
      <c r="N38" s="1">
        <v>0.493564</v>
      </c>
      <c r="O38">
        <v>0</v>
      </c>
      <c r="P38">
        <v>0</v>
      </c>
      <c r="Q38">
        <v>1</v>
      </c>
      <c r="R38">
        <v>1</v>
      </c>
      <c r="S38">
        <v>1</v>
      </c>
      <c r="T38" s="1">
        <f>SQRT(POWER(Breakout[[#This Row],[angvel_X]],2) + POWER(Breakout[[#This Row],[angvel_Y]],2) + POWER(Breakout[[#This Row],[angvel_Z]],2))</f>
        <v>5.0000000000000001E-4</v>
      </c>
      <c r="U38" s="1">
        <f>DEGREES(ASIN(MAX(-1,MIN(1,2 * (Breakout[[#This Row],[quart_W]]*Breakout[[#This Row],[quart_Y]] - Breakout[[#This Row],[quart_Z]]*Breakout[[#This Row],[quart_X]])))))</f>
        <v>0.97573223452861158</v>
      </c>
      <c r="V3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3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38" s="1">
        <f>IF(Breakout[[#This Row],[Yaw]]&gt;V37,(360-ABS(Breakout[[#This Row],[Yaw]])-ABS(V37)),ABS(Breakout[[#This Row],[Yaw]]-V37))</f>
        <v>0</v>
      </c>
      <c r="Y38" s="1">
        <f>Breakout[[#This Row],[Degree change]]+Y37</f>
        <v>0</v>
      </c>
    </row>
    <row r="39" spans="1:25">
      <c r="A39">
        <v>38</v>
      </c>
      <c r="B39" s="1">
        <v>500.379974</v>
      </c>
      <c r="C39" s="1">
        <v>1685.3599850000001</v>
      </c>
      <c r="D39" s="1">
        <v>18.34</v>
      </c>
      <c r="E39" s="1">
        <v>-1179.309937</v>
      </c>
      <c r="F39" s="1">
        <v>1974.619995</v>
      </c>
      <c r="G39" s="1">
        <v>7.82</v>
      </c>
      <c r="H39" s="1">
        <v>-4.0000000000000002E-4</v>
      </c>
      <c r="I39" s="1">
        <v>-2.9999999999999997E-4</v>
      </c>
      <c r="J39" s="1">
        <v>0</v>
      </c>
      <c r="K39" s="1">
        <v>-7.404E-3</v>
      </c>
      <c r="L39" s="1">
        <v>4.2050000000000004E-3</v>
      </c>
      <c r="M39" s="1">
        <v>0.869668</v>
      </c>
      <c r="N39" s="1">
        <v>0.493564</v>
      </c>
      <c r="O39">
        <v>0</v>
      </c>
      <c r="P39">
        <v>0</v>
      </c>
      <c r="Q39">
        <v>1</v>
      </c>
      <c r="R39">
        <v>1</v>
      </c>
      <c r="S39">
        <v>1</v>
      </c>
      <c r="T39" s="1">
        <f>SQRT(POWER(Breakout[[#This Row],[angvel_X]],2) + POWER(Breakout[[#This Row],[angvel_Y]],2) + POWER(Breakout[[#This Row],[angvel_Z]],2))</f>
        <v>5.0000000000000001E-4</v>
      </c>
      <c r="U39" s="1">
        <f>DEGREES(ASIN(MAX(-1,MIN(1,2 * (Breakout[[#This Row],[quart_W]]*Breakout[[#This Row],[quart_Y]] - Breakout[[#This Row],[quart_Z]]*Breakout[[#This Row],[quart_X]])))))</f>
        <v>0.97573223452861158</v>
      </c>
      <c r="V3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3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39" s="1">
        <f>IF(Breakout[[#This Row],[Yaw]]&gt;V38,(360-ABS(Breakout[[#This Row],[Yaw]])-ABS(V38)),ABS(Breakout[[#This Row],[Yaw]]-V38))</f>
        <v>0</v>
      </c>
      <c r="Y39" s="1">
        <f>Breakout[[#This Row],[Degree change]]+Y38</f>
        <v>0</v>
      </c>
    </row>
    <row r="40" spans="1:25">
      <c r="A40">
        <v>39</v>
      </c>
      <c r="B40" s="1">
        <v>490.51998900000001</v>
      </c>
      <c r="C40" s="1">
        <v>1701.869995</v>
      </c>
      <c r="D40" s="1">
        <v>18.34</v>
      </c>
      <c r="E40" s="1">
        <v>-1179.309937</v>
      </c>
      <c r="F40" s="1">
        <v>1974.619995</v>
      </c>
      <c r="G40" s="1">
        <v>7.82</v>
      </c>
      <c r="H40" s="1">
        <v>-4.0000000000000002E-4</v>
      </c>
      <c r="I40" s="1">
        <v>-2.9999999999999997E-4</v>
      </c>
      <c r="J40" s="1">
        <v>0</v>
      </c>
      <c r="K40" s="1">
        <v>-7.404E-3</v>
      </c>
      <c r="L40" s="1">
        <v>4.2050000000000004E-3</v>
      </c>
      <c r="M40" s="1">
        <v>0.869668</v>
      </c>
      <c r="N40" s="1">
        <v>0.493564</v>
      </c>
      <c r="O40">
        <v>0</v>
      </c>
      <c r="P40">
        <v>0</v>
      </c>
      <c r="Q40">
        <v>1</v>
      </c>
      <c r="R40">
        <v>1</v>
      </c>
      <c r="S40">
        <v>1</v>
      </c>
      <c r="T40" s="1">
        <f>SQRT(POWER(Breakout[[#This Row],[angvel_X]],2) + POWER(Breakout[[#This Row],[angvel_Y]],2) + POWER(Breakout[[#This Row],[angvel_Z]],2))</f>
        <v>5.0000000000000001E-4</v>
      </c>
      <c r="U40" s="1">
        <f>DEGREES(ASIN(MAX(-1,MIN(1,2 * (Breakout[[#This Row],[quart_W]]*Breakout[[#This Row],[quart_Y]] - Breakout[[#This Row],[quart_Z]]*Breakout[[#This Row],[quart_X]])))))</f>
        <v>0.97573223452861158</v>
      </c>
      <c r="V4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4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40" s="1">
        <f>IF(Breakout[[#This Row],[Yaw]]&gt;V39,(360-ABS(Breakout[[#This Row],[Yaw]])-ABS(V39)),ABS(Breakout[[#This Row],[Yaw]]-V39))</f>
        <v>0</v>
      </c>
      <c r="Y40" s="1">
        <f>Breakout[[#This Row],[Degree change]]+Y39</f>
        <v>0</v>
      </c>
    </row>
    <row r="41" spans="1:25">
      <c r="A41">
        <v>40</v>
      </c>
      <c r="B41" s="1">
        <v>480.66000400000001</v>
      </c>
      <c r="C41" s="1">
        <v>1718.380005</v>
      </c>
      <c r="D41" s="1">
        <v>18.34</v>
      </c>
      <c r="E41" s="1">
        <v>-1179.309937</v>
      </c>
      <c r="F41" s="1">
        <v>1974.619995</v>
      </c>
      <c r="G41" s="1">
        <v>7.82</v>
      </c>
      <c r="H41" s="1">
        <v>-4.0000000000000002E-4</v>
      </c>
      <c r="I41" s="1">
        <v>-2.9999999999999997E-4</v>
      </c>
      <c r="J41" s="1">
        <v>0</v>
      </c>
      <c r="K41" s="1">
        <v>-7.404E-3</v>
      </c>
      <c r="L41" s="1">
        <v>4.2050000000000004E-3</v>
      </c>
      <c r="M41" s="1">
        <v>0.869668</v>
      </c>
      <c r="N41" s="1">
        <v>0.493564</v>
      </c>
      <c r="O41">
        <v>0</v>
      </c>
      <c r="P41">
        <v>0</v>
      </c>
      <c r="Q41">
        <v>1</v>
      </c>
      <c r="R41">
        <v>1</v>
      </c>
      <c r="S41">
        <v>1</v>
      </c>
      <c r="T41" s="1">
        <f>SQRT(POWER(Breakout[[#This Row],[angvel_X]],2) + POWER(Breakout[[#This Row],[angvel_Y]],2) + POWER(Breakout[[#This Row],[angvel_Z]],2))</f>
        <v>5.0000000000000001E-4</v>
      </c>
      <c r="U41" s="1">
        <f>DEGREES(ASIN(MAX(-1,MIN(1,2 * (Breakout[[#This Row],[quart_W]]*Breakout[[#This Row],[quart_Y]] - Breakout[[#This Row],[quart_Z]]*Breakout[[#This Row],[quart_X]])))))</f>
        <v>0.97573223452861158</v>
      </c>
      <c r="V4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4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41" s="1">
        <f>IF(Breakout[[#This Row],[Yaw]]&gt;V40,(360-ABS(Breakout[[#This Row],[Yaw]])-ABS(V40)),ABS(Breakout[[#This Row],[Yaw]]-V40))</f>
        <v>0</v>
      </c>
      <c r="Y41" s="1">
        <f>Breakout[[#This Row],[Degree change]]+Y40</f>
        <v>0</v>
      </c>
    </row>
    <row r="42" spans="1:25">
      <c r="A42">
        <v>41</v>
      </c>
      <c r="B42" s="1">
        <v>470.79998799999998</v>
      </c>
      <c r="C42" s="1">
        <v>1734.8900149999999</v>
      </c>
      <c r="D42" s="1">
        <v>18.34</v>
      </c>
      <c r="E42" s="1">
        <v>-1179.309937</v>
      </c>
      <c r="F42" s="1">
        <v>1974.619995</v>
      </c>
      <c r="G42" s="1">
        <v>7.82</v>
      </c>
      <c r="H42" s="1">
        <v>-4.0000000000000002E-4</v>
      </c>
      <c r="I42" s="1">
        <v>-2.9999999999999997E-4</v>
      </c>
      <c r="J42" s="1">
        <v>0</v>
      </c>
      <c r="K42" s="1">
        <v>-7.404E-3</v>
      </c>
      <c r="L42" s="1">
        <v>4.2050000000000004E-3</v>
      </c>
      <c r="M42" s="1">
        <v>0.869668</v>
      </c>
      <c r="N42" s="1">
        <v>0.493564</v>
      </c>
      <c r="O42">
        <v>0</v>
      </c>
      <c r="P42">
        <v>0</v>
      </c>
      <c r="Q42">
        <v>1</v>
      </c>
      <c r="R42">
        <v>1</v>
      </c>
      <c r="S42">
        <v>1</v>
      </c>
      <c r="T42" s="1">
        <f>SQRT(POWER(Breakout[[#This Row],[angvel_X]],2) + POWER(Breakout[[#This Row],[angvel_Y]],2) + POWER(Breakout[[#This Row],[angvel_Z]],2))</f>
        <v>5.0000000000000001E-4</v>
      </c>
      <c r="U42" s="1">
        <f>DEGREES(ASIN(MAX(-1,MIN(1,2 * (Breakout[[#This Row],[quart_W]]*Breakout[[#This Row],[quart_Y]] - Breakout[[#This Row],[quart_Z]]*Breakout[[#This Row],[quart_X]])))))</f>
        <v>0.97573223452861158</v>
      </c>
      <c r="V4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4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42" s="1">
        <f>IF(Breakout[[#This Row],[Yaw]]&gt;V41,(360-ABS(Breakout[[#This Row],[Yaw]])-ABS(V41)),ABS(Breakout[[#This Row],[Yaw]]-V41))</f>
        <v>0</v>
      </c>
      <c r="Y42" s="1">
        <f>Breakout[[#This Row],[Degree change]]+Y41</f>
        <v>0</v>
      </c>
    </row>
    <row r="43" spans="1:25">
      <c r="A43">
        <v>42</v>
      </c>
      <c r="B43" s="1">
        <v>460.94000199999999</v>
      </c>
      <c r="C43" s="1">
        <v>1751.3999020000001</v>
      </c>
      <c r="D43" s="1">
        <v>18.34</v>
      </c>
      <c r="E43" s="1">
        <v>-1179.309937</v>
      </c>
      <c r="F43" s="1">
        <v>1974.619995</v>
      </c>
      <c r="G43" s="1">
        <v>7.82</v>
      </c>
      <c r="H43" s="1">
        <v>-4.0000000000000002E-4</v>
      </c>
      <c r="I43" s="1">
        <v>-2.9999999999999997E-4</v>
      </c>
      <c r="J43" s="1">
        <v>0</v>
      </c>
      <c r="K43" s="1">
        <v>-7.404E-3</v>
      </c>
      <c r="L43" s="1">
        <v>4.2050000000000004E-3</v>
      </c>
      <c r="M43" s="1">
        <v>0.869668</v>
      </c>
      <c r="N43" s="1">
        <v>0.493564</v>
      </c>
      <c r="O43">
        <v>0</v>
      </c>
      <c r="P43">
        <v>0</v>
      </c>
      <c r="Q43">
        <v>1</v>
      </c>
      <c r="R43">
        <v>1</v>
      </c>
      <c r="S43">
        <v>1</v>
      </c>
      <c r="T43" s="1">
        <f>SQRT(POWER(Breakout[[#This Row],[angvel_X]],2) + POWER(Breakout[[#This Row],[angvel_Y]],2) + POWER(Breakout[[#This Row],[angvel_Z]],2))</f>
        <v>5.0000000000000001E-4</v>
      </c>
      <c r="U43" s="1">
        <f>DEGREES(ASIN(MAX(-1,MIN(1,2 * (Breakout[[#This Row],[quart_W]]*Breakout[[#This Row],[quart_Y]] - Breakout[[#This Row],[quart_Z]]*Breakout[[#This Row],[quart_X]])))))</f>
        <v>0.97573223452861158</v>
      </c>
      <c r="V4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4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43" s="1">
        <f>IF(Breakout[[#This Row],[Yaw]]&gt;V42,(360-ABS(Breakout[[#This Row],[Yaw]])-ABS(V42)),ABS(Breakout[[#This Row],[Yaw]]-V42))</f>
        <v>0</v>
      </c>
      <c r="Y43" s="1">
        <f>Breakout[[#This Row],[Degree change]]+Y42</f>
        <v>0</v>
      </c>
    </row>
    <row r="44" spans="1:25">
      <c r="A44">
        <v>43</v>
      </c>
      <c r="B44" s="1">
        <v>451.07998700000002</v>
      </c>
      <c r="C44" s="1">
        <v>1767.9099120000001</v>
      </c>
      <c r="D44" s="1">
        <v>18.34</v>
      </c>
      <c r="E44" s="1">
        <v>-1179.309937</v>
      </c>
      <c r="F44" s="1">
        <v>1974.619995</v>
      </c>
      <c r="G44" s="1">
        <v>7.82</v>
      </c>
      <c r="H44" s="1">
        <v>-4.0000000000000002E-4</v>
      </c>
      <c r="I44" s="1">
        <v>-2.9999999999999997E-4</v>
      </c>
      <c r="J44" s="1">
        <v>0</v>
      </c>
      <c r="K44" s="1">
        <v>-7.404E-3</v>
      </c>
      <c r="L44" s="1">
        <v>4.2050000000000004E-3</v>
      </c>
      <c r="M44" s="1">
        <v>0.869668</v>
      </c>
      <c r="N44" s="1">
        <v>0.493564</v>
      </c>
      <c r="O44">
        <v>0</v>
      </c>
      <c r="P44">
        <v>0</v>
      </c>
      <c r="Q44">
        <v>1</v>
      </c>
      <c r="R44">
        <v>1</v>
      </c>
      <c r="S44">
        <v>1</v>
      </c>
      <c r="T44" s="1">
        <f>SQRT(POWER(Breakout[[#This Row],[angvel_X]],2) + POWER(Breakout[[#This Row],[angvel_Y]],2) + POWER(Breakout[[#This Row],[angvel_Z]],2))</f>
        <v>5.0000000000000001E-4</v>
      </c>
      <c r="U44" s="1">
        <f>DEGREES(ASIN(MAX(-1,MIN(1,2 * (Breakout[[#This Row],[quart_W]]*Breakout[[#This Row],[quart_Y]] - Breakout[[#This Row],[quart_Z]]*Breakout[[#This Row],[quart_X]])))))</f>
        <v>0.97573223452861158</v>
      </c>
      <c r="V4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4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44" s="1">
        <f>IF(Breakout[[#This Row],[Yaw]]&gt;V43,(360-ABS(Breakout[[#This Row],[Yaw]])-ABS(V43)),ABS(Breakout[[#This Row],[Yaw]]-V43))</f>
        <v>0</v>
      </c>
      <c r="Y44" s="1">
        <f>Breakout[[#This Row],[Degree change]]+Y43</f>
        <v>0</v>
      </c>
    </row>
    <row r="45" spans="1:25">
      <c r="A45">
        <v>44</v>
      </c>
      <c r="B45" s="1">
        <v>441.22000100000002</v>
      </c>
      <c r="C45" s="1">
        <v>1784.419922</v>
      </c>
      <c r="D45" s="1">
        <v>18.34</v>
      </c>
      <c r="E45" s="1">
        <v>-1179.309937</v>
      </c>
      <c r="F45" s="1">
        <v>1974.619995</v>
      </c>
      <c r="G45" s="1">
        <v>7.82</v>
      </c>
      <c r="H45" s="1">
        <v>-4.0000000000000002E-4</v>
      </c>
      <c r="I45" s="1">
        <v>-2.9999999999999997E-4</v>
      </c>
      <c r="J45" s="1">
        <v>0</v>
      </c>
      <c r="K45" s="1">
        <v>-7.404E-3</v>
      </c>
      <c r="L45" s="1">
        <v>4.2050000000000004E-3</v>
      </c>
      <c r="M45" s="1">
        <v>0.869668</v>
      </c>
      <c r="N45" s="1">
        <v>0.493564</v>
      </c>
      <c r="O45">
        <v>0</v>
      </c>
      <c r="P45">
        <v>0</v>
      </c>
      <c r="Q45">
        <v>1</v>
      </c>
      <c r="R45">
        <v>1</v>
      </c>
      <c r="S45">
        <v>1</v>
      </c>
      <c r="T45" s="1">
        <f>SQRT(POWER(Breakout[[#This Row],[angvel_X]],2) + POWER(Breakout[[#This Row],[angvel_Y]],2) + POWER(Breakout[[#This Row],[angvel_Z]],2))</f>
        <v>5.0000000000000001E-4</v>
      </c>
      <c r="U45" s="1">
        <f>DEGREES(ASIN(MAX(-1,MIN(1,2 * (Breakout[[#This Row],[quart_W]]*Breakout[[#This Row],[quart_Y]] - Breakout[[#This Row],[quart_Z]]*Breakout[[#This Row],[quart_X]])))))</f>
        <v>0.97573223452861158</v>
      </c>
      <c r="V4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4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45" s="1">
        <f>IF(Breakout[[#This Row],[Yaw]]&gt;V44,(360-ABS(Breakout[[#This Row],[Yaw]])-ABS(V44)),ABS(Breakout[[#This Row],[Yaw]]-V44))</f>
        <v>0</v>
      </c>
      <c r="Y45" s="1">
        <f>Breakout[[#This Row],[Degree change]]+Y44</f>
        <v>0</v>
      </c>
    </row>
    <row r="46" spans="1:25">
      <c r="A46">
        <v>45</v>
      </c>
      <c r="B46" s="1">
        <v>431.35998499999999</v>
      </c>
      <c r="C46" s="1">
        <v>1800.929932</v>
      </c>
      <c r="D46" s="1">
        <v>18.34</v>
      </c>
      <c r="E46" s="1">
        <v>-1179.309937</v>
      </c>
      <c r="F46" s="1">
        <v>1974.619995</v>
      </c>
      <c r="G46" s="1">
        <v>7.82</v>
      </c>
      <c r="H46" s="1">
        <v>-4.0000000000000002E-4</v>
      </c>
      <c r="I46" s="1">
        <v>-2.9999999999999997E-4</v>
      </c>
      <c r="J46" s="1">
        <v>0</v>
      </c>
      <c r="K46" s="1">
        <v>-7.404E-3</v>
      </c>
      <c r="L46" s="1">
        <v>4.2050000000000004E-3</v>
      </c>
      <c r="M46" s="1">
        <v>0.869668</v>
      </c>
      <c r="N46" s="1">
        <v>0.493564</v>
      </c>
      <c r="O46">
        <v>0</v>
      </c>
      <c r="P46">
        <v>0</v>
      </c>
      <c r="Q46">
        <v>1</v>
      </c>
      <c r="R46">
        <v>1</v>
      </c>
      <c r="S46">
        <v>1</v>
      </c>
      <c r="T46" s="1">
        <f>SQRT(POWER(Breakout[[#This Row],[angvel_X]],2) + POWER(Breakout[[#This Row],[angvel_Y]],2) + POWER(Breakout[[#This Row],[angvel_Z]],2))</f>
        <v>5.0000000000000001E-4</v>
      </c>
      <c r="U46" s="1">
        <f>DEGREES(ASIN(MAX(-1,MIN(1,2 * (Breakout[[#This Row],[quart_W]]*Breakout[[#This Row],[quart_Y]] - Breakout[[#This Row],[quart_Z]]*Breakout[[#This Row],[quart_X]])))))</f>
        <v>0.97573223452861158</v>
      </c>
      <c r="V4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4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46" s="1">
        <f>IF(Breakout[[#This Row],[Yaw]]&gt;V45,(360-ABS(Breakout[[#This Row],[Yaw]])-ABS(V45)),ABS(Breakout[[#This Row],[Yaw]]-V45))</f>
        <v>0</v>
      </c>
      <c r="Y46" s="1">
        <f>Breakout[[#This Row],[Degree change]]+Y45</f>
        <v>0</v>
      </c>
    </row>
    <row r="47" spans="1:25">
      <c r="A47">
        <v>46</v>
      </c>
      <c r="B47" s="1">
        <v>421.5</v>
      </c>
      <c r="C47" s="1">
        <v>1817.4399410000001</v>
      </c>
      <c r="D47" s="1">
        <v>18.34</v>
      </c>
      <c r="E47" s="1">
        <v>-1179.309937</v>
      </c>
      <c r="F47" s="1">
        <v>1974.619995</v>
      </c>
      <c r="G47" s="1">
        <v>7.82</v>
      </c>
      <c r="H47" s="1">
        <v>-4.0000000000000002E-4</v>
      </c>
      <c r="I47" s="1">
        <v>-2.9999999999999997E-4</v>
      </c>
      <c r="J47" s="1">
        <v>0</v>
      </c>
      <c r="K47" s="1">
        <v>-7.404E-3</v>
      </c>
      <c r="L47" s="1">
        <v>4.2050000000000004E-3</v>
      </c>
      <c r="M47" s="1">
        <v>0.869668</v>
      </c>
      <c r="N47" s="1">
        <v>0.493564</v>
      </c>
      <c r="O47">
        <v>0</v>
      </c>
      <c r="P47">
        <v>0</v>
      </c>
      <c r="Q47">
        <v>1</v>
      </c>
      <c r="R47">
        <v>1</v>
      </c>
      <c r="S47">
        <v>1</v>
      </c>
      <c r="T47" s="1">
        <f>SQRT(POWER(Breakout[[#This Row],[angvel_X]],2) + POWER(Breakout[[#This Row],[angvel_Y]],2) + POWER(Breakout[[#This Row],[angvel_Z]],2))</f>
        <v>5.0000000000000001E-4</v>
      </c>
      <c r="U47" s="1">
        <f>DEGREES(ASIN(MAX(-1,MIN(1,2 * (Breakout[[#This Row],[quart_W]]*Breakout[[#This Row],[quart_Y]] - Breakout[[#This Row],[quart_Z]]*Breakout[[#This Row],[quart_X]])))))</f>
        <v>0.97573223452861158</v>
      </c>
      <c r="V4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4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47" s="1">
        <f>IF(Breakout[[#This Row],[Yaw]]&gt;V46,(360-ABS(Breakout[[#This Row],[Yaw]])-ABS(V46)),ABS(Breakout[[#This Row],[Yaw]]-V46))</f>
        <v>0</v>
      </c>
      <c r="Y47" s="1">
        <f>Breakout[[#This Row],[Degree change]]+Y46</f>
        <v>0</v>
      </c>
    </row>
    <row r="48" spans="1:25">
      <c r="A48">
        <v>47</v>
      </c>
      <c r="B48" s="1">
        <v>411.63998400000003</v>
      </c>
      <c r="C48" s="1">
        <v>1833.9499510000001</v>
      </c>
      <c r="D48" s="1">
        <v>18.34</v>
      </c>
      <c r="E48" s="1">
        <v>-1179.309937</v>
      </c>
      <c r="F48" s="1">
        <v>1974.619995</v>
      </c>
      <c r="G48" s="1">
        <v>7.82</v>
      </c>
      <c r="H48" s="1">
        <v>-4.0000000000000002E-4</v>
      </c>
      <c r="I48" s="1">
        <v>-2.9999999999999997E-4</v>
      </c>
      <c r="J48" s="1">
        <v>0</v>
      </c>
      <c r="K48" s="1">
        <v>-7.404E-3</v>
      </c>
      <c r="L48" s="1">
        <v>4.2050000000000004E-3</v>
      </c>
      <c r="M48" s="1">
        <v>0.869668</v>
      </c>
      <c r="N48" s="1">
        <v>0.493564</v>
      </c>
      <c r="O48">
        <v>0</v>
      </c>
      <c r="P48">
        <v>0</v>
      </c>
      <c r="Q48">
        <v>1</v>
      </c>
      <c r="R48">
        <v>1</v>
      </c>
      <c r="S48">
        <v>1</v>
      </c>
      <c r="T48" s="1">
        <f>SQRT(POWER(Breakout[[#This Row],[angvel_X]],2) + POWER(Breakout[[#This Row],[angvel_Y]],2) + POWER(Breakout[[#This Row],[angvel_Z]],2))</f>
        <v>5.0000000000000001E-4</v>
      </c>
      <c r="U48" s="1">
        <f>DEGREES(ASIN(MAX(-1,MIN(1,2 * (Breakout[[#This Row],[quart_W]]*Breakout[[#This Row],[quart_Y]] - Breakout[[#This Row],[quart_Z]]*Breakout[[#This Row],[quart_X]])))))</f>
        <v>0.97573223452861158</v>
      </c>
      <c r="V4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4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48" s="1">
        <f>IF(Breakout[[#This Row],[Yaw]]&gt;V47,(360-ABS(Breakout[[#This Row],[Yaw]])-ABS(V47)),ABS(Breakout[[#This Row],[Yaw]]-V47))</f>
        <v>0</v>
      </c>
      <c r="Y48" s="1">
        <f>Breakout[[#This Row],[Degree change]]+Y47</f>
        <v>0</v>
      </c>
    </row>
    <row r="49" spans="1:25">
      <c r="A49">
        <v>48</v>
      </c>
      <c r="B49" s="1">
        <v>401.77999899999998</v>
      </c>
      <c r="C49" s="1">
        <v>1850.459961</v>
      </c>
      <c r="D49" s="1">
        <v>18.34</v>
      </c>
      <c r="E49" s="1">
        <v>-1179.309937</v>
      </c>
      <c r="F49" s="1">
        <v>1974.619995</v>
      </c>
      <c r="G49" s="1">
        <v>7.82</v>
      </c>
      <c r="H49" s="1">
        <v>-4.0000000000000002E-4</v>
      </c>
      <c r="I49" s="1">
        <v>-2.9999999999999997E-4</v>
      </c>
      <c r="J49" s="1">
        <v>0</v>
      </c>
      <c r="K49" s="1">
        <v>-7.404E-3</v>
      </c>
      <c r="L49" s="1">
        <v>4.2050000000000004E-3</v>
      </c>
      <c r="M49" s="1">
        <v>0.869668</v>
      </c>
      <c r="N49" s="1">
        <v>0.493564</v>
      </c>
      <c r="O49">
        <v>0</v>
      </c>
      <c r="P49">
        <v>0</v>
      </c>
      <c r="Q49">
        <v>1</v>
      </c>
      <c r="R49">
        <v>1</v>
      </c>
      <c r="S49">
        <v>1</v>
      </c>
      <c r="T49" s="1">
        <f>SQRT(POWER(Breakout[[#This Row],[angvel_X]],2) + POWER(Breakout[[#This Row],[angvel_Y]],2) + POWER(Breakout[[#This Row],[angvel_Z]],2))</f>
        <v>5.0000000000000001E-4</v>
      </c>
      <c r="U49" s="1">
        <f>DEGREES(ASIN(MAX(-1,MIN(1,2 * (Breakout[[#This Row],[quart_W]]*Breakout[[#This Row],[quart_Y]] - Breakout[[#This Row],[quart_Z]]*Breakout[[#This Row],[quart_X]])))))</f>
        <v>0.97573223452861158</v>
      </c>
      <c r="V4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4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49" s="1">
        <f>IF(Breakout[[#This Row],[Yaw]]&gt;V48,(360-ABS(Breakout[[#This Row],[Yaw]])-ABS(V48)),ABS(Breakout[[#This Row],[Yaw]]-V48))</f>
        <v>0</v>
      </c>
      <c r="Y49" s="1">
        <f>Breakout[[#This Row],[Degree change]]+Y48</f>
        <v>0</v>
      </c>
    </row>
    <row r="50" spans="1:25">
      <c r="A50">
        <v>49</v>
      </c>
      <c r="B50" s="1">
        <v>391.919983</v>
      </c>
      <c r="C50" s="1">
        <v>1866.969971</v>
      </c>
      <c r="D50" s="1">
        <v>18.34</v>
      </c>
      <c r="E50" s="1">
        <v>-1179.309937</v>
      </c>
      <c r="F50" s="1">
        <v>1974.619995</v>
      </c>
      <c r="G50" s="1">
        <v>7.82</v>
      </c>
      <c r="H50" s="1">
        <v>-4.0000000000000002E-4</v>
      </c>
      <c r="I50" s="1">
        <v>-2.9999999999999997E-4</v>
      </c>
      <c r="J50" s="1">
        <v>0</v>
      </c>
      <c r="K50" s="1">
        <v>-7.404E-3</v>
      </c>
      <c r="L50" s="1">
        <v>4.2050000000000004E-3</v>
      </c>
      <c r="M50" s="1">
        <v>0.869668</v>
      </c>
      <c r="N50" s="1">
        <v>0.493564</v>
      </c>
      <c r="O50">
        <v>0</v>
      </c>
      <c r="P50">
        <v>0</v>
      </c>
      <c r="Q50">
        <v>1</v>
      </c>
      <c r="R50">
        <v>1</v>
      </c>
      <c r="S50">
        <v>1</v>
      </c>
      <c r="T50" s="1">
        <f>SQRT(POWER(Breakout[[#This Row],[angvel_X]],2) + POWER(Breakout[[#This Row],[angvel_Y]],2) + POWER(Breakout[[#This Row],[angvel_Z]],2))</f>
        <v>5.0000000000000001E-4</v>
      </c>
      <c r="U50" s="1">
        <f>DEGREES(ASIN(MAX(-1,MIN(1,2 * (Breakout[[#This Row],[quart_W]]*Breakout[[#This Row],[quart_Y]] - Breakout[[#This Row],[quart_Z]]*Breakout[[#This Row],[quart_X]])))))</f>
        <v>0.97573223452861158</v>
      </c>
      <c r="V5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5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50" s="1">
        <f>IF(Breakout[[#This Row],[Yaw]]&gt;V49,(360-ABS(Breakout[[#This Row],[Yaw]])-ABS(V49)),ABS(Breakout[[#This Row],[Yaw]]-V49))</f>
        <v>0</v>
      </c>
      <c r="Y50" s="1">
        <f>Breakout[[#This Row],[Degree change]]+Y49</f>
        <v>0</v>
      </c>
    </row>
    <row r="51" spans="1:25">
      <c r="A51">
        <v>50</v>
      </c>
      <c r="B51" s="1">
        <v>382.05999800000001</v>
      </c>
      <c r="C51" s="1">
        <v>1883.4799800000001</v>
      </c>
      <c r="D51" s="1">
        <v>18.34</v>
      </c>
      <c r="E51" s="1">
        <v>-1179.309937</v>
      </c>
      <c r="F51" s="1">
        <v>1974.619995</v>
      </c>
      <c r="G51" s="1">
        <v>7.82</v>
      </c>
      <c r="H51" s="1">
        <v>-4.0000000000000002E-4</v>
      </c>
      <c r="I51" s="1">
        <v>-2.9999999999999997E-4</v>
      </c>
      <c r="J51" s="1">
        <v>0</v>
      </c>
      <c r="K51" s="1">
        <v>-7.404E-3</v>
      </c>
      <c r="L51" s="1">
        <v>4.2050000000000004E-3</v>
      </c>
      <c r="M51" s="1">
        <v>0.869668</v>
      </c>
      <c r="N51" s="1">
        <v>0.493564</v>
      </c>
      <c r="O51">
        <v>0</v>
      </c>
      <c r="P51">
        <v>0</v>
      </c>
      <c r="Q51">
        <v>1</v>
      </c>
      <c r="R51">
        <v>1</v>
      </c>
      <c r="S51">
        <v>1</v>
      </c>
      <c r="T51" s="1">
        <f>SQRT(POWER(Breakout[[#This Row],[angvel_X]],2) + POWER(Breakout[[#This Row],[angvel_Y]],2) + POWER(Breakout[[#This Row],[angvel_Z]],2))</f>
        <v>5.0000000000000001E-4</v>
      </c>
      <c r="U51" s="1">
        <f>DEGREES(ASIN(MAX(-1,MIN(1,2 * (Breakout[[#This Row],[quart_W]]*Breakout[[#This Row],[quart_Y]] - Breakout[[#This Row],[quart_Z]]*Breakout[[#This Row],[quart_X]])))))</f>
        <v>0.97573223452861158</v>
      </c>
      <c r="V5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5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51" s="1">
        <f>IF(Breakout[[#This Row],[Yaw]]&gt;V50,(360-ABS(Breakout[[#This Row],[Yaw]])-ABS(V50)),ABS(Breakout[[#This Row],[Yaw]]-V50))</f>
        <v>0</v>
      </c>
      <c r="Y51" s="1">
        <f>Breakout[[#This Row],[Degree change]]+Y50</f>
        <v>0</v>
      </c>
    </row>
    <row r="52" spans="1:25">
      <c r="A52">
        <v>51</v>
      </c>
      <c r="B52" s="1">
        <v>372.19998199999998</v>
      </c>
      <c r="C52" s="1">
        <v>1899.98999</v>
      </c>
      <c r="D52" s="1">
        <v>18.34</v>
      </c>
      <c r="E52" s="1">
        <v>-1179.309937</v>
      </c>
      <c r="F52" s="1">
        <v>1974.619995</v>
      </c>
      <c r="G52" s="1">
        <v>7.82</v>
      </c>
      <c r="H52" s="1">
        <v>-4.0000000000000002E-4</v>
      </c>
      <c r="I52" s="1">
        <v>-2.9999999999999997E-4</v>
      </c>
      <c r="J52" s="1">
        <v>0</v>
      </c>
      <c r="K52" s="1">
        <v>-7.404E-3</v>
      </c>
      <c r="L52" s="1">
        <v>4.2050000000000004E-3</v>
      </c>
      <c r="M52" s="1">
        <v>0.869668</v>
      </c>
      <c r="N52" s="1">
        <v>0.493564</v>
      </c>
      <c r="O52">
        <v>1</v>
      </c>
      <c r="P52">
        <v>0</v>
      </c>
      <c r="Q52">
        <v>1</v>
      </c>
      <c r="R52">
        <v>1</v>
      </c>
      <c r="S52">
        <v>1</v>
      </c>
      <c r="T52" s="1">
        <f>SQRT(POWER(Breakout[[#This Row],[angvel_X]],2) + POWER(Breakout[[#This Row],[angvel_Y]],2) + POWER(Breakout[[#This Row],[angvel_Z]],2))</f>
        <v>5.0000000000000001E-4</v>
      </c>
      <c r="U52" s="1">
        <f>DEGREES(ASIN(MAX(-1,MIN(1,2 * (Breakout[[#This Row],[quart_W]]*Breakout[[#This Row],[quart_Y]] - Breakout[[#This Row],[quart_Z]]*Breakout[[#This Row],[quart_X]])))))</f>
        <v>0.97573223452861158</v>
      </c>
      <c r="V5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5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52" s="1">
        <f>IF(Breakout[[#This Row],[Yaw]]&gt;V51,(360-ABS(Breakout[[#This Row],[Yaw]])-ABS(V51)),ABS(Breakout[[#This Row],[Yaw]]-V51))</f>
        <v>0</v>
      </c>
      <c r="Y52" s="1">
        <f>Breakout[[#This Row],[Degree change]]+Y51</f>
        <v>0</v>
      </c>
    </row>
    <row r="53" spans="1:25">
      <c r="A53">
        <v>52</v>
      </c>
      <c r="B53" s="1">
        <v>362.33999599999999</v>
      </c>
      <c r="C53" s="1">
        <v>1916.5</v>
      </c>
      <c r="D53" s="1">
        <v>18.34</v>
      </c>
      <c r="E53" s="1">
        <v>-1188.3599850000001</v>
      </c>
      <c r="F53" s="1">
        <v>1969.1899410000001</v>
      </c>
      <c r="G53" s="1">
        <v>7.83</v>
      </c>
      <c r="H53" s="1">
        <v>-2.7000000000000001E-3</v>
      </c>
      <c r="I53" s="1">
        <v>3.5000000000000001E-3</v>
      </c>
      <c r="J53" s="1">
        <v>0.26290000000000002</v>
      </c>
      <c r="K53" s="1">
        <v>-7.404E-3</v>
      </c>
      <c r="L53" s="1">
        <v>4.2050000000000004E-3</v>
      </c>
      <c r="M53" s="1">
        <v>0.869668</v>
      </c>
      <c r="N53" s="1">
        <v>0.493564</v>
      </c>
      <c r="O53">
        <v>1</v>
      </c>
      <c r="P53">
        <v>0</v>
      </c>
      <c r="Q53">
        <v>1</v>
      </c>
      <c r="R53">
        <v>1</v>
      </c>
      <c r="S53">
        <v>1</v>
      </c>
      <c r="T53" s="1">
        <f>SQRT(POWER(Breakout[[#This Row],[angvel_X]],2) + POWER(Breakout[[#This Row],[angvel_Y]],2) + POWER(Breakout[[#This Row],[angvel_Z]],2))</f>
        <v>0.26293715979298177</v>
      </c>
      <c r="U53" s="1">
        <f>DEGREES(ASIN(MAX(-1,MIN(1,2 * (Breakout[[#This Row],[quart_W]]*Breakout[[#This Row],[quart_Y]] - Breakout[[#This Row],[quart_Z]]*Breakout[[#This Row],[quart_X]])))))</f>
        <v>0.97573223452861158</v>
      </c>
      <c r="V5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-30.847467121623378</v>
      </c>
      <c r="W5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89.999701321462368</v>
      </c>
      <c r="X53" s="1">
        <f>IF(Breakout[[#This Row],[Yaw]]&gt;V52,(360-ABS(Breakout[[#This Row],[Yaw]])-ABS(V52)),ABS(Breakout[[#This Row],[Yaw]]-V52))</f>
        <v>0</v>
      </c>
      <c r="Y53" s="1">
        <f>Breakout[[#This Row],[Degree change]]+Y52</f>
        <v>0</v>
      </c>
    </row>
    <row r="54" spans="1:25">
      <c r="A54">
        <v>53</v>
      </c>
      <c r="B54" s="1">
        <v>352.39999399999999</v>
      </c>
      <c r="C54" s="1">
        <v>1932.969971</v>
      </c>
      <c r="D54" s="1">
        <v>18.34</v>
      </c>
      <c r="E54" s="1">
        <v>-1196.169922</v>
      </c>
      <c r="F54" s="1">
        <v>1964.459961</v>
      </c>
      <c r="G54" s="1">
        <v>7.84</v>
      </c>
      <c r="H54" s="1">
        <v>-3.7000000000000002E-3</v>
      </c>
      <c r="I54" s="1">
        <v>5.1000000000000004E-3</v>
      </c>
      <c r="J54" s="1">
        <v>0.47599999999999998</v>
      </c>
      <c r="K54" s="1">
        <v>-7.404E-3</v>
      </c>
      <c r="L54" s="1">
        <v>4.2160000000000001E-3</v>
      </c>
      <c r="M54" s="1">
        <v>0.87020900000000001</v>
      </c>
      <c r="N54" s="1">
        <v>0.49260900000000002</v>
      </c>
      <c r="O54">
        <v>1</v>
      </c>
      <c r="P54">
        <v>0</v>
      </c>
      <c r="Q54">
        <v>1</v>
      </c>
      <c r="R54">
        <v>1</v>
      </c>
      <c r="S54">
        <v>1</v>
      </c>
      <c r="T54" s="1">
        <f>SQRT(POWER(Breakout[[#This Row],[angvel_X]],2) + POWER(Breakout[[#This Row],[angvel_Y]],2) + POWER(Breakout[[#This Row],[angvel_Z]],2))</f>
        <v>0.47604169985411987</v>
      </c>
      <c r="U54" s="1">
        <f>DEGREES(ASIN(MAX(-1,MIN(1,2 * (Breakout[[#This Row],[quart_W]]*Breakout[[#This Row],[quart_Y]] - Breakout[[#This Row],[quart_Z]]*Breakout[[#This Row],[quart_X]])))))</f>
        <v>0.97635209153844404</v>
      </c>
      <c r="V5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-30.973243710181894</v>
      </c>
      <c r="W5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89.99753316075433</v>
      </c>
      <c r="X54" s="1">
        <f>IF(Breakout[[#This Row],[Yaw]]&gt;V53,(360-ABS(Breakout[[#This Row],[Yaw]])-ABS(V53)),ABS(Breakout[[#This Row],[Yaw]]-V53))</f>
        <v>0.12577658855851581</v>
      </c>
      <c r="Y54" s="1">
        <f>Breakout[[#This Row],[Degree change]]+Y53</f>
        <v>0.12577658855851581</v>
      </c>
    </row>
    <row r="55" spans="1:25">
      <c r="A55">
        <v>54</v>
      </c>
      <c r="B55" s="1">
        <v>342.39999399999999</v>
      </c>
      <c r="C55" s="1">
        <v>1949.3999020000001</v>
      </c>
      <c r="D55" s="1">
        <v>18.34</v>
      </c>
      <c r="E55" s="1">
        <v>-1203.9399410000001</v>
      </c>
      <c r="F55" s="1">
        <v>1959.709961</v>
      </c>
      <c r="G55" s="1">
        <v>7.84</v>
      </c>
      <c r="H55" s="1">
        <v>-3.8999999999999998E-3</v>
      </c>
      <c r="I55" s="1">
        <v>5.4999999999999997E-3</v>
      </c>
      <c r="J55" s="1">
        <v>0.65890000000000004</v>
      </c>
      <c r="K55" s="1">
        <v>-7.404E-3</v>
      </c>
      <c r="L55" s="1">
        <v>4.2269999999999999E-3</v>
      </c>
      <c r="M55" s="1">
        <v>0.87118399999999996</v>
      </c>
      <c r="N55" s="1">
        <v>0.49088199999999999</v>
      </c>
      <c r="O55">
        <v>1</v>
      </c>
      <c r="P55">
        <v>0</v>
      </c>
      <c r="Q55">
        <v>1</v>
      </c>
      <c r="R55">
        <v>1</v>
      </c>
      <c r="S55">
        <v>1</v>
      </c>
      <c r="T55" s="1">
        <f>SQRT(POWER(Breakout[[#This Row],[angvel_X]],2) + POWER(Breakout[[#This Row],[angvel_Y]],2) + POWER(Breakout[[#This Row],[angvel_Z]],2))</f>
        <v>0.65893449598575426</v>
      </c>
      <c r="U55" s="1">
        <f>DEGREES(ASIN(MAX(-1,MIN(1,2 * (Breakout[[#This Row],[quart_W]]*Breakout[[#This Row],[quart_Y]] - Breakout[[#This Row],[quart_Z]]*Breakout[[#This Row],[quart_X]])))))</f>
        <v>0.97696382087684108</v>
      </c>
      <c r="V5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-31.200511622164335</v>
      </c>
      <c r="W5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89.99449829659531</v>
      </c>
      <c r="X55" s="1">
        <f>IF(Breakout[[#This Row],[Yaw]]&gt;V54,(360-ABS(Breakout[[#This Row],[Yaw]])-ABS(V54)),ABS(Breakout[[#This Row],[Yaw]]-V54))</f>
        <v>0.22726791198244101</v>
      </c>
      <c r="Y55" s="1">
        <f>Breakout[[#This Row],[Degree change]]+Y54</f>
        <v>0.35304450054095682</v>
      </c>
    </row>
    <row r="56" spans="1:25">
      <c r="A56">
        <v>55</v>
      </c>
      <c r="B56" s="1">
        <v>332.32998700000002</v>
      </c>
      <c r="C56" s="1">
        <v>1965.7899170000001</v>
      </c>
      <c r="D56" s="1">
        <v>18.34</v>
      </c>
      <c r="E56" s="1">
        <v>-1212.150024</v>
      </c>
      <c r="F56" s="1">
        <v>1954.6400149999999</v>
      </c>
      <c r="G56" s="1">
        <v>7.84</v>
      </c>
      <c r="H56" s="1">
        <v>-3.5999999999999999E-3</v>
      </c>
      <c r="I56" s="1">
        <v>5.1999999999999998E-3</v>
      </c>
      <c r="J56" s="1">
        <v>0.81610000000000005</v>
      </c>
      <c r="K56" s="1">
        <v>-7.404E-3</v>
      </c>
      <c r="L56" s="1">
        <v>4.2319999999999997E-3</v>
      </c>
      <c r="M56" s="1">
        <v>0.872529</v>
      </c>
      <c r="N56" s="1">
        <v>0.488487</v>
      </c>
      <c r="O56">
        <v>1</v>
      </c>
      <c r="P56">
        <v>0</v>
      </c>
      <c r="Q56">
        <v>1</v>
      </c>
      <c r="R56">
        <v>1</v>
      </c>
      <c r="S56">
        <v>1</v>
      </c>
      <c r="T56" s="1">
        <f>SQRT(POWER(Breakout[[#This Row],[angvel_X]],2) + POWER(Breakout[[#This Row],[angvel_Y]],2) + POWER(Breakout[[#This Row],[angvel_Z]],2))</f>
        <v>0.81612450643268897</v>
      </c>
      <c r="U56" s="1">
        <f>DEGREES(ASIN(MAX(-1,MIN(1,2 * (Breakout[[#This Row],[quart_W]]*Breakout[[#This Row],[quart_Y]] - Breakout[[#This Row],[quart_Z]]*Breakout[[#This Row],[quart_X]])))))</f>
        <v>0.97722480099397713</v>
      </c>
      <c r="V5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-31.515301221872907</v>
      </c>
      <c r="W5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89.991314417669429</v>
      </c>
      <c r="X56" s="1">
        <f>IF(Breakout[[#This Row],[Yaw]]&gt;V55,(360-ABS(Breakout[[#This Row],[Yaw]])-ABS(V55)),ABS(Breakout[[#This Row],[Yaw]]-V55))</f>
        <v>0.3147895997085719</v>
      </c>
      <c r="Y56" s="1">
        <f>Breakout[[#This Row],[Degree change]]+Y55</f>
        <v>0.66783410024952872</v>
      </c>
    </row>
    <row r="57" spans="1:25">
      <c r="A57">
        <v>56</v>
      </c>
      <c r="B57" s="1">
        <v>322.19000199999999</v>
      </c>
      <c r="C57" s="1">
        <v>1982.1400149999999</v>
      </c>
      <c r="D57" s="1">
        <v>18.34</v>
      </c>
      <c r="E57" s="1">
        <v>-1221.1400149999999</v>
      </c>
      <c r="F57" s="1">
        <v>1949.0299070000001</v>
      </c>
      <c r="G57" s="1">
        <v>7.84</v>
      </c>
      <c r="H57" s="1">
        <v>-3.0000000000000001E-3</v>
      </c>
      <c r="I57" s="1">
        <v>4.4000000000000003E-3</v>
      </c>
      <c r="J57" s="1">
        <v>0.9516</v>
      </c>
      <c r="K57" s="1">
        <v>-7.4099999999999999E-3</v>
      </c>
      <c r="L57" s="1">
        <v>4.2319999999999997E-3</v>
      </c>
      <c r="M57" s="1">
        <v>0.87418700000000005</v>
      </c>
      <c r="N57" s="1">
        <v>0.48551499999999997</v>
      </c>
      <c r="O57">
        <v>1</v>
      </c>
      <c r="P57">
        <v>0</v>
      </c>
      <c r="Q57">
        <v>1</v>
      </c>
      <c r="R57">
        <v>1</v>
      </c>
      <c r="S57">
        <v>1</v>
      </c>
      <c r="T57" s="1">
        <f>SQRT(POWER(Breakout[[#This Row],[angvel_X]],2) + POWER(Breakout[[#This Row],[angvel_Y]],2) + POWER(Breakout[[#This Row],[angvel_Z]],2))</f>
        <v>0.95161490110233138</v>
      </c>
      <c r="U57" s="1">
        <f>DEGREES(ASIN(MAX(-1,MIN(1,2 * (Breakout[[#This Row],[quart_W]]*Breakout[[#This Row],[quart_Y]] - Breakout[[#This Row],[quart_Z]]*Breakout[[#This Row],[quart_X]])))))</f>
        <v>0.97779136108839138</v>
      </c>
      <c r="V5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-31.905387592434789</v>
      </c>
      <c r="W5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89.98832219491635</v>
      </c>
      <c r="X57" s="1">
        <f>IF(Breakout[[#This Row],[Yaw]]&gt;V56,(360-ABS(Breakout[[#This Row],[Yaw]])-ABS(V56)),ABS(Breakout[[#This Row],[Yaw]]-V56))</f>
        <v>0.39008637056188178</v>
      </c>
      <c r="Y57" s="1">
        <f>Breakout[[#This Row],[Degree change]]+Y56</f>
        <v>1.0579204708114105</v>
      </c>
    </row>
    <row r="58" spans="1:25">
      <c r="A58">
        <v>57</v>
      </c>
      <c r="B58" s="1">
        <v>311.97998000000001</v>
      </c>
      <c r="C58" s="1">
        <v>1998.4399410000001</v>
      </c>
      <c r="D58" s="1">
        <v>18.34</v>
      </c>
      <c r="E58" s="1">
        <v>-1231.1400149999999</v>
      </c>
      <c r="F58" s="1">
        <v>1942.7299800000001</v>
      </c>
      <c r="G58" s="1">
        <v>7.84</v>
      </c>
      <c r="H58" s="1">
        <v>-2.2000000000000001E-3</v>
      </c>
      <c r="I58" s="1">
        <v>3.3999999999999998E-3</v>
      </c>
      <c r="J58" s="1">
        <v>1.0688</v>
      </c>
      <c r="K58" s="1">
        <v>-7.4149999999999997E-3</v>
      </c>
      <c r="L58" s="1">
        <v>4.2209999999999999E-3</v>
      </c>
      <c r="M58" s="1">
        <v>0.87610399999999999</v>
      </c>
      <c r="N58" s="1">
        <v>0.48204599999999997</v>
      </c>
      <c r="O58">
        <v>1</v>
      </c>
      <c r="P58">
        <v>0</v>
      </c>
      <c r="Q58">
        <v>1</v>
      </c>
      <c r="R58">
        <v>1</v>
      </c>
      <c r="S58">
        <v>1</v>
      </c>
      <c r="T58" s="1">
        <f>SQRT(POWER(Breakout[[#This Row],[angvel_X]],2) + POWER(Breakout[[#This Row],[angvel_Y]],2) + POWER(Breakout[[#This Row],[angvel_Z]],2))</f>
        <v>1.0688076721281523</v>
      </c>
      <c r="U58" s="1">
        <f>DEGREES(ASIN(MAX(-1,MIN(1,2 * (Breakout[[#This Row],[quart_W]]*Breakout[[#This Row],[quart_Y]] - Breakout[[#This Row],[quart_Z]]*Breakout[[#This Row],[quart_X]])))))</f>
        <v>0.97763115893294639</v>
      </c>
      <c r="V5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-32.359545118866635</v>
      </c>
      <c r="W5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89.985827098332322</v>
      </c>
      <c r="X58" s="1">
        <f>IF(Breakout[[#This Row],[Yaw]]&gt;V57,(360-ABS(Breakout[[#This Row],[Yaw]])-ABS(V57)),ABS(Breakout[[#This Row],[Yaw]]-V57))</f>
        <v>0.45415752643184604</v>
      </c>
      <c r="Y58" s="1">
        <f>Breakout[[#This Row],[Degree change]]+Y57</f>
        <v>1.5120779972432565</v>
      </c>
    </row>
    <row r="59" spans="1:25">
      <c r="A59">
        <v>58</v>
      </c>
      <c r="B59" s="1">
        <v>301.67999300000002</v>
      </c>
      <c r="C59" s="1">
        <v>2014.6899410000001</v>
      </c>
      <c r="D59" s="1">
        <v>18.34</v>
      </c>
      <c r="E59" s="1">
        <v>-1242.26001</v>
      </c>
      <c r="F59" s="1">
        <v>1935.6400149999999</v>
      </c>
      <c r="G59" s="1">
        <v>7.85</v>
      </c>
      <c r="H59" s="1">
        <v>-1.5E-3</v>
      </c>
      <c r="I59" s="1">
        <v>2.3E-3</v>
      </c>
      <c r="J59" s="1">
        <v>1.1705000000000001</v>
      </c>
      <c r="K59" s="1">
        <v>-7.4260000000000003E-3</v>
      </c>
      <c r="L59" s="1">
        <v>4.2050000000000004E-3</v>
      </c>
      <c r="M59" s="1">
        <v>0.87824199999999997</v>
      </c>
      <c r="N59" s="1">
        <v>0.47814000000000001</v>
      </c>
      <c r="O59">
        <v>1</v>
      </c>
      <c r="P59">
        <v>0</v>
      </c>
      <c r="Q59">
        <v>1</v>
      </c>
      <c r="R59">
        <v>1</v>
      </c>
      <c r="S59">
        <v>1</v>
      </c>
      <c r="T59" s="1">
        <f>SQRT(POWER(Breakout[[#This Row],[angvel_X]],2) + POWER(Breakout[[#This Row],[angvel_Y]],2) + POWER(Breakout[[#This Row],[angvel_Z]],2))</f>
        <v>1.170503220841361</v>
      </c>
      <c r="U59" s="1">
        <f>DEGREES(ASIN(MAX(-1,MIN(1,2 * (Breakout[[#This Row],[quart_W]]*Breakout[[#This Row],[quart_Y]] - Breakout[[#This Row],[quart_Z]]*Breakout[[#This Row],[quart_X]])))))</f>
        <v>0.97778891328543716</v>
      </c>
      <c r="V5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-32.869857868015522</v>
      </c>
      <c r="W5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89.983686665247916</v>
      </c>
      <c r="X59" s="1">
        <f>IF(Breakout[[#This Row],[Yaw]]&gt;V58,(360-ABS(Breakout[[#This Row],[Yaw]])-ABS(V58)),ABS(Breakout[[#This Row],[Yaw]]-V58))</f>
        <v>0.51031274914888769</v>
      </c>
      <c r="Y59" s="1">
        <f>Breakout[[#This Row],[Degree change]]+Y58</f>
        <v>2.0223907463921442</v>
      </c>
    </row>
    <row r="60" spans="1:25">
      <c r="A60">
        <v>59</v>
      </c>
      <c r="B60" s="1">
        <v>291.290009</v>
      </c>
      <c r="C60" s="1">
        <v>2030.880005</v>
      </c>
      <c r="D60" s="1">
        <v>18.34</v>
      </c>
      <c r="E60" s="1">
        <v>-1254.559937</v>
      </c>
      <c r="F60" s="1">
        <v>1927.6899410000001</v>
      </c>
      <c r="G60" s="1">
        <v>7.85</v>
      </c>
      <c r="H60" s="1">
        <v>-8.0000000000000004E-4</v>
      </c>
      <c r="I60" s="1">
        <v>1.1999999999999999E-3</v>
      </c>
      <c r="J60" s="1">
        <v>1.2592000000000001</v>
      </c>
      <c r="K60" s="1">
        <v>-7.4419999999999998E-3</v>
      </c>
      <c r="L60" s="1">
        <v>4.1780000000000003E-3</v>
      </c>
      <c r="M60" s="1">
        <v>0.88056299999999998</v>
      </c>
      <c r="N60" s="1">
        <v>0.47385100000000002</v>
      </c>
      <c r="O60">
        <v>1</v>
      </c>
      <c r="P60">
        <v>0</v>
      </c>
      <c r="Q60">
        <v>1</v>
      </c>
      <c r="R60">
        <v>1</v>
      </c>
      <c r="S60">
        <v>1</v>
      </c>
      <c r="T60" s="1">
        <f>SQRT(POWER(Breakout[[#This Row],[angvel_X]],2) + POWER(Breakout[[#This Row],[angvel_Y]],2) + POWER(Breakout[[#This Row],[angvel_Z]],2))</f>
        <v>1.2592008259209491</v>
      </c>
      <c r="U60" s="1">
        <f>DEGREES(ASIN(MAX(-1,MIN(1,2 * (Breakout[[#This Row],[quart_W]]*Breakout[[#This Row],[quart_Y]] - Breakout[[#This Row],[quart_Z]]*Breakout[[#This Row],[quart_X]])))))</f>
        <v>0.97784570534008786</v>
      </c>
      <c r="V6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-33.42867935085647</v>
      </c>
      <c r="W6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89.982511574845489</v>
      </c>
      <c r="X60" s="1">
        <f>IF(Breakout[[#This Row],[Yaw]]&gt;V59,(360-ABS(Breakout[[#This Row],[Yaw]])-ABS(V59)),ABS(Breakout[[#This Row],[Yaw]]-V59))</f>
        <v>0.55882148284094768</v>
      </c>
      <c r="Y60" s="1">
        <f>Breakout[[#This Row],[Degree change]]+Y59</f>
        <v>2.5812122292330919</v>
      </c>
    </row>
    <row r="61" spans="1:25">
      <c r="A61">
        <v>60</v>
      </c>
      <c r="B61" s="1">
        <v>280.79998799999998</v>
      </c>
      <c r="C61" s="1">
        <v>2047</v>
      </c>
      <c r="D61" s="1">
        <v>18.34</v>
      </c>
      <c r="E61" s="1">
        <v>-1268.059937</v>
      </c>
      <c r="F61" s="1">
        <v>1918.839966</v>
      </c>
      <c r="G61" s="1">
        <v>7.86</v>
      </c>
      <c r="H61" s="1">
        <v>-1E-4</v>
      </c>
      <c r="I61" s="1">
        <v>2.9999999999999997E-4</v>
      </c>
      <c r="J61" s="1">
        <v>1.3369</v>
      </c>
      <c r="K61" s="1">
        <v>-7.4640000000000001E-3</v>
      </c>
      <c r="L61" s="1">
        <v>4.1460000000000004E-3</v>
      </c>
      <c r="M61" s="1">
        <v>0.88303900000000002</v>
      </c>
      <c r="N61" s="1">
        <v>0.46922199999999997</v>
      </c>
      <c r="O61">
        <v>1</v>
      </c>
      <c r="P61">
        <v>0</v>
      </c>
      <c r="Q61">
        <v>1</v>
      </c>
      <c r="R61">
        <v>1</v>
      </c>
      <c r="S61">
        <v>1</v>
      </c>
      <c r="T61" s="1">
        <f>SQRT(POWER(Breakout[[#This Row],[angvel_X]],2) + POWER(Breakout[[#This Row],[angvel_Y]],2) + POWER(Breakout[[#This Row],[angvel_Z]],2))</f>
        <v>1.3369000373999547</v>
      </c>
      <c r="U61" s="1">
        <f>DEGREES(ASIN(MAX(-1,MIN(1,2 * (Breakout[[#This Row],[quart_W]]*Breakout[[#This Row],[quart_Y]] - Breakout[[#This Row],[quart_Z]]*Breakout[[#This Row],[quart_X]])))))</f>
        <v>0.97824662610898094</v>
      </c>
      <c r="V6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-34.030327216721723</v>
      </c>
      <c r="W6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89.981799441215841</v>
      </c>
      <c r="X61" s="1">
        <f>IF(Breakout[[#This Row],[Yaw]]&gt;V60,(360-ABS(Breakout[[#This Row],[Yaw]])-ABS(V60)),ABS(Breakout[[#This Row],[Yaw]]-V60))</f>
        <v>0.6016478658652531</v>
      </c>
      <c r="Y61" s="1">
        <f>Breakout[[#This Row],[Degree change]]+Y60</f>
        <v>3.182860095098345</v>
      </c>
    </row>
    <row r="62" spans="1:25">
      <c r="A62">
        <v>61</v>
      </c>
      <c r="B62" s="1">
        <v>270.19000199999999</v>
      </c>
      <c r="C62" s="1">
        <v>2063.0500489999999</v>
      </c>
      <c r="D62" s="1">
        <v>18.34</v>
      </c>
      <c r="E62" s="1">
        <v>-1282.7299800000001</v>
      </c>
      <c r="F62" s="1">
        <v>1909.059937</v>
      </c>
      <c r="G62" s="1">
        <v>7.86</v>
      </c>
      <c r="H62" s="1">
        <v>4.0000000000000002E-4</v>
      </c>
      <c r="I62" s="1">
        <v>-4.0000000000000002E-4</v>
      </c>
      <c r="J62" s="1">
        <v>1.4053</v>
      </c>
      <c r="K62" s="1">
        <v>-7.4850000000000003E-3</v>
      </c>
      <c r="L62" s="1">
        <v>4.1029999999999999E-3</v>
      </c>
      <c r="M62" s="1">
        <v>0.88563800000000004</v>
      </c>
      <c r="N62" s="1">
        <v>0.46429700000000002</v>
      </c>
      <c r="O62">
        <v>1</v>
      </c>
      <c r="P62">
        <v>0</v>
      </c>
      <c r="Q62">
        <v>1</v>
      </c>
      <c r="R62">
        <v>1</v>
      </c>
      <c r="S62">
        <v>1</v>
      </c>
      <c r="T62" s="1">
        <f>SQRT(POWER(Breakout[[#This Row],[angvel_X]],2) + POWER(Breakout[[#This Row],[angvel_Y]],2) + POWER(Breakout[[#This Row],[angvel_Z]],2))</f>
        <v>1.4053001138546883</v>
      </c>
      <c r="U62" s="1">
        <f>DEGREES(ASIN(MAX(-1,MIN(1,2 * (Breakout[[#This Row],[quart_W]]*Breakout[[#This Row],[quart_Y]] - Breakout[[#This Row],[quart_Z]]*Breakout[[#This Row],[quart_X]])))))</f>
        <v>0.97797311498973882</v>
      </c>
      <c r="V6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-34.668437997448798</v>
      </c>
      <c r="W6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89.981833483298459</v>
      </c>
      <c r="X62" s="1">
        <f>IF(Breakout[[#This Row],[Yaw]]&gt;V61,(360-ABS(Breakout[[#This Row],[Yaw]])-ABS(V61)),ABS(Breakout[[#This Row],[Yaw]]-V61))</f>
        <v>0.63811078072707517</v>
      </c>
      <c r="Y62" s="1">
        <f>Breakout[[#This Row],[Degree change]]+Y61</f>
        <v>3.8209708758254202</v>
      </c>
    </row>
    <row r="63" spans="1:25">
      <c r="A63">
        <v>62</v>
      </c>
      <c r="B63" s="1">
        <v>259.459991</v>
      </c>
      <c r="C63" s="1">
        <v>2079.0200199999999</v>
      </c>
      <c r="D63" s="1">
        <v>18.34</v>
      </c>
      <c r="E63" s="1">
        <v>-1298.5200199999999</v>
      </c>
      <c r="F63" s="1">
        <v>1898.3599850000001</v>
      </c>
      <c r="G63" s="1">
        <v>7.87</v>
      </c>
      <c r="H63" s="1">
        <v>6.9999999999999999E-4</v>
      </c>
      <c r="I63" s="1">
        <v>-8.9999999999999998E-4</v>
      </c>
      <c r="J63" s="1">
        <v>1.4657</v>
      </c>
      <c r="K63" s="1">
        <v>-7.5119999999999996E-3</v>
      </c>
      <c r="L63" s="1">
        <v>4.0540000000000003E-3</v>
      </c>
      <c r="M63" s="1">
        <v>0.88834299999999999</v>
      </c>
      <c r="N63" s="1">
        <v>0.45910200000000001</v>
      </c>
      <c r="O63">
        <v>1</v>
      </c>
      <c r="P63">
        <v>0</v>
      </c>
      <c r="Q63">
        <v>1</v>
      </c>
      <c r="R63">
        <v>1</v>
      </c>
      <c r="S63">
        <v>1</v>
      </c>
      <c r="T63" s="1">
        <f>SQRT(POWER(Breakout[[#This Row],[angvel_X]],2) + POWER(Breakout[[#This Row],[angvel_Y]],2) + POWER(Breakout[[#This Row],[angvel_Z]],2))</f>
        <v>1.465700443474041</v>
      </c>
      <c r="U63" s="1">
        <f>DEGREES(ASIN(MAX(-1,MIN(1,2 * (Breakout[[#This Row],[quart_W]]*Breakout[[#This Row],[quart_Y]] - Breakout[[#This Row],[quart_Z]]*Breakout[[#This Row],[quart_X]])))))</f>
        <v>0.97802137686964052</v>
      </c>
      <c r="V6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-35.339699735045969</v>
      </c>
      <c r="W6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89.982514413240324</v>
      </c>
      <c r="X63" s="1">
        <f>IF(Breakout[[#This Row],[Yaw]]&gt;V62,(360-ABS(Breakout[[#This Row],[Yaw]])-ABS(V62)),ABS(Breakout[[#This Row],[Yaw]]-V62))</f>
        <v>0.67126173759717034</v>
      </c>
      <c r="Y63" s="1">
        <f>Breakout[[#This Row],[Degree change]]+Y62</f>
        <v>4.4922326134225905</v>
      </c>
    </row>
    <row r="64" spans="1:25">
      <c r="A64">
        <v>63</v>
      </c>
      <c r="B64" s="1">
        <v>248.59999099999999</v>
      </c>
      <c r="C64" s="1">
        <v>2094.8999020000001</v>
      </c>
      <c r="D64" s="1">
        <v>18.34</v>
      </c>
      <c r="E64" s="1">
        <v>-1315.3599850000001</v>
      </c>
      <c r="F64" s="1">
        <v>1886.719971</v>
      </c>
      <c r="G64" s="1">
        <v>7.87</v>
      </c>
      <c r="H64" s="1">
        <v>1E-3</v>
      </c>
      <c r="I64" s="1">
        <v>-1.2999999999999999E-3</v>
      </c>
      <c r="J64" s="1">
        <v>1.5193000000000001</v>
      </c>
      <c r="K64" s="1">
        <v>-7.5389999999999997E-3</v>
      </c>
      <c r="L64" s="1">
        <v>4.006E-3</v>
      </c>
      <c r="M64" s="1">
        <v>0.89112899999999995</v>
      </c>
      <c r="N64" s="1">
        <v>0.45366899999999999</v>
      </c>
      <c r="O64">
        <v>1</v>
      </c>
      <c r="P64">
        <v>0</v>
      </c>
      <c r="Q64">
        <v>1</v>
      </c>
      <c r="R64">
        <v>1</v>
      </c>
      <c r="S64">
        <v>1</v>
      </c>
      <c r="T64" s="1">
        <f>SQRT(POWER(Breakout[[#This Row],[angvel_X]],2) + POWER(Breakout[[#This Row],[angvel_Y]],2) + POWER(Breakout[[#This Row],[angvel_Z]],2))</f>
        <v>1.5193008852758563</v>
      </c>
      <c r="U64" s="1">
        <f>DEGREES(ASIN(MAX(-1,MIN(1,2 * (Breakout[[#This Row],[quart_W]]*Breakout[[#This Row],[quart_Y]] - Breakout[[#This Row],[quart_Z]]*Breakout[[#This Row],[quart_X]])))))</f>
        <v>0.97815746512184665</v>
      </c>
      <c r="V6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-36.039314632018737</v>
      </c>
      <c r="W6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89.982848623409623</v>
      </c>
      <c r="X64" s="1">
        <f>IF(Breakout[[#This Row],[Yaw]]&gt;V63,(360-ABS(Breakout[[#This Row],[Yaw]])-ABS(V63)),ABS(Breakout[[#This Row],[Yaw]]-V63))</f>
        <v>0.69961489697276846</v>
      </c>
      <c r="Y64" s="1">
        <f>Breakout[[#This Row],[Degree change]]+Y63</f>
        <v>5.191847510395359</v>
      </c>
    </row>
    <row r="65" spans="1:25">
      <c r="A65">
        <v>64</v>
      </c>
      <c r="B65" s="1">
        <v>237.59999099999999</v>
      </c>
      <c r="C65" s="1">
        <v>2110.679932</v>
      </c>
      <c r="D65" s="1">
        <v>18.34</v>
      </c>
      <c r="E65" s="1">
        <v>-1333.1899410000001</v>
      </c>
      <c r="F65" s="1">
        <v>1874.169922</v>
      </c>
      <c r="G65" s="1">
        <v>7.88</v>
      </c>
      <c r="H65" s="1">
        <v>1.1999999999999999E-3</v>
      </c>
      <c r="I65" s="1">
        <v>-1.6000000000000001E-3</v>
      </c>
      <c r="J65" s="1">
        <v>1.5670999999999999</v>
      </c>
      <c r="K65" s="1">
        <v>-7.5659999999999998E-3</v>
      </c>
      <c r="L65" s="1">
        <v>3.9519999999999998E-3</v>
      </c>
      <c r="M65" s="1">
        <v>0.89398200000000005</v>
      </c>
      <c r="N65" s="1">
        <v>0.448021</v>
      </c>
      <c r="O65">
        <v>1</v>
      </c>
      <c r="P65">
        <v>0</v>
      </c>
      <c r="Q65">
        <v>1</v>
      </c>
      <c r="R65">
        <v>1</v>
      </c>
      <c r="S65">
        <v>1</v>
      </c>
      <c r="T65" s="1">
        <f>SQRT(POWER(Breakout[[#This Row],[angvel_X]],2) + POWER(Breakout[[#This Row],[angvel_Y]],2) + POWER(Breakout[[#This Row],[angvel_Z]],2))</f>
        <v>1.5671012762422216</v>
      </c>
      <c r="U65" s="1">
        <f>DEGREES(ASIN(MAX(-1,MIN(1,2 * (Breakout[[#This Row],[quart_W]]*Breakout[[#This Row],[quart_Y]] - Breakout[[#This Row],[quart_Z]]*Breakout[[#This Row],[quart_X]])))))</f>
        <v>0.97802305931883293</v>
      </c>
      <c r="V6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-36.764442139199893</v>
      </c>
      <c r="W6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89.983577785345304</v>
      </c>
      <c r="X65" s="1">
        <f>IF(Breakout[[#This Row],[Yaw]]&gt;V64,(360-ABS(Breakout[[#This Row],[Yaw]])-ABS(V64)),ABS(Breakout[[#This Row],[Yaw]]-V64))</f>
        <v>0.72512750718115626</v>
      </c>
      <c r="Y65" s="1">
        <f>Breakout[[#This Row],[Degree change]]+Y64</f>
        <v>5.9169750175765152</v>
      </c>
    </row>
    <row r="66" spans="1:25">
      <c r="A66">
        <v>65</v>
      </c>
      <c r="B66" s="1">
        <v>226.449997</v>
      </c>
      <c r="C66" s="1">
        <v>2126.3498540000001</v>
      </c>
      <c r="D66" s="1">
        <v>18.34</v>
      </c>
      <c r="E66" s="1">
        <v>-1351.919922</v>
      </c>
      <c r="F66" s="1">
        <v>1860.709961</v>
      </c>
      <c r="G66" s="1">
        <v>7.88</v>
      </c>
      <c r="H66" s="1">
        <v>1.2999999999999999E-3</v>
      </c>
      <c r="I66" s="1">
        <v>-1.8E-3</v>
      </c>
      <c r="J66" s="1">
        <v>1.6097999999999999</v>
      </c>
      <c r="K66" s="1">
        <v>-7.5929999999999999E-3</v>
      </c>
      <c r="L66" s="1">
        <v>3.8920000000000001E-3</v>
      </c>
      <c r="M66" s="1">
        <v>0.89688900000000005</v>
      </c>
      <c r="N66" s="1">
        <v>0.44217299999999998</v>
      </c>
      <c r="O66">
        <v>1</v>
      </c>
      <c r="P66">
        <v>0</v>
      </c>
      <c r="Q66">
        <v>1</v>
      </c>
      <c r="R66">
        <v>1</v>
      </c>
      <c r="S66">
        <v>1</v>
      </c>
      <c r="T66" s="1">
        <f>SQRT(POWER(Breakout[[#This Row],[angvel_X]],2) + POWER(Breakout[[#This Row],[angvel_Y]],2) + POWER(Breakout[[#This Row],[angvel_Z]],2))</f>
        <v>1.6098015312453891</v>
      </c>
      <c r="U66" s="1">
        <f>DEGREES(ASIN(MAX(-1,MIN(1,2 * (Breakout[[#This Row],[quart_W]]*Breakout[[#This Row],[quart_Y]] - Breakout[[#This Row],[quart_Z]]*Breakout[[#This Row],[quart_X]])))))</f>
        <v>0.977629802773616</v>
      </c>
      <c r="V6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-37.512828458250887</v>
      </c>
      <c r="W6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89.984725884433871</v>
      </c>
      <c r="X66" s="1">
        <f>IF(Breakout[[#This Row],[Yaw]]&gt;V65,(360-ABS(Breakout[[#This Row],[Yaw]])-ABS(V65)),ABS(Breakout[[#This Row],[Yaw]]-V65))</f>
        <v>0.74838631905099362</v>
      </c>
      <c r="Y66" s="1">
        <f>Breakout[[#This Row],[Degree change]]+Y65</f>
        <v>6.6653613366275088</v>
      </c>
    </row>
    <row r="67" spans="1:25">
      <c r="A67">
        <v>66</v>
      </c>
      <c r="B67" s="1">
        <v>215.13999899999999</v>
      </c>
      <c r="C67" s="1">
        <v>2141.9099120000001</v>
      </c>
      <c r="D67" s="1">
        <v>18.34</v>
      </c>
      <c r="E67" s="1">
        <v>-1371.459961</v>
      </c>
      <c r="F67" s="1">
        <v>1846.349976</v>
      </c>
      <c r="G67" s="1">
        <v>7.88</v>
      </c>
      <c r="H67" s="1">
        <v>1.4E-3</v>
      </c>
      <c r="I67" s="1">
        <v>-1.9E-3</v>
      </c>
      <c r="J67" s="1">
        <v>1.6480999999999999</v>
      </c>
      <c r="K67" s="1">
        <v>-7.626E-3</v>
      </c>
      <c r="L67" s="1">
        <v>3.833E-3</v>
      </c>
      <c r="M67" s="1">
        <v>0.89983500000000005</v>
      </c>
      <c r="N67" s="1">
        <v>0.43614700000000001</v>
      </c>
      <c r="O67">
        <v>1</v>
      </c>
      <c r="P67">
        <v>0</v>
      </c>
      <c r="Q67">
        <v>1</v>
      </c>
      <c r="R67">
        <v>1</v>
      </c>
      <c r="S67">
        <v>1</v>
      </c>
      <c r="T67" s="1">
        <f>SQRT(POWER(Breakout[[#This Row],[angvel_X]],2) + POWER(Breakout[[#This Row],[angvel_Y]],2) + POWER(Breakout[[#This Row],[angvel_Z]],2))</f>
        <v>1.6481016898237801</v>
      </c>
      <c r="U67" s="1">
        <f>DEGREES(ASIN(MAX(-1,MIN(1,2 * (Breakout[[#This Row],[quart_W]]*Breakout[[#This Row],[quart_Y]] - Breakout[[#This Row],[quart_Z]]*Breakout[[#This Row],[quart_X]])))))</f>
        <v>0.97795960726095787</v>
      </c>
      <c r="V6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-38.281499595712994</v>
      </c>
      <c r="W6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89.985901977512512</v>
      </c>
      <c r="X67" s="1">
        <f>IF(Breakout[[#This Row],[Yaw]]&gt;V66,(360-ABS(Breakout[[#This Row],[Yaw]])-ABS(V66)),ABS(Breakout[[#This Row],[Yaw]]-V66))</f>
        <v>0.76867113746210691</v>
      </c>
      <c r="Y67" s="1">
        <f>Breakout[[#This Row],[Degree change]]+Y66</f>
        <v>7.4340324740896158</v>
      </c>
    </row>
    <row r="68" spans="1:25">
      <c r="A68">
        <v>67</v>
      </c>
      <c r="B68" s="1">
        <v>203.66999799999999</v>
      </c>
      <c r="C68" s="1">
        <v>2157.3498540000001</v>
      </c>
      <c r="D68" s="1">
        <v>18.34</v>
      </c>
      <c r="E68" s="1">
        <v>-1391.73999</v>
      </c>
      <c r="F68" s="1">
        <v>1831.1099850000001</v>
      </c>
      <c r="G68" s="1">
        <v>7.89</v>
      </c>
      <c r="H68" s="1">
        <v>1.4E-3</v>
      </c>
      <c r="I68" s="1">
        <v>-1.9E-3</v>
      </c>
      <c r="J68" s="1">
        <v>1.6826000000000001</v>
      </c>
      <c r="K68" s="1">
        <v>-7.6579999999999999E-3</v>
      </c>
      <c r="L68" s="1">
        <v>3.774E-3</v>
      </c>
      <c r="M68" s="1">
        <v>0.90280800000000005</v>
      </c>
      <c r="N68" s="1">
        <v>0.42995899999999998</v>
      </c>
      <c r="O68">
        <v>1</v>
      </c>
      <c r="P68">
        <v>0</v>
      </c>
      <c r="Q68">
        <v>1</v>
      </c>
      <c r="R68">
        <v>1</v>
      </c>
      <c r="S68">
        <v>1</v>
      </c>
      <c r="T68" s="1">
        <f>SQRT(POWER(Breakout[[#This Row],[angvel_X]],2) + POWER(Breakout[[#This Row],[angvel_Y]],2) + POWER(Breakout[[#This Row],[angvel_Z]],2))</f>
        <v>1.6826016551756986</v>
      </c>
      <c r="U68" s="1">
        <f>DEGREES(ASIN(MAX(-1,MIN(1,2 * (Breakout[[#This Row],[quart_W]]*Breakout[[#This Row],[quart_Y]] - Breakout[[#This Row],[quart_Z]]*Breakout[[#This Row],[quart_X]])))))</f>
        <v>0.97824335083403446</v>
      </c>
      <c r="V6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-39.068200633663032</v>
      </c>
      <c r="W6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89.98686917416147</v>
      </c>
      <c r="X68" s="1">
        <f>IF(Breakout[[#This Row],[Yaw]]&gt;V67,(360-ABS(Breakout[[#This Row],[Yaw]])-ABS(V67)),ABS(Breakout[[#This Row],[Yaw]]-V67))</f>
        <v>0.78670103795003854</v>
      </c>
      <c r="Y68" s="1">
        <f>Breakout[[#This Row],[Degree change]]+Y67</f>
        <v>8.2207335120396543</v>
      </c>
    </row>
    <row r="69" spans="1:25">
      <c r="A69">
        <v>68</v>
      </c>
      <c r="B69" s="1">
        <v>192.029999</v>
      </c>
      <c r="C69" s="1">
        <v>2172.6599120000001</v>
      </c>
      <c r="D69" s="1">
        <v>18.34</v>
      </c>
      <c r="E69" s="1">
        <v>-1412.669922</v>
      </c>
      <c r="F69" s="1">
        <v>1815.01001</v>
      </c>
      <c r="G69" s="1">
        <v>7.89</v>
      </c>
      <c r="H69" s="1">
        <v>1.4E-3</v>
      </c>
      <c r="I69" s="1">
        <v>-1.8E-3</v>
      </c>
      <c r="J69" s="1">
        <v>1.7137</v>
      </c>
      <c r="K69" s="1">
        <v>-7.6899999999999998E-3</v>
      </c>
      <c r="L69" s="1">
        <v>3.7090000000000001E-3</v>
      </c>
      <c r="M69" s="1">
        <v>0.90580000000000005</v>
      </c>
      <c r="N69" s="1">
        <v>0.42362</v>
      </c>
      <c r="O69">
        <v>1</v>
      </c>
      <c r="P69">
        <v>0</v>
      </c>
      <c r="Q69">
        <v>1</v>
      </c>
      <c r="R69">
        <v>1</v>
      </c>
      <c r="S69">
        <v>1</v>
      </c>
      <c r="T69" s="1">
        <f>SQRT(POWER(Breakout[[#This Row],[angvel_X]],2) + POWER(Breakout[[#This Row],[angvel_Y]],2) + POWER(Breakout[[#This Row],[angvel_Z]],2))</f>
        <v>1.7137015171843666</v>
      </c>
      <c r="U69" s="1">
        <f>DEGREES(ASIN(MAX(-1,MIN(1,2 * (Breakout[[#This Row],[quart_W]]*Breakout[[#This Row],[quart_Y]] - Breakout[[#This Row],[quart_Z]]*Breakout[[#This Row],[quart_X]])))))</f>
        <v>0.9782937383573107</v>
      </c>
      <c r="V6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-39.871487211160726</v>
      </c>
      <c r="W6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89.98831289087353</v>
      </c>
      <c r="X69" s="1">
        <f>IF(Breakout[[#This Row],[Yaw]]&gt;V68,(360-ABS(Breakout[[#This Row],[Yaw]])-ABS(V68)),ABS(Breakout[[#This Row],[Yaw]]-V68))</f>
        <v>0.80328657749769405</v>
      </c>
      <c r="Y69" s="1">
        <f>Breakout[[#This Row],[Degree change]]+Y68</f>
        <v>9.0240200895373484</v>
      </c>
    </row>
    <row r="70" spans="1:25">
      <c r="A70">
        <v>69</v>
      </c>
      <c r="B70" s="1">
        <v>180.209991</v>
      </c>
      <c r="C70" s="1">
        <v>2187.8398440000001</v>
      </c>
      <c r="D70" s="1">
        <v>18.34</v>
      </c>
      <c r="E70" s="1">
        <v>-1434.169922</v>
      </c>
      <c r="F70" s="1">
        <v>1798.0699460000001</v>
      </c>
      <c r="G70" s="1">
        <v>7.89</v>
      </c>
      <c r="H70" s="1">
        <v>1.2999999999999999E-3</v>
      </c>
      <c r="I70" s="1">
        <v>-1.6999999999999999E-3</v>
      </c>
      <c r="J70" s="1">
        <v>1.7418</v>
      </c>
      <c r="K70" s="1">
        <v>-7.7229999999999998E-3</v>
      </c>
      <c r="L70" s="1">
        <v>3.6440000000000001E-3</v>
      </c>
      <c r="M70" s="1">
        <v>0.908802</v>
      </c>
      <c r="N70" s="1">
        <v>0.41714099999999998</v>
      </c>
      <c r="O70">
        <v>1</v>
      </c>
      <c r="P70">
        <v>0</v>
      </c>
      <c r="Q70">
        <v>1</v>
      </c>
      <c r="R70">
        <v>1</v>
      </c>
      <c r="S70">
        <v>1</v>
      </c>
      <c r="T70" s="1">
        <f>SQRT(POWER(Breakout[[#This Row],[angvel_X]],2) + POWER(Breakout[[#This Row],[angvel_Y]],2) + POWER(Breakout[[#This Row],[angvel_Z]],2))</f>
        <v>1.7418013147313904</v>
      </c>
      <c r="U70" s="1">
        <f>DEGREES(ASIN(MAX(-1,MIN(1,2 * (Breakout[[#This Row],[quart_W]]*Breakout[[#This Row],[quart_Y]] - Breakout[[#This Row],[quart_Z]]*Breakout[[#This Row],[quart_X]])))))</f>
        <v>0.97851505494667179</v>
      </c>
      <c r="V7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-40.689777080217127</v>
      </c>
      <c r="W7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89.989674419786297</v>
      </c>
      <c r="X70" s="1">
        <f>IF(Breakout[[#This Row],[Yaw]]&gt;V69,(360-ABS(Breakout[[#This Row],[Yaw]])-ABS(V69)),ABS(Breakout[[#This Row],[Yaw]]-V69))</f>
        <v>0.81828986905640022</v>
      </c>
      <c r="Y70" s="1">
        <f>Breakout[[#This Row],[Degree change]]+Y69</f>
        <v>9.8423099585937486</v>
      </c>
    </row>
    <row r="71" spans="1:25">
      <c r="A71">
        <v>70</v>
      </c>
      <c r="B71" s="1">
        <v>168.209991</v>
      </c>
      <c r="C71" s="1">
        <v>2202.8798830000001</v>
      </c>
      <c r="D71" s="1">
        <v>18.34</v>
      </c>
      <c r="E71" s="1">
        <v>-1456.169922</v>
      </c>
      <c r="F71" s="1">
        <v>1780.299927</v>
      </c>
      <c r="G71" s="1">
        <v>7.89</v>
      </c>
      <c r="H71" s="1">
        <v>1.1999999999999999E-3</v>
      </c>
      <c r="I71" s="1">
        <v>-1.5E-3</v>
      </c>
      <c r="J71" s="1">
        <v>1.7673000000000001</v>
      </c>
      <c r="K71" s="1">
        <v>-7.7549999999999997E-3</v>
      </c>
      <c r="L71" s="1">
        <v>3.5790000000000001E-3</v>
      </c>
      <c r="M71" s="1">
        <v>0.91180600000000001</v>
      </c>
      <c r="N71" s="1">
        <v>0.41053200000000001</v>
      </c>
      <c r="O71">
        <v>1</v>
      </c>
      <c r="P71">
        <v>0</v>
      </c>
      <c r="Q71">
        <v>1</v>
      </c>
      <c r="R71">
        <v>1</v>
      </c>
      <c r="S71">
        <v>1</v>
      </c>
      <c r="T71" s="1">
        <f>SQRT(POWER(Breakout[[#This Row],[angvel_X]],2) + POWER(Breakout[[#This Row],[angvel_Y]],2) + POWER(Breakout[[#This Row],[angvel_Z]],2))</f>
        <v>1.7673010439650625</v>
      </c>
      <c r="U71" s="1">
        <f>DEGREES(ASIN(MAX(-1,MIN(1,2 * (Breakout[[#This Row],[quart_W]]*Breakout[[#This Row],[quart_Y]] - Breakout[[#This Row],[quart_Z]]*Breakout[[#This Row],[quart_X]])))))</f>
        <v>0.97869956372641398</v>
      </c>
      <c r="V7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-41.521655147707172</v>
      </c>
      <c r="W7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89.990868239922563</v>
      </c>
      <c r="X71" s="1">
        <f>IF(Breakout[[#This Row],[Yaw]]&gt;V70,(360-ABS(Breakout[[#This Row],[Yaw]])-ABS(V70)),ABS(Breakout[[#This Row],[Yaw]]-V70))</f>
        <v>0.83187806749004523</v>
      </c>
      <c r="Y71" s="1">
        <f>Breakout[[#This Row],[Degree change]]+Y70</f>
        <v>10.674188026083794</v>
      </c>
    </row>
    <row r="72" spans="1:25">
      <c r="A72">
        <v>71</v>
      </c>
      <c r="B72" s="1">
        <v>156.029999</v>
      </c>
      <c r="C72" s="1">
        <v>2217.7700199999999</v>
      </c>
      <c r="D72" s="1">
        <v>18.34</v>
      </c>
      <c r="E72" s="1">
        <v>-1478.589966</v>
      </c>
      <c r="F72" s="1">
        <v>1761.7299800000001</v>
      </c>
      <c r="G72" s="1">
        <v>7.89</v>
      </c>
      <c r="H72" s="1">
        <v>1.1000000000000001E-3</v>
      </c>
      <c r="I72" s="1">
        <v>-1.2999999999999999E-3</v>
      </c>
      <c r="J72" s="1">
        <v>1.7905</v>
      </c>
      <c r="K72" s="1">
        <v>-7.7869999999999997E-3</v>
      </c>
      <c r="L72" s="1">
        <v>3.5149999999999999E-3</v>
      </c>
      <c r="M72" s="1">
        <v>0.91480499999999998</v>
      </c>
      <c r="N72" s="1">
        <v>0.40380500000000003</v>
      </c>
      <c r="O72">
        <v>1</v>
      </c>
      <c r="P72">
        <v>0</v>
      </c>
      <c r="Q72">
        <v>1</v>
      </c>
      <c r="R72">
        <v>1</v>
      </c>
      <c r="S72">
        <v>1</v>
      </c>
      <c r="T72" s="1">
        <f>SQRT(POWER(Breakout[[#This Row],[angvel_X]],2) + POWER(Breakout[[#This Row],[angvel_Y]],2) + POWER(Breakout[[#This Row],[angvel_Z]],2))</f>
        <v>1.7905008098294735</v>
      </c>
      <c r="U72" s="1">
        <f>DEGREES(ASIN(MAX(-1,MIN(1,2 * (Breakout[[#This Row],[quart_W]]*Breakout[[#This Row],[quart_Y]] - Breakout[[#This Row],[quart_Z]]*Breakout[[#This Row],[quart_X]])))))</f>
        <v>0.97899886921934265</v>
      </c>
      <c r="V7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-42.365672568170261</v>
      </c>
      <c r="W7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89.991850199958847</v>
      </c>
      <c r="X72" s="1">
        <f>IF(Breakout[[#This Row],[Yaw]]&gt;V71,(360-ABS(Breakout[[#This Row],[Yaw]])-ABS(V71)),ABS(Breakout[[#This Row],[Yaw]]-V71))</f>
        <v>0.84401742046308925</v>
      </c>
      <c r="Y72" s="1">
        <f>Breakout[[#This Row],[Degree change]]+Y71</f>
        <v>11.518205446546883</v>
      </c>
    </row>
    <row r="73" spans="1:25">
      <c r="A73">
        <v>72</v>
      </c>
      <c r="B73" s="1">
        <v>143.66000399999999</v>
      </c>
      <c r="C73" s="1">
        <v>2232.5</v>
      </c>
      <c r="D73" s="1">
        <v>18.34</v>
      </c>
      <c r="E73" s="1">
        <v>-1501.3599850000001</v>
      </c>
      <c r="F73" s="1">
        <v>1742.369995</v>
      </c>
      <c r="G73" s="1">
        <v>7.89</v>
      </c>
      <c r="H73" s="1">
        <v>1E-3</v>
      </c>
      <c r="I73" s="1">
        <v>-1.1000000000000001E-3</v>
      </c>
      <c r="J73" s="1">
        <v>1.8116000000000001</v>
      </c>
      <c r="K73" s="1">
        <v>-7.8139999999999998E-3</v>
      </c>
      <c r="L73" s="1">
        <v>3.4499999999999999E-3</v>
      </c>
      <c r="M73" s="1">
        <v>0.91779200000000005</v>
      </c>
      <c r="N73" s="1">
        <v>0.39696900000000002</v>
      </c>
      <c r="O73">
        <v>1</v>
      </c>
      <c r="P73">
        <v>0</v>
      </c>
      <c r="Q73">
        <v>1</v>
      </c>
      <c r="R73">
        <v>1</v>
      </c>
      <c r="S73">
        <v>1</v>
      </c>
      <c r="T73" s="1">
        <f>SQRT(POWER(Breakout[[#This Row],[angvel_X]],2) + POWER(Breakout[[#This Row],[angvel_Y]],2) + POWER(Breakout[[#This Row],[angvel_Z]],2))</f>
        <v>1.8116006099579456</v>
      </c>
      <c r="U73" s="1">
        <f>DEGREES(ASIN(MAX(-1,MIN(1,2 * (Breakout[[#This Row],[quart_W]]*Breakout[[#This Row],[quart_Y]] - Breakout[[#This Row],[quart_Z]]*Breakout[[#This Row],[quart_X]])))))</f>
        <v>0.97879356314579224</v>
      </c>
      <c r="V7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-43.220557400161908</v>
      </c>
      <c r="W7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89.992611589812711</v>
      </c>
      <c r="X73" s="1">
        <f>IF(Breakout[[#This Row],[Yaw]]&gt;V72,(360-ABS(Breakout[[#This Row],[Yaw]])-ABS(V72)),ABS(Breakout[[#This Row],[Yaw]]-V72))</f>
        <v>0.85488483199164733</v>
      </c>
      <c r="Y73" s="1">
        <f>Breakout[[#This Row],[Degree change]]+Y72</f>
        <v>12.37309027853853</v>
      </c>
    </row>
    <row r="74" spans="1:25">
      <c r="A74">
        <v>73</v>
      </c>
      <c r="B74" s="1">
        <v>131.09999099999999</v>
      </c>
      <c r="C74" s="1">
        <v>2247.070068</v>
      </c>
      <c r="D74" s="1">
        <v>18.34</v>
      </c>
      <c r="E74" s="1">
        <v>-1524.4099120000001</v>
      </c>
      <c r="F74" s="1">
        <v>1722.2299800000001</v>
      </c>
      <c r="G74" s="1">
        <v>7.9</v>
      </c>
      <c r="H74" s="1">
        <v>8.9999999999999998E-4</v>
      </c>
      <c r="I74" s="1">
        <v>-8.9999999999999998E-4</v>
      </c>
      <c r="J74" s="1">
        <v>1.8309</v>
      </c>
      <c r="K74" s="1">
        <v>-7.8410000000000007E-3</v>
      </c>
      <c r="L74" s="1">
        <v>3.385E-3</v>
      </c>
      <c r="M74" s="1">
        <v>0.92076199999999997</v>
      </c>
      <c r="N74" s="1">
        <v>0.39003199999999999</v>
      </c>
      <c r="O74">
        <v>1</v>
      </c>
      <c r="P74">
        <v>0</v>
      </c>
      <c r="Q74">
        <v>1</v>
      </c>
      <c r="R74">
        <v>1</v>
      </c>
      <c r="S74">
        <v>1</v>
      </c>
      <c r="T74" s="1">
        <f>SQRT(POWER(Breakout[[#This Row],[angvel_X]],2) + POWER(Breakout[[#This Row],[angvel_Y]],2) + POWER(Breakout[[#This Row],[angvel_Z]],2))</f>
        <v>1.8309004424053208</v>
      </c>
      <c r="U74" s="1">
        <f>DEGREES(ASIN(MAX(-1,MIN(1,2 * (Breakout[[#This Row],[quart_W]]*Breakout[[#This Row],[quart_Y]] - Breakout[[#This Row],[quart_Z]]*Breakout[[#This Row],[quart_X]])))))</f>
        <v>0.97865413346346053</v>
      </c>
      <c r="V7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-44.085342627920703</v>
      </c>
      <c r="W7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89.993291008164348</v>
      </c>
      <c r="X74" s="1">
        <f>IF(Breakout[[#This Row],[Yaw]]&gt;V73,(360-ABS(Breakout[[#This Row],[Yaw]])-ABS(V73)),ABS(Breakout[[#This Row],[Yaw]]-V73))</f>
        <v>0.86478522775879441</v>
      </c>
      <c r="Y74" s="1">
        <f>Breakout[[#This Row],[Degree change]]+Y73</f>
        <v>13.237875506297325</v>
      </c>
    </row>
    <row r="75" spans="1:25">
      <c r="A75">
        <v>74</v>
      </c>
      <c r="B75" s="1">
        <v>118.349998</v>
      </c>
      <c r="C75" s="1">
        <v>2261.469971</v>
      </c>
      <c r="D75" s="1">
        <v>18.34</v>
      </c>
      <c r="E75" s="1">
        <v>-1547.679932</v>
      </c>
      <c r="F75" s="1">
        <v>1701.349976</v>
      </c>
      <c r="G75" s="1">
        <v>7.9</v>
      </c>
      <c r="H75" s="1">
        <v>8.9999999999999998E-4</v>
      </c>
      <c r="I75" s="1">
        <v>-8.0000000000000004E-4</v>
      </c>
      <c r="J75" s="1">
        <v>1.8485</v>
      </c>
      <c r="K75" s="1">
        <v>-7.868E-3</v>
      </c>
      <c r="L75" s="1">
        <v>3.3210000000000002E-3</v>
      </c>
      <c r="M75" s="1">
        <v>0.92371000000000003</v>
      </c>
      <c r="N75" s="1">
        <v>0.38299699999999998</v>
      </c>
      <c r="O75">
        <v>1</v>
      </c>
      <c r="P75">
        <v>0</v>
      </c>
      <c r="Q75">
        <v>1</v>
      </c>
      <c r="R75">
        <v>1</v>
      </c>
      <c r="S75">
        <v>1</v>
      </c>
      <c r="T75" s="1">
        <f>SQRT(POWER(Breakout[[#This Row],[angvel_X]],2) + POWER(Breakout[[#This Row],[angvel_Y]],2) + POWER(Breakout[[#This Row],[angvel_Z]],2))</f>
        <v>1.8485003922098584</v>
      </c>
      <c r="U75" s="1">
        <f>DEGREES(ASIN(MAX(-1,MIN(1,2 * (Breakout[[#This Row],[quart_W]]*Breakout[[#This Row],[quart_Y]] - Breakout[[#This Row],[quart_Z]]*Breakout[[#This Row],[quart_X]])))))</f>
        <v>0.97862320699304439</v>
      </c>
      <c r="V7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-44.9594120803038</v>
      </c>
      <c r="W7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89.99378588034692</v>
      </c>
      <c r="X75" s="1">
        <f>IF(Breakout[[#This Row],[Yaw]]&gt;V74,(360-ABS(Breakout[[#This Row],[Yaw]])-ABS(V74)),ABS(Breakout[[#This Row],[Yaw]]-V74))</f>
        <v>0.87406945238309675</v>
      </c>
      <c r="Y75" s="1">
        <f>Breakout[[#This Row],[Degree change]]+Y74</f>
        <v>14.111944958680422</v>
      </c>
    </row>
    <row r="76" spans="1:25">
      <c r="A76">
        <v>75</v>
      </c>
      <c r="B76" s="1">
        <v>105.39999400000001</v>
      </c>
      <c r="C76" s="1">
        <v>2275.6999510000001</v>
      </c>
      <c r="D76" s="1">
        <v>18.34</v>
      </c>
      <c r="E76" s="1">
        <v>-1571.1099850000001</v>
      </c>
      <c r="F76" s="1">
        <v>1679.73999</v>
      </c>
      <c r="G76" s="1">
        <v>7.9</v>
      </c>
      <c r="H76" s="1">
        <v>8.0000000000000004E-4</v>
      </c>
      <c r="I76" s="1">
        <v>-6.9999999999999999E-4</v>
      </c>
      <c r="J76" s="1">
        <v>1.8646</v>
      </c>
      <c r="K76" s="1">
        <v>-7.8949999999999992E-3</v>
      </c>
      <c r="L76" s="1">
        <v>3.2560000000000002E-3</v>
      </c>
      <c r="M76" s="1">
        <v>0.92663300000000004</v>
      </c>
      <c r="N76" s="1">
        <v>0.37586999999999998</v>
      </c>
      <c r="O76">
        <v>1</v>
      </c>
      <c r="P76">
        <v>0</v>
      </c>
      <c r="Q76">
        <v>1</v>
      </c>
      <c r="R76">
        <v>1</v>
      </c>
      <c r="S76">
        <v>1</v>
      </c>
      <c r="T76" s="1">
        <f>SQRT(POWER(Breakout[[#This Row],[angvel_X]],2) + POWER(Breakout[[#This Row],[angvel_Y]],2) + POWER(Breakout[[#This Row],[angvel_Z]],2))</f>
        <v>1.8646003030140266</v>
      </c>
      <c r="U76" s="1">
        <f>DEGREES(ASIN(MAX(-1,MIN(1,2 * (Breakout[[#This Row],[quart_W]]*Breakout[[#This Row],[quart_Y]] - Breakout[[#This Row],[quart_Z]]*Breakout[[#This Row],[quart_X]])))))</f>
        <v>0.97861368740042542</v>
      </c>
      <c r="V7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-45.842158891150973</v>
      </c>
      <c r="W7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89.994312747905965</v>
      </c>
      <c r="X76" s="1">
        <f>IF(Breakout[[#This Row],[Yaw]]&gt;V75,(360-ABS(Breakout[[#This Row],[Yaw]])-ABS(V75)),ABS(Breakout[[#This Row],[Yaw]]-V75))</f>
        <v>0.88274681084717344</v>
      </c>
      <c r="Y76" s="1">
        <f>Breakout[[#This Row],[Degree change]]+Y75</f>
        <v>14.994691769527595</v>
      </c>
    </row>
    <row r="77" spans="1:25">
      <c r="A77">
        <v>76</v>
      </c>
      <c r="B77" s="1">
        <v>92.259995000000004</v>
      </c>
      <c r="C77" s="1">
        <v>2289.75</v>
      </c>
      <c r="D77" s="1">
        <v>18.34</v>
      </c>
      <c r="E77" s="1">
        <v>-1594.650024</v>
      </c>
      <c r="F77" s="1">
        <v>1657.4099120000001</v>
      </c>
      <c r="G77" s="1">
        <v>7.9</v>
      </c>
      <c r="H77" s="1">
        <v>6.9999999999999999E-4</v>
      </c>
      <c r="I77" s="1">
        <v>-5.9999999999999995E-4</v>
      </c>
      <c r="J77" s="1">
        <v>1.8793</v>
      </c>
      <c r="K77" s="1">
        <v>-7.9220000000000002E-3</v>
      </c>
      <c r="L77" s="1">
        <v>3.1909999999999998E-3</v>
      </c>
      <c r="M77" s="1">
        <v>0.92952599999999996</v>
      </c>
      <c r="N77" s="1">
        <v>0.36865799999999999</v>
      </c>
      <c r="O77">
        <v>1</v>
      </c>
      <c r="P77">
        <v>0</v>
      </c>
      <c r="Q77">
        <v>1</v>
      </c>
      <c r="R77">
        <v>1</v>
      </c>
      <c r="S77">
        <v>1</v>
      </c>
      <c r="T77" s="1">
        <f>SQRT(POWER(Breakout[[#This Row],[angvel_X]],2) + POWER(Breakout[[#This Row],[angvel_Y]],2) + POWER(Breakout[[#This Row],[angvel_Z]],2))</f>
        <v>1.8793002261480203</v>
      </c>
      <c r="U77" s="1">
        <f>DEGREES(ASIN(MAX(-1,MIN(1,2 * (Breakout[[#This Row],[quart_W]]*Breakout[[#This Row],[quart_Y]] - Breakout[[#This Row],[quart_Z]]*Breakout[[#This Row],[quart_X]])))))</f>
        <v>0.97867011994286779</v>
      </c>
      <c r="V7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-46.732649474132202</v>
      </c>
      <c r="W7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89.994772855121298</v>
      </c>
      <c r="X77" s="1">
        <f>IF(Breakout[[#This Row],[Yaw]]&gt;V76,(360-ABS(Breakout[[#This Row],[Yaw]])-ABS(V76)),ABS(Breakout[[#This Row],[Yaw]]-V76))</f>
        <v>0.8904905829812293</v>
      </c>
      <c r="Y77" s="1">
        <f>Breakout[[#This Row],[Degree change]]+Y76</f>
        <v>15.885182352508824</v>
      </c>
    </row>
    <row r="78" spans="1:25">
      <c r="A78">
        <v>77</v>
      </c>
      <c r="B78" s="1">
        <v>78.919998000000007</v>
      </c>
      <c r="C78" s="1">
        <v>2303.6098630000001</v>
      </c>
      <c r="D78" s="1">
        <v>18.34</v>
      </c>
      <c r="E78" s="1">
        <v>-1618.23999</v>
      </c>
      <c r="F78" s="1">
        <v>1634.380005</v>
      </c>
      <c r="G78" s="1">
        <v>7.9</v>
      </c>
      <c r="H78" s="1">
        <v>6.9999999999999999E-4</v>
      </c>
      <c r="I78" s="1">
        <v>-5.0000000000000001E-4</v>
      </c>
      <c r="J78" s="1">
        <v>1.8928</v>
      </c>
      <c r="K78" s="1">
        <v>-7.9489999999999995E-3</v>
      </c>
      <c r="L78" s="1">
        <v>3.1259999999999999E-3</v>
      </c>
      <c r="M78" s="1">
        <v>0.93238399999999999</v>
      </c>
      <c r="N78" s="1">
        <v>0.361369</v>
      </c>
      <c r="O78">
        <v>1</v>
      </c>
      <c r="P78">
        <v>0</v>
      </c>
      <c r="Q78">
        <v>1</v>
      </c>
      <c r="R78">
        <v>1</v>
      </c>
      <c r="S78">
        <v>1</v>
      </c>
      <c r="T78" s="1">
        <f>SQRT(POWER(Breakout[[#This Row],[angvel_X]],2) + POWER(Breakout[[#This Row],[angvel_Y]],2) + POWER(Breakout[[#This Row],[angvel_Z]],2))</f>
        <v>1.8928001954775893</v>
      </c>
      <c r="U78" s="1">
        <f>DEGREES(ASIN(MAX(-1,MIN(1,2 * (Breakout[[#This Row],[quart_W]]*Breakout[[#This Row],[quart_Y]] - Breakout[[#This Row],[quart_Z]]*Breakout[[#This Row],[quart_X]])))))</f>
        <v>0.97879243677559724</v>
      </c>
      <c r="V7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-47.629857928303963</v>
      </c>
      <c r="W7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89.995173821977531</v>
      </c>
      <c r="X78" s="1">
        <f>IF(Breakout[[#This Row],[Yaw]]&gt;V77,(360-ABS(Breakout[[#This Row],[Yaw]])-ABS(V77)),ABS(Breakout[[#This Row],[Yaw]]-V77))</f>
        <v>0.89720845417176065</v>
      </c>
      <c r="Y78" s="1">
        <f>Breakout[[#This Row],[Degree change]]+Y77</f>
        <v>16.782390806680585</v>
      </c>
    </row>
    <row r="79" spans="1:25">
      <c r="A79">
        <v>78</v>
      </c>
      <c r="B79" s="1">
        <v>65.379997000000003</v>
      </c>
      <c r="C79" s="1">
        <v>2317.280029</v>
      </c>
      <c r="D79" s="1">
        <v>18.34</v>
      </c>
      <c r="E79" s="1">
        <v>-1641.839966</v>
      </c>
      <c r="F79" s="1">
        <v>1610.669922</v>
      </c>
      <c r="G79" s="1">
        <v>7.9</v>
      </c>
      <c r="H79" s="1">
        <v>6.9999999999999999E-4</v>
      </c>
      <c r="I79" s="1">
        <v>-4.0000000000000002E-4</v>
      </c>
      <c r="J79" s="1">
        <v>1.9052</v>
      </c>
      <c r="K79" s="1">
        <v>-7.9760000000000005E-3</v>
      </c>
      <c r="L79" s="1">
        <v>3.0620000000000001E-3</v>
      </c>
      <c r="M79" s="1">
        <v>0.93520400000000004</v>
      </c>
      <c r="N79" s="1">
        <v>0.35400500000000001</v>
      </c>
      <c r="O79">
        <v>1</v>
      </c>
      <c r="P79">
        <v>0</v>
      </c>
      <c r="Q79">
        <v>1</v>
      </c>
      <c r="R79">
        <v>1</v>
      </c>
      <c r="S79">
        <v>1</v>
      </c>
      <c r="T79" s="1">
        <f>SQRT(POWER(Breakout[[#This Row],[angvel_X]],2) + POWER(Breakout[[#This Row],[angvel_Y]],2) + POWER(Breakout[[#This Row],[angvel_Z]],2))</f>
        <v>1.9052001705857577</v>
      </c>
      <c r="U79" s="1">
        <f>DEGREES(ASIN(MAX(-1,MIN(1,2 * (Breakout[[#This Row],[quart_W]]*Breakout[[#This Row],[quart_Y]] - Breakout[[#This Row],[quart_Z]]*Breakout[[#This Row],[quart_X]])))))</f>
        <v>0.97902056502694856</v>
      </c>
      <c r="V7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-48.533448793215356</v>
      </c>
      <c r="W7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89.995409849972191</v>
      </c>
      <c r="X79" s="1">
        <f>IF(Breakout[[#This Row],[Yaw]]&gt;V78,(360-ABS(Breakout[[#This Row],[Yaw]])-ABS(V78)),ABS(Breakout[[#This Row],[Yaw]]-V78))</f>
        <v>0.90359086491139351</v>
      </c>
      <c r="Y79" s="1">
        <f>Breakout[[#This Row],[Degree change]]+Y78</f>
        <v>17.685981671591978</v>
      </c>
    </row>
    <row r="80" spans="1:25">
      <c r="A80">
        <v>79</v>
      </c>
      <c r="B80" s="1">
        <v>51.649997999999997</v>
      </c>
      <c r="C80" s="1">
        <v>2330.75</v>
      </c>
      <c r="D80" s="1">
        <v>18.34</v>
      </c>
      <c r="E80" s="1">
        <v>-1665.3999020000001</v>
      </c>
      <c r="F80" s="1">
        <v>1586.299927</v>
      </c>
      <c r="G80" s="1">
        <v>7.9</v>
      </c>
      <c r="H80" s="1">
        <v>6.9999999999999999E-4</v>
      </c>
      <c r="I80" s="1">
        <v>-2.9999999999999997E-4</v>
      </c>
      <c r="J80" s="1">
        <v>1.9166000000000001</v>
      </c>
      <c r="K80" s="1">
        <v>-8.0029999999999997E-3</v>
      </c>
      <c r="L80" s="1">
        <v>2.9970000000000001E-3</v>
      </c>
      <c r="M80" s="1">
        <v>0.93798499999999996</v>
      </c>
      <c r="N80" s="1">
        <v>0.34657100000000002</v>
      </c>
      <c r="O80">
        <v>1</v>
      </c>
      <c r="P80">
        <v>0</v>
      </c>
      <c r="Q80">
        <v>1</v>
      </c>
      <c r="R80">
        <v>1</v>
      </c>
      <c r="S80">
        <v>1</v>
      </c>
      <c r="T80" s="1">
        <f>SQRT(POWER(Breakout[[#This Row],[angvel_X]],2) + POWER(Breakout[[#This Row],[angvel_Y]],2) + POWER(Breakout[[#This Row],[angvel_Z]],2))</f>
        <v>1.9166001513096049</v>
      </c>
      <c r="U80" s="1">
        <f>DEGREES(ASIN(MAX(-1,MIN(1,2 * (Breakout[[#This Row],[quart_W]]*Breakout[[#This Row],[quart_Y]] - Breakout[[#This Row],[quart_Z]]*Breakout[[#This Row],[quart_X]])))))</f>
        <v>0.97927463190224895</v>
      </c>
      <c r="V8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-49.443061088093565</v>
      </c>
      <c r="W8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89.995698368682326</v>
      </c>
      <c r="X80" s="1">
        <f>IF(Breakout[[#This Row],[Yaw]]&gt;V79,(360-ABS(Breakout[[#This Row],[Yaw]])-ABS(V79)),ABS(Breakout[[#This Row],[Yaw]]-V79))</f>
        <v>0.90961229487820816</v>
      </c>
      <c r="Y80" s="1">
        <f>Breakout[[#This Row],[Degree change]]+Y79</f>
        <v>18.595593966470187</v>
      </c>
    </row>
    <row r="81" spans="1:25">
      <c r="A81">
        <v>80</v>
      </c>
      <c r="B81" s="1">
        <v>37.719996999999999</v>
      </c>
      <c r="C81" s="1">
        <v>2344.01001</v>
      </c>
      <c r="D81" s="1">
        <v>18.34</v>
      </c>
      <c r="E81" s="1">
        <v>-1688.880005</v>
      </c>
      <c r="F81" s="1">
        <v>1561.2799070000001</v>
      </c>
      <c r="G81" s="1">
        <v>7.9</v>
      </c>
      <c r="H81" s="1">
        <v>6.9999999999999999E-4</v>
      </c>
      <c r="I81" s="1">
        <v>-2.0000000000000001E-4</v>
      </c>
      <c r="J81" s="1">
        <v>1.9271</v>
      </c>
      <c r="K81" s="1">
        <v>-8.0249999999999991E-3</v>
      </c>
      <c r="L81" s="1">
        <v>2.9320000000000001E-3</v>
      </c>
      <c r="M81" s="1">
        <v>0.94072100000000003</v>
      </c>
      <c r="N81" s="1">
        <v>0.33907199999999998</v>
      </c>
      <c r="O81">
        <v>1</v>
      </c>
      <c r="P81">
        <v>0</v>
      </c>
      <c r="Q81">
        <v>1</v>
      </c>
      <c r="R81">
        <v>1</v>
      </c>
      <c r="S81">
        <v>1</v>
      </c>
      <c r="T81" s="1">
        <f>SQRT(POWER(Breakout[[#This Row],[angvel_X]],2) + POWER(Breakout[[#This Row],[angvel_Y]],2) + POWER(Breakout[[#This Row],[angvel_Z]],2))</f>
        <v>1.9271001375123193</v>
      </c>
      <c r="U81" s="1">
        <f>DEGREES(ASIN(MAX(-1,MIN(1,2 * (Breakout[[#This Row],[quart_W]]*Breakout[[#This Row],[quart_Y]] - Breakout[[#This Row],[quart_Z]]*Breakout[[#This Row],[quart_X]])))))</f>
        <v>0.97905434180922202</v>
      </c>
      <c r="V8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-50.357770451459317</v>
      </c>
      <c r="W8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89.995743313751532</v>
      </c>
      <c r="X81" s="1">
        <f>IF(Breakout[[#This Row],[Yaw]]&gt;V80,(360-ABS(Breakout[[#This Row],[Yaw]])-ABS(V80)),ABS(Breakout[[#This Row],[Yaw]]-V80))</f>
        <v>0.91470936336575193</v>
      </c>
      <c r="Y81" s="1">
        <f>Breakout[[#This Row],[Degree change]]+Y80</f>
        <v>19.510303329835939</v>
      </c>
    </row>
    <row r="82" spans="1:25">
      <c r="A82">
        <v>81</v>
      </c>
      <c r="B82" s="1">
        <v>23.59</v>
      </c>
      <c r="C82" s="1">
        <v>2357.0600589999999</v>
      </c>
      <c r="D82" s="1">
        <v>18.34</v>
      </c>
      <c r="E82" s="1">
        <v>-1712.23999</v>
      </c>
      <c r="F82" s="1">
        <v>1535.630005</v>
      </c>
      <c r="G82" s="1">
        <v>7.91</v>
      </c>
      <c r="H82" s="1">
        <v>6.9999999999999999E-4</v>
      </c>
      <c r="I82" s="1">
        <v>-2.0000000000000001E-4</v>
      </c>
      <c r="J82" s="1">
        <v>1.9367000000000001</v>
      </c>
      <c r="K82" s="1">
        <v>-8.0459999999999993E-3</v>
      </c>
      <c r="L82" s="1">
        <v>2.862E-3</v>
      </c>
      <c r="M82" s="1">
        <v>0.94341299999999995</v>
      </c>
      <c r="N82" s="1">
        <v>0.331509</v>
      </c>
      <c r="O82">
        <v>1</v>
      </c>
      <c r="P82">
        <v>0</v>
      </c>
      <c r="Q82">
        <v>1</v>
      </c>
      <c r="R82">
        <v>1</v>
      </c>
      <c r="S82">
        <v>1</v>
      </c>
      <c r="T82" s="1">
        <f>SQRT(POWER(Breakout[[#This Row],[angvel_X]],2) + POWER(Breakout[[#This Row],[angvel_Y]],2) + POWER(Breakout[[#This Row],[angvel_Z]],2))</f>
        <v>1.9367001368306866</v>
      </c>
      <c r="U82" s="1">
        <f>DEGREES(ASIN(MAX(-1,MIN(1,2 * (Breakout[[#This Row],[quart_W]]*Breakout[[#This Row],[quart_Y]] - Breakout[[#This Row],[quart_Z]]*Breakout[[#This Row],[quart_X]])))))</f>
        <v>0.97859987721782671</v>
      </c>
      <c r="V8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-51.277738342065149</v>
      </c>
      <c r="W8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89.996249261730085</v>
      </c>
      <c r="X82" s="1">
        <f>IF(Breakout[[#This Row],[Yaw]]&gt;V81,(360-ABS(Breakout[[#This Row],[Yaw]])-ABS(V81)),ABS(Breakout[[#This Row],[Yaw]]-V81))</f>
        <v>0.91996789060583239</v>
      </c>
      <c r="Y82" s="1">
        <f>Breakout[[#This Row],[Degree change]]+Y81</f>
        <v>20.430271220441771</v>
      </c>
    </row>
    <row r="83" spans="1:25">
      <c r="A83">
        <v>82</v>
      </c>
      <c r="B83" s="1">
        <v>9.27</v>
      </c>
      <c r="C83" s="1">
        <v>2369.8999020000001</v>
      </c>
      <c r="D83" s="1">
        <v>18.34</v>
      </c>
      <c r="E83" s="1">
        <v>-1735.4399410000001</v>
      </c>
      <c r="F83" s="1">
        <v>1509.3599850000001</v>
      </c>
      <c r="G83" s="1">
        <v>7.91</v>
      </c>
      <c r="H83" s="1">
        <v>5.9999999999999995E-4</v>
      </c>
      <c r="I83" s="1">
        <v>-2.0000000000000001E-4</v>
      </c>
      <c r="J83" s="1">
        <v>1.9456</v>
      </c>
      <c r="K83" s="1">
        <v>-8.0680000000000005E-3</v>
      </c>
      <c r="L83" s="1">
        <v>2.7920000000000002E-3</v>
      </c>
      <c r="M83" s="1">
        <v>0.94605799999999995</v>
      </c>
      <c r="N83" s="1">
        <v>0.32388600000000001</v>
      </c>
      <c r="O83">
        <v>1</v>
      </c>
      <c r="P83">
        <v>0</v>
      </c>
      <c r="Q83">
        <v>1</v>
      </c>
      <c r="R83">
        <v>1</v>
      </c>
      <c r="S83">
        <v>1</v>
      </c>
      <c r="T83" s="1">
        <f>SQRT(POWER(Breakout[[#This Row],[angvel_X]],2) + POWER(Breakout[[#This Row],[angvel_Y]],2) + POWER(Breakout[[#This Row],[angvel_Z]],2))</f>
        <v>1.9456001027960499</v>
      </c>
      <c r="U83" s="1">
        <f>DEGREES(ASIN(MAX(-1,MIN(1,2 * (Breakout[[#This Row],[quart_W]]*Breakout[[#This Row],[quart_Y]] - Breakout[[#This Row],[quart_Z]]*Breakout[[#This Row],[quart_X]])))))</f>
        <v>0.97832549355706078</v>
      </c>
      <c r="V8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-52.202445383633723</v>
      </c>
      <c r="W8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89.996758684778399</v>
      </c>
      <c r="X83" s="1">
        <f>IF(Breakout[[#This Row],[Yaw]]&gt;V82,(360-ABS(Breakout[[#This Row],[Yaw]])-ABS(V82)),ABS(Breakout[[#This Row],[Yaw]]-V82))</f>
        <v>0.92470704156857408</v>
      </c>
      <c r="Y83" s="1">
        <f>Breakout[[#This Row],[Degree change]]+Y82</f>
        <v>21.354978262010345</v>
      </c>
    </row>
    <row r="84" spans="1:25">
      <c r="A84">
        <v>83</v>
      </c>
      <c r="B84" s="1">
        <v>-5.25</v>
      </c>
      <c r="C84" s="1">
        <v>2382.5200199999999</v>
      </c>
      <c r="D84" s="1">
        <v>18.34</v>
      </c>
      <c r="E84" s="1">
        <v>-1758.4399410000001</v>
      </c>
      <c r="F84" s="1">
        <v>1482.48999</v>
      </c>
      <c r="G84" s="1">
        <v>7.91</v>
      </c>
      <c r="H84" s="1">
        <v>5.0000000000000001E-4</v>
      </c>
      <c r="I84" s="1">
        <v>-2.0000000000000001E-4</v>
      </c>
      <c r="J84" s="1">
        <v>1.9537</v>
      </c>
      <c r="K84" s="1">
        <v>-8.09E-3</v>
      </c>
      <c r="L84" s="1">
        <v>2.722E-3</v>
      </c>
      <c r="M84" s="1">
        <v>0.94865299999999997</v>
      </c>
      <c r="N84" s="1">
        <v>0.31620399999999999</v>
      </c>
      <c r="O84">
        <v>1</v>
      </c>
      <c r="P84">
        <v>0</v>
      </c>
      <c r="Q84">
        <v>1</v>
      </c>
      <c r="R84">
        <v>1</v>
      </c>
      <c r="S84">
        <v>1</v>
      </c>
      <c r="T84" s="1">
        <f>SQRT(POWER(Breakout[[#This Row],[angvel_X]],2) + POWER(Breakout[[#This Row],[angvel_Y]],2) + POWER(Breakout[[#This Row],[angvel_Z]],2))</f>
        <v>1.9537000742181487</v>
      </c>
      <c r="U84" s="1">
        <f>DEGREES(ASIN(MAX(-1,MIN(1,2 * (Breakout[[#This Row],[quart_W]]*Breakout[[#This Row],[quart_Y]] - Breakout[[#This Row],[quart_Z]]*Breakout[[#This Row],[quart_X]])))))</f>
        <v>0.97812199535540123</v>
      </c>
      <c r="V8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-53.131623483339254</v>
      </c>
      <c r="W8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89.99723300065321</v>
      </c>
      <c r="X84" s="1">
        <f>IF(Breakout[[#This Row],[Yaw]]&gt;V83,(360-ABS(Breakout[[#This Row],[Yaw]])-ABS(V83)),ABS(Breakout[[#This Row],[Yaw]]-V83))</f>
        <v>0.92917809970553122</v>
      </c>
      <c r="Y84" s="1">
        <f>Breakout[[#This Row],[Degree change]]+Y83</f>
        <v>22.284156361715876</v>
      </c>
    </row>
    <row r="85" spans="1:25">
      <c r="A85">
        <v>84</v>
      </c>
      <c r="B85" s="1">
        <v>-19.959999</v>
      </c>
      <c r="C85" s="1">
        <v>2394.919922</v>
      </c>
      <c r="D85" s="1">
        <v>18.34</v>
      </c>
      <c r="E85" s="1">
        <v>-1781.219971</v>
      </c>
      <c r="F85" s="1">
        <v>1455.0399170000001</v>
      </c>
      <c r="G85" s="1">
        <v>7.91</v>
      </c>
      <c r="H85" s="1">
        <v>4.0000000000000002E-4</v>
      </c>
      <c r="I85" s="1">
        <v>-2.0000000000000001E-4</v>
      </c>
      <c r="J85" s="1">
        <v>1.9612000000000001</v>
      </c>
      <c r="K85" s="1">
        <v>-8.1110000000000002E-3</v>
      </c>
      <c r="L85" s="1">
        <v>2.6519999999999998E-3</v>
      </c>
      <c r="M85" s="1">
        <v>0.95119500000000001</v>
      </c>
      <c r="N85" s="1">
        <v>0.308473</v>
      </c>
      <c r="O85">
        <v>1</v>
      </c>
      <c r="P85">
        <v>0</v>
      </c>
      <c r="Q85">
        <v>1</v>
      </c>
      <c r="R85">
        <v>1</v>
      </c>
      <c r="S85">
        <v>1</v>
      </c>
      <c r="T85" s="1">
        <f>SQRT(POWER(Breakout[[#This Row],[angvel_X]],2) + POWER(Breakout[[#This Row],[angvel_Y]],2) + POWER(Breakout[[#This Row],[angvel_Z]],2))</f>
        <v>1.9612000509891896</v>
      </c>
      <c r="U85" s="1">
        <f>DEGREES(ASIN(MAX(-1,MIN(1,2 * (Breakout[[#This Row],[quart_W]]*Breakout[[#This Row],[quart_Y]] - Breakout[[#This Row],[quart_Z]]*Breakout[[#This Row],[quart_X]])))))</f>
        <v>0.97788165989651366</v>
      </c>
      <c r="V8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-54.064223873316664</v>
      </c>
      <c r="W8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89.997645415089409</v>
      </c>
      <c r="X85" s="1">
        <f>IF(Breakout[[#This Row],[Yaw]]&gt;V84,(360-ABS(Breakout[[#This Row],[Yaw]])-ABS(V84)),ABS(Breakout[[#This Row],[Yaw]]-V84))</f>
        <v>0.93260038997740935</v>
      </c>
      <c r="Y85" s="1">
        <f>Breakout[[#This Row],[Degree change]]+Y84</f>
        <v>23.216756751693286</v>
      </c>
    </row>
    <row r="86" spans="1:25">
      <c r="A86">
        <v>85</v>
      </c>
      <c r="B86" s="1">
        <v>-34.860000999999997</v>
      </c>
      <c r="C86" s="1">
        <v>2407.0898440000001</v>
      </c>
      <c r="D86" s="1">
        <v>18.34</v>
      </c>
      <c r="E86" s="1">
        <v>-1803.75</v>
      </c>
      <c r="F86" s="1">
        <v>1427.0299070000001</v>
      </c>
      <c r="G86" s="1">
        <v>7.91</v>
      </c>
      <c r="H86" s="1">
        <v>2.9999999999999997E-4</v>
      </c>
      <c r="I86" s="1">
        <v>-2.0000000000000001E-4</v>
      </c>
      <c r="J86" s="1">
        <v>1.9681</v>
      </c>
      <c r="K86" s="1">
        <v>-8.1329999999999996E-3</v>
      </c>
      <c r="L86" s="1">
        <v>2.581E-3</v>
      </c>
      <c r="M86" s="1">
        <v>0.95368399999999998</v>
      </c>
      <c r="N86" s="1">
        <v>0.30068800000000001</v>
      </c>
      <c r="O86">
        <v>1</v>
      </c>
      <c r="P86">
        <v>0</v>
      </c>
      <c r="Q86">
        <v>1</v>
      </c>
      <c r="R86">
        <v>1</v>
      </c>
      <c r="S86">
        <v>1</v>
      </c>
      <c r="T86" s="1">
        <f>SQRT(POWER(Breakout[[#This Row],[angvel_X]],2) + POWER(Breakout[[#This Row],[angvel_Y]],2) + POWER(Breakout[[#This Row],[angvel_Z]],2))</f>
        <v>1.9681000330267768</v>
      </c>
      <c r="U86" s="1">
        <f>DEGREES(ASIN(MAX(-1,MIN(1,2 * (Breakout[[#This Row],[quart_W]]*Breakout[[#This Row],[quart_Y]] - Breakout[[#This Row],[quart_Z]]*Breakout[[#This Row],[quart_X]])))))</f>
        <v>0.97778706900951684</v>
      </c>
      <c r="V8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-55.000800912921768</v>
      </c>
      <c r="W8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89.998170520004237</v>
      </c>
      <c r="X86" s="1">
        <f>IF(Breakout[[#This Row],[Yaw]]&gt;V85,(360-ABS(Breakout[[#This Row],[Yaw]])-ABS(V85)),ABS(Breakout[[#This Row],[Yaw]]-V85))</f>
        <v>0.93657703960510474</v>
      </c>
      <c r="Y86" s="1">
        <f>Breakout[[#This Row],[Degree change]]+Y85</f>
        <v>24.15333379129839</v>
      </c>
    </row>
    <row r="87" spans="1:25">
      <c r="A87">
        <v>86</v>
      </c>
      <c r="B87" s="1">
        <v>-49.950001</v>
      </c>
      <c r="C87" s="1">
        <v>2419.0200199999999</v>
      </c>
      <c r="D87" s="1">
        <v>18.34</v>
      </c>
      <c r="E87" s="1">
        <v>-1825.9799800000001</v>
      </c>
      <c r="F87" s="1">
        <v>1398.459961</v>
      </c>
      <c r="G87" s="1">
        <v>7.91</v>
      </c>
      <c r="H87" s="1">
        <v>2.0000000000000001E-4</v>
      </c>
      <c r="I87" s="1">
        <v>-1E-4</v>
      </c>
      <c r="J87" s="1">
        <v>1.9744999999999999</v>
      </c>
      <c r="K87" s="1">
        <v>-8.1539999999999998E-3</v>
      </c>
      <c r="L87" s="1">
        <v>2.5110000000000002E-3</v>
      </c>
      <c r="M87" s="1">
        <v>0.95611900000000005</v>
      </c>
      <c r="N87" s="1">
        <v>0.29285499999999998</v>
      </c>
      <c r="O87">
        <v>1</v>
      </c>
      <c r="P87">
        <v>0</v>
      </c>
      <c r="Q87">
        <v>1</v>
      </c>
      <c r="R87">
        <v>1</v>
      </c>
      <c r="S87">
        <v>1</v>
      </c>
      <c r="T87" s="1">
        <f>SQRT(POWER(Breakout[[#This Row],[angvel_X]],2) + POWER(Breakout[[#This Row],[angvel_Y]],2) + POWER(Breakout[[#This Row],[angvel_Z]],2))</f>
        <v>1.9745000126614332</v>
      </c>
      <c r="U87" s="1">
        <f>DEGREES(ASIN(MAX(-1,MIN(1,2 * (Breakout[[#This Row],[quart_W]]*Breakout[[#This Row],[quart_Y]] - Breakout[[#This Row],[quart_Z]]*Breakout[[#This Row],[quart_X]])))))</f>
        <v>0.97769143198113118</v>
      </c>
      <c r="V8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-55.940837741488487</v>
      </c>
      <c r="W8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89.998524402923834</v>
      </c>
      <c r="X87" s="1">
        <f>IF(Breakout[[#This Row],[Yaw]]&gt;V86,(360-ABS(Breakout[[#This Row],[Yaw]])-ABS(V86)),ABS(Breakout[[#This Row],[Yaw]]-V86))</f>
        <v>0.94003682856671844</v>
      </c>
      <c r="Y87" s="1">
        <f>Breakout[[#This Row],[Degree change]]+Y86</f>
        <v>25.093370619865109</v>
      </c>
    </row>
    <row r="88" spans="1:25">
      <c r="A88">
        <v>87</v>
      </c>
      <c r="B88" s="1">
        <v>-65.220000999999996</v>
      </c>
      <c r="C88" s="1">
        <v>2430.709961</v>
      </c>
      <c r="D88" s="1">
        <v>18.34</v>
      </c>
      <c r="E88" s="1">
        <v>-1847.9099120000001</v>
      </c>
      <c r="F88" s="1">
        <v>1369.349976</v>
      </c>
      <c r="G88" s="1">
        <v>7.91</v>
      </c>
      <c r="H88" s="1">
        <v>1E-4</v>
      </c>
      <c r="I88" s="1">
        <v>-1E-4</v>
      </c>
      <c r="J88" s="1">
        <v>1.9803999999999999</v>
      </c>
      <c r="K88" s="1">
        <v>-8.1759999999999992E-3</v>
      </c>
      <c r="L88" s="1">
        <v>2.441E-3</v>
      </c>
      <c r="M88" s="1">
        <v>0.95849600000000001</v>
      </c>
      <c r="N88" s="1">
        <v>0.28497899999999998</v>
      </c>
      <c r="O88">
        <v>1</v>
      </c>
      <c r="P88">
        <v>0</v>
      </c>
      <c r="Q88">
        <v>1</v>
      </c>
      <c r="R88">
        <v>1</v>
      </c>
      <c r="S88">
        <v>1</v>
      </c>
      <c r="T88" s="1">
        <f>SQRT(POWER(Breakout[[#This Row],[angvel_X]],2) + POWER(Breakout[[#This Row],[angvel_Y]],2) + POWER(Breakout[[#This Row],[angvel_Z]],2))</f>
        <v>1.9804000050494848</v>
      </c>
      <c r="U88" s="1">
        <f>DEGREES(ASIN(MAX(-1,MIN(1,2 * (Breakout[[#This Row],[quart_W]]*Breakout[[#This Row],[quart_Y]] - Breakout[[#This Row],[quart_Z]]*Breakout[[#This Row],[quart_X]])))))</f>
        <v>0.97777667805276613</v>
      </c>
      <c r="V8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-56.883602779511591</v>
      </c>
      <c r="W8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89.998888250491177</v>
      </c>
      <c r="X88" s="1">
        <f>IF(Breakout[[#This Row],[Yaw]]&gt;V87,(360-ABS(Breakout[[#This Row],[Yaw]])-ABS(V87)),ABS(Breakout[[#This Row],[Yaw]]-V87))</f>
        <v>0.9427650380231043</v>
      </c>
      <c r="Y88" s="1">
        <f>Breakout[[#This Row],[Degree change]]+Y87</f>
        <v>26.036135657888213</v>
      </c>
    </row>
    <row r="89" spans="1:25">
      <c r="A89">
        <v>88</v>
      </c>
      <c r="B89" s="1">
        <v>-80.680000000000007</v>
      </c>
      <c r="C89" s="1">
        <v>2442.1599120000001</v>
      </c>
      <c r="D89" s="1">
        <v>18.34</v>
      </c>
      <c r="E89" s="1">
        <v>-1869.5</v>
      </c>
      <c r="F89" s="1">
        <v>1339.719971</v>
      </c>
      <c r="G89" s="1">
        <v>7.91</v>
      </c>
      <c r="H89" s="1">
        <v>0</v>
      </c>
      <c r="I89" s="1">
        <v>0</v>
      </c>
      <c r="J89" s="1">
        <v>1.9859</v>
      </c>
      <c r="K89" s="1">
        <v>-8.1969999999999994E-3</v>
      </c>
      <c r="L89" s="1">
        <v>2.3709999999999998E-3</v>
      </c>
      <c r="M89" s="1">
        <v>0.96081499999999997</v>
      </c>
      <c r="N89" s="1">
        <v>0.277059</v>
      </c>
      <c r="O89">
        <v>1</v>
      </c>
      <c r="P89">
        <v>0</v>
      </c>
      <c r="Q89">
        <v>1</v>
      </c>
      <c r="R89">
        <v>1</v>
      </c>
      <c r="S89">
        <v>1</v>
      </c>
      <c r="T89" s="1">
        <f>SQRT(POWER(Breakout[[#This Row],[angvel_X]],2) + POWER(Breakout[[#This Row],[angvel_Y]],2) + POWER(Breakout[[#This Row],[angvel_Z]],2))</f>
        <v>1.9859</v>
      </c>
      <c r="U89" s="1">
        <f>DEGREES(ASIN(MAX(-1,MIN(1,2 * (Breakout[[#This Row],[quart_W]]*Breakout[[#This Row],[quart_Y]] - Breakout[[#This Row],[quart_Z]]*Breakout[[#This Row],[quart_X]])))))</f>
        <v>0.97782371430923043</v>
      </c>
      <c r="V8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-57.8292927334358</v>
      </c>
      <c r="W8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89.999193187497141</v>
      </c>
      <c r="X89" s="1">
        <f>IF(Breakout[[#This Row],[Yaw]]&gt;V88,(360-ABS(Breakout[[#This Row],[Yaw]])-ABS(V88)),ABS(Breakout[[#This Row],[Yaw]]-V88))</f>
        <v>0.94568995392420874</v>
      </c>
      <c r="Y89" s="1">
        <f>Breakout[[#This Row],[Degree change]]+Y88</f>
        <v>26.981825611812422</v>
      </c>
    </row>
    <row r="90" spans="1:25">
      <c r="A90">
        <v>89</v>
      </c>
      <c r="B90" s="1">
        <v>-96.32</v>
      </c>
      <c r="C90" s="1">
        <v>2453.3598630000001</v>
      </c>
      <c r="D90" s="1">
        <v>18.34</v>
      </c>
      <c r="E90" s="1">
        <v>-1890.73999</v>
      </c>
      <c r="F90" s="1">
        <v>1309.589966</v>
      </c>
      <c r="G90" s="1">
        <v>7.91</v>
      </c>
      <c r="H90" s="1">
        <v>0</v>
      </c>
      <c r="I90" s="1">
        <v>0</v>
      </c>
      <c r="J90" s="1">
        <v>1.9908999999999999</v>
      </c>
      <c r="K90" s="1">
        <v>-8.2190000000000006E-3</v>
      </c>
      <c r="L90" s="1">
        <v>2.3010000000000001E-3</v>
      </c>
      <c r="M90" s="1">
        <v>0.96307399999999999</v>
      </c>
      <c r="N90" s="1">
        <v>0.26910200000000001</v>
      </c>
      <c r="O90">
        <v>1</v>
      </c>
      <c r="P90">
        <v>0</v>
      </c>
      <c r="Q90">
        <v>1</v>
      </c>
      <c r="R90">
        <v>1</v>
      </c>
      <c r="S90">
        <v>1</v>
      </c>
      <c r="T90" s="1">
        <f>SQRT(POWER(Breakout[[#This Row],[angvel_X]],2) + POWER(Breakout[[#This Row],[angvel_Y]],2) + POWER(Breakout[[#This Row],[angvel_Z]],2))</f>
        <v>1.9908999999999999</v>
      </c>
      <c r="U90" s="1">
        <f>DEGREES(ASIN(MAX(-1,MIN(1,2 * (Breakout[[#This Row],[quart_W]]*Breakout[[#This Row],[quart_Y]] - Breakout[[#This Row],[quart_Z]]*Breakout[[#This Row],[quart_X]])))))</f>
        <v>0.9780530986012026</v>
      </c>
      <c r="V9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-58.777174694758841</v>
      </c>
      <c r="W9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89.999509025563412</v>
      </c>
      <c r="X90" s="1">
        <f>IF(Breakout[[#This Row],[Yaw]]&gt;V89,(360-ABS(Breakout[[#This Row],[Yaw]])-ABS(V89)),ABS(Breakout[[#This Row],[Yaw]]-V89))</f>
        <v>0.94788196132304137</v>
      </c>
      <c r="Y90" s="1">
        <f>Breakout[[#This Row],[Degree change]]+Y89</f>
        <v>27.929707573135463</v>
      </c>
    </row>
    <row r="91" spans="1:25">
      <c r="A91">
        <v>90</v>
      </c>
      <c r="B91" s="1">
        <v>-112.139999</v>
      </c>
      <c r="C91" s="1">
        <v>2464.3100589999999</v>
      </c>
      <c r="D91" s="1">
        <v>18.34</v>
      </c>
      <c r="E91" s="1">
        <v>-1911.589966</v>
      </c>
      <c r="F91" s="1">
        <v>1278.959961</v>
      </c>
      <c r="G91" s="1">
        <v>7.91</v>
      </c>
      <c r="H91" s="1">
        <v>0</v>
      </c>
      <c r="I91" s="1">
        <v>0</v>
      </c>
      <c r="J91" s="1">
        <v>1.9955000000000001</v>
      </c>
      <c r="K91" s="1">
        <v>-8.2349999999999993E-3</v>
      </c>
      <c r="L91" s="1">
        <v>2.2309999999999999E-3</v>
      </c>
      <c r="M91" s="1">
        <v>0.96527399999999997</v>
      </c>
      <c r="N91" s="1">
        <v>0.26110100000000003</v>
      </c>
      <c r="O91">
        <v>1</v>
      </c>
      <c r="P91">
        <v>0</v>
      </c>
      <c r="Q91">
        <v>1</v>
      </c>
      <c r="R91">
        <v>1</v>
      </c>
      <c r="S91">
        <v>1</v>
      </c>
      <c r="T91" s="1">
        <f>SQRT(POWER(Breakout[[#This Row],[angvel_X]],2) + POWER(Breakout[[#This Row],[angvel_Y]],2) + POWER(Breakout[[#This Row],[angvel_Z]],2))</f>
        <v>1.9955000000000001</v>
      </c>
      <c r="U91" s="1">
        <f>DEGREES(ASIN(MAX(-1,MIN(1,2 * (Breakout[[#This Row],[quart_W]]*Breakout[[#This Row],[quart_Y]] - Breakout[[#This Row],[quart_Z]]*Breakout[[#This Row],[quart_X]])))))</f>
        <v>0.9776908004897048</v>
      </c>
      <c r="V9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-59.728090523639899</v>
      </c>
      <c r="W9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89.999614966841435</v>
      </c>
      <c r="X91" s="1">
        <f>IF(Breakout[[#This Row],[Yaw]]&gt;V90,(360-ABS(Breakout[[#This Row],[Yaw]])-ABS(V90)),ABS(Breakout[[#This Row],[Yaw]]-V90))</f>
        <v>0.95091582888105819</v>
      </c>
      <c r="Y91" s="1">
        <f>Breakout[[#This Row],[Degree change]]+Y90</f>
        <v>28.880623402016521</v>
      </c>
    </row>
    <row r="92" spans="1:25">
      <c r="A92">
        <v>91</v>
      </c>
      <c r="B92" s="1">
        <v>-128.12998999999999</v>
      </c>
      <c r="C92" s="1">
        <v>2475</v>
      </c>
      <c r="D92" s="1">
        <v>18.34</v>
      </c>
      <c r="E92" s="1">
        <v>-1932.0299070000001</v>
      </c>
      <c r="F92" s="1">
        <v>1247.8599850000001</v>
      </c>
      <c r="G92" s="1">
        <v>7.91</v>
      </c>
      <c r="H92" s="1">
        <v>0</v>
      </c>
      <c r="I92" s="1">
        <v>0</v>
      </c>
      <c r="J92" s="1">
        <v>1.9998</v>
      </c>
      <c r="K92" s="1">
        <v>-8.2509999999999997E-3</v>
      </c>
      <c r="L92" s="1">
        <v>2.1610000000000002E-3</v>
      </c>
      <c r="M92" s="1">
        <v>0.96741100000000002</v>
      </c>
      <c r="N92" s="1">
        <v>0.25306800000000002</v>
      </c>
      <c r="O92">
        <v>1</v>
      </c>
      <c r="P92">
        <v>0</v>
      </c>
      <c r="Q92">
        <v>1</v>
      </c>
      <c r="R92">
        <v>1</v>
      </c>
      <c r="S92">
        <v>1</v>
      </c>
      <c r="T92" s="1">
        <f>SQRT(POWER(Breakout[[#This Row],[angvel_X]],2) + POWER(Breakout[[#This Row],[angvel_Y]],2) + POWER(Breakout[[#This Row],[angvel_Z]],2))</f>
        <v>1.9998</v>
      </c>
      <c r="U92" s="1">
        <f>DEGREES(ASIN(MAX(-1,MIN(1,2 * (Breakout[[#This Row],[quart_W]]*Breakout[[#This Row],[quart_Y]] - Breakout[[#This Row],[quart_Z]]*Breakout[[#This Row],[quart_X]])))))</f>
        <v>0.9773974478651315</v>
      </c>
      <c r="V9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-60.680650495439536</v>
      </c>
      <c r="W9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89.999712206919085</v>
      </c>
      <c r="X92" s="1">
        <f>IF(Breakout[[#This Row],[Yaw]]&gt;V91,(360-ABS(Breakout[[#This Row],[Yaw]])-ABS(V91)),ABS(Breakout[[#This Row],[Yaw]]-V91))</f>
        <v>0.95255997179963714</v>
      </c>
      <c r="Y92" s="1">
        <f>Breakout[[#This Row],[Degree change]]+Y91</f>
        <v>29.833183373816158</v>
      </c>
    </row>
    <row r="93" spans="1:25">
      <c r="A93">
        <v>92</v>
      </c>
      <c r="B93" s="1">
        <v>-144.28999300000001</v>
      </c>
      <c r="C93" s="1">
        <v>2485.429932</v>
      </c>
      <c r="D93" s="1">
        <v>18.34</v>
      </c>
      <c r="E93" s="1">
        <v>-1952.059937</v>
      </c>
      <c r="F93" s="1">
        <v>1216.299927</v>
      </c>
      <c r="G93" s="1">
        <v>7.91</v>
      </c>
      <c r="H93" s="1">
        <v>0</v>
      </c>
      <c r="I93" s="1">
        <v>0</v>
      </c>
      <c r="J93" s="1">
        <v>2.0038</v>
      </c>
      <c r="K93" s="1">
        <v>-8.2679999999999993E-3</v>
      </c>
      <c r="L93" s="1">
        <v>2.0899999999999998E-3</v>
      </c>
      <c r="M93" s="1">
        <v>0.96948599999999996</v>
      </c>
      <c r="N93" s="1">
        <v>0.24499799999999999</v>
      </c>
      <c r="O93">
        <v>1</v>
      </c>
      <c r="P93">
        <v>0</v>
      </c>
      <c r="Q93">
        <v>1</v>
      </c>
      <c r="R93">
        <v>1</v>
      </c>
      <c r="S93">
        <v>1</v>
      </c>
      <c r="T93" s="1">
        <f>SQRT(POWER(Breakout[[#This Row],[angvel_X]],2) + POWER(Breakout[[#This Row],[angvel_Y]],2) + POWER(Breakout[[#This Row],[angvel_Z]],2))</f>
        <v>2.0038</v>
      </c>
      <c r="U93" s="1">
        <f>DEGREES(ASIN(MAX(-1,MIN(1,2 * (Breakout[[#This Row],[quart_W]]*Breakout[[#This Row],[quart_Y]] - Breakout[[#This Row],[quart_Z]]*Breakout[[#This Row],[quart_X]])))))</f>
        <v>0.97725624582453063</v>
      </c>
      <c r="V9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-61.635510274645426</v>
      </c>
      <c r="W9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89.999933266378576</v>
      </c>
      <c r="X93" s="1">
        <f>IF(Breakout[[#This Row],[Yaw]]&gt;V92,(360-ABS(Breakout[[#This Row],[Yaw]])-ABS(V92)),ABS(Breakout[[#This Row],[Yaw]]-V92))</f>
        <v>0.95485977920588994</v>
      </c>
      <c r="Y93" s="1">
        <f>Breakout[[#This Row],[Degree change]]+Y92</f>
        <v>30.788043153022048</v>
      </c>
    </row>
    <row r="94" spans="1:25">
      <c r="A94">
        <v>93</v>
      </c>
      <c r="B94" s="1">
        <v>-160.61999499999999</v>
      </c>
      <c r="C94" s="1">
        <v>2495.5998540000001</v>
      </c>
      <c r="D94" s="1">
        <v>18.34</v>
      </c>
      <c r="E94" s="1">
        <v>-1971.6400149999999</v>
      </c>
      <c r="F94" s="1">
        <v>1184.2899170000001</v>
      </c>
      <c r="G94" s="1">
        <v>7.91</v>
      </c>
      <c r="H94" s="1">
        <v>0</v>
      </c>
      <c r="I94" s="1">
        <v>0</v>
      </c>
      <c r="J94" s="1">
        <v>2.0074999999999998</v>
      </c>
      <c r="K94" s="1">
        <v>-8.2839999999999997E-3</v>
      </c>
      <c r="L94" s="1">
        <v>2.0200000000000001E-3</v>
      </c>
      <c r="M94" s="1">
        <v>0.97149799999999997</v>
      </c>
      <c r="N94" s="1">
        <v>0.23689499999999999</v>
      </c>
      <c r="O94">
        <v>1</v>
      </c>
      <c r="P94">
        <v>0</v>
      </c>
      <c r="Q94">
        <v>1</v>
      </c>
      <c r="R94">
        <v>1</v>
      </c>
      <c r="S94">
        <v>1</v>
      </c>
      <c r="T94" s="1">
        <f>SQRT(POWER(Breakout[[#This Row],[angvel_X]],2) + POWER(Breakout[[#This Row],[angvel_Y]],2) + POWER(Breakout[[#This Row],[angvel_Z]],2))</f>
        <v>2.0074999999999998</v>
      </c>
      <c r="U94" s="1">
        <f>DEGREES(ASIN(MAX(-1,MIN(1,2 * (Breakout[[#This Row],[quart_W]]*Breakout[[#This Row],[quart_Y]] - Breakout[[#This Row],[quart_Z]]*Breakout[[#This Row],[quart_X]])))))</f>
        <v>0.97710281566535895</v>
      </c>
      <c r="V9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-62.592290885175629</v>
      </c>
      <c r="W9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90.000001400512502</v>
      </c>
      <c r="X94" s="1">
        <f>IF(Breakout[[#This Row],[Yaw]]&gt;V93,(360-ABS(Breakout[[#This Row],[Yaw]])-ABS(V93)),ABS(Breakout[[#This Row],[Yaw]]-V93))</f>
        <v>0.95678061053020258</v>
      </c>
      <c r="Y94" s="1">
        <f>Breakout[[#This Row],[Degree change]]+Y93</f>
        <v>31.744823763552251</v>
      </c>
    </row>
    <row r="95" spans="1:25">
      <c r="A95">
        <v>94</v>
      </c>
      <c r="B95" s="1">
        <v>-177.11000100000001</v>
      </c>
      <c r="C95" s="1">
        <v>2505.5</v>
      </c>
      <c r="D95" s="1">
        <v>18.34</v>
      </c>
      <c r="E95" s="1">
        <v>-1990.7698969999999</v>
      </c>
      <c r="F95" s="1">
        <v>1151.849976</v>
      </c>
      <c r="G95" s="1">
        <v>7.91</v>
      </c>
      <c r="H95" s="1">
        <v>0</v>
      </c>
      <c r="I95" s="1">
        <v>0</v>
      </c>
      <c r="J95" s="1">
        <v>2.0108999999999999</v>
      </c>
      <c r="K95" s="1">
        <v>-8.3000000000000001E-3</v>
      </c>
      <c r="L95" s="1">
        <v>1.9499999999999999E-3</v>
      </c>
      <c r="M95" s="1">
        <v>0.97344600000000003</v>
      </c>
      <c r="N95" s="1">
        <v>0.22875899999999999</v>
      </c>
      <c r="O95">
        <v>1</v>
      </c>
      <c r="P95">
        <v>0</v>
      </c>
      <c r="Q95">
        <v>1</v>
      </c>
      <c r="R95">
        <v>1</v>
      </c>
      <c r="S95">
        <v>1</v>
      </c>
      <c r="T95" s="1">
        <f>SQRT(POWER(Breakout[[#This Row],[angvel_X]],2) + POWER(Breakout[[#This Row],[angvel_Y]],2) + POWER(Breakout[[#This Row],[angvel_Z]],2))</f>
        <v>2.0108999999999999</v>
      </c>
      <c r="U95" s="1">
        <f>DEGREES(ASIN(MAX(-1,MIN(1,2 * (Breakout[[#This Row],[quart_W]]*Breakout[[#This Row],[quart_Y]] - Breakout[[#This Row],[quart_Z]]*Breakout[[#This Row],[quart_X]])))))</f>
        <v>0.97701852338044659</v>
      </c>
      <c r="V9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-63.55099995000672</v>
      </c>
      <c r="W9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90.000055011946245</v>
      </c>
      <c r="X95" s="1">
        <f>IF(Breakout[[#This Row],[Yaw]]&gt;V94,(360-ABS(Breakout[[#This Row],[Yaw]])-ABS(V94)),ABS(Breakout[[#This Row],[Yaw]]-V94))</f>
        <v>0.95870906483109053</v>
      </c>
      <c r="Y95" s="1">
        <f>Breakout[[#This Row],[Degree change]]+Y94</f>
        <v>32.703532828383345</v>
      </c>
    </row>
    <row r="96" spans="1:25">
      <c r="A96">
        <v>95</v>
      </c>
      <c r="B96" s="1">
        <v>-193.759995</v>
      </c>
      <c r="C96" s="1">
        <v>2515.1298830000001</v>
      </c>
      <c r="D96" s="1">
        <v>18.34</v>
      </c>
      <c r="E96" s="1">
        <v>-2009.419922</v>
      </c>
      <c r="F96" s="1">
        <v>1118.9799800000001</v>
      </c>
      <c r="G96" s="1">
        <v>7.91</v>
      </c>
      <c r="H96" s="1">
        <v>0</v>
      </c>
      <c r="I96" s="1">
        <v>0</v>
      </c>
      <c r="J96" s="1">
        <v>2.0139999999999998</v>
      </c>
      <c r="K96" s="1">
        <v>-8.3160000000000005E-3</v>
      </c>
      <c r="L96" s="1">
        <v>1.8799999999999999E-3</v>
      </c>
      <c r="M96" s="1">
        <v>0.97532799999999997</v>
      </c>
      <c r="N96" s="1">
        <v>0.22059699999999999</v>
      </c>
      <c r="O96">
        <v>1</v>
      </c>
      <c r="P96">
        <v>0</v>
      </c>
      <c r="Q96">
        <v>1</v>
      </c>
      <c r="R96">
        <v>1</v>
      </c>
      <c r="S96">
        <v>1</v>
      </c>
      <c r="T96" s="1">
        <f>SQRT(POWER(Breakout[[#This Row],[angvel_X]],2) + POWER(Breakout[[#This Row],[angvel_Y]],2) + POWER(Breakout[[#This Row],[angvel_Z]],2))</f>
        <v>2.0139999999999998</v>
      </c>
      <c r="U96" s="1">
        <f>DEGREES(ASIN(MAX(-1,MIN(1,2 * (Breakout[[#This Row],[quart_W]]*Breakout[[#This Row],[quart_Y]] - Breakout[[#This Row],[quart_Z]]*Breakout[[#This Row],[quart_X]])))))</f>
        <v>0.97700341320336115</v>
      </c>
      <c r="V9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-64.510873306740152</v>
      </c>
      <c r="W9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90.000099481310968</v>
      </c>
      <c r="X96" s="1">
        <f>IF(Breakout[[#This Row],[Yaw]]&gt;V95,(360-ABS(Breakout[[#This Row],[Yaw]])-ABS(V95)),ABS(Breakout[[#This Row],[Yaw]]-V95))</f>
        <v>0.9598733567334321</v>
      </c>
      <c r="Y96" s="1">
        <f>Breakout[[#This Row],[Degree change]]+Y95</f>
        <v>33.663406185116777</v>
      </c>
    </row>
    <row r="97" spans="1:25">
      <c r="A97">
        <v>96</v>
      </c>
      <c r="B97" s="1">
        <v>-210.56999200000001</v>
      </c>
      <c r="C97" s="1">
        <v>2524.4799800000001</v>
      </c>
      <c r="D97" s="1">
        <v>18.34</v>
      </c>
      <c r="E97" s="1">
        <v>-2027.589966</v>
      </c>
      <c r="F97" s="1">
        <v>1085.719971</v>
      </c>
      <c r="G97" s="1">
        <v>7.91</v>
      </c>
      <c r="H97" s="1">
        <v>0</v>
      </c>
      <c r="I97" s="1">
        <v>0</v>
      </c>
      <c r="J97" s="1">
        <v>2.0169000000000001</v>
      </c>
      <c r="K97" s="1">
        <v>-8.3320000000000009E-3</v>
      </c>
      <c r="L97" s="1">
        <v>1.81E-3</v>
      </c>
      <c r="M97" s="1">
        <v>0.97714500000000004</v>
      </c>
      <c r="N97" s="1">
        <v>0.21240200000000001</v>
      </c>
      <c r="O97">
        <v>1</v>
      </c>
      <c r="P97">
        <v>0</v>
      </c>
      <c r="Q97">
        <v>1</v>
      </c>
      <c r="R97">
        <v>1</v>
      </c>
      <c r="S97">
        <v>1</v>
      </c>
      <c r="T97" s="1">
        <f>SQRT(POWER(Breakout[[#This Row],[angvel_X]],2) + POWER(Breakout[[#This Row],[angvel_Y]],2) + POWER(Breakout[[#This Row],[angvel_Z]],2))</f>
        <v>2.0169000000000001</v>
      </c>
      <c r="U97" s="1">
        <f>DEGREES(ASIN(MAX(-1,MIN(1,2 * (Breakout[[#This Row],[quart_W]]*Breakout[[#This Row],[quart_Y]] - Breakout[[#This Row],[quart_Z]]*Breakout[[#This Row],[quart_X]])))))</f>
        <v>0.97705725064474647</v>
      </c>
      <c r="V9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-65.472775465789411</v>
      </c>
      <c r="W9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90.000126185257685</v>
      </c>
      <c r="X97" s="1">
        <f>IF(Breakout[[#This Row],[Yaw]]&gt;V96,(360-ABS(Breakout[[#This Row],[Yaw]])-ABS(V96)),ABS(Breakout[[#This Row],[Yaw]]-V96))</f>
        <v>0.96190215904925935</v>
      </c>
      <c r="Y97" s="1">
        <f>Breakout[[#This Row],[Degree change]]+Y96</f>
        <v>34.625308344166037</v>
      </c>
    </row>
    <row r="98" spans="1:25">
      <c r="A98">
        <v>97</v>
      </c>
      <c r="B98" s="1">
        <v>-227.529999</v>
      </c>
      <c r="C98" s="1">
        <v>2533.5600589999999</v>
      </c>
      <c r="D98" s="1">
        <v>18.34</v>
      </c>
      <c r="E98" s="1">
        <v>-2045.26001</v>
      </c>
      <c r="F98" s="1">
        <v>1052.059937</v>
      </c>
      <c r="G98" s="1">
        <v>7.91</v>
      </c>
      <c r="H98" s="1">
        <v>0</v>
      </c>
      <c r="I98" s="1">
        <v>0</v>
      </c>
      <c r="J98" s="1">
        <v>2.0196000000000001</v>
      </c>
      <c r="K98" s="1">
        <v>-8.3479999999999995E-3</v>
      </c>
      <c r="L98" s="1">
        <v>1.74E-3</v>
      </c>
      <c r="M98" s="1">
        <v>0.97889599999999999</v>
      </c>
      <c r="N98" s="1">
        <v>0.20418</v>
      </c>
      <c r="O98">
        <v>1</v>
      </c>
      <c r="P98">
        <v>0</v>
      </c>
      <c r="Q98">
        <v>1</v>
      </c>
      <c r="R98">
        <v>1</v>
      </c>
      <c r="S98">
        <v>1</v>
      </c>
      <c r="T98" s="1">
        <f>SQRT(POWER(Breakout[[#This Row],[angvel_X]],2) + POWER(Breakout[[#This Row],[angvel_Y]],2) + POWER(Breakout[[#This Row],[angvel_Z]],2))</f>
        <v>2.0196000000000001</v>
      </c>
      <c r="U98" s="1">
        <f>DEGREES(ASIN(MAX(-1,MIN(1,2 * (Breakout[[#This Row],[quart_W]]*Breakout[[#This Row],[quart_Y]] - Breakout[[#This Row],[quart_Z]]*Breakout[[#This Row],[quart_X]])))))</f>
        <v>0.97718071212567137</v>
      </c>
      <c r="V9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-66.436112213663904</v>
      </c>
      <c r="W9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90.000139317760613</v>
      </c>
      <c r="X98" s="1">
        <f>IF(Breakout[[#This Row],[Yaw]]&gt;V97,(360-ABS(Breakout[[#This Row],[Yaw]])-ABS(V97)),ABS(Breakout[[#This Row],[Yaw]]-V97))</f>
        <v>0.96333674787449297</v>
      </c>
      <c r="Y98" s="1">
        <f>Breakout[[#This Row],[Degree change]]+Y97</f>
        <v>35.58864509204053</v>
      </c>
    </row>
    <row r="99" spans="1:25">
      <c r="A99">
        <v>98</v>
      </c>
      <c r="B99" s="1">
        <v>-244.63999899999999</v>
      </c>
      <c r="C99" s="1">
        <v>2542.3498540000001</v>
      </c>
      <c r="D99" s="1">
        <v>18.34</v>
      </c>
      <c r="E99" s="1">
        <v>-2062.4099120000001</v>
      </c>
      <c r="F99" s="1">
        <v>1018.019958</v>
      </c>
      <c r="G99" s="1">
        <v>7.91</v>
      </c>
      <c r="H99" s="1">
        <v>0</v>
      </c>
      <c r="I99" s="1">
        <v>0</v>
      </c>
      <c r="J99" s="1">
        <v>2.0221</v>
      </c>
      <c r="K99" s="1">
        <v>-8.3649999999999992E-3</v>
      </c>
      <c r="L99" s="1">
        <v>1.67E-3</v>
      </c>
      <c r="M99" s="1">
        <v>0.98057899999999998</v>
      </c>
      <c r="N99" s="1">
        <v>0.195937</v>
      </c>
      <c r="O99">
        <v>1</v>
      </c>
      <c r="P99">
        <v>0</v>
      </c>
      <c r="Q99">
        <v>1</v>
      </c>
      <c r="R99">
        <v>1</v>
      </c>
      <c r="S99">
        <v>1</v>
      </c>
      <c r="T99" s="1">
        <f>SQRT(POWER(Breakout[[#This Row],[angvel_X]],2) + POWER(Breakout[[#This Row],[angvel_Y]],2) + POWER(Breakout[[#This Row],[angvel_Z]],2))</f>
        <v>2.0221</v>
      </c>
      <c r="U99" s="1">
        <f>DEGREES(ASIN(MAX(-1,MIN(1,2 * (Breakout[[#This Row],[quart_W]]*Breakout[[#This Row],[quart_Y]] - Breakout[[#This Row],[quart_Z]]*Breakout[[#This Row],[quart_X]])))))</f>
        <v>0.97748569804041796</v>
      </c>
      <c r="V9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-67.400208846768848</v>
      </c>
      <c r="W9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90.000165732106765</v>
      </c>
      <c r="X99" s="1">
        <f>IF(Breakout[[#This Row],[Yaw]]&gt;V98,(360-ABS(Breakout[[#This Row],[Yaw]])-ABS(V98)),ABS(Breakout[[#This Row],[Yaw]]-V98))</f>
        <v>0.96409663310494409</v>
      </c>
      <c r="Y99" s="1">
        <f>Breakout[[#This Row],[Degree change]]+Y98</f>
        <v>36.552741725145474</v>
      </c>
    </row>
    <row r="100" spans="1:25">
      <c r="A100">
        <v>99</v>
      </c>
      <c r="B100" s="1">
        <v>-261.88998400000003</v>
      </c>
      <c r="C100" s="1">
        <v>2550.8598630000001</v>
      </c>
      <c r="D100" s="1">
        <v>18.34</v>
      </c>
      <c r="E100" s="1">
        <v>-2079.040039</v>
      </c>
      <c r="F100" s="1">
        <v>983.61999500000002</v>
      </c>
      <c r="G100" s="1">
        <v>7.91</v>
      </c>
      <c r="H100" s="1">
        <v>0</v>
      </c>
      <c r="I100" s="1">
        <v>0</v>
      </c>
      <c r="J100" s="1">
        <v>2.0244</v>
      </c>
      <c r="K100" s="1">
        <v>-8.3809999999999996E-3</v>
      </c>
      <c r="L100" s="1">
        <v>1.6000000000000001E-3</v>
      </c>
      <c r="M100" s="1">
        <v>0.98219599999999996</v>
      </c>
      <c r="N100" s="1">
        <v>0.187667</v>
      </c>
      <c r="O100">
        <v>1</v>
      </c>
      <c r="P100">
        <v>0</v>
      </c>
      <c r="Q100">
        <v>1</v>
      </c>
      <c r="R100">
        <v>1</v>
      </c>
      <c r="S100">
        <v>1</v>
      </c>
      <c r="T100" s="1">
        <f>SQRT(POWER(Breakout[[#This Row],[angvel_X]],2) + POWER(Breakout[[#This Row],[angvel_Y]],2) + POWER(Breakout[[#This Row],[angvel_Z]],2))</f>
        <v>2.0244</v>
      </c>
      <c r="U100" s="1">
        <f>DEGREES(ASIN(MAX(-1,MIN(1,2 * (Breakout[[#This Row],[quart_W]]*Breakout[[#This Row],[quart_Y]] - Breakout[[#This Row],[quart_Z]]*Breakout[[#This Row],[quart_X]])))))</f>
        <v>0.97774858080960292</v>
      </c>
      <c r="V10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-68.365895340892038</v>
      </c>
      <c r="W10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90.000151687108328</v>
      </c>
      <c r="X100" s="1">
        <f>IF(Breakout[[#This Row],[Yaw]]&gt;V99,(360-ABS(Breakout[[#This Row],[Yaw]])-ABS(V99)),ABS(Breakout[[#This Row],[Yaw]]-V99))</f>
        <v>0.96568649412319019</v>
      </c>
      <c r="Y100" s="1">
        <f>Breakout[[#This Row],[Degree change]]+Y99</f>
        <v>37.518428219268664</v>
      </c>
    </row>
    <row r="101" spans="1:25">
      <c r="A101">
        <v>100</v>
      </c>
      <c r="B101" s="1">
        <v>-279.27999899999998</v>
      </c>
      <c r="C101" s="1">
        <v>2559.0798340000001</v>
      </c>
      <c r="D101" s="1">
        <v>18.34</v>
      </c>
      <c r="E101" s="1">
        <v>-2095.1298830000001</v>
      </c>
      <c r="F101" s="1">
        <v>948.86999500000002</v>
      </c>
      <c r="G101" s="1">
        <v>7.91</v>
      </c>
      <c r="H101" s="1">
        <v>0</v>
      </c>
      <c r="I101" s="1">
        <v>0</v>
      </c>
      <c r="J101" s="1">
        <v>2.0265</v>
      </c>
      <c r="K101" s="1">
        <v>-8.3920000000000002E-3</v>
      </c>
      <c r="L101" s="1">
        <v>1.529E-3</v>
      </c>
      <c r="M101" s="1">
        <v>0.98374399999999995</v>
      </c>
      <c r="N101" s="1">
        <v>0.17937500000000001</v>
      </c>
      <c r="O101">
        <v>1</v>
      </c>
      <c r="P101">
        <v>0</v>
      </c>
      <c r="Q101">
        <v>1</v>
      </c>
      <c r="R101">
        <v>1</v>
      </c>
      <c r="S101">
        <v>1</v>
      </c>
      <c r="T101" s="1">
        <f>SQRT(POWER(Breakout[[#This Row],[angvel_X]],2) + POWER(Breakout[[#This Row],[angvel_Y]],2) + POWER(Breakout[[#This Row],[angvel_Z]],2))</f>
        <v>2.0265</v>
      </c>
      <c r="U101" s="1">
        <f>DEGREES(ASIN(MAX(-1,MIN(1,2 * (Breakout[[#This Row],[quart_W]]*Breakout[[#This Row],[quart_Y]] - Breakout[[#This Row],[quart_Z]]*Breakout[[#This Row],[quart_X]])))))</f>
        <v>0.97749554265879912</v>
      </c>
      <c r="V10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-69.332536392944505</v>
      </c>
      <c r="W10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90.000134140231907</v>
      </c>
      <c r="X101" s="1">
        <f>IF(Breakout[[#This Row],[Yaw]]&gt;V100,(360-ABS(Breakout[[#This Row],[Yaw]])-ABS(V100)),ABS(Breakout[[#This Row],[Yaw]]-V100))</f>
        <v>0.96664105205246642</v>
      </c>
      <c r="Y101" s="1">
        <f>Breakout[[#This Row],[Degree change]]+Y100</f>
        <v>38.48506927132113</v>
      </c>
    </row>
    <row r="102" spans="1:25">
      <c r="A102">
        <v>101</v>
      </c>
      <c r="B102" s="1">
        <v>-296.79998799999998</v>
      </c>
      <c r="C102" s="1">
        <v>2567.01001</v>
      </c>
      <c r="D102" s="1">
        <v>18.34</v>
      </c>
      <c r="E102" s="1">
        <v>-2110.6599120000001</v>
      </c>
      <c r="F102" s="1">
        <v>913.77996800000005</v>
      </c>
      <c r="G102" s="1">
        <v>7.91</v>
      </c>
      <c r="H102" s="1">
        <v>0</v>
      </c>
      <c r="I102" s="1">
        <v>0</v>
      </c>
      <c r="J102" s="1">
        <v>2.0285000000000002</v>
      </c>
      <c r="K102" s="1">
        <v>-8.4019999999999997E-3</v>
      </c>
      <c r="L102" s="1">
        <v>1.459E-3</v>
      </c>
      <c r="M102" s="1">
        <v>0.98522299999999996</v>
      </c>
      <c r="N102" s="1">
        <v>0.17106199999999999</v>
      </c>
      <c r="O102">
        <v>1</v>
      </c>
      <c r="P102">
        <v>0</v>
      </c>
      <c r="Q102">
        <v>1</v>
      </c>
      <c r="R102">
        <v>1</v>
      </c>
      <c r="S102">
        <v>1</v>
      </c>
      <c r="T102" s="1">
        <f>SQRT(POWER(Breakout[[#This Row],[angvel_X]],2) + POWER(Breakout[[#This Row],[angvel_Y]],2) + POWER(Breakout[[#This Row],[angvel_Z]],2))</f>
        <v>2.0285000000000002</v>
      </c>
      <c r="U102" s="1">
        <f>DEGREES(ASIN(MAX(-1,MIN(1,2 * (Breakout[[#This Row],[quart_W]]*Breakout[[#This Row],[quart_Y]] - Breakout[[#This Row],[quart_Z]]*Breakout[[#This Row],[quart_X]])))))</f>
        <v>0.97721808541023336</v>
      </c>
      <c r="V10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-70.300112504248347</v>
      </c>
      <c r="W10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89.999979664718254</v>
      </c>
      <c r="X102" s="1">
        <f>IF(Breakout[[#This Row],[Yaw]]&gt;V101,(360-ABS(Breakout[[#This Row],[Yaw]])-ABS(V101)),ABS(Breakout[[#This Row],[Yaw]]-V101))</f>
        <v>0.96757611130384191</v>
      </c>
      <c r="Y102" s="1">
        <f>Breakout[[#This Row],[Degree change]]+Y101</f>
        <v>39.452645382624972</v>
      </c>
    </row>
    <row r="103" spans="1:25">
      <c r="A103">
        <v>102</v>
      </c>
      <c r="B103" s="1">
        <v>-314.44998199999998</v>
      </c>
      <c r="C103" s="1">
        <v>2574.6499020000001</v>
      </c>
      <c r="D103" s="1">
        <v>18.34</v>
      </c>
      <c r="E103" s="1">
        <v>-2125.639893</v>
      </c>
      <c r="F103" s="1">
        <v>878.38000499999998</v>
      </c>
      <c r="G103" s="1">
        <v>7.91</v>
      </c>
      <c r="H103" s="1">
        <v>0</v>
      </c>
      <c r="I103" s="1">
        <v>0</v>
      </c>
      <c r="J103" s="1">
        <v>2.0303</v>
      </c>
      <c r="K103" s="1">
        <v>-8.4130000000000003E-3</v>
      </c>
      <c r="L103" s="1">
        <v>1.389E-3</v>
      </c>
      <c r="M103" s="1">
        <v>0.98663400000000001</v>
      </c>
      <c r="N103" s="1">
        <v>0.16272700000000001</v>
      </c>
      <c r="O103">
        <v>1</v>
      </c>
      <c r="P103">
        <v>0</v>
      </c>
      <c r="Q103">
        <v>1</v>
      </c>
      <c r="R103">
        <v>1</v>
      </c>
      <c r="S103">
        <v>1</v>
      </c>
      <c r="T103" s="1">
        <f>SQRT(POWER(Breakout[[#This Row],[angvel_X]],2) + POWER(Breakout[[#This Row],[angvel_Y]],2) + POWER(Breakout[[#This Row],[angvel_Z]],2))</f>
        <v>2.0303</v>
      </c>
      <c r="U103" s="1">
        <f>DEGREES(ASIN(MAX(-1,MIN(1,2 * (Breakout[[#This Row],[quart_W]]*Breakout[[#This Row],[quart_Y]] - Breakout[[#This Row],[quart_Z]]*Breakout[[#This Row],[quart_X]])))))</f>
        <v>0.97712141807010955</v>
      </c>
      <c r="V10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-71.268865236491621</v>
      </c>
      <c r="W10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89.999838130208403</v>
      </c>
      <c r="X103" s="1">
        <f>IF(Breakout[[#This Row],[Yaw]]&gt;V102,(360-ABS(Breakout[[#This Row],[Yaw]])-ABS(V102)),ABS(Breakout[[#This Row],[Yaw]]-V102))</f>
        <v>0.96875273224327429</v>
      </c>
      <c r="Y103" s="1">
        <f>Breakout[[#This Row],[Degree change]]+Y102</f>
        <v>40.421398114868246</v>
      </c>
    </row>
    <row r="104" spans="1:25">
      <c r="A104">
        <v>103</v>
      </c>
      <c r="B104" s="1">
        <v>-332.22998000000001</v>
      </c>
      <c r="C104" s="1">
        <v>2581.98999</v>
      </c>
      <c r="D104" s="1">
        <v>18.34</v>
      </c>
      <c r="E104" s="1">
        <v>-2140.0500489999999</v>
      </c>
      <c r="F104" s="1">
        <v>842.669983</v>
      </c>
      <c r="G104" s="1">
        <v>7.91</v>
      </c>
      <c r="H104" s="1">
        <v>0</v>
      </c>
      <c r="I104" s="1">
        <v>0</v>
      </c>
      <c r="J104" s="1">
        <v>2.032</v>
      </c>
      <c r="K104" s="1">
        <v>-8.4239999999999992E-3</v>
      </c>
      <c r="L104" s="1">
        <v>1.3190000000000001E-3</v>
      </c>
      <c r="M104" s="1">
        <v>0.98797500000000005</v>
      </c>
      <c r="N104" s="1">
        <v>0.15437500000000001</v>
      </c>
      <c r="O104">
        <v>1</v>
      </c>
      <c r="P104">
        <v>0</v>
      </c>
      <c r="Q104">
        <v>1</v>
      </c>
      <c r="R104">
        <v>1</v>
      </c>
      <c r="S104">
        <v>1</v>
      </c>
      <c r="T104" s="1">
        <f>SQRT(POWER(Breakout[[#This Row],[angvel_X]],2) + POWER(Breakout[[#This Row],[angvel_Y]],2) + POWER(Breakout[[#This Row],[angvel_Z]],2))</f>
        <v>2.032</v>
      </c>
      <c r="U104" s="1">
        <f>DEGREES(ASIN(MAX(-1,MIN(1,2 * (Breakout[[#This Row],[quart_W]]*Breakout[[#This Row],[quart_Y]] - Breakout[[#This Row],[quart_Z]]*Breakout[[#This Row],[quart_X]])))))</f>
        <v>0.97709189269935071</v>
      </c>
      <c r="V10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-72.238223602049644</v>
      </c>
      <c r="W10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89.999692388661927</v>
      </c>
      <c r="X104" s="1">
        <f>IF(Breakout[[#This Row],[Yaw]]&gt;V103,(360-ABS(Breakout[[#This Row],[Yaw]])-ABS(V103)),ABS(Breakout[[#This Row],[Yaw]]-V103))</f>
        <v>0.96935836555802268</v>
      </c>
      <c r="Y104" s="1">
        <f>Breakout[[#This Row],[Degree change]]+Y103</f>
        <v>41.390756480426269</v>
      </c>
    </row>
    <row r="105" spans="1:25">
      <c r="A105">
        <v>104</v>
      </c>
      <c r="B105" s="1">
        <v>-350.13000499999998</v>
      </c>
      <c r="C105" s="1">
        <v>2589.030029</v>
      </c>
      <c r="D105" s="1">
        <v>18.34</v>
      </c>
      <c r="E105" s="1">
        <v>-2153.8798830000001</v>
      </c>
      <c r="F105" s="1">
        <v>806.65997300000004</v>
      </c>
      <c r="G105" s="1">
        <v>7.92</v>
      </c>
      <c r="H105" s="1">
        <v>0</v>
      </c>
      <c r="I105" s="1">
        <v>0</v>
      </c>
      <c r="J105" s="1">
        <v>2.0335000000000001</v>
      </c>
      <c r="K105" s="1">
        <v>-8.4349999999999998E-3</v>
      </c>
      <c r="L105" s="1">
        <v>1.2489999999999999E-3</v>
      </c>
      <c r="M105" s="1">
        <v>0.98924699999999999</v>
      </c>
      <c r="N105" s="1">
        <v>0.14600299999999999</v>
      </c>
      <c r="O105">
        <v>1</v>
      </c>
      <c r="P105">
        <v>0</v>
      </c>
      <c r="Q105">
        <v>1</v>
      </c>
      <c r="R105">
        <v>1</v>
      </c>
      <c r="S105">
        <v>1</v>
      </c>
      <c r="T105" s="1">
        <f>SQRT(POWER(Breakout[[#This Row],[angvel_X]],2) + POWER(Breakout[[#This Row],[angvel_Y]],2) + POWER(Breakout[[#This Row],[angvel_Z]],2))</f>
        <v>2.0335000000000001</v>
      </c>
      <c r="U105" s="1">
        <f>DEGREES(ASIN(MAX(-1,MIN(1,2 * (Breakout[[#This Row],[quart_W]]*Breakout[[#This Row],[quart_Y]] - Breakout[[#This Row],[quart_Z]]*Breakout[[#This Row],[quart_X]])))))</f>
        <v>0.97713019098590925</v>
      </c>
      <c r="V10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-73.208639367378709</v>
      </c>
      <c r="W10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89.999537647727223</v>
      </c>
      <c r="X105" s="1">
        <f>IF(Breakout[[#This Row],[Yaw]]&gt;V104,(360-ABS(Breakout[[#This Row],[Yaw]])-ABS(V104)),ABS(Breakout[[#This Row],[Yaw]]-V104))</f>
        <v>0.97041576532906504</v>
      </c>
      <c r="Y105" s="1">
        <f>Breakout[[#This Row],[Degree change]]+Y104</f>
        <v>42.361172245755334</v>
      </c>
    </row>
    <row r="106" spans="1:25">
      <c r="A106">
        <v>105</v>
      </c>
      <c r="B106" s="1">
        <v>-368.13998400000003</v>
      </c>
      <c r="C106" s="1">
        <v>2595.7700199999999</v>
      </c>
      <c r="D106" s="1">
        <v>18.34</v>
      </c>
      <c r="E106" s="1">
        <v>-2167.1298830000001</v>
      </c>
      <c r="F106" s="1">
        <v>770.36999500000002</v>
      </c>
      <c r="G106" s="1">
        <v>7.92</v>
      </c>
      <c r="H106" s="1">
        <v>0</v>
      </c>
      <c r="I106" s="1">
        <v>0</v>
      </c>
      <c r="J106" s="1">
        <v>2.0348999999999999</v>
      </c>
      <c r="K106" s="1">
        <v>-8.4460000000000004E-3</v>
      </c>
      <c r="L106" s="1">
        <v>1.1789999999999999E-3</v>
      </c>
      <c r="M106" s="1">
        <v>0.99044900000000002</v>
      </c>
      <c r="N106" s="1">
        <v>0.13761399999999999</v>
      </c>
      <c r="O106">
        <v>1</v>
      </c>
      <c r="P106">
        <v>0</v>
      </c>
      <c r="Q106">
        <v>1</v>
      </c>
      <c r="R106">
        <v>1</v>
      </c>
      <c r="S106">
        <v>1</v>
      </c>
      <c r="T106" s="1">
        <f>SQRT(POWER(Breakout[[#This Row],[angvel_X]],2) + POWER(Breakout[[#This Row],[angvel_Y]],2) + POWER(Breakout[[#This Row],[angvel_Z]],2))</f>
        <v>2.0348999999999999</v>
      </c>
      <c r="U106" s="1">
        <f>DEGREES(ASIN(MAX(-1,MIN(1,2 * (Breakout[[#This Row],[quart_W]]*Breakout[[#This Row],[quart_Y]] - Breakout[[#This Row],[quart_Z]]*Breakout[[#This Row],[quart_X]])))))</f>
        <v>0.97723597071193458</v>
      </c>
      <c r="V10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-74.179811707305035</v>
      </c>
      <c r="W10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89.999375210146397</v>
      </c>
      <c r="X106" s="1">
        <f>IF(Breakout[[#This Row],[Yaw]]&gt;V105,(360-ABS(Breakout[[#This Row],[Yaw]])-ABS(V105)),ABS(Breakout[[#This Row],[Yaw]]-V105))</f>
        <v>0.97117233992632634</v>
      </c>
      <c r="Y106" s="1">
        <f>Breakout[[#This Row],[Degree change]]+Y105</f>
        <v>43.33234458568166</v>
      </c>
    </row>
    <row r="107" spans="1:25">
      <c r="A107">
        <v>106</v>
      </c>
      <c r="B107" s="1">
        <v>-386.26998900000001</v>
      </c>
      <c r="C107" s="1">
        <v>2602.209961</v>
      </c>
      <c r="D107" s="1">
        <v>18.34</v>
      </c>
      <c r="E107" s="1">
        <v>-2179.780029</v>
      </c>
      <c r="F107" s="1">
        <v>733.80999799999995</v>
      </c>
      <c r="G107" s="1">
        <v>7.92</v>
      </c>
      <c r="H107" s="1">
        <v>0</v>
      </c>
      <c r="I107" s="1">
        <v>0</v>
      </c>
      <c r="J107" s="1">
        <v>2.0362</v>
      </c>
      <c r="K107" s="1">
        <v>-8.456E-3</v>
      </c>
      <c r="L107" s="1">
        <v>1.109E-3</v>
      </c>
      <c r="M107" s="1">
        <v>0.99158100000000005</v>
      </c>
      <c r="N107" s="1">
        <v>0.12920899999999999</v>
      </c>
      <c r="O107">
        <v>1</v>
      </c>
      <c r="P107">
        <v>0</v>
      </c>
      <c r="Q107">
        <v>1</v>
      </c>
      <c r="R107">
        <v>1</v>
      </c>
      <c r="S107">
        <v>1</v>
      </c>
      <c r="T107" s="1">
        <f>SQRT(POWER(Breakout[[#This Row],[angvel_X]],2) + POWER(Breakout[[#This Row],[angvel_Y]],2) + POWER(Breakout[[#This Row],[angvel_Z]],2))</f>
        <v>2.0362</v>
      </c>
      <c r="U107" s="1">
        <f>DEGREES(ASIN(MAX(-1,MIN(1,2 * (Breakout[[#This Row],[quart_W]]*Breakout[[#This Row],[quart_Y]] - Breakout[[#This Row],[quart_Z]]*Breakout[[#This Row],[quart_X]])))))</f>
        <v>0.97729586004466928</v>
      </c>
      <c r="V10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-75.151704990602468</v>
      </c>
      <c r="W10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89.999189487726539</v>
      </c>
      <c r="X107" s="1">
        <f>IF(Breakout[[#This Row],[Yaw]]&gt;V106,(360-ABS(Breakout[[#This Row],[Yaw]])-ABS(V106)),ABS(Breakout[[#This Row],[Yaw]]-V106))</f>
        <v>0.97189328329743319</v>
      </c>
      <c r="Y107" s="1">
        <f>Breakout[[#This Row],[Degree change]]+Y106</f>
        <v>44.304237868979094</v>
      </c>
    </row>
    <row r="108" spans="1:25">
      <c r="A108">
        <v>107</v>
      </c>
      <c r="B108" s="1">
        <v>-404.5</v>
      </c>
      <c r="C108" s="1">
        <v>2608.3398440000001</v>
      </c>
      <c r="D108" s="1">
        <v>18.34</v>
      </c>
      <c r="E108" s="1">
        <v>-2191.8298340000001</v>
      </c>
      <c r="F108" s="1">
        <v>696.98999000000003</v>
      </c>
      <c r="G108" s="1">
        <v>7.92</v>
      </c>
      <c r="H108" s="1">
        <v>0</v>
      </c>
      <c r="I108" s="1">
        <v>0</v>
      </c>
      <c r="J108" s="1">
        <v>2.0373999999999999</v>
      </c>
      <c r="K108" s="1">
        <v>-8.4670000000000006E-3</v>
      </c>
      <c r="L108" s="1">
        <v>1.039E-3</v>
      </c>
      <c r="M108" s="1">
        <v>0.992641</v>
      </c>
      <c r="N108" s="1">
        <v>0.120793</v>
      </c>
      <c r="O108">
        <v>1</v>
      </c>
      <c r="P108">
        <v>0</v>
      </c>
      <c r="Q108">
        <v>1</v>
      </c>
      <c r="R108">
        <v>1</v>
      </c>
      <c r="S108">
        <v>1</v>
      </c>
      <c r="T108" s="1">
        <f>SQRT(POWER(Breakout[[#This Row],[angvel_X]],2) + POWER(Breakout[[#This Row],[angvel_Y]],2) + POWER(Breakout[[#This Row],[angvel_Z]],2))</f>
        <v>2.0373999999999999</v>
      </c>
      <c r="U108" s="1">
        <f>DEGREES(ASIN(MAX(-1,MIN(1,2 * (Breakout[[#This Row],[quart_W]]*Breakout[[#This Row],[quart_Y]] - Breakout[[#This Row],[quart_Z]]*Breakout[[#This Row],[quart_X]])))))</f>
        <v>0.97753579891711528</v>
      </c>
      <c r="V10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-76.123756290082056</v>
      </c>
      <c r="W10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89.999014407194466</v>
      </c>
      <c r="X108" s="1">
        <f>IF(Breakout[[#This Row],[Yaw]]&gt;V107,(360-ABS(Breakout[[#This Row],[Yaw]])-ABS(V107)),ABS(Breakout[[#This Row],[Yaw]]-V107))</f>
        <v>0.97205129947958824</v>
      </c>
      <c r="Y108" s="1">
        <f>Breakout[[#This Row],[Degree change]]+Y107</f>
        <v>45.276289168458682</v>
      </c>
    </row>
    <row r="109" spans="1:25">
      <c r="A109">
        <v>108</v>
      </c>
      <c r="B109" s="1">
        <v>-422.82998700000002</v>
      </c>
      <c r="C109" s="1">
        <v>2614.1599120000001</v>
      </c>
      <c r="D109" s="1">
        <v>18.34</v>
      </c>
      <c r="E109" s="1">
        <v>-2203.2700199999999</v>
      </c>
      <c r="F109" s="1">
        <v>659.94000200000005</v>
      </c>
      <c r="G109" s="1">
        <v>7.92</v>
      </c>
      <c r="H109" s="1">
        <v>0</v>
      </c>
      <c r="I109" s="1">
        <v>0</v>
      </c>
      <c r="J109" s="1">
        <v>2.0385</v>
      </c>
      <c r="K109" s="1">
        <v>-8.4779999999999994E-3</v>
      </c>
      <c r="L109" s="1">
        <v>9.68E-4</v>
      </c>
      <c r="M109" s="1">
        <v>0.99363100000000004</v>
      </c>
      <c r="N109" s="1">
        <v>0.112361</v>
      </c>
      <c r="O109">
        <v>1</v>
      </c>
      <c r="P109">
        <v>0</v>
      </c>
      <c r="Q109">
        <v>1</v>
      </c>
      <c r="R109">
        <v>1</v>
      </c>
      <c r="S109">
        <v>1</v>
      </c>
      <c r="T109" s="1">
        <f>SQRT(POWER(Breakout[[#This Row],[angvel_X]],2) + POWER(Breakout[[#This Row],[angvel_Y]],2) + POWER(Breakout[[#This Row],[angvel_Z]],2))</f>
        <v>2.0385</v>
      </c>
      <c r="U109" s="1">
        <f>DEGREES(ASIN(MAX(-1,MIN(1,2 * (Breakout[[#This Row],[quart_W]]*Breakout[[#This Row],[quart_Y]] - Breakout[[#This Row],[quart_Z]]*Breakout[[#This Row],[quart_X]])))))</f>
        <v>0.97783077669874707</v>
      </c>
      <c r="V10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-77.096674740480836</v>
      </c>
      <c r="W10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89.998941220343028</v>
      </c>
      <c r="X109" s="1">
        <f>IF(Breakout[[#This Row],[Yaw]]&gt;V108,(360-ABS(Breakout[[#This Row],[Yaw]])-ABS(V108)),ABS(Breakout[[#This Row],[Yaw]]-V108))</f>
        <v>0.97291845039877956</v>
      </c>
      <c r="Y109" s="1">
        <f>Breakout[[#This Row],[Degree change]]+Y108</f>
        <v>46.249207618857461</v>
      </c>
    </row>
    <row r="110" spans="1:25">
      <c r="A110">
        <v>109</v>
      </c>
      <c r="B110" s="1">
        <v>-441.25997899999999</v>
      </c>
      <c r="C110" s="1">
        <v>2619.669922</v>
      </c>
      <c r="D110" s="1">
        <v>18.34</v>
      </c>
      <c r="E110" s="1">
        <v>-2214.0898440000001</v>
      </c>
      <c r="F110" s="1">
        <v>622.65997300000004</v>
      </c>
      <c r="G110" s="1">
        <v>7.92</v>
      </c>
      <c r="H110" s="1">
        <v>0</v>
      </c>
      <c r="I110" s="1">
        <v>0</v>
      </c>
      <c r="J110" s="1">
        <v>2.0396000000000001</v>
      </c>
      <c r="K110" s="1">
        <v>-8.4829999999999992E-3</v>
      </c>
      <c r="L110" s="1">
        <v>8.9800000000000004E-4</v>
      </c>
      <c r="M110" s="1">
        <v>0.99454900000000002</v>
      </c>
      <c r="N110" s="1">
        <v>0.103918</v>
      </c>
      <c r="O110">
        <v>1</v>
      </c>
      <c r="P110">
        <v>0</v>
      </c>
      <c r="Q110">
        <v>1</v>
      </c>
      <c r="R110">
        <v>1</v>
      </c>
      <c r="S110">
        <v>1</v>
      </c>
      <c r="T110" s="1">
        <f>SQRT(POWER(Breakout[[#This Row],[angvel_X]],2) + POWER(Breakout[[#This Row],[angvel_Y]],2) + POWER(Breakout[[#This Row],[angvel_Z]],2))</f>
        <v>2.0396000000000001</v>
      </c>
      <c r="U110" s="1">
        <f>DEGREES(ASIN(MAX(-1,MIN(1,2 * (Breakout[[#This Row],[quart_W]]*Breakout[[#This Row],[quart_Y]] - Breakout[[#This Row],[quart_Z]]*Breakout[[#This Row],[quart_X]])))))</f>
        <v>0.97752230459925771</v>
      </c>
      <c r="V11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-78.069902531339736</v>
      </c>
      <c r="W11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89.998674142214526</v>
      </c>
      <c r="X110" s="1">
        <f>IF(Breakout[[#This Row],[Yaw]]&gt;V109,(360-ABS(Breakout[[#This Row],[Yaw]])-ABS(V109)),ABS(Breakout[[#This Row],[Yaw]]-V109))</f>
        <v>0.97322779085889977</v>
      </c>
      <c r="Y110" s="1">
        <f>Breakout[[#This Row],[Degree change]]+Y109</f>
        <v>47.222435409716361</v>
      </c>
    </row>
    <row r="111" spans="1:25">
      <c r="A111">
        <v>110</v>
      </c>
      <c r="B111" s="1">
        <v>-459.77999899999998</v>
      </c>
      <c r="C111" s="1">
        <v>2624.8698730000001</v>
      </c>
      <c r="D111" s="1">
        <v>18.34</v>
      </c>
      <c r="E111" s="1">
        <v>-2224.3000489999999</v>
      </c>
      <c r="F111" s="1">
        <v>585.15997300000004</v>
      </c>
      <c r="G111" s="1">
        <v>7.92</v>
      </c>
      <c r="H111" s="1">
        <v>1E-4</v>
      </c>
      <c r="I111" s="1">
        <v>0</v>
      </c>
      <c r="J111" s="1">
        <v>2.0406</v>
      </c>
      <c r="K111" s="1">
        <v>-8.489E-3</v>
      </c>
      <c r="L111" s="1">
        <v>8.2799999999999996E-4</v>
      </c>
      <c r="M111" s="1">
        <v>0.99539599999999995</v>
      </c>
      <c r="N111" s="1">
        <v>9.5463999999999993E-2</v>
      </c>
      <c r="O111">
        <v>1</v>
      </c>
      <c r="P111">
        <v>0</v>
      </c>
      <c r="Q111">
        <v>1</v>
      </c>
      <c r="R111">
        <v>1</v>
      </c>
      <c r="S111">
        <v>1</v>
      </c>
      <c r="T111" s="1">
        <f>SQRT(POWER(Breakout[[#This Row],[angvel_X]],2) + POWER(Breakout[[#This Row],[angvel_Y]],2) + POWER(Breakout[[#This Row],[angvel_Z]],2))</f>
        <v>2.0406000024502595</v>
      </c>
      <c r="U111" s="1">
        <f>DEGREES(ASIN(MAX(-1,MIN(1,2 * (Breakout[[#This Row],[quart_W]]*Breakout[[#This Row],[quart_Y]] - Breakout[[#This Row],[quart_Z]]*Breakout[[#This Row],[quart_X]])))))</f>
        <v>0.97739432215475974</v>
      </c>
      <c r="V11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-79.043549728590946</v>
      </c>
      <c r="W11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89.998419094934334</v>
      </c>
      <c r="X111" s="1">
        <f>IF(Breakout[[#This Row],[Yaw]]&gt;V110,(360-ABS(Breakout[[#This Row],[Yaw]])-ABS(V110)),ABS(Breakout[[#This Row],[Yaw]]-V110))</f>
        <v>0.97364719725121063</v>
      </c>
      <c r="Y111" s="1">
        <f>Breakout[[#This Row],[Degree change]]+Y110</f>
        <v>48.196082606967572</v>
      </c>
    </row>
    <row r="112" spans="1:25">
      <c r="A112">
        <v>111</v>
      </c>
      <c r="B112" s="1">
        <v>-478.379974</v>
      </c>
      <c r="C112" s="1">
        <v>2629.76001</v>
      </c>
      <c r="D112" s="1">
        <v>18.34</v>
      </c>
      <c r="E112" s="1">
        <v>-2233.8698730000001</v>
      </c>
      <c r="F112" s="1">
        <v>547.45996100000002</v>
      </c>
      <c r="G112" s="1">
        <v>7.92</v>
      </c>
      <c r="H112" s="1">
        <v>2.0000000000000001E-4</v>
      </c>
      <c r="I112" s="1">
        <v>0</v>
      </c>
      <c r="J112" s="1">
        <v>2.0415000000000001</v>
      </c>
      <c r="K112" s="1">
        <v>-8.4939999999999998E-3</v>
      </c>
      <c r="L112" s="1">
        <v>7.5799999999999999E-4</v>
      </c>
      <c r="M112" s="1">
        <v>0.99617199999999995</v>
      </c>
      <c r="N112" s="1">
        <v>8.6999999999999994E-2</v>
      </c>
      <c r="O112">
        <v>1</v>
      </c>
      <c r="P112">
        <v>0</v>
      </c>
      <c r="Q112">
        <v>1</v>
      </c>
      <c r="R112">
        <v>1</v>
      </c>
      <c r="S112">
        <v>1</v>
      </c>
      <c r="T112" s="1">
        <f>SQRT(POWER(Breakout[[#This Row],[angvel_X]],2) + POWER(Breakout[[#This Row],[angvel_Y]],2) + POWER(Breakout[[#This Row],[angvel_Z]],2))</f>
        <v>2.0415000097967182</v>
      </c>
      <c r="U112" s="1">
        <f>DEGREES(ASIN(MAX(-1,MIN(1,2 * (Breakout[[#This Row],[quart_W]]*Breakout[[#This Row],[quart_Y]] - Breakout[[#This Row],[quart_Z]]*Breakout[[#This Row],[quart_X]])))))</f>
        <v>0.97721898668933971</v>
      </c>
      <c r="V11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-80.017572326472674</v>
      </c>
      <c r="W11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89.998152472268671</v>
      </c>
      <c r="X112" s="1">
        <f>IF(Breakout[[#This Row],[Yaw]]&gt;V111,(360-ABS(Breakout[[#This Row],[Yaw]])-ABS(V111)),ABS(Breakout[[#This Row],[Yaw]]-V111))</f>
        <v>0.97402259788172785</v>
      </c>
      <c r="Y112" s="1">
        <f>Breakout[[#This Row],[Degree change]]+Y111</f>
        <v>49.1701052048493</v>
      </c>
    </row>
    <row r="113" spans="1:25">
      <c r="A113">
        <v>112</v>
      </c>
      <c r="B113" s="1">
        <v>-497.05999800000001</v>
      </c>
      <c r="C113" s="1">
        <v>2634.3298340000001</v>
      </c>
      <c r="D113" s="1">
        <v>18.34</v>
      </c>
      <c r="E113" s="1">
        <v>-2242.820068</v>
      </c>
      <c r="F113" s="1">
        <v>509.57998700000002</v>
      </c>
      <c r="G113" s="1">
        <v>7.92</v>
      </c>
      <c r="H113" s="1">
        <v>2.0000000000000001E-4</v>
      </c>
      <c r="I113" s="1">
        <v>0</v>
      </c>
      <c r="J113" s="1">
        <v>2.0423</v>
      </c>
      <c r="K113" s="1">
        <v>-8.5000000000000006E-3</v>
      </c>
      <c r="L113" s="1">
        <v>6.8199999999999999E-4</v>
      </c>
      <c r="M113" s="1">
        <v>0.99687599999999998</v>
      </c>
      <c r="N113" s="1">
        <v>7.8523999999999997E-2</v>
      </c>
      <c r="O113">
        <v>1</v>
      </c>
      <c r="P113">
        <v>0</v>
      </c>
      <c r="Q113">
        <v>1</v>
      </c>
      <c r="R113">
        <v>1</v>
      </c>
      <c r="S113">
        <v>1</v>
      </c>
      <c r="T113" s="1">
        <f>SQRT(POWER(Breakout[[#This Row],[angvel_X]],2) + POWER(Breakout[[#This Row],[angvel_Y]],2) + POWER(Breakout[[#This Row],[angvel_Z]],2))</f>
        <v>2.0423000097928803</v>
      </c>
      <c r="U113" s="1">
        <f>DEGREES(ASIN(MAX(-1,MIN(1,2 * (Breakout[[#This Row],[quart_W]]*Breakout[[#This Row],[quart_Y]] - Breakout[[#This Row],[quart_Z]]*Breakout[[#This Row],[quart_X]])))))</f>
        <v>0.97716952177841743</v>
      </c>
      <c r="V11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-80.992230100998015</v>
      </c>
      <c r="W11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89.998577089357184</v>
      </c>
      <c r="X113" s="1">
        <f>IF(Breakout[[#This Row],[Yaw]]&gt;V112,(360-ABS(Breakout[[#This Row],[Yaw]])-ABS(V112)),ABS(Breakout[[#This Row],[Yaw]]-V112))</f>
        <v>0.97465777452534041</v>
      </c>
      <c r="Y113" s="1">
        <f>Breakout[[#This Row],[Degree change]]+Y112</f>
        <v>50.14476297937464</v>
      </c>
    </row>
    <row r="114" spans="1:25">
      <c r="A114">
        <v>113</v>
      </c>
      <c r="B114" s="1">
        <v>-515.82000700000003</v>
      </c>
      <c r="C114" s="1">
        <v>2638.5898440000001</v>
      </c>
      <c r="D114" s="1">
        <v>18.34</v>
      </c>
      <c r="E114" s="1">
        <v>-2251.1298830000001</v>
      </c>
      <c r="F114" s="1">
        <v>471.51998900000001</v>
      </c>
      <c r="G114" s="1">
        <v>7.92</v>
      </c>
      <c r="H114" s="1">
        <v>2.0000000000000001E-4</v>
      </c>
      <c r="I114" s="1">
        <v>0</v>
      </c>
      <c r="J114" s="1">
        <v>2.0430999999999999</v>
      </c>
      <c r="K114" s="1">
        <v>-8.5050000000000004E-3</v>
      </c>
      <c r="L114" s="1">
        <v>6.0700000000000001E-4</v>
      </c>
      <c r="M114" s="1">
        <v>0.99750799999999995</v>
      </c>
      <c r="N114" s="1">
        <v>7.0038000000000003E-2</v>
      </c>
      <c r="O114">
        <v>1</v>
      </c>
      <c r="P114">
        <v>0</v>
      </c>
      <c r="Q114">
        <v>1</v>
      </c>
      <c r="R114">
        <v>1</v>
      </c>
      <c r="S114">
        <v>1</v>
      </c>
      <c r="T114" s="1">
        <f>SQRT(POWER(Breakout[[#This Row],[angvel_X]],2) + POWER(Breakout[[#This Row],[angvel_Y]],2) + POWER(Breakout[[#This Row],[angvel_Z]],2))</f>
        <v>2.0431000097890459</v>
      </c>
      <c r="U114" s="1">
        <f>DEGREES(ASIN(MAX(-1,MIN(1,2 * (Breakout[[#This Row],[quart_W]]*Breakout[[#This Row],[quart_Y]] - Breakout[[#This Row],[quart_Z]]*Breakout[[#This Row],[quart_X]])))))</f>
        <v>0.97709150085383312</v>
      </c>
      <c r="V11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-81.967380304293599</v>
      </c>
      <c r="W11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89.998875215866235</v>
      </c>
      <c r="X114" s="1">
        <f>IF(Breakout[[#This Row],[Yaw]]&gt;V113,(360-ABS(Breakout[[#This Row],[Yaw]])-ABS(V113)),ABS(Breakout[[#This Row],[Yaw]]-V113))</f>
        <v>0.97515020329558411</v>
      </c>
      <c r="Y114" s="1">
        <f>Breakout[[#This Row],[Degree change]]+Y113</f>
        <v>51.119913182670224</v>
      </c>
    </row>
    <row r="115" spans="1:25">
      <c r="A115">
        <v>114</v>
      </c>
      <c r="B115" s="1">
        <v>-534.64996299999996</v>
      </c>
      <c r="C115" s="1">
        <v>2642.530029</v>
      </c>
      <c r="D115" s="1">
        <v>18.34</v>
      </c>
      <c r="E115" s="1">
        <v>-2258.8000489999999</v>
      </c>
      <c r="F115" s="1">
        <v>433.28997800000002</v>
      </c>
      <c r="G115" s="1">
        <v>7.92</v>
      </c>
      <c r="H115" s="1">
        <v>2.0000000000000001E-4</v>
      </c>
      <c r="I115" s="1">
        <v>0</v>
      </c>
      <c r="J115" s="1">
        <v>2.0438000000000001</v>
      </c>
      <c r="K115" s="1">
        <v>-8.5100000000000002E-3</v>
      </c>
      <c r="L115" s="1">
        <v>5.31E-4</v>
      </c>
      <c r="M115" s="1">
        <v>0.99806799999999996</v>
      </c>
      <c r="N115" s="1">
        <v>6.1546999999999998E-2</v>
      </c>
      <c r="O115">
        <v>1</v>
      </c>
      <c r="P115">
        <v>0</v>
      </c>
      <c r="Q115">
        <v>1</v>
      </c>
      <c r="R115">
        <v>1</v>
      </c>
      <c r="S115">
        <v>1</v>
      </c>
      <c r="T115" s="1">
        <f>SQRT(POWER(Breakout[[#This Row],[angvel_X]],2) + POWER(Breakout[[#This Row],[angvel_Y]],2) + POWER(Breakout[[#This Row],[angvel_Z]],2))</f>
        <v>2.0438000097856932</v>
      </c>
      <c r="U115" s="1">
        <f>DEGREES(ASIN(MAX(-1,MIN(1,2 * (Breakout[[#This Row],[quart_W]]*Breakout[[#This Row],[quart_Y]] - Breakout[[#This Row],[quart_Z]]*Breakout[[#This Row],[quart_X]])))))</f>
        <v>0.97708250766112881</v>
      </c>
      <c r="V11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-82.942527162718136</v>
      </c>
      <c r="W11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89.99928838172417</v>
      </c>
      <c r="X115" s="1">
        <f>IF(Breakout[[#This Row],[Yaw]]&gt;V114,(360-ABS(Breakout[[#This Row],[Yaw]])-ABS(V114)),ABS(Breakout[[#This Row],[Yaw]]-V114))</f>
        <v>0.9751468584245373</v>
      </c>
      <c r="Y115" s="1">
        <f>Breakout[[#This Row],[Degree change]]+Y114</f>
        <v>52.095060041094762</v>
      </c>
    </row>
    <row r="116" spans="1:25">
      <c r="A116">
        <v>115</v>
      </c>
      <c r="B116" s="1">
        <v>-553.53997800000002</v>
      </c>
      <c r="C116" s="1">
        <v>2646.1499020000001</v>
      </c>
      <c r="D116" s="1">
        <v>18.34</v>
      </c>
      <c r="E116" s="1">
        <v>-2265.820068</v>
      </c>
      <c r="F116" s="1">
        <v>394.919983</v>
      </c>
      <c r="G116" s="1">
        <v>7.92</v>
      </c>
      <c r="H116" s="1">
        <v>1E-4</v>
      </c>
      <c r="I116" s="1">
        <v>0</v>
      </c>
      <c r="J116" s="1">
        <v>2.0445000000000002</v>
      </c>
      <c r="K116" s="1">
        <v>-8.5159999999999993E-3</v>
      </c>
      <c r="L116" s="1">
        <v>4.5600000000000003E-4</v>
      </c>
      <c r="M116" s="1">
        <v>0.998556</v>
      </c>
      <c r="N116" s="1">
        <v>5.3045000000000002E-2</v>
      </c>
      <c r="O116">
        <v>1</v>
      </c>
      <c r="P116">
        <v>0</v>
      </c>
      <c r="Q116">
        <v>1</v>
      </c>
      <c r="R116">
        <v>1</v>
      </c>
      <c r="S116">
        <v>1</v>
      </c>
      <c r="T116" s="1">
        <f>SQRT(POWER(Breakout[[#This Row],[angvel_X]],2) + POWER(Breakout[[#This Row],[angvel_Y]],2) + POWER(Breakout[[#This Row],[angvel_Z]],2))</f>
        <v>2.0445000024455857</v>
      </c>
      <c r="U116" s="1">
        <f>DEGREES(ASIN(MAX(-1,MIN(1,2 * (Breakout[[#This Row],[quart_W]]*Breakout[[#This Row],[quart_Y]] - Breakout[[#This Row],[quart_Z]]*Breakout[[#This Row],[quart_X]])))))</f>
        <v>0.97727175781920739</v>
      </c>
      <c r="V11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-83.918424059334427</v>
      </c>
      <c r="W11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89.999586228073568</v>
      </c>
      <c r="X116" s="1">
        <f>IF(Breakout[[#This Row],[Yaw]]&gt;V115,(360-ABS(Breakout[[#This Row],[Yaw]])-ABS(V115)),ABS(Breakout[[#This Row],[Yaw]]-V115))</f>
        <v>0.97589689661629109</v>
      </c>
      <c r="Y116" s="1">
        <f>Breakout[[#This Row],[Degree change]]+Y115</f>
        <v>53.070956937711053</v>
      </c>
    </row>
    <row r="117" spans="1:25">
      <c r="A117">
        <v>116</v>
      </c>
      <c r="B117" s="1">
        <v>-572.48999000000003</v>
      </c>
      <c r="C117" s="1">
        <v>2649.4499510000001</v>
      </c>
      <c r="D117" s="1">
        <v>18.34</v>
      </c>
      <c r="E117" s="1">
        <v>-2272.1999510000001</v>
      </c>
      <c r="F117" s="1">
        <v>356.41000400000001</v>
      </c>
      <c r="G117" s="1">
        <v>7.92</v>
      </c>
      <c r="H117" s="1">
        <v>0</v>
      </c>
      <c r="I117" s="1">
        <v>0</v>
      </c>
      <c r="J117" s="1">
        <v>2.0451000000000001</v>
      </c>
      <c r="K117" s="1">
        <v>-8.5210000000000008E-3</v>
      </c>
      <c r="L117" s="1">
        <v>3.8000000000000002E-4</v>
      </c>
      <c r="M117" s="1">
        <v>0.99897100000000005</v>
      </c>
      <c r="N117" s="1">
        <v>4.4537E-2</v>
      </c>
      <c r="O117">
        <v>1</v>
      </c>
      <c r="P117">
        <v>0</v>
      </c>
      <c r="Q117">
        <v>1</v>
      </c>
      <c r="R117">
        <v>1</v>
      </c>
      <c r="S117">
        <v>1</v>
      </c>
      <c r="T117" s="1">
        <f>SQRT(POWER(Breakout[[#This Row],[angvel_X]],2) + POWER(Breakout[[#This Row],[angvel_Y]],2) + POWER(Breakout[[#This Row],[angvel_Z]],2))</f>
        <v>2.0451000000000001</v>
      </c>
      <c r="U117" s="1">
        <f>DEGREES(ASIN(MAX(-1,MIN(1,2 * (Breakout[[#This Row],[quart_W]]*Breakout[[#This Row],[quart_Y]] - Breakout[[#This Row],[quart_Z]]*Breakout[[#This Row],[quart_X]])))))</f>
        <v>0.97741668394044501</v>
      </c>
      <c r="V11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-84.894556365772573</v>
      </c>
      <c r="W11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89.999987484436929</v>
      </c>
      <c r="X117" s="1">
        <f>IF(Breakout[[#This Row],[Yaw]]&gt;V116,(360-ABS(Breakout[[#This Row],[Yaw]])-ABS(V116)),ABS(Breakout[[#This Row],[Yaw]]-V116))</f>
        <v>0.97613230643814575</v>
      </c>
      <c r="Y117" s="1">
        <f>Breakout[[#This Row],[Degree change]]+Y116</f>
        <v>54.047089244149198</v>
      </c>
    </row>
    <row r="118" spans="1:25">
      <c r="A118">
        <v>117</v>
      </c>
      <c r="B118" s="1">
        <v>-591.48999000000003</v>
      </c>
      <c r="C118" s="1">
        <v>2652.429932</v>
      </c>
      <c r="D118" s="1">
        <v>18.34</v>
      </c>
      <c r="E118" s="1">
        <v>-2277.919922</v>
      </c>
      <c r="F118" s="1">
        <v>317.76998900000001</v>
      </c>
      <c r="G118" s="1">
        <v>7.92</v>
      </c>
      <c r="H118" s="1">
        <v>0</v>
      </c>
      <c r="I118" s="1">
        <v>0</v>
      </c>
      <c r="J118" s="1">
        <v>2.0457000000000001</v>
      </c>
      <c r="K118" s="1">
        <v>-8.5269999999999999E-3</v>
      </c>
      <c r="L118" s="1">
        <v>3.1E-4</v>
      </c>
      <c r="M118" s="1">
        <v>0.99931400000000004</v>
      </c>
      <c r="N118" s="1">
        <v>3.6024E-2</v>
      </c>
      <c r="O118">
        <v>1</v>
      </c>
      <c r="P118">
        <v>0</v>
      </c>
      <c r="Q118">
        <v>1</v>
      </c>
      <c r="R118">
        <v>1</v>
      </c>
      <c r="S118">
        <v>1</v>
      </c>
      <c r="T118" s="1">
        <f>SQRT(POWER(Breakout[[#This Row],[angvel_X]],2) + POWER(Breakout[[#This Row],[angvel_Y]],2) + POWER(Breakout[[#This Row],[angvel_Z]],2))</f>
        <v>2.0457000000000001</v>
      </c>
      <c r="U118" s="1">
        <f>DEGREES(ASIN(MAX(-1,MIN(1,2 * (Breakout[[#This Row],[quart_W]]*Breakout[[#This Row],[quart_Y]] - Breakout[[#This Row],[quart_Z]]*Breakout[[#This Row],[quart_X]])))))</f>
        <v>0.97777907141679399</v>
      </c>
      <c r="V11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-85.870906322189214</v>
      </c>
      <c r="W11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89.999700793165587</v>
      </c>
      <c r="X118" s="1">
        <f>IF(Breakout[[#This Row],[Yaw]]&gt;V117,(360-ABS(Breakout[[#This Row],[Yaw]])-ABS(V117)),ABS(Breakout[[#This Row],[Yaw]]-V117))</f>
        <v>0.97634995641664091</v>
      </c>
      <c r="Y118" s="1">
        <f>Breakout[[#This Row],[Degree change]]+Y117</f>
        <v>55.023439200565839</v>
      </c>
    </row>
    <row r="119" spans="1:25">
      <c r="A119">
        <v>118</v>
      </c>
      <c r="B119" s="1">
        <v>-610.53997800000002</v>
      </c>
      <c r="C119" s="1">
        <v>2655.0798340000001</v>
      </c>
      <c r="D119" s="1">
        <v>18.34</v>
      </c>
      <c r="E119" s="1">
        <v>-2282.98999</v>
      </c>
      <c r="F119" s="1">
        <v>279.01998900000001</v>
      </c>
      <c r="G119" s="1">
        <v>7.92</v>
      </c>
      <c r="H119" s="1">
        <v>0</v>
      </c>
      <c r="I119" s="1">
        <v>0</v>
      </c>
      <c r="J119" s="1">
        <v>2.0461999999999998</v>
      </c>
      <c r="K119" s="1">
        <v>-8.5269999999999999E-3</v>
      </c>
      <c r="L119" s="1">
        <v>2.4000000000000001E-4</v>
      </c>
      <c r="M119" s="1">
        <v>0.99958499999999995</v>
      </c>
      <c r="N119" s="1">
        <v>2.7505000000000002E-2</v>
      </c>
      <c r="O119">
        <v>1</v>
      </c>
      <c r="P119">
        <v>0</v>
      </c>
      <c r="Q119">
        <v>1</v>
      </c>
      <c r="R119">
        <v>1</v>
      </c>
      <c r="S119">
        <v>1</v>
      </c>
      <c r="T119" s="1">
        <f>SQRT(POWER(Breakout[[#This Row],[angvel_X]],2) + POWER(Breakout[[#This Row],[angvel_Y]],2) + POWER(Breakout[[#This Row],[angvel_Z]],2))</f>
        <v>2.0461999999999998</v>
      </c>
      <c r="U119" s="1">
        <f>DEGREES(ASIN(MAX(-1,MIN(1,2 * (Breakout[[#This Row],[quart_W]]*Breakout[[#This Row],[quart_Y]] - Breakout[[#This Row],[quart_Z]]*Breakout[[#This Row],[quart_X]])))))</f>
        <v>0.97752058134978337</v>
      </c>
      <c r="V11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-86.847649614835063</v>
      </c>
      <c r="W11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89.999385096429307</v>
      </c>
      <c r="X119" s="1">
        <f>IF(Breakout[[#This Row],[Yaw]]&gt;V118,(360-ABS(Breakout[[#This Row],[Yaw]])-ABS(V118)),ABS(Breakout[[#This Row],[Yaw]]-V118))</f>
        <v>0.97674329264584969</v>
      </c>
      <c r="Y119" s="1">
        <f>Breakout[[#This Row],[Degree change]]+Y118</f>
        <v>56.000182493211689</v>
      </c>
    </row>
    <row r="120" spans="1:25">
      <c r="A120">
        <v>119</v>
      </c>
      <c r="B120" s="1">
        <v>-629.63000499999998</v>
      </c>
      <c r="C120" s="1">
        <v>2657.4099120000001</v>
      </c>
      <c r="D120" s="1">
        <v>18.34</v>
      </c>
      <c r="E120" s="1">
        <v>-2287.4099120000001</v>
      </c>
      <c r="F120" s="1">
        <v>240.16999799999999</v>
      </c>
      <c r="G120" s="1">
        <v>7.92</v>
      </c>
      <c r="H120" s="1">
        <v>0</v>
      </c>
      <c r="I120" s="1">
        <v>0</v>
      </c>
      <c r="J120" s="1">
        <v>2.0467</v>
      </c>
      <c r="K120" s="1">
        <v>-8.5269999999999999E-3</v>
      </c>
      <c r="L120" s="1">
        <v>1.7000000000000001E-4</v>
      </c>
      <c r="M120" s="1">
        <v>0.99978299999999998</v>
      </c>
      <c r="N120" s="1">
        <v>1.8981999999999999E-2</v>
      </c>
      <c r="O120">
        <v>1</v>
      </c>
      <c r="P120">
        <v>0</v>
      </c>
      <c r="Q120">
        <v>1</v>
      </c>
      <c r="R120">
        <v>1</v>
      </c>
      <c r="S120">
        <v>1</v>
      </c>
      <c r="T120" s="1">
        <f>SQRT(POWER(Breakout[[#This Row],[angvel_X]],2) + POWER(Breakout[[#This Row],[angvel_Y]],2) + POWER(Breakout[[#This Row],[angvel_Z]],2))</f>
        <v>2.0467</v>
      </c>
      <c r="U120" s="1">
        <f>DEGREES(ASIN(MAX(-1,MIN(1,2 * (Breakout[[#This Row],[quart_W]]*Breakout[[#This Row],[quart_Y]] - Breakout[[#This Row],[quart_Z]]*Breakout[[#This Row],[quart_X]])))))</f>
        <v>0.97732736172157075</v>
      </c>
      <c r="V12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-87.824618242931493</v>
      </c>
      <c r="W12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89.999071261190352</v>
      </c>
      <c r="X120" s="1">
        <f>IF(Breakout[[#This Row],[Yaw]]&gt;V119,(360-ABS(Breakout[[#This Row],[Yaw]])-ABS(V119)),ABS(Breakout[[#This Row],[Yaw]]-V119))</f>
        <v>0.97696862809642937</v>
      </c>
      <c r="Y120" s="1">
        <f>Breakout[[#This Row],[Degree change]]+Y119</f>
        <v>56.977151121308118</v>
      </c>
    </row>
    <row r="121" spans="1:25">
      <c r="A121">
        <v>120</v>
      </c>
      <c r="B121" s="1">
        <v>-648.76000999999997</v>
      </c>
      <c r="C121" s="1">
        <v>2659.4099120000001</v>
      </c>
      <c r="D121" s="1">
        <v>18.34</v>
      </c>
      <c r="E121" s="1">
        <v>-2291.1599120000001</v>
      </c>
      <c r="F121" s="1">
        <v>201.229996</v>
      </c>
      <c r="G121" s="1">
        <v>7.92</v>
      </c>
      <c r="H121" s="1">
        <v>0</v>
      </c>
      <c r="I121" s="1">
        <v>0</v>
      </c>
      <c r="J121" s="1">
        <v>2.0470999999999999</v>
      </c>
      <c r="K121" s="1">
        <v>-8.5269999999999999E-3</v>
      </c>
      <c r="L121" s="1">
        <v>1E-4</v>
      </c>
      <c r="M121" s="1">
        <v>0.99990900000000005</v>
      </c>
      <c r="N121" s="1">
        <v>1.0451999999999999E-2</v>
      </c>
      <c r="O121">
        <v>1</v>
      </c>
      <c r="P121">
        <v>0</v>
      </c>
      <c r="Q121">
        <v>1</v>
      </c>
      <c r="R121">
        <v>1</v>
      </c>
      <c r="S121">
        <v>1</v>
      </c>
      <c r="T121" s="1">
        <f>SQRT(POWER(Breakout[[#This Row],[angvel_X]],2) + POWER(Breakout[[#This Row],[angvel_Y]],2) + POWER(Breakout[[#This Row],[angvel_Z]],2))</f>
        <v>2.0470999999999999</v>
      </c>
      <c r="U121" s="1">
        <f>DEGREES(ASIN(MAX(-1,MIN(1,2 * (Breakout[[#This Row],[quart_W]]*Breakout[[#This Row],[quart_Y]] - Breakout[[#This Row],[quart_Z]]*Breakout[[#This Row],[quart_X]])))))</f>
        <v>0.97720045167368663</v>
      </c>
      <c r="V12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-88.802234234436156</v>
      </c>
      <c r="W12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89.998754587231943</v>
      </c>
      <c r="X121" s="1">
        <f>IF(Breakout[[#This Row],[Yaw]]&gt;V120,(360-ABS(Breakout[[#This Row],[Yaw]])-ABS(V120)),ABS(Breakout[[#This Row],[Yaw]]-V120))</f>
        <v>0.97761599150466338</v>
      </c>
      <c r="Y121" s="1">
        <f>Breakout[[#This Row],[Degree change]]+Y120</f>
        <v>57.954767112812782</v>
      </c>
    </row>
    <row r="122" spans="1:25">
      <c r="A122">
        <v>121</v>
      </c>
      <c r="B122" s="1">
        <v>-667.919983</v>
      </c>
      <c r="C122" s="1">
        <v>2661.0898440000001</v>
      </c>
      <c r="D122" s="1">
        <v>18.34</v>
      </c>
      <c r="E122" s="1">
        <v>-2294.25</v>
      </c>
      <c r="F122" s="1">
        <v>162.220001</v>
      </c>
      <c r="G122" s="1">
        <v>7.92</v>
      </c>
      <c r="H122" s="1">
        <v>1E-4</v>
      </c>
      <c r="I122" s="1">
        <v>0</v>
      </c>
      <c r="J122" s="1">
        <v>2.0474999999999999</v>
      </c>
      <c r="K122" s="1">
        <v>-8.5269999999999999E-3</v>
      </c>
      <c r="L122" s="1">
        <v>3.0000000000000001E-5</v>
      </c>
      <c r="M122" s="1">
        <v>0.99996200000000002</v>
      </c>
      <c r="N122" s="1">
        <v>1.923E-3</v>
      </c>
      <c r="O122">
        <v>1</v>
      </c>
      <c r="P122">
        <v>0</v>
      </c>
      <c r="Q122">
        <v>1</v>
      </c>
      <c r="R122">
        <v>1</v>
      </c>
      <c r="S122">
        <v>1</v>
      </c>
      <c r="T122" s="1">
        <f>SQRT(POWER(Breakout[[#This Row],[angvel_X]],2) + POWER(Breakout[[#This Row],[angvel_Y]],2) + POWER(Breakout[[#This Row],[angvel_Z]],2))</f>
        <v>2.0475000024420025</v>
      </c>
      <c r="U122" s="1">
        <f>DEGREES(ASIN(MAX(-1,MIN(1,2 * (Breakout[[#This Row],[quart_W]]*Breakout[[#This Row],[quart_Y]] - Breakout[[#This Row],[quart_Z]]*Breakout[[#This Row],[quart_X]])))))</f>
        <v>0.97713906991434063</v>
      </c>
      <c r="V12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-89.779645712766239</v>
      </c>
      <c r="W12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89.998441163212377</v>
      </c>
      <c r="X122" s="1">
        <f>IF(Breakout[[#This Row],[Yaw]]&gt;V121,(360-ABS(Breakout[[#This Row],[Yaw]])-ABS(V121)),ABS(Breakout[[#This Row],[Yaw]]-V121))</f>
        <v>0.97741147833008313</v>
      </c>
      <c r="Y122" s="1">
        <f>Breakout[[#This Row],[Degree change]]+Y121</f>
        <v>58.932178591142865</v>
      </c>
    </row>
    <row r="123" spans="1:25">
      <c r="A123">
        <v>122</v>
      </c>
      <c r="B123" s="1">
        <v>-687.10998500000005</v>
      </c>
      <c r="C123" s="1">
        <v>2662.4399410000001</v>
      </c>
      <c r="D123" s="1">
        <v>18.34</v>
      </c>
      <c r="E123" s="1">
        <v>-2296.679932</v>
      </c>
      <c r="F123" s="1">
        <v>123.139999</v>
      </c>
      <c r="G123" s="1">
        <v>7.92</v>
      </c>
      <c r="H123" s="1">
        <v>2.0000000000000001E-4</v>
      </c>
      <c r="I123" s="1">
        <v>0</v>
      </c>
      <c r="J123" s="1">
        <v>2.0478999999999998</v>
      </c>
      <c r="K123" s="1">
        <v>-8.5269999999999999E-3</v>
      </c>
      <c r="L123" s="1">
        <v>-4.6E-5</v>
      </c>
      <c r="M123" s="1">
        <v>0.999942</v>
      </c>
      <c r="N123" s="1">
        <v>-6.6059999999999999E-3</v>
      </c>
      <c r="O123">
        <v>1</v>
      </c>
      <c r="P123">
        <v>0</v>
      </c>
      <c r="Q123">
        <v>1</v>
      </c>
      <c r="R123">
        <v>1</v>
      </c>
      <c r="S123">
        <v>1</v>
      </c>
      <c r="T123" s="1">
        <f>SQRT(POWER(Breakout[[#This Row],[angvel_X]],2) + POWER(Breakout[[#This Row],[angvel_Y]],2) + POWER(Breakout[[#This Row],[angvel_Z]],2))</f>
        <v>2.0479000097661015</v>
      </c>
      <c r="U123" s="1">
        <f>DEGREES(ASIN(MAX(-1,MIN(1,2 * (Breakout[[#This Row],[quart_W]]*Breakout[[#This Row],[quart_Y]] - Breakout[[#This Row],[quart_Z]]*Breakout[[#This Row],[quart_X]])))))</f>
        <v>0.97714773956817513</v>
      </c>
      <c r="V12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-90.757034563124662</v>
      </c>
      <c r="W12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89.998815864373199</v>
      </c>
      <c r="X123" s="1">
        <f>IF(Breakout[[#This Row],[Yaw]]&gt;V122,(360-ABS(Breakout[[#This Row],[Yaw]])-ABS(V122)),ABS(Breakout[[#This Row],[Yaw]]-V122))</f>
        <v>0.97738885035842316</v>
      </c>
      <c r="Y123" s="1">
        <f>Breakout[[#This Row],[Degree change]]+Y122</f>
        <v>59.909567441501288</v>
      </c>
    </row>
    <row r="124" spans="1:25">
      <c r="A124">
        <v>123</v>
      </c>
      <c r="B124" s="1">
        <v>-706.32000700000003</v>
      </c>
      <c r="C124" s="1">
        <v>2663.469971</v>
      </c>
      <c r="D124" s="1">
        <v>18.34</v>
      </c>
      <c r="E124" s="1">
        <v>-2298.4499510000001</v>
      </c>
      <c r="F124" s="1">
        <v>84.019997000000004</v>
      </c>
      <c r="G124" s="1">
        <v>7.92</v>
      </c>
      <c r="H124" s="1">
        <v>2.0000000000000001E-4</v>
      </c>
      <c r="I124" s="1">
        <v>0</v>
      </c>
      <c r="J124" s="1">
        <v>2.0482999999999998</v>
      </c>
      <c r="K124" s="1">
        <v>-8.5269999999999999E-3</v>
      </c>
      <c r="L124" s="1">
        <v>-1.21E-4</v>
      </c>
      <c r="M124" s="1">
        <v>0.99984899999999999</v>
      </c>
      <c r="N124" s="1">
        <v>-1.5141E-2</v>
      </c>
      <c r="O124">
        <v>1</v>
      </c>
      <c r="P124">
        <v>0</v>
      </c>
      <c r="Q124">
        <v>1</v>
      </c>
      <c r="R124">
        <v>1</v>
      </c>
      <c r="S124">
        <v>1</v>
      </c>
      <c r="T124" s="1">
        <f>SQRT(POWER(Breakout[[#This Row],[angvel_X]],2) + POWER(Breakout[[#This Row],[angvel_Y]],2) + POWER(Breakout[[#This Row],[angvel_Z]],2))</f>
        <v>2.0483000097641946</v>
      </c>
      <c r="U124" s="1">
        <f>DEGREES(ASIN(MAX(-1,MIN(1,2 * (Breakout[[#This Row],[quart_W]]*Breakout[[#This Row],[quart_Y]] - Breakout[[#This Row],[quart_Z]]*Breakout[[#This Row],[quart_X]])))))</f>
        <v>0.977231996556996</v>
      </c>
      <c r="V12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-91.735168144436912</v>
      </c>
      <c r="W12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89.999068741898753</v>
      </c>
      <c r="X124" s="1">
        <f>IF(Breakout[[#This Row],[Yaw]]&gt;V123,(360-ABS(Breakout[[#This Row],[Yaw]])-ABS(V123)),ABS(Breakout[[#This Row],[Yaw]]-V123))</f>
        <v>0.97813358131224959</v>
      </c>
      <c r="Y124" s="1">
        <f>Breakout[[#This Row],[Degree change]]+Y123</f>
        <v>60.887701022813538</v>
      </c>
    </row>
    <row r="125" spans="1:25">
      <c r="A125">
        <v>124</v>
      </c>
      <c r="B125" s="1">
        <v>-725.53997800000002</v>
      </c>
      <c r="C125" s="1">
        <v>2664.169922</v>
      </c>
      <c r="D125" s="1">
        <v>18.34</v>
      </c>
      <c r="E125" s="1">
        <v>-2299.540039</v>
      </c>
      <c r="F125" s="1">
        <v>44.860000999999997</v>
      </c>
      <c r="G125" s="1">
        <v>7.92</v>
      </c>
      <c r="H125" s="1">
        <v>2.0000000000000001E-4</v>
      </c>
      <c r="I125" s="1">
        <v>0</v>
      </c>
      <c r="J125" s="1">
        <v>2.0486</v>
      </c>
      <c r="K125" s="1">
        <v>-8.5269999999999999E-3</v>
      </c>
      <c r="L125" s="1">
        <v>-1.9699999999999999E-4</v>
      </c>
      <c r="M125" s="1">
        <v>0.99968299999999999</v>
      </c>
      <c r="N125" s="1">
        <v>-2.3675000000000002E-2</v>
      </c>
      <c r="O125">
        <v>1</v>
      </c>
      <c r="P125">
        <v>0</v>
      </c>
      <c r="Q125">
        <v>1</v>
      </c>
      <c r="R125">
        <v>1</v>
      </c>
      <c r="S125">
        <v>1</v>
      </c>
      <c r="T125" s="1">
        <f>SQRT(POWER(Breakout[[#This Row],[angvel_X]],2) + POWER(Breakout[[#This Row],[angvel_Y]],2) + POWER(Breakout[[#This Row],[angvel_Z]],2))</f>
        <v>2.0486000097627648</v>
      </c>
      <c r="U125" s="1">
        <f>DEGREES(ASIN(MAX(-1,MIN(1,2 * (Breakout[[#This Row],[quart_W]]*Breakout[[#This Row],[quart_Y]] - Breakout[[#This Row],[quart_Z]]*Breakout[[#This Row],[quart_X]])))))</f>
        <v>0.97739433132341835</v>
      </c>
      <c r="V12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-92.713314831198062</v>
      </c>
      <c r="W12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89.999433929989536</v>
      </c>
      <c r="X125" s="1">
        <f>IF(Breakout[[#This Row],[Yaw]]&gt;V124,(360-ABS(Breakout[[#This Row],[Yaw]])-ABS(V124)),ABS(Breakout[[#This Row],[Yaw]]-V124))</f>
        <v>0.97814668676114991</v>
      </c>
      <c r="Y125" s="1">
        <f>Breakout[[#This Row],[Degree change]]+Y124</f>
        <v>61.865847709574687</v>
      </c>
    </row>
    <row r="126" spans="1:25">
      <c r="A126">
        <v>125</v>
      </c>
      <c r="B126" s="1">
        <v>-744.76995799999997</v>
      </c>
      <c r="C126" s="1">
        <v>2664.540039</v>
      </c>
      <c r="D126" s="1">
        <v>18.34</v>
      </c>
      <c r="E126" s="1">
        <v>-2299.969971</v>
      </c>
      <c r="F126" s="1">
        <v>5.67</v>
      </c>
      <c r="G126" s="1">
        <v>7.92</v>
      </c>
      <c r="H126" s="1">
        <v>1E-4</v>
      </c>
      <c r="I126" s="1">
        <v>0</v>
      </c>
      <c r="J126" s="1">
        <v>2.0489000000000002</v>
      </c>
      <c r="K126" s="1">
        <v>-8.5269999999999999E-3</v>
      </c>
      <c r="L126" s="1">
        <v>-2.72E-4</v>
      </c>
      <c r="M126" s="1">
        <v>0.99944500000000003</v>
      </c>
      <c r="N126" s="1">
        <v>-3.2210000000000003E-2</v>
      </c>
      <c r="O126">
        <v>1</v>
      </c>
      <c r="P126">
        <v>0</v>
      </c>
      <c r="Q126">
        <v>1</v>
      </c>
      <c r="R126">
        <v>1</v>
      </c>
      <c r="S126">
        <v>1</v>
      </c>
      <c r="T126" s="1">
        <f>SQRT(POWER(Breakout[[#This Row],[angvel_X]],2) + POWER(Breakout[[#This Row],[angvel_Y]],2) + POWER(Breakout[[#This Row],[angvel_Z]],2))</f>
        <v>2.0489000024403339</v>
      </c>
      <c r="U126" s="1">
        <f>DEGREES(ASIN(MAX(-1,MIN(1,2 * (Breakout[[#This Row],[quart_W]]*Breakout[[#This Row],[quart_Y]] - Breakout[[#This Row],[quart_Z]]*Breakout[[#This Row],[quart_X]])))))</f>
        <v>0.9776313089551355</v>
      </c>
      <c r="V12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-93.691766593464607</v>
      </c>
      <c r="W12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89.999678451677298</v>
      </c>
      <c r="X126" s="1">
        <f>IF(Breakout[[#This Row],[Yaw]]&gt;V125,(360-ABS(Breakout[[#This Row],[Yaw]])-ABS(V125)),ABS(Breakout[[#This Row],[Yaw]]-V125))</f>
        <v>0.97845176226654473</v>
      </c>
      <c r="Y126" s="1">
        <f>Breakout[[#This Row],[Degree change]]+Y125</f>
        <v>62.844299471841232</v>
      </c>
    </row>
    <row r="127" spans="1:25">
      <c r="A127">
        <v>126</v>
      </c>
      <c r="B127" s="1">
        <v>-764.01000999999997</v>
      </c>
      <c r="C127" s="1">
        <v>2664.5798340000001</v>
      </c>
      <c r="D127" s="1">
        <v>18.34</v>
      </c>
      <c r="E127" s="1">
        <v>-2299.73999</v>
      </c>
      <c r="F127" s="1">
        <v>-33.529998999999997</v>
      </c>
      <c r="G127" s="1">
        <v>7.92</v>
      </c>
      <c r="H127" s="1">
        <v>0</v>
      </c>
      <c r="I127" s="1">
        <v>0</v>
      </c>
      <c r="J127" s="1">
        <v>2.0491999999999999</v>
      </c>
      <c r="K127" s="1">
        <v>-8.5269999999999999E-3</v>
      </c>
      <c r="L127" s="1">
        <v>-3.48E-4</v>
      </c>
      <c r="M127" s="1">
        <v>0.99913300000000005</v>
      </c>
      <c r="N127" s="1">
        <v>-4.0738999999999997E-2</v>
      </c>
      <c r="O127">
        <v>1</v>
      </c>
      <c r="P127">
        <v>0</v>
      </c>
      <c r="Q127">
        <v>1</v>
      </c>
      <c r="R127">
        <v>1</v>
      </c>
      <c r="S127">
        <v>1</v>
      </c>
      <c r="T127" s="1">
        <f>SQRT(POWER(Breakout[[#This Row],[angvel_X]],2) + POWER(Breakout[[#This Row],[angvel_Y]],2) + POWER(Breakout[[#This Row],[angvel_Z]],2))</f>
        <v>2.0491999999999999</v>
      </c>
      <c r="U127" s="1">
        <f>DEGREES(ASIN(MAX(-1,MIN(1,2 * (Breakout[[#This Row],[quart_W]]*Breakout[[#This Row],[quart_Y]] - Breakout[[#This Row],[quart_Z]]*Breakout[[#This Row],[quart_X]])))))</f>
        <v>0.97794712665139483</v>
      </c>
      <c r="V12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-94.669812905526996</v>
      </c>
      <c r="W12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90.000036311447417</v>
      </c>
      <c r="X127" s="1">
        <f>IF(Breakout[[#This Row],[Yaw]]&gt;V126,(360-ABS(Breakout[[#This Row],[Yaw]])-ABS(V126)),ABS(Breakout[[#This Row],[Yaw]]-V126))</f>
        <v>0.97804631206238923</v>
      </c>
      <c r="Y127" s="1">
        <f>Breakout[[#This Row],[Degree change]]+Y126</f>
        <v>63.822345783903621</v>
      </c>
    </row>
    <row r="128" spans="1:25">
      <c r="A128">
        <v>127</v>
      </c>
      <c r="B128" s="1">
        <v>-783.23999000000003</v>
      </c>
      <c r="C128" s="1">
        <v>2664.3000489999999</v>
      </c>
      <c r="D128" s="1">
        <v>18.34</v>
      </c>
      <c r="E128" s="1">
        <v>-2298.8298340000001</v>
      </c>
      <c r="F128" s="1">
        <v>-72.720000999999996</v>
      </c>
      <c r="G128" s="1">
        <v>7.92</v>
      </c>
      <c r="H128" s="1">
        <v>0</v>
      </c>
      <c r="I128" s="1">
        <v>0</v>
      </c>
      <c r="J128" s="1">
        <v>2.0495000000000001</v>
      </c>
      <c r="K128" s="1">
        <v>-8.5210000000000008E-3</v>
      </c>
      <c r="L128" s="1">
        <v>-4.1800000000000002E-4</v>
      </c>
      <c r="M128" s="1">
        <v>0.998749</v>
      </c>
      <c r="N128" s="1">
        <v>-4.9267999999999999E-2</v>
      </c>
      <c r="O128">
        <v>1</v>
      </c>
      <c r="P128">
        <v>0</v>
      </c>
      <c r="Q128">
        <v>1</v>
      </c>
      <c r="R128">
        <v>1</v>
      </c>
      <c r="S128">
        <v>1</v>
      </c>
      <c r="T128" s="1">
        <f>SQRT(POWER(Breakout[[#This Row],[angvel_X]],2) + POWER(Breakout[[#This Row],[angvel_Y]],2) + POWER(Breakout[[#This Row],[angvel_Z]],2))</f>
        <v>2.0495000000000001</v>
      </c>
      <c r="U128" s="1">
        <f>DEGREES(ASIN(MAX(-1,MIN(1,2 * (Breakout[[#This Row],[quart_W]]*Breakout[[#This Row],[quart_Y]] - Breakout[[#This Row],[quart_Z]]*Breakout[[#This Row],[quart_X]])))))</f>
        <v>0.97762049200003209</v>
      </c>
      <c r="V12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-95.648194110617737</v>
      </c>
      <c r="W12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89.999732327179075</v>
      </c>
      <c r="X128" s="1">
        <f>IF(Breakout[[#This Row],[Yaw]]&gt;V127,(360-ABS(Breakout[[#This Row],[Yaw]])-ABS(V127)),ABS(Breakout[[#This Row],[Yaw]]-V127))</f>
        <v>0.97838120509074145</v>
      </c>
      <c r="Y128" s="1">
        <f>Breakout[[#This Row],[Degree change]]+Y127</f>
        <v>64.80072698899437</v>
      </c>
    </row>
    <row r="129" spans="1:25">
      <c r="A129">
        <v>128</v>
      </c>
      <c r="B129" s="1">
        <v>-802.46997099999999</v>
      </c>
      <c r="C129" s="1">
        <v>2663.6899410000001</v>
      </c>
      <c r="D129" s="1">
        <v>18.34</v>
      </c>
      <c r="E129" s="1">
        <v>-2297.26001</v>
      </c>
      <c r="F129" s="1">
        <v>-111.90999600000001</v>
      </c>
      <c r="G129" s="1">
        <v>7.92</v>
      </c>
      <c r="H129" s="1">
        <v>0</v>
      </c>
      <c r="I129" s="1">
        <v>0</v>
      </c>
      <c r="J129" s="1">
        <v>2.0497000000000001</v>
      </c>
      <c r="K129" s="1">
        <v>-8.5159999999999993E-3</v>
      </c>
      <c r="L129" s="1">
        <v>-4.8799999999999999E-4</v>
      </c>
      <c r="M129" s="1">
        <v>0.99829199999999996</v>
      </c>
      <c r="N129" s="1">
        <v>-5.7797000000000001E-2</v>
      </c>
      <c r="O129">
        <v>1</v>
      </c>
      <c r="P129">
        <v>0</v>
      </c>
      <c r="Q129">
        <v>1</v>
      </c>
      <c r="R129">
        <v>1</v>
      </c>
      <c r="S129">
        <v>1</v>
      </c>
      <c r="T129" s="1">
        <f>SQRT(POWER(Breakout[[#This Row],[angvel_X]],2) + POWER(Breakout[[#This Row],[angvel_Y]],2) + POWER(Breakout[[#This Row],[angvel_Z]],2))</f>
        <v>2.0497000000000001</v>
      </c>
      <c r="U129" s="1">
        <f>DEGREES(ASIN(MAX(-1,MIN(1,2 * (Breakout[[#This Row],[quart_W]]*Breakout[[#This Row],[quart_Y]] - Breakout[[#This Row],[quart_Z]]*Breakout[[#This Row],[quart_X]])))))</f>
        <v>0.97747440718072376</v>
      </c>
      <c r="V12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-96.626985853502759</v>
      </c>
      <c r="W12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89.99942320470808</v>
      </c>
      <c r="X129" s="1">
        <f>IF(Breakout[[#This Row],[Yaw]]&gt;V128,(360-ABS(Breakout[[#This Row],[Yaw]])-ABS(V128)),ABS(Breakout[[#This Row],[Yaw]]-V128))</f>
        <v>0.97879174288502213</v>
      </c>
      <c r="Y129" s="1">
        <f>Breakout[[#This Row],[Degree change]]+Y128</f>
        <v>65.779518731879392</v>
      </c>
    </row>
    <row r="130" spans="1:25">
      <c r="A130">
        <v>129</v>
      </c>
      <c r="B130" s="1">
        <v>-821.67999299999997</v>
      </c>
      <c r="C130" s="1">
        <v>2662.75</v>
      </c>
      <c r="D130" s="1">
        <v>18.34</v>
      </c>
      <c r="E130" s="1">
        <v>-2295.01001</v>
      </c>
      <c r="F130" s="1">
        <v>-151.06999200000001</v>
      </c>
      <c r="G130" s="1">
        <v>7.92</v>
      </c>
      <c r="H130" s="1">
        <v>0</v>
      </c>
      <c r="I130" s="1">
        <v>0</v>
      </c>
      <c r="J130" s="1">
        <v>2.0499000000000001</v>
      </c>
      <c r="K130" s="1">
        <v>-8.5100000000000002E-3</v>
      </c>
      <c r="L130" s="1">
        <v>-5.5800000000000001E-4</v>
      </c>
      <c r="M130" s="1">
        <v>0.99776200000000004</v>
      </c>
      <c r="N130" s="1">
        <v>-6.6321000000000005E-2</v>
      </c>
      <c r="O130">
        <v>1</v>
      </c>
      <c r="P130">
        <v>0</v>
      </c>
      <c r="Q130">
        <v>1</v>
      </c>
      <c r="R130">
        <v>1</v>
      </c>
      <c r="S130">
        <v>1</v>
      </c>
      <c r="T130" s="1">
        <f>SQRT(POWER(Breakout[[#This Row],[angvel_X]],2) + POWER(Breakout[[#This Row],[angvel_Y]],2) + POWER(Breakout[[#This Row],[angvel_Z]],2))</f>
        <v>2.0499000000000001</v>
      </c>
      <c r="U130" s="1">
        <f>DEGREES(ASIN(MAX(-1,MIN(1,2 * (Breakout[[#This Row],[quart_W]]*Breakout[[#This Row],[quart_Y]] - Breakout[[#This Row],[quart_Z]]*Breakout[[#This Row],[quart_X]])))))</f>
        <v>0.97727981729916691</v>
      </c>
      <c r="V13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-97.60569113234223</v>
      </c>
      <c r="W13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89.999124334212141</v>
      </c>
      <c r="X130" s="1">
        <f>IF(Breakout[[#This Row],[Yaw]]&gt;V129,(360-ABS(Breakout[[#This Row],[Yaw]])-ABS(V129)),ABS(Breakout[[#This Row],[Yaw]]-V129))</f>
        <v>0.97870527883947034</v>
      </c>
      <c r="Y130" s="1">
        <f>Breakout[[#This Row],[Degree change]]+Y129</f>
        <v>66.758224010718862</v>
      </c>
    </row>
    <row r="131" spans="1:25">
      <c r="A131">
        <v>130</v>
      </c>
      <c r="B131" s="1">
        <v>-840.86999500000002</v>
      </c>
      <c r="C131" s="1">
        <v>2661.4799800000001</v>
      </c>
      <c r="D131" s="1">
        <v>18.34</v>
      </c>
      <c r="E131" s="1">
        <v>-2292.0998540000001</v>
      </c>
      <c r="F131" s="1">
        <v>-190.199997</v>
      </c>
      <c r="G131" s="1">
        <v>7.92</v>
      </c>
      <c r="H131" s="1">
        <v>0</v>
      </c>
      <c r="I131" s="1">
        <v>0</v>
      </c>
      <c r="J131" s="1">
        <v>2.0501</v>
      </c>
      <c r="K131" s="1">
        <v>-8.5050000000000004E-3</v>
      </c>
      <c r="L131" s="1">
        <v>-6.2799999999999998E-4</v>
      </c>
      <c r="M131" s="1">
        <v>0.99715900000000002</v>
      </c>
      <c r="N131" s="1">
        <v>-7.4840000000000004E-2</v>
      </c>
      <c r="O131">
        <v>1</v>
      </c>
      <c r="P131">
        <v>0</v>
      </c>
      <c r="Q131">
        <v>1</v>
      </c>
      <c r="R131">
        <v>1</v>
      </c>
      <c r="S131">
        <v>1</v>
      </c>
      <c r="T131" s="1">
        <f>SQRT(POWER(Breakout[[#This Row],[angvel_X]],2) + POWER(Breakout[[#This Row],[angvel_Y]],2) + POWER(Breakout[[#This Row],[angvel_Z]],2))</f>
        <v>2.0501</v>
      </c>
      <c r="U131" s="1">
        <f>DEGREES(ASIN(MAX(-1,MIN(1,2 * (Breakout[[#This Row],[quart_W]]*Breakout[[#This Row],[quart_Y]] - Breakout[[#This Row],[quart_Z]]*Breakout[[#This Row],[quart_X]])))))</f>
        <v>0.97726550009524782</v>
      </c>
      <c r="V13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-98.584383343843783</v>
      </c>
      <c r="W13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89.99881972456599</v>
      </c>
      <c r="X131" s="1">
        <f>IF(Breakout[[#This Row],[Yaw]]&gt;V130,(360-ABS(Breakout[[#This Row],[Yaw]])-ABS(V130)),ABS(Breakout[[#This Row],[Yaw]]-V130))</f>
        <v>0.97869221150155283</v>
      </c>
      <c r="Y131" s="1">
        <f>Breakout[[#This Row],[Degree change]]+Y130</f>
        <v>67.736916222220415</v>
      </c>
    </row>
    <row r="132" spans="1:25">
      <c r="A132">
        <v>131</v>
      </c>
      <c r="B132" s="1">
        <v>-860.03997800000002</v>
      </c>
      <c r="C132" s="1">
        <v>2659.8798830000001</v>
      </c>
      <c r="D132" s="1">
        <v>18.34</v>
      </c>
      <c r="E132" s="1">
        <v>-2288.5200199999999</v>
      </c>
      <c r="F132" s="1">
        <v>-229.279999</v>
      </c>
      <c r="G132" s="1">
        <v>7.92</v>
      </c>
      <c r="H132" s="1">
        <v>1E-4</v>
      </c>
      <c r="I132" s="1">
        <v>0</v>
      </c>
      <c r="J132" s="1">
        <v>2.0503</v>
      </c>
      <c r="K132" s="1">
        <v>-8.5000000000000006E-3</v>
      </c>
      <c r="L132" s="1">
        <v>-6.9899999999999997E-4</v>
      </c>
      <c r="M132" s="1">
        <v>0.99648400000000004</v>
      </c>
      <c r="N132" s="1">
        <v>-8.3352999999999997E-2</v>
      </c>
      <c r="O132">
        <v>1</v>
      </c>
      <c r="P132">
        <v>0</v>
      </c>
      <c r="Q132">
        <v>1</v>
      </c>
      <c r="R132">
        <v>1</v>
      </c>
      <c r="S132">
        <v>1</v>
      </c>
      <c r="T132" s="1">
        <f>SQRT(POWER(Breakout[[#This Row],[angvel_X]],2) + POWER(Breakout[[#This Row],[angvel_Y]],2) + POWER(Breakout[[#This Row],[angvel_Z]],2))</f>
        <v>2.0503000024386675</v>
      </c>
      <c r="U132" s="1">
        <f>DEGREES(ASIN(MAX(-1,MIN(1,2 * (Breakout[[#This Row],[quart_W]]*Breakout[[#This Row],[quart_Y]] - Breakout[[#This Row],[quart_Z]]*Breakout[[#This Row],[quart_X]])))))</f>
        <v>0.97732749535476926</v>
      </c>
      <c r="V13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-99.562993714471588</v>
      </c>
      <c r="W13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89.998629493675168</v>
      </c>
      <c r="X132" s="1">
        <f>IF(Breakout[[#This Row],[Yaw]]&gt;V131,(360-ABS(Breakout[[#This Row],[Yaw]])-ABS(V131)),ABS(Breakout[[#This Row],[Yaw]]-V131))</f>
        <v>0.97861037062780554</v>
      </c>
      <c r="Y132" s="1">
        <f>Breakout[[#This Row],[Degree change]]+Y131</f>
        <v>68.715526592848221</v>
      </c>
    </row>
    <row r="133" spans="1:25">
      <c r="A133">
        <v>132</v>
      </c>
      <c r="B133" s="1">
        <v>-879.17999299999997</v>
      </c>
      <c r="C133" s="1">
        <v>2657.959961</v>
      </c>
      <c r="D133" s="1">
        <v>18.34</v>
      </c>
      <c r="E133" s="1">
        <v>-2284.280029</v>
      </c>
      <c r="F133" s="1">
        <v>-268.29998799999998</v>
      </c>
      <c r="G133" s="1">
        <v>7.92</v>
      </c>
      <c r="H133" s="1">
        <v>2.0000000000000001E-4</v>
      </c>
      <c r="I133" s="1">
        <v>0</v>
      </c>
      <c r="J133" s="1">
        <v>2.0505</v>
      </c>
      <c r="K133" s="1">
        <v>-8.4939999999999998E-3</v>
      </c>
      <c r="L133" s="1">
        <v>-7.7399999999999995E-4</v>
      </c>
      <c r="M133" s="1">
        <v>0.99573500000000004</v>
      </c>
      <c r="N133" s="1">
        <v>-9.1859999999999997E-2</v>
      </c>
      <c r="O133">
        <v>1</v>
      </c>
      <c r="P133">
        <v>0</v>
      </c>
      <c r="Q133">
        <v>1</v>
      </c>
      <c r="R133">
        <v>1</v>
      </c>
      <c r="S133">
        <v>1</v>
      </c>
      <c r="T133" s="1">
        <f>SQRT(POWER(Breakout[[#This Row],[angvel_X]],2) + POWER(Breakout[[#This Row],[angvel_Y]],2) + POWER(Breakout[[#This Row],[angvel_Z]],2))</f>
        <v>2.0505000097537183</v>
      </c>
      <c r="U133" s="1">
        <f>DEGREES(ASIN(MAX(-1,MIN(1,2 * (Breakout[[#This Row],[quart_W]]*Breakout[[#This Row],[quart_Y]] - Breakout[[#This Row],[quart_Z]]*Breakout[[#This Row],[quart_X]])))))</f>
        <v>0.97738422448169515</v>
      </c>
      <c r="V13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-100.5416477039595</v>
      </c>
      <c r="W13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89.998904351014829</v>
      </c>
      <c r="X133" s="1">
        <f>IF(Breakout[[#This Row],[Yaw]]&gt;V132,(360-ABS(Breakout[[#This Row],[Yaw]])-ABS(V132)),ABS(Breakout[[#This Row],[Yaw]]-V132))</f>
        <v>0.97865398948790983</v>
      </c>
      <c r="Y133" s="1">
        <f>Breakout[[#This Row],[Degree change]]+Y132</f>
        <v>69.694180582336131</v>
      </c>
    </row>
    <row r="134" spans="1:25">
      <c r="A134">
        <v>133</v>
      </c>
      <c r="B134" s="1">
        <v>-898.27996800000005</v>
      </c>
      <c r="C134" s="1">
        <v>2655.709961</v>
      </c>
      <c r="D134" s="1">
        <v>18.34</v>
      </c>
      <c r="E134" s="1">
        <v>-2279.3698730000001</v>
      </c>
      <c r="F134" s="1">
        <v>-307.25</v>
      </c>
      <c r="G134" s="1">
        <v>7.92</v>
      </c>
      <c r="H134" s="1">
        <v>2.0000000000000001E-4</v>
      </c>
      <c r="I134" s="1">
        <v>0</v>
      </c>
      <c r="J134" s="1">
        <v>2.0507</v>
      </c>
      <c r="K134" s="1">
        <v>-8.489E-3</v>
      </c>
      <c r="L134" s="1">
        <v>-8.4999999999999995E-4</v>
      </c>
      <c r="M134" s="1">
        <v>0.99491399999999997</v>
      </c>
      <c r="N134" s="1">
        <v>-0.10036200000000001</v>
      </c>
      <c r="O134">
        <v>1</v>
      </c>
      <c r="P134">
        <v>0</v>
      </c>
      <c r="Q134">
        <v>1</v>
      </c>
      <c r="R134">
        <v>1</v>
      </c>
      <c r="S134">
        <v>1</v>
      </c>
      <c r="T134" s="1">
        <f>SQRT(POWER(Breakout[[#This Row],[angvel_X]],2) + POWER(Breakout[[#This Row],[angvel_Y]],2) + POWER(Breakout[[#This Row],[angvel_Z]],2))</f>
        <v>2.0507000097527674</v>
      </c>
      <c r="U134" s="1">
        <f>DEGREES(ASIN(MAX(-1,MIN(1,2 * (Breakout[[#This Row],[quart_W]]*Breakout[[#This Row],[quart_Y]] - Breakout[[#This Row],[quart_Z]]*Breakout[[#This Row],[quart_X]])))))</f>
        <v>0.9776432294730425</v>
      </c>
      <c r="V13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-101.52047373979543</v>
      </c>
      <c r="W13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89.999278412980289</v>
      </c>
      <c r="X134" s="1">
        <f>IF(Breakout[[#This Row],[Yaw]]&gt;V133,(360-ABS(Breakout[[#This Row],[Yaw]])-ABS(V133)),ABS(Breakout[[#This Row],[Yaw]]-V133))</f>
        <v>0.97882603583593664</v>
      </c>
      <c r="Y134" s="1">
        <f>Breakout[[#This Row],[Degree change]]+Y133</f>
        <v>70.673006618172067</v>
      </c>
    </row>
    <row r="135" spans="1:25">
      <c r="A135">
        <v>134</v>
      </c>
      <c r="B135" s="1">
        <v>-917.339966</v>
      </c>
      <c r="C135" s="1">
        <v>2653.139893</v>
      </c>
      <c r="D135" s="1">
        <v>18.34</v>
      </c>
      <c r="E135" s="1">
        <v>-2273.790039</v>
      </c>
      <c r="F135" s="1">
        <v>-346.10998499999999</v>
      </c>
      <c r="G135" s="1">
        <v>7.92</v>
      </c>
      <c r="H135" s="1">
        <v>2.0000000000000001E-4</v>
      </c>
      <c r="I135" s="1">
        <v>0</v>
      </c>
      <c r="J135" s="1">
        <v>2.0508999999999999</v>
      </c>
      <c r="K135" s="1">
        <v>-8.4829999999999992E-3</v>
      </c>
      <c r="L135" s="1">
        <v>-9.2500000000000004E-4</v>
      </c>
      <c r="M135" s="1">
        <v>0.99402000000000001</v>
      </c>
      <c r="N135" s="1">
        <v>-0.108859</v>
      </c>
      <c r="O135">
        <v>1</v>
      </c>
      <c r="P135">
        <v>0</v>
      </c>
      <c r="Q135">
        <v>1</v>
      </c>
      <c r="R135">
        <v>1</v>
      </c>
      <c r="S135">
        <v>1</v>
      </c>
      <c r="T135" s="1">
        <f>SQRT(POWER(Breakout[[#This Row],[angvel_X]],2) + POWER(Breakout[[#This Row],[angvel_Y]],2) + POWER(Breakout[[#This Row],[angvel_Z]],2))</f>
        <v>2.0509000097518162</v>
      </c>
      <c r="U135" s="1">
        <f>DEGREES(ASIN(MAX(-1,MIN(1,2 * (Breakout[[#This Row],[quart_W]]*Breakout[[#This Row],[quart_Y]] - Breakout[[#This Row],[quart_Z]]*Breakout[[#This Row],[quart_X]])))))</f>
        <v>0.9778533738926839</v>
      </c>
      <c r="V13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-102.49957432671808</v>
      </c>
      <c r="W13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89.999543584449583</v>
      </c>
      <c r="X135" s="1">
        <f>IF(Breakout[[#This Row],[Yaw]]&gt;V134,(360-ABS(Breakout[[#This Row],[Yaw]])-ABS(V134)),ABS(Breakout[[#This Row],[Yaw]]-V134))</f>
        <v>0.97910058692264101</v>
      </c>
      <c r="Y135" s="1">
        <f>Breakout[[#This Row],[Degree change]]+Y134</f>
        <v>71.652107205094708</v>
      </c>
    </row>
    <row r="136" spans="1:25">
      <c r="A136">
        <v>135</v>
      </c>
      <c r="B136" s="1">
        <v>-936.35998500000005</v>
      </c>
      <c r="C136" s="1">
        <v>2650.23999</v>
      </c>
      <c r="D136" s="1">
        <v>18.34</v>
      </c>
      <c r="E136" s="1">
        <v>-2267.5500489999999</v>
      </c>
      <c r="F136" s="1">
        <v>-384.88000499999998</v>
      </c>
      <c r="G136" s="1">
        <v>7.92</v>
      </c>
      <c r="H136" s="1">
        <v>1E-4</v>
      </c>
      <c r="I136" s="1">
        <v>0</v>
      </c>
      <c r="J136" s="1">
        <v>2.0510000000000002</v>
      </c>
      <c r="K136" s="1">
        <v>-8.4729999999999996E-3</v>
      </c>
      <c r="L136" s="1">
        <v>-1.0009999999999999E-3</v>
      </c>
      <c r="M136" s="1">
        <v>0.99305399999999999</v>
      </c>
      <c r="N136" s="1">
        <v>-0.117351</v>
      </c>
      <c r="O136">
        <v>1</v>
      </c>
      <c r="P136">
        <v>0</v>
      </c>
      <c r="Q136">
        <v>1</v>
      </c>
      <c r="R136">
        <v>1</v>
      </c>
      <c r="S136">
        <v>1</v>
      </c>
      <c r="T136" s="1">
        <f>SQRT(POWER(Breakout[[#This Row],[angvel_X]],2) + POWER(Breakout[[#This Row],[angvel_Y]],2) + POWER(Breakout[[#This Row],[angvel_Z]],2))</f>
        <v>2.0510000024378354</v>
      </c>
      <c r="U136" s="1">
        <f>DEGREES(ASIN(MAX(-1,MIN(1,2 * (Breakout[[#This Row],[quart_W]]*Breakout[[#This Row],[quart_Y]] - Breakout[[#This Row],[quart_Z]]*Breakout[[#This Row],[quart_X]])))))</f>
        <v>0.97769849895469929</v>
      </c>
      <c r="V13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-103.4789787190053</v>
      </c>
      <c r="W13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89.999969288543326</v>
      </c>
      <c r="X136" s="1">
        <f>IF(Breakout[[#This Row],[Yaw]]&gt;V135,(360-ABS(Breakout[[#This Row],[Yaw]])-ABS(V135)),ABS(Breakout[[#This Row],[Yaw]]-V135))</f>
        <v>0.97940439228722198</v>
      </c>
      <c r="Y136" s="1">
        <f>Breakout[[#This Row],[Degree change]]+Y135</f>
        <v>72.63151159738193</v>
      </c>
    </row>
    <row r="137" spans="1:25">
      <c r="A137">
        <v>136</v>
      </c>
      <c r="B137" s="1">
        <v>-955.32000700000003</v>
      </c>
      <c r="C137" s="1">
        <v>2647.0200199999999</v>
      </c>
      <c r="D137" s="1">
        <v>18.34</v>
      </c>
      <c r="E137" s="1">
        <v>-2260.6499020000001</v>
      </c>
      <c r="F137" s="1">
        <v>-423.53997800000002</v>
      </c>
      <c r="G137" s="1">
        <v>7.92</v>
      </c>
      <c r="H137" s="1">
        <v>0</v>
      </c>
      <c r="I137" s="1">
        <v>0</v>
      </c>
      <c r="J137" s="1">
        <v>2.0510999999999999</v>
      </c>
      <c r="K137" s="1">
        <v>-8.4620000000000008E-3</v>
      </c>
      <c r="L137" s="1">
        <v>-1.0709999999999999E-3</v>
      </c>
      <c r="M137" s="1">
        <v>0.99201499999999998</v>
      </c>
      <c r="N137" s="1">
        <v>-0.125831</v>
      </c>
      <c r="O137">
        <v>1</v>
      </c>
      <c r="P137">
        <v>0</v>
      </c>
      <c r="Q137">
        <v>1</v>
      </c>
      <c r="R137">
        <v>1</v>
      </c>
      <c r="S137">
        <v>1</v>
      </c>
      <c r="T137" s="1">
        <f>SQRT(POWER(Breakout[[#This Row],[angvel_X]],2) + POWER(Breakout[[#This Row],[angvel_Y]],2) + POWER(Breakout[[#This Row],[angvel_Z]],2))</f>
        <v>2.0510999999999999</v>
      </c>
      <c r="U137" s="1">
        <f>DEGREES(ASIN(MAX(-1,MIN(1,2 * (Breakout[[#This Row],[quart_W]]*Breakout[[#This Row],[quart_Y]] - Breakout[[#This Row],[quart_Z]]*Breakout[[#This Row],[quart_X]])))))</f>
        <v>0.97742126597768075</v>
      </c>
      <c r="V13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-104.45802704376884</v>
      </c>
      <c r="W13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89.999732520768276</v>
      </c>
      <c r="X137" s="1">
        <f>IF(Breakout[[#This Row],[Yaw]]&gt;V136,(360-ABS(Breakout[[#This Row],[Yaw]])-ABS(V136)),ABS(Breakout[[#This Row],[Yaw]]-V136))</f>
        <v>0.97904832476353931</v>
      </c>
      <c r="Y137" s="1">
        <f>Breakout[[#This Row],[Degree change]]+Y136</f>
        <v>73.61055992214547</v>
      </c>
    </row>
    <row r="138" spans="1:25">
      <c r="A138">
        <v>137</v>
      </c>
      <c r="B138" s="1">
        <v>-974.22997999999995</v>
      </c>
      <c r="C138" s="1">
        <v>2643.469971</v>
      </c>
      <c r="D138" s="1">
        <v>18.34</v>
      </c>
      <c r="E138" s="1">
        <v>-2253.0798340000001</v>
      </c>
      <c r="F138" s="1">
        <v>-462.07998700000002</v>
      </c>
      <c r="G138" s="1">
        <v>7.92</v>
      </c>
      <c r="H138" s="1">
        <v>0</v>
      </c>
      <c r="I138" s="1">
        <v>0</v>
      </c>
      <c r="J138" s="1">
        <v>2.0512000000000001</v>
      </c>
      <c r="K138" s="1">
        <v>-8.4510000000000002E-3</v>
      </c>
      <c r="L138" s="1">
        <v>-1.1410000000000001E-3</v>
      </c>
      <c r="M138" s="1">
        <v>0.99090299999999998</v>
      </c>
      <c r="N138" s="1">
        <v>-0.13430700000000001</v>
      </c>
      <c r="O138">
        <v>1</v>
      </c>
      <c r="P138">
        <v>0</v>
      </c>
      <c r="Q138">
        <v>1</v>
      </c>
      <c r="R138">
        <v>1</v>
      </c>
      <c r="S138">
        <v>1</v>
      </c>
      <c r="T138" s="1">
        <f>SQRT(POWER(Breakout[[#This Row],[angvel_X]],2) + POWER(Breakout[[#This Row],[angvel_Y]],2) + POWER(Breakout[[#This Row],[angvel_Z]],2))</f>
        <v>2.0512000000000001</v>
      </c>
      <c r="U138" s="1">
        <f>DEGREES(ASIN(MAX(-1,MIN(1,2 * (Breakout[[#This Row],[quart_W]]*Breakout[[#This Row],[quart_Y]] - Breakout[[#This Row],[quart_Z]]*Breakout[[#This Row],[quart_X]])))))</f>
        <v>0.97721148810219394</v>
      </c>
      <c r="V13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-105.43767053911864</v>
      </c>
      <c r="W13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89.999494791573753</v>
      </c>
      <c r="X138" s="1">
        <f>IF(Breakout[[#This Row],[Yaw]]&gt;V137,(360-ABS(Breakout[[#This Row],[Yaw]])-ABS(V137)),ABS(Breakout[[#This Row],[Yaw]]-V137))</f>
        <v>0.97964349534980499</v>
      </c>
      <c r="Y138" s="1">
        <f>Breakout[[#This Row],[Degree change]]+Y137</f>
        <v>74.590203417495275</v>
      </c>
    </row>
    <row r="139" spans="1:25">
      <c r="A139">
        <v>138</v>
      </c>
      <c r="B139" s="1">
        <v>-993.07000700000003</v>
      </c>
      <c r="C139" s="1">
        <v>2639.5998540000001</v>
      </c>
      <c r="D139" s="1">
        <v>18.34</v>
      </c>
      <c r="E139" s="1">
        <v>-2244.8598630000001</v>
      </c>
      <c r="F139" s="1">
        <v>-500.5</v>
      </c>
      <c r="G139" s="1">
        <v>7.92</v>
      </c>
      <c r="H139" s="1">
        <v>0</v>
      </c>
      <c r="I139" s="1">
        <v>0</v>
      </c>
      <c r="J139" s="1">
        <v>2.0512999999999999</v>
      </c>
      <c r="K139" s="1">
        <v>-8.4399999999999996E-3</v>
      </c>
      <c r="L139" s="1">
        <v>-1.2110000000000001E-3</v>
      </c>
      <c r="M139" s="1">
        <v>0.98971900000000002</v>
      </c>
      <c r="N139" s="1">
        <v>-0.14277100000000001</v>
      </c>
      <c r="O139">
        <v>1</v>
      </c>
      <c r="P139">
        <v>0</v>
      </c>
      <c r="Q139">
        <v>1</v>
      </c>
      <c r="R139">
        <v>1</v>
      </c>
      <c r="S139">
        <v>1</v>
      </c>
      <c r="T139" s="1">
        <f>SQRT(POWER(Breakout[[#This Row],[angvel_X]],2) + POWER(Breakout[[#This Row],[angvel_Y]],2) + POWER(Breakout[[#This Row],[angvel_Z]],2))</f>
        <v>2.0512999999999999</v>
      </c>
      <c r="U139" s="1">
        <f>DEGREES(ASIN(MAX(-1,MIN(1,2 * (Breakout[[#This Row],[quart_W]]*Breakout[[#This Row],[quart_Y]] - Breakout[[#This Row],[quart_Z]]*Breakout[[#This Row],[quart_X]])))))</f>
        <v>0.97706920210483594</v>
      </c>
      <c r="V13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-106.41705614448809</v>
      </c>
      <c r="W13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89.999262206011053</v>
      </c>
      <c r="X139" s="1">
        <f>IF(Breakout[[#This Row],[Yaw]]&gt;V138,(360-ABS(Breakout[[#This Row],[Yaw]])-ABS(V138)),ABS(Breakout[[#This Row],[Yaw]]-V138))</f>
        <v>0.97938560536944408</v>
      </c>
      <c r="Y139" s="1">
        <f>Breakout[[#This Row],[Degree change]]+Y138</f>
        <v>75.569589022864719</v>
      </c>
    </row>
    <row r="140" spans="1:25">
      <c r="A140">
        <v>139</v>
      </c>
      <c r="B140" s="1">
        <v>-1011.839966</v>
      </c>
      <c r="C140" s="1">
        <v>2635.4099120000001</v>
      </c>
      <c r="D140" s="1">
        <v>18.34</v>
      </c>
      <c r="E140" s="1">
        <v>-2235.98999</v>
      </c>
      <c r="F140" s="1">
        <v>-538.77996800000005</v>
      </c>
      <c r="G140" s="1">
        <v>7.92</v>
      </c>
      <c r="H140" s="1">
        <v>0</v>
      </c>
      <c r="I140" s="1">
        <v>0</v>
      </c>
      <c r="J140" s="1">
        <v>2.0514000000000001</v>
      </c>
      <c r="K140" s="1">
        <v>-8.4290000000000007E-3</v>
      </c>
      <c r="L140" s="1">
        <v>-1.281E-3</v>
      </c>
      <c r="M140" s="1">
        <v>0.98846299999999998</v>
      </c>
      <c r="N140" s="1">
        <v>-0.151225</v>
      </c>
      <c r="O140">
        <v>1</v>
      </c>
      <c r="P140">
        <v>0</v>
      </c>
      <c r="Q140">
        <v>1</v>
      </c>
      <c r="R140">
        <v>1</v>
      </c>
      <c r="S140">
        <v>1</v>
      </c>
      <c r="T140" s="1">
        <f>SQRT(POWER(Breakout[[#This Row],[angvel_X]],2) + POWER(Breakout[[#This Row],[angvel_Y]],2) + POWER(Breakout[[#This Row],[angvel_Z]],2))</f>
        <v>2.0514000000000001</v>
      </c>
      <c r="U140" s="1">
        <f>DEGREES(ASIN(MAX(-1,MIN(1,2 * (Breakout[[#This Row],[quart_W]]*Breakout[[#This Row],[quart_Y]] - Breakout[[#This Row],[quart_Z]]*Breakout[[#This Row],[quart_X]])))))</f>
        <v>0.97699468509970677</v>
      </c>
      <c r="V14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-107.39647246430063</v>
      </c>
      <c r="W14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89.999031053738975</v>
      </c>
      <c r="X140" s="1">
        <f>IF(Breakout[[#This Row],[Yaw]]&gt;V139,(360-ABS(Breakout[[#This Row],[Yaw]])-ABS(V139)),ABS(Breakout[[#This Row],[Yaw]]-V139))</f>
        <v>0.97941631981254318</v>
      </c>
      <c r="Y140" s="1">
        <f>Breakout[[#This Row],[Degree change]]+Y139</f>
        <v>76.549005342677262</v>
      </c>
    </row>
    <row r="141" spans="1:25">
      <c r="A141">
        <v>140</v>
      </c>
      <c r="B141" s="1">
        <v>-1030.5399170000001</v>
      </c>
      <c r="C141" s="1">
        <v>2630.8999020000001</v>
      </c>
      <c r="D141" s="1">
        <v>18.34</v>
      </c>
      <c r="E141" s="1">
        <v>-2226.4499510000001</v>
      </c>
      <c r="F141" s="1">
        <v>-576.89996299999996</v>
      </c>
      <c r="G141" s="1">
        <v>7.92</v>
      </c>
      <c r="H141" s="1">
        <v>1E-4</v>
      </c>
      <c r="I141" s="1">
        <v>0</v>
      </c>
      <c r="J141" s="1">
        <v>2.0514999999999999</v>
      </c>
      <c r="K141" s="1">
        <v>-8.4189999999999994E-3</v>
      </c>
      <c r="L141" s="1">
        <v>-1.351E-3</v>
      </c>
      <c r="M141" s="1">
        <v>0.98713399999999996</v>
      </c>
      <c r="N141" s="1">
        <v>-0.159668</v>
      </c>
      <c r="O141">
        <v>1</v>
      </c>
      <c r="P141">
        <v>0</v>
      </c>
      <c r="Q141">
        <v>1</v>
      </c>
      <c r="R141">
        <v>1</v>
      </c>
      <c r="S141">
        <v>1</v>
      </c>
      <c r="T141" s="1">
        <f>SQRT(POWER(Breakout[[#This Row],[angvel_X]],2) + POWER(Breakout[[#This Row],[angvel_Y]],2) + POWER(Breakout[[#This Row],[angvel_Z]],2))</f>
        <v>2.051500002437241</v>
      </c>
      <c r="U141" s="1">
        <f>DEGREES(ASIN(MAX(-1,MIN(1,2 * (Breakout[[#This Row],[quart_W]]*Breakout[[#This Row],[quart_Y]] - Breakout[[#This Row],[quart_Z]]*Breakout[[#This Row],[quart_X]])))))</f>
        <v>0.9770999827792739</v>
      </c>
      <c r="V14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-108.37593378640612</v>
      </c>
      <c r="W14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89.998782074676484</v>
      </c>
      <c r="X141" s="1">
        <f>IF(Breakout[[#This Row],[Yaw]]&gt;V140,(360-ABS(Breakout[[#This Row],[Yaw]])-ABS(V140)),ABS(Breakout[[#This Row],[Yaw]]-V140))</f>
        <v>0.97946132210549308</v>
      </c>
      <c r="Y141" s="1">
        <f>Breakout[[#This Row],[Degree change]]+Y140</f>
        <v>77.528466664782755</v>
      </c>
    </row>
    <row r="142" spans="1:25">
      <c r="A142">
        <v>141</v>
      </c>
      <c r="B142" s="1">
        <v>-1049.160034</v>
      </c>
      <c r="C142" s="1">
        <v>2626.0698240000002</v>
      </c>
      <c r="D142" s="1">
        <v>18.34</v>
      </c>
      <c r="E142" s="1">
        <v>-2216.2700199999999</v>
      </c>
      <c r="F142" s="1">
        <v>-614.85998500000005</v>
      </c>
      <c r="G142" s="1">
        <v>7.92</v>
      </c>
      <c r="H142" s="1">
        <v>2.0000000000000001E-4</v>
      </c>
      <c r="I142" s="1">
        <v>0</v>
      </c>
      <c r="J142" s="1">
        <v>2.0516000000000001</v>
      </c>
      <c r="K142" s="1">
        <v>-8.4080000000000005E-3</v>
      </c>
      <c r="L142" s="1">
        <v>-1.4220000000000001E-3</v>
      </c>
      <c r="M142" s="1">
        <v>0.98573299999999997</v>
      </c>
      <c r="N142" s="1">
        <v>-0.1681</v>
      </c>
      <c r="O142">
        <v>1</v>
      </c>
      <c r="P142">
        <v>0</v>
      </c>
      <c r="Q142">
        <v>1</v>
      </c>
      <c r="R142">
        <v>1</v>
      </c>
      <c r="S142">
        <v>1</v>
      </c>
      <c r="T142" s="1">
        <f>SQRT(POWER(Breakout[[#This Row],[angvel_X]],2) + POWER(Breakout[[#This Row],[angvel_Y]],2) + POWER(Breakout[[#This Row],[angvel_Z]],2))</f>
        <v>2.0516000097484892</v>
      </c>
      <c r="U142" s="1">
        <f>DEGREES(ASIN(MAX(-1,MIN(1,2 * (Breakout[[#This Row],[quart_W]]*Breakout[[#This Row],[quart_Y]] - Breakout[[#This Row],[quart_Z]]*Breakout[[#This Row],[quart_X]])))))</f>
        <v>0.97717890773374794</v>
      </c>
      <c r="V14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-109.3554603076346</v>
      </c>
      <c r="W14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89.998662238452084</v>
      </c>
      <c r="X142" s="1">
        <f>IF(Breakout[[#This Row],[Yaw]]&gt;V141,(360-ABS(Breakout[[#This Row],[Yaw]])-ABS(V141)),ABS(Breakout[[#This Row],[Yaw]]-V141))</f>
        <v>0.97952652122847894</v>
      </c>
      <c r="Y142" s="1">
        <f>Breakout[[#This Row],[Degree change]]+Y141</f>
        <v>78.507993186011234</v>
      </c>
    </row>
    <row r="143" spans="1:25">
      <c r="A143">
        <v>142</v>
      </c>
      <c r="B143" s="1">
        <v>-1067.6899410000001</v>
      </c>
      <c r="C143" s="1">
        <v>2620.919922</v>
      </c>
      <c r="D143" s="1">
        <v>18.34</v>
      </c>
      <c r="E143" s="1">
        <v>-2205.4399410000001</v>
      </c>
      <c r="F143" s="1">
        <v>-652.64001499999995</v>
      </c>
      <c r="G143" s="1">
        <v>7.92</v>
      </c>
      <c r="H143" s="1">
        <v>2.0000000000000001E-4</v>
      </c>
      <c r="I143" s="1">
        <v>0</v>
      </c>
      <c r="J143" s="1">
        <v>2.0516999999999999</v>
      </c>
      <c r="K143" s="1">
        <v>-8.397E-3</v>
      </c>
      <c r="L143" s="1">
        <v>-1.4920000000000001E-3</v>
      </c>
      <c r="M143" s="1">
        <v>0.98426000000000002</v>
      </c>
      <c r="N143" s="1">
        <v>-0.17652100000000001</v>
      </c>
      <c r="O143">
        <v>1</v>
      </c>
      <c r="P143">
        <v>0</v>
      </c>
      <c r="Q143">
        <v>1</v>
      </c>
      <c r="R143">
        <v>1</v>
      </c>
      <c r="S143">
        <v>1</v>
      </c>
      <c r="T143" s="1">
        <f>SQRT(POWER(Breakout[[#This Row],[angvel_X]],2) + POWER(Breakout[[#This Row],[angvel_Y]],2) + POWER(Breakout[[#This Row],[angvel_Z]],2))</f>
        <v>2.0517000097480138</v>
      </c>
      <c r="U143" s="1">
        <f>DEGREES(ASIN(MAX(-1,MIN(1,2 * (Breakout[[#This Row],[quart_W]]*Breakout[[#This Row],[quart_Y]] - Breakout[[#This Row],[quart_Z]]*Breakout[[#This Row],[quart_X]])))))</f>
        <v>0.97730718734918043</v>
      </c>
      <c r="V14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-110.33512255123217</v>
      </c>
      <c r="W14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89.998426323889717</v>
      </c>
      <c r="X143" s="1">
        <f>IF(Breakout[[#This Row],[Yaw]]&gt;V142,(360-ABS(Breakout[[#This Row],[Yaw]])-ABS(V142)),ABS(Breakout[[#This Row],[Yaw]]-V142))</f>
        <v>0.97966224359757348</v>
      </c>
      <c r="Y143" s="1">
        <f>Breakout[[#This Row],[Degree change]]+Y142</f>
        <v>79.487655429608807</v>
      </c>
    </row>
    <row r="144" spans="1:25">
      <c r="A144">
        <v>143</v>
      </c>
      <c r="B144" s="1">
        <v>-1086.130005</v>
      </c>
      <c r="C144" s="1">
        <v>2615.459961</v>
      </c>
      <c r="D144" s="1">
        <v>18.34</v>
      </c>
      <c r="E144" s="1">
        <v>-2193.969971</v>
      </c>
      <c r="F144" s="1">
        <v>-690.22997999999995</v>
      </c>
      <c r="G144" s="1">
        <v>7.92</v>
      </c>
      <c r="H144" s="1">
        <v>2.9999999999999997E-4</v>
      </c>
      <c r="I144" s="1">
        <v>0</v>
      </c>
      <c r="J144" s="1">
        <v>2.0518000000000001</v>
      </c>
      <c r="K144" s="1">
        <v>-8.3859999999999994E-3</v>
      </c>
      <c r="L144" s="1">
        <v>-1.562E-3</v>
      </c>
      <c r="M144" s="1">
        <v>0.98271500000000001</v>
      </c>
      <c r="N144" s="1">
        <v>-0.18492600000000001</v>
      </c>
      <c r="O144">
        <v>1</v>
      </c>
      <c r="P144">
        <v>0</v>
      </c>
      <c r="Q144">
        <v>1</v>
      </c>
      <c r="R144">
        <v>1</v>
      </c>
      <c r="S144">
        <v>1</v>
      </c>
      <c r="T144" s="1">
        <f>SQRT(POWER(Breakout[[#This Row],[angvel_X]],2) + POWER(Breakout[[#This Row],[angvel_Y]],2) + POWER(Breakout[[#This Row],[angvel_Z]],2))</f>
        <v>2.0518000219319621</v>
      </c>
      <c r="U144" s="1">
        <f>DEGREES(ASIN(MAX(-1,MIN(1,2 * (Breakout[[#This Row],[quart_W]]*Breakout[[#This Row],[quart_Y]] - Breakout[[#This Row],[quart_Z]]*Breakout[[#This Row],[quart_X]])))))</f>
        <v>0.97750223337311049</v>
      </c>
      <c r="V14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-111.31446263059472</v>
      </c>
      <c r="W14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89.998190495687638</v>
      </c>
      <c r="X144" s="1">
        <f>IF(Breakout[[#This Row],[Yaw]]&gt;V143,(360-ABS(Breakout[[#This Row],[Yaw]])-ABS(V143)),ABS(Breakout[[#This Row],[Yaw]]-V143))</f>
        <v>0.97934007936254375</v>
      </c>
      <c r="Y144" s="1">
        <f>Breakout[[#This Row],[Degree change]]+Y143</f>
        <v>80.466995508971351</v>
      </c>
    </row>
    <row r="145" spans="1:25">
      <c r="A145">
        <v>144</v>
      </c>
      <c r="B145" s="1">
        <v>-1104.4799800000001</v>
      </c>
      <c r="C145" s="1">
        <v>2609.679932</v>
      </c>
      <c r="D145" s="1">
        <v>18.34</v>
      </c>
      <c r="E145" s="1">
        <v>-2181.8498540000001</v>
      </c>
      <c r="F145" s="1">
        <v>-727.61999500000002</v>
      </c>
      <c r="G145" s="1">
        <v>7.92</v>
      </c>
      <c r="H145" s="1">
        <v>2.9999999999999997E-4</v>
      </c>
      <c r="I145" s="1">
        <v>0</v>
      </c>
      <c r="J145" s="1">
        <v>2.0518999999999998</v>
      </c>
      <c r="K145" s="1">
        <v>-8.3750000000000005E-3</v>
      </c>
      <c r="L145" s="1">
        <v>-1.637E-3</v>
      </c>
      <c r="M145" s="1">
        <v>0.98109800000000003</v>
      </c>
      <c r="N145" s="1">
        <v>-0.19332099999999999</v>
      </c>
      <c r="O145">
        <v>1</v>
      </c>
      <c r="P145">
        <v>0</v>
      </c>
      <c r="Q145">
        <v>1</v>
      </c>
      <c r="R145">
        <v>1</v>
      </c>
      <c r="S145">
        <v>1</v>
      </c>
      <c r="T145" s="1">
        <f>SQRT(POWER(Breakout[[#This Row],[angvel_X]],2) + POWER(Breakout[[#This Row],[angvel_Y]],2) + POWER(Breakout[[#This Row],[angvel_Z]],2))</f>
        <v>2.0519000219308929</v>
      </c>
      <c r="U145" s="1">
        <f>DEGREES(ASIN(MAX(-1,MIN(1,2 * (Breakout[[#This Row],[quart_W]]*Breakout[[#This Row],[quart_Y]] - Breakout[[#This Row],[quart_Z]]*Breakout[[#This Row],[quart_X]])))))</f>
        <v>0.97787583619286234</v>
      </c>
      <c r="V14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-112.29417959874847</v>
      </c>
      <c r="W14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89.998509410937245</v>
      </c>
      <c r="X145" s="1">
        <f>IF(Breakout[[#This Row],[Yaw]]&gt;V144,(360-ABS(Breakout[[#This Row],[Yaw]])-ABS(V144)),ABS(Breakout[[#This Row],[Yaw]]-V144))</f>
        <v>0.97971696815375253</v>
      </c>
      <c r="Y145" s="1">
        <f>Breakout[[#This Row],[Degree change]]+Y144</f>
        <v>81.446712477125104</v>
      </c>
    </row>
    <row r="146" spans="1:25">
      <c r="A146">
        <v>145</v>
      </c>
      <c r="B146" s="1">
        <v>-1122.7299800000001</v>
      </c>
      <c r="C146" s="1">
        <v>2603.5898440000001</v>
      </c>
      <c r="D146" s="1">
        <v>18.34</v>
      </c>
      <c r="E146" s="1">
        <v>-2169.0998540000001</v>
      </c>
      <c r="F146" s="1">
        <v>-764.79998799999998</v>
      </c>
      <c r="G146" s="1">
        <v>7.92</v>
      </c>
      <c r="H146" s="1">
        <v>2.9999999999999997E-4</v>
      </c>
      <c r="I146" s="1">
        <v>0</v>
      </c>
      <c r="J146" s="1">
        <v>2.052</v>
      </c>
      <c r="K146" s="1">
        <v>-8.3590000000000001E-3</v>
      </c>
      <c r="L146" s="1">
        <v>-1.707E-3</v>
      </c>
      <c r="M146" s="1">
        <v>0.97941</v>
      </c>
      <c r="N146" s="1">
        <v>-0.20169899999999999</v>
      </c>
      <c r="O146">
        <v>1</v>
      </c>
      <c r="P146">
        <v>0</v>
      </c>
      <c r="Q146">
        <v>1</v>
      </c>
      <c r="R146">
        <v>1</v>
      </c>
      <c r="S146">
        <v>1</v>
      </c>
      <c r="T146" s="1">
        <f>SQRT(POWER(Breakout[[#This Row],[angvel_X]],2) + POWER(Breakout[[#This Row],[angvel_Y]],2) + POWER(Breakout[[#This Row],[angvel_Z]],2))</f>
        <v>2.0520000219298247</v>
      </c>
      <c r="U146" s="1">
        <f>DEGREES(ASIN(MAX(-1,MIN(1,2 * (Breakout[[#This Row],[quart_W]]*Breakout[[#This Row],[quart_Y]] - Breakout[[#This Row],[quart_Z]]*Breakout[[#This Row],[quart_X]])))))</f>
        <v>0.97764961739267031</v>
      </c>
      <c r="V14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-113.27355858347958</v>
      </c>
      <c r="W14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89.998378399833825</v>
      </c>
      <c r="X146" s="1">
        <f>IF(Breakout[[#This Row],[Yaw]]&gt;V145,(360-ABS(Breakout[[#This Row],[Yaw]])-ABS(V145)),ABS(Breakout[[#This Row],[Yaw]]-V145))</f>
        <v>0.97937898473111318</v>
      </c>
      <c r="Y146" s="1">
        <f>Breakout[[#This Row],[Degree change]]+Y145</f>
        <v>82.426091461856217</v>
      </c>
    </row>
    <row r="147" spans="1:25">
      <c r="A147">
        <v>146</v>
      </c>
      <c r="B147" s="1">
        <v>-1140.869995</v>
      </c>
      <c r="C147" s="1">
        <v>2597.1899410000001</v>
      </c>
      <c r="D147" s="1">
        <v>18.34</v>
      </c>
      <c r="E147" s="1">
        <v>-2155.709961</v>
      </c>
      <c r="F147" s="1">
        <v>-801.76000999999997</v>
      </c>
      <c r="G147" s="1">
        <v>7.92</v>
      </c>
      <c r="H147" s="1">
        <v>2.9999999999999997E-4</v>
      </c>
      <c r="I147" s="1">
        <v>0</v>
      </c>
      <c r="J147" s="1">
        <v>2.0520999999999998</v>
      </c>
      <c r="K147" s="1">
        <v>-8.3429999999999997E-3</v>
      </c>
      <c r="L147" s="1">
        <v>-1.7780000000000001E-3</v>
      </c>
      <c r="M147" s="1">
        <v>0.97765000000000002</v>
      </c>
      <c r="N147" s="1">
        <v>-0.210066</v>
      </c>
      <c r="O147">
        <v>1</v>
      </c>
      <c r="P147">
        <v>0</v>
      </c>
      <c r="Q147">
        <v>1</v>
      </c>
      <c r="R147">
        <v>1</v>
      </c>
      <c r="S147">
        <v>1</v>
      </c>
      <c r="T147" s="1">
        <f>SQRT(POWER(Breakout[[#This Row],[angvel_X]],2) + POWER(Breakout[[#This Row],[angvel_Y]],2) + POWER(Breakout[[#This Row],[angvel_Z]],2))</f>
        <v>2.052100021928756</v>
      </c>
      <c r="U147" s="1">
        <f>DEGREES(ASIN(MAX(-1,MIN(1,2 * (Breakout[[#This Row],[quart_W]]*Breakout[[#This Row],[quart_Y]] - Breakout[[#This Row],[quart_Z]]*Breakout[[#This Row],[quart_X]])))))</f>
        <v>0.97751700591656943</v>
      </c>
      <c r="V14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-114.25334943798855</v>
      </c>
      <c r="W14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89.998358931740427</v>
      </c>
      <c r="X147" s="1">
        <f>IF(Breakout[[#This Row],[Yaw]]&gt;V146,(360-ABS(Breakout[[#This Row],[Yaw]])-ABS(V146)),ABS(Breakout[[#This Row],[Yaw]]-V146))</f>
        <v>0.97979085450896264</v>
      </c>
      <c r="Y147" s="1">
        <f>Breakout[[#This Row],[Degree change]]+Y146</f>
        <v>83.405882316365179</v>
      </c>
    </row>
    <row r="148" spans="1:25">
      <c r="A148">
        <v>147</v>
      </c>
      <c r="B148" s="1">
        <v>-1158.900024</v>
      </c>
      <c r="C148" s="1">
        <v>2590.4799800000001</v>
      </c>
      <c r="D148" s="1">
        <v>18.34</v>
      </c>
      <c r="E148" s="1">
        <v>-2141.6899410000001</v>
      </c>
      <c r="F148" s="1">
        <v>-838.48999000000003</v>
      </c>
      <c r="G148" s="1">
        <v>7.92</v>
      </c>
      <c r="H148" s="1">
        <v>2.9999999999999997E-4</v>
      </c>
      <c r="I148" s="1">
        <v>0</v>
      </c>
      <c r="J148" s="1">
        <v>2.0522</v>
      </c>
      <c r="K148" s="1">
        <v>-8.3269999999999993E-3</v>
      </c>
      <c r="L148" s="1">
        <v>-1.848E-3</v>
      </c>
      <c r="M148" s="1">
        <v>0.97581799999999996</v>
      </c>
      <c r="N148" s="1">
        <v>-0.218417</v>
      </c>
      <c r="O148">
        <v>1</v>
      </c>
      <c r="P148">
        <v>0</v>
      </c>
      <c r="Q148">
        <v>1</v>
      </c>
      <c r="R148">
        <v>1</v>
      </c>
      <c r="S148">
        <v>1</v>
      </c>
      <c r="T148" s="1">
        <f>SQRT(POWER(Breakout[[#This Row],[angvel_X]],2) + POWER(Breakout[[#This Row],[angvel_Y]],2) + POWER(Breakout[[#This Row],[angvel_Z]],2))</f>
        <v>2.0522000219276872</v>
      </c>
      <c r="U148" s="1">
        <f>DEGREES(ASIN(MAX(-1,MIN(1,2 * (Breakout[[#This Row],[quart_W]]*Breakout[[#This Row],[quart_Y]] - Breakout[[#This Row],[quart_Z]]*Breakout[[#This Row],[quart_X]])))))</f>
        <v>0.97742988119333174</v>
      </c>
      <c r="V14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-115.23311201911152</v>
      </c>
      <c r="W14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89.998229681543108</v>
      </c>
      <c r="X148" s="1">
        <f>IF(Breakout[[#This Row],[Yaw]]&gt;V147,(360-ABS(Breakout[[#This Row],[Yaw]])-ABS(V147)),ABS(Breakout[[#This Row],[Yaw]]-V147))</f>
        <v>0.97976258112296932</v>
      </c>
      <c r="Y148" s="1">
        <f>Breakout[[#This Row],[Degree change]]+Y147</f>
        <v>84.385644897488149</v>
      </c>
    </row>
    <row r="149" spans="1:25">
      <c r="A149">
        <v>148</v>
      </c>
      <c r="B149" s="1">
        <v>-1176.809937</v>
      </c>
      <c r="C149" s="1">
        <v>2583.459961</v>
      </c>
      <c r="D149" s="1">
        <v>18.34</v>
      </c>
      <c r="E149" s="1">
        <v>-2127.040039</v>
      </c>
      <c r="F149" s="1">
        <v>-874.97997999999995</v>
      </c>
      <c r="G149" s="1">
        <v>7.92</v>
      </c>
      <c r="H149" s="1">
        <v>2.9999999999999997E-4</v>
      </c>
      <c r="I149" s="1">
        <v>0</v>
      </c>
      <c r="J149" s="1">
        <v>2.0522</v>
      </c>
      <c r="K149" s="1">
        <v>-8.3110000000000007E-3</v>
      </c>
      <c r="L149" s="1">
        <v>-1.918E-3</v>
      </c>
      <c r="M149" s="1">
        <v>0.97391499999999998</v>
      </c>
      <c r="N149" s="1">
        <v>-0.22675200000000001</v>
      </c>
      <c r="O149">
        <v>1</v>
      </c>
      <c r="P149">
        <v>0</v>
      </c>
      <c r="Q149">
        <v>1</v>
      </c>
      <c r="R149">
        <v>1</v>
      </c>
      <c r="S149">
        <v>1</v>
      </c>
      <c r="T149" s="1">
        <f>SQRT(POWER(Breakout[[#This Row],[angvel_X]],2) + POWER(Breakout[[#This Row],[angvel_Y]],2) + POWER(Breakout[[#This Row],[angvel_Z]],2))</f>
        <v>2.0522000219276872</v>
      </c>
      <c r="U149" s="1">
        <f>DEGREES(ASIN(MAX(-1,MIN(1,2 * (Breakout[[#This Row],[quart_W]]*Breakout[[#This Row],[quart_Y]] - Breakout[[#This Row],[quart_Z]]*Breakout[[#This Row],[quart_X]])))))</f>
        <v>0.97741232309710846</v>
      </c>
      <c r="V14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-116.21284727057109</v>
      </c>
      <c r="W14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89.998101296605455</v>
      </c>
      <c r="X149" s="1">
        <f>IF(Breakout[[#This Row],[Yaw]]&gt;V148,(360-ABS(Breakout[[#This Row],[Yaw]])-ABS(V148)),ABS(Breakout[[#This Row],[Yaw]]-V148))</f>
        <v>0.97973525145957296</v>
      </c>
      <c r="Y149" s="1">
        <f>Breakout[[#This Row],[Degree change]]+Y148</f>
        <v>85.365380148947722</v>
      </c>
    </row>
    <row r="150" spans="1:25">
      <c r="A150">
        <v>149</v>
      </c>
      <c r="B150" s="1">
        <v>-1194.599976</v>
      </c>
      <c r="C150" s="1">
        <v>2576.139893</v>
      </c>
      <c r="D150" s="1">
        <v>18.34</v>
      </c>
      <c r="E150" s="1">
        <v>-2111.7700199999999</v>
      </c>
      <c r="F150" s="1">
        <v>-911.21997099999999</v>
      </c>
      <c r="G150" s="1">
        <v>7.92</v>
      </c>
      <c r="H150" s="1">
        <v>2.9999999999999997E-4</v>
      </c>
      <c r="I150" s="1">
        <v>0</v>
      </c>
      <c r="J150" s="1">
        <v>2.0522</v>
      </c>
      <c r="K150" s="1">
        <v>-8.2950000000000003E-3</v>
      </c>
      <c r="L150" s="1">
        <v>-1.9880000000000002E-3</v>
      </c>
      <c r="M150" s="1">
        <v>0.97194100000000005</v>
      </c>
      <c r="N150" s="1">
        <v>-0.235071</v>
      </c>
      <c r="O150">
        <v>1</v>
      </c>
      <c r="P150">
        <v>0</v>
      </c>
      <c r="Q150">
        <v>1</v>
      </c>
      <c r="R150">
        <v>1</v>
      </c>
      <c r="S150">
        <v>1</v>
      </c>
      <c r="T150" s="1">
        <f>SQRT(POWER(Breakout[[#This Row],[angvel_X]],2) + POWER(Breakout[[#This Row],[angvel_Y]],2) + POWER(Breakout[[#This Row],[angvel_Z]],2))</f>
        <v>2.0522000219276872</v>
      </c>
      <c r="U150" s="1">
        <f>DEGREES(ASIN(MAX(-1,MIN(1,2 * (Breakout[[#This Row],[quart_W]]*Breakout[[#This Row],[quart_Y]] - Breakout[[#This Row],[quart_Z]]*Breakout[[#This Row],[quart_X]])))))</f>
        <v>0.9774643371280034</v>
      </c>
      <c r="V15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-117.19262391493001</v>
      </c>
      <c r="W15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89.997971980091592</v>
      </c>
      <c r="X150" s="1">
        <f>IF(Breakout[[#This Row],[Yaw]]&gt;V149,(360-ABS(Breakout[[#This Row],[Yaw]])-ABS(V149)),ABS(Breakout[[#This Row],[Yaw]]-V149))</f>
        <v>0.97977664435892109</v>
      </c>
      <c r="Y150" s="1">
        <f>Breakout[[#This Row],[Degree change]]+Y149</f>
        <v>86.345156793306643</v>
      </c>
    </row>
    <row r="151" spans="1:25">
      <c r="A151">
        <v>150</v>
      </c>
      <c r="B151" s="1">
        <v>-1212.26001</v>
      </c>
      <c r="C151" s="1">
        <v>2568.51001</v>
      </c>
      <c r="D151" s="1">
        <v>18.34</v>
      </c>
      <c r="E151" s="1">
        <v>-2095.889893</v>
      </c>
      <c r="F151" s="1">
        <v>-947.19000200000005</v>
      </c>
      <c r="G151" s="1">
        <v>7.92</v>
      </c>
      <c r="H151" s="1">
        <v>4.0000000000000002E-4</v>
      </c>
      <c r="I151" s="1">
        <v>0</v>
      </c>
      <c r="J151" s="1">
        <v>2.0522</v>
      </c>
      <c r="K151" s="1">
        <v>-8.2780000000000006E-3</v>
      </c>
      <c r="L151" s="1">
        <v>-2.0579999999999999E-3</v>
      </c>
      <c r="M151" s="1">
        <v>0.96989499999999995</v>
      </c>
      <c r="N151" s="1">
        <v>-0.24337400000000001</v>
      </c>
      <c r="O151">
        <v>1</v>
      </c>
      <c r="P151">
        <v>0</v>
      </c>
      <c r="Q151">
        <v>1</v>
      </c>
      <c r="R151">
        <v>1</v>
      </c>
      <c r="S151">
        <v>1</v>
      </c>
      <c r="T151" s="1">
        <f>SQRT(POWER(Breakout[[#This Row],[angvel_X]],2) + POWER(Breakout[[#This Row],[angvel_Y]],2) + POWER(Breakout[[#This Row],[angvel_Z]],2))</f>
        <v>2.052200038982555</v>
      </c>
      <c r="U151" s="1">
        <f>DEGREES(ASIN(MAX(-1,MIN(1,2 * (Breakout[[#This Row],[quart_W]]*Breakout[[#This Row],[quart_Y]] - Breakout[[#This Row],[quart_Z]]*Breakout[[#This Row],[quart_X]])))))</f>
        <v>0.97747382199106647</v>
      </c>
      <c r="V15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-118.17259036247191</v>
      </c>
      <c r="W15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89.99786759203829</v>
      </c>
      <c r="X151" s="1">
        <f>IF(Breakout[[#This Row],[Yaw]]&gt;V150,(360-ABS(Breakout[[#This Row],[Yaw]])-ABS(V150)),ABS(Breakout[[#This Row],[Yaw]]-V150))</f>
        <v>0.97996644754189788</v>
      </c>
      <c r="Y151" s="1">
        <f>Breakout[[#This Row],[Degree change]]+Y150</f>
        <v>87.325123240848541</v>
      </c>
    </row>
    <row r="152" spans="1:25">
      <c r="A152">
        <v>151</v>
      </c>
      <c r="B152" s="1">
        <v>-1229.7899170000001</v>
      </c>
      <c r="C152" s="1">
        <v>2560.5798340000001</v>
      </c>
      <c r="D152" s="1">
        <v>18.34</v>
      </c>
      <c r="E152" s="1">
        <v>-2079.389893</v>
      </c>
      <c r="F152" s="1">
        <v>-982.88000499999998</v>
      </c>
      <c r="G152" s="1">
        <v>7.92</v>
      </c>
      <c r="H152" s="1">
        <v>4.0000000000000002E-4</v>
      </c>
      <c r="I152" s="1">
        <v>0</v>
      </c>
      <c r="J152" s="1">
        <v>2.0522999999999998</v>
      </c>
      <c r="K152" s="1">
        <v>-8.2620000000000002E-3</v>
      </c>
      <c r="L152" s="1">
        <v>-2.1280000000000001E-3</v>
      </c>
      <c r="M152" s="1">
        <v>0.96777800000000003</v>
      </c>
      <c r="N152" s="1">
        <v>-0.25165999999999999</v>
      </c>
      <c r="O152">
        <v>1</v>
      </c>
      <c r="P152">
        <v>0</v>
      </c>
      <c r="Q152">
        <v>1</v>
      </c>
      <c r="R152">
        <v>1</v>
      </c>
      <c r="S152">
        <v>1</v>
      </c>
      <c r="T152" s="1">
        <f>SQRT(POWER(Breakout[[#This Row],[angvel_X]],2) + POWER(Breakout[[#This Row],[angvel_Y]],2) + POWER(Breakout[[#This Row],[angvel_Z]],2))</f>
        <v>2.0523000389806554</v>
      </c>
      <c r="U152" s="1">
        <f>DEGREES(ASIN(MAX(-1,MIN(1,2 * (Breakout[[#This Row],[quart_W]]*Breakout[[#This Row],[quart_Y]] - Breakout[[#This Row],[quart_Z]]*Breakout[[#This Row],[quart_X]])))))</f>
        <v>0.97766405035255277</v>
      </c>
      <c r="V15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-119.15264073294583</v>
      </c>
      <c r="W15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89.997732666612208</v>
      </c>
      <c r="X152" s="1">
        <f>IF(Breakout[[#This Row],[Yaw]]&gt;V151,(360-ABS(Breakout[[#This Row],[Yaw]])-ABS(V151)),ABS(Breakout[[#This Row],[Yaw]]-V151))</f>
        <v>0.98005037047391852</v>
      </c>
      <c r="Y152" s="1">
        <f>Breakout[[#This Row],[Degree change]]+Y151</f>
        <v>88.305173611322459</v>
      </c>
    </row>
    <row r="153" spans="1:25">
      <c r="A153">
        <v>152</v>
      </c>
      <c r="B153" s="1">
        <v>-1247.179932</v>
      </c>
      <c r="C153" s="1">
        <v>2552.3598630000001</v>
      </c>
      <c r="D153" s="1">
        <v>18.34</v>
      </c>
      <c r="E153" s="1">
        <v>-2062.280029</v>
      </c>
      <c r="F153" s="1">
        <v>-1018.289978</v>
      </c>
      <c r="G153" s="1">
        <v>7.92</v>
      </c>
      <c r="H153" s="1">
        <v>4.0000000000000002E-4</v>
      </c>
      <c r="I153" s="1">
        <v>0</v>
      </c>
      <c r="J153" s="1">
        <v>2.0522999999999998</v>
      </c>
      <c r="K153" s="1">
        <v>-8.2459999999999999E-3</v>
      </c>
      <c r="L153" s="1">
        <v>-2.1979999999999999E-3</v>
      </c>
      <c r="M153" s="1">
        <v>0.96559099999999998</v>
      </c>
      <c r="N153" s="1">
        <v>-0.25992500000000002</v>
      </c>
      <c r="O153">
        <v>1</v>
      </c>
      <c r="P153">
        <v>0</v>
      </c>
      <c r="Q153">
        <v>1</v>
      </c>
      <c r="R153">
        <v>1</v>
      </c>
      <c r="S153">
        <v>1</v>
      </c>
      <c r="T153" s="1">
        <f>SQRT(POWER(Breakout[[#This Row],[angvel_X]],2) + POWER(Breakout[[#This Row],[angvel_Y]],2) + POWER(Breakout[[#This Row],[angvel_Z]],2))</f>
        <v>2.0523000389806554</v>
      </c>
      <c r="U153" s="1">
        <f>DEGREES(ASIN(MAX(-1,MIN(1,2 * (Breakout[[#This Row],[quart_W]]*Breakout[[#This Row],[quart_Y]] - Breakout[[#This Row],[quart_Z]]*Breakout[[#This Row],[quart_X]])))))</f>
        <v>0.97792354863940389</v>
      </c>
      <c r="V15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-120.13237597291597</v>
      </c>
      <c r="W15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89.997596374761713</v>
      </c>
      <c r="X153" s="1">
        <f>IF(Breakout[[#This Row],[Yaw]]&gt;V152,(360-ABS(Breakout[[#This Row],[Yaw]])-ABS(V152)),ABS(Breakout[[#This Row],[Yaw]]-V152))</f>
        <v>0.97973523997013956</v>
      </c>
      <c r="Y153" s="1">
        <f>Breakout[[#This Row],[Degree change]]+Y152</f>
        <v>89.284908851292599</v>
      </c>
    </row>
    <row r="154" spans="1:25">
      <c r="A154">
        <v>153</v>
      </c>
      <c r="B154" s="1">
        <v>-1264.429932</v>
      </c>
      <c r="C154" s="1">
        <v>2543.8398440000001</v>
      </c>
      <c r="D154" s="1">
        <v>18.34</v>
      </c>
      <c r="E154" s="1">
        <v>-2044.5699460000001</v>
      </c>
      <c r="F154" s="1">
        <v>-1053.400024</v>
      </c>
      <c r="G154" s="1">
        <v>7.92</v>
      </c>
      <c r="H154" s="1">
        <v>4.0000000000000002E-4</v>
      </c>
      <c r="I154" s="1">
        <v>1E-4</v>
      </c>
      <c r="J154" s="1">
        <v>2.0522999999999998</v>
      </c>
      <c r="K154" s="1">
        <v>-8.2299999999999995E-3</v>
      </c>
      <c r="L154" s="1">
        <v>-2.2690000000000002E-3</v>
      </c>
      <c r="M154" s="1">
        <v>0.96333299999999999</v>
      </c>
      <c r="N154" s="1">
        <v>-0.26817400000000002</v>
      </c>
      <c r="O154">
        <v>1</v>
      </c>
      <c r="P154">
        <v>0</v>
      </c>
      <c r="Q154">
        <v>1</v>
      </c>
      <c r="R154">
        <v>1</v>
      </c>
      <c r="S154">
        <v>1</v>
      </c>
      <c r="T154" s="1">
        <f>SQRT(POWER(Breakout[[#This Row],[angvel_X]],2) + POWER(Breakout[[#This Row],[angvel_Y]],2) + POWER(Breakout[[#This Row],[angvel_Z]],2))</f>
        <v>2.0523000414169461</v>
      </c>
      <c r="U154" s="1">
        <f>DEGREES(ASIN(MAX(-1,MIN(1,2 * (Breakout[[#This Row],[quart_W]]*Breakout[[#This Row],[quart_Y]] - Breakout[[#This Row],[quart_Z]]*Breakout[[#This Row],[quart_X]])))))</f>
        <v>0.97828328791730201</v>
      </c>
      <c r="V15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-121.11243005325214</v>
      </c>
      <c r="W15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89.997562346049904</v>
      </c>
      <c r="X154" s="1">
        <f>IF(Breakout[[#This Row],[Yaw]]&gt;V153,(360-ABS(Breakout[[#This Row],[Yaw]])-ABS(V153)),ABS(Breakout[[#This Row],[Yaw]]-V153))</f>
        <v>0.98005408033617414</v>
      </c>
      <c r="Y154" s="1">
        <f>Breakout[[#This Row],[Degree change]]+Y153</f>
        <v>90.264962931628773</v>
      </c>
    </row>
    <row r="155" spans="1:25">
      <c r="A155">
        <v>154</v>
      </c>
      <c r="B155" s="1">
        <v>-1281.530029</v>
      </c>
      <c r="C155" s="1">
        <v>2535.030029</v>
      </c>
      <c r="D155" s="1">
        <v>18.34</v>
      </c>
      <c r="E155" s="1">
        <v>-2026.26001</v>
      </c>
      <c r="F155" s="1">
        <v>-1088.209961</v>
      </c>
      <c r="G155" s="1">
        <v>7.92</v>
      </c>
      <c r="H155" s="1">
        <v>4.0000000000000002E-4</v>
      </c>
      <c r="I155" s="1">
        <v>2.0000000000000001E-4</v>
      </c>
      <c r="J155" s="1">
        <v>2.0524</v>
      </c>
      <c r="K155" s="1">
        <v>-8.208E-3</v>
      </c>
      <c r="L155" s="1">
        <v>-2.3389999999999999E-3</v>
      </c>
      <c r="M155" s="1">
        <v>0.961005</v>
      </c>
      <c r="N155" s="1">
        <v>-0.27640100000000001</v>
      </c>
      <c r="O155">
        <v>1</v>
      </c>
      <c r="P155">
        <v>0</v>
      </c>
      <c r="Q155">
        <v>1</v>
      </c>
      <c r="R155">
        <v>1</v>
      </c>
      <c r="S155">
        <v>1</v>
      </c>
      <c r="T155" s="1">
        <f>SQRT(POWER(Breakout[[#This Row],[angvel_X]],2) + POWER(Breakout[[#This Row],[angvel_Y]],2) + POWER(Breakout[[#This Row],[angvel_Z]],2))</f>
        <v>2.0524000487234448</v>
      </c>
      <c r="U155" s="1">
        <f>DEGREES(ASIN(MAX(-1,MIN(1,2 * (Breakout[[#This Row],[quart_W]]*Breakout[[#This Row],[quart_Y]] - Breakout[[#This Row],[quart_Z]]*Breakout[[#This Row],[quart_X]])))))</f>
        <v>0.97802124564318804</v>
      </c>
      <c r="V15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-122.09221962010176</v>
      </c>
      <c r="W15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89.997603688876424</v>
      </c>
      <c r="X155" s="1">
        <f>IF(Breakout[[#This Row],[Yaw]]&gt;V154,(360-ABS(Breakout[[#This Row],[Yaw]])-ABS(V154)),ABS(Breakout[[#This Row],[Yaw]]-V154))</f>
        <v>0.97978956684961815</v>
      </c>
      <c r="Y155" s="1">
        <f>Breakout[[#This Row],[Degree change]]+Y154</f>
        <v>91.244752498478391</v>
      </c>
    </row>
    <row r="156" spans="1:25">
      <c r="A156">
        <v>155</v>
      </c>
      <c r="B156" s="1">
        <v>-1298.469971</v>
      </c>
      <c r="C156" s="1">
        <v>2525.929932</v>
      </c>
      <c r="D156" s="1">
        <v>18.34</v>
      </c>
      <c r="E156" s="1">
        <v>-2007.349976</v>
      </c>
      <c r="F156" s="1">
        <v>-1122.6999510000001</v>
      </c>
      <c r="G156" s="1">
        <v>7.92</v>
      </c>
      <c r="H156" s="1">
        <v>4.0000000000000002E-4</v>
      </c>
      <c r="I156" s="1">
        <v>2.0000000000000001E-4</v>
      </c>
      <c r="J156" s="1">
        <v>2.0524</v>
      </c>
      <c r="K156" s="1">
        <v>-8.1869999999999998E-3</v>
      </c>
      <c r="L156" s="1">
        <v>-2.4090000000000001E-3</v>
      </c>
      <c r="M156" s="1">
        <v>0.95860599999999996</v>
      </c>
      <c r="N156" s="1">
        <v>-0.28460600000000003</v>
      </c>
      <c r="O156">
        <v>1</v>
      </c>
      <c r="P156">
        <v>0</v>
      </c>
      <c r="Q156">
        <v>1</v>
      </c>
      <c r="R156">
        <v>1</v>
      </c>
      <c r="S156">
        <v>1</v>
      </c>
      <c r="T156" s="1">
        <f>SQRT(POWER(Breakout[[#This Row],[angvel_X]],2) + POWER(Breakout[[#This Row],[angvel_Y]],2) + POWER(Breakout[[#This Row],[angvel_Z]],2))</f>
        <v>2.0524000487234448</v>
      </c>
      <c r="U156" s="1">
        <f>DEGREES(ASIN(MAX(-1,MIN(1,2 * (Breakout[[#This Row],[quart_W]]*Breakout[[#This Row],[quart_Y]] - Breakout[[#This Row],[quart_Z]]*Breakout[[#This Row],[quart_X]])))))</f>
        <v>0.97794012557704835</v>
      </c>
      <c r="V15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-123.07191139549079</v>
      </c>
      <c r="W15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89.997617584611234</v>
      </c>
      <c r="X156" s="1">
        <f>IF(Breakout[[#This Row],[Yaw]]&gt;V155,(360-ABS(Breakout[[#This Row],[Yaw]])-ABS(V155)),ABS(Breakout[[#This Row],[Yaw]]-V155))</f>
        <v>0.97969177538902841</v>
      </c>
      <c r="Y156" s="1">
        <f>Breakout[[#This Row],[Degree change]]+Y155</f>
        <v>92.224444273867419</v>
      </c>
    </row>
    <row r="157" spans="1:25">
      <c r="A157">
        <v>156</v>
      </c>
      <c r="B157" s="1">
        <v>-1315.26001</v>
      </c>
      <c r="C157" s="1">
        <v>2516.540039</v>
      </c>
      <c r="D157" s="1">
        <v>18.34</v>
      </c>
      <c r="E157" s="1">
        <v>-1987.8599850000001</v>
      </c>
      <c r="F157" s="1">
        <v>-1156.8599850000001</v>
      </c>
      <c r="G157" s="1">
        <v>7.92</v>
      </c>
      <c r="H157" s="1">
        <v>4.0000000000000002E-4</v>
      </c>
      <c r="I157" s="1">
        <v>2.0000000000000001E-4</v>
      </c>
      <c r="J157" s="1">
        <v>2.0524</v>
      </c>
      <c r="K157" s="1">
        <v>-8.1650000000000004E-3</v>
      </c>
      <c r="L157" s="1">
        <v>-2.4789999999999999E-3</v>
      </c>
      <c r="M157" s="1">
        <v>0.95613700000000001</v>
      </c>
      <c r="N157" s="1">
        <v>-0.292796</v>
      </c>
      <c r="O157">
        <v>1</v>
      </c>
      <c r="P157">
        <v>0</v>
      </c>
      <c r="Q157">
        <v>1</v>
      </c>
      <c r="R157">
        <v>1</v>
      </c>
      <c r="S157">
        <v>1</v>
      </c>
      <c r="T157" s="1">
        <f>SQRT(POWER(Breakout[[#This Row],[angvel_X]],2) + POWER(Breakout[[#This Row],[angvel_Y]],2) + POWER(Breakout[[#This Row],[angvel_Z]],2))</f>
        <v>2.0524000487234448</v>
      </c>
      <c r="U157" s="1">
        <f>DEGREES(ASIN(MAX(-1,MIN(1,2 * (Breakout[[#This Row],[quart_W]]*Breakout[[#This Row],[quart_Y]] - Breakout[[#This Row],[quart_Z]]*Breakout[[#This Row],[quart_X]])))))</f>
        <v>0.97782284844391065</v>
      </c>
      <c r="V15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-124.05212964615491</v>
      </c>
      <c r="W15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89.997660190426089</v>
      </c>
      <c r="X157" s="1">
        <f>IF(Breakout[[#This Row],[Yaw]]&gt;V156,(360-ABS(Breakout[[#This Row],[Yaw]])-ABS(V156)),ABS(Breakout[[#This Row],[Yaw]]-V156))</f>
        <v>0.98021825066412305</v>
      </c>
      <c r="Y157" s="1">
        <f>Breakout[[#This Row],[Degree change]]+Y156</f>
        <v>93.204662524531543</v>
      </c>
    </row>
    <row r="158" spans="1:25">
      <c r="A158">
        <v>157</v>
      </c>
      <c r="B158" s="1">
        <v>-1331.880005</v>
      </c>
      <c r="C158" s="1">
        <v>2506.8598630000001</v>
      </c>
      <c r="D158" s="1">
        <v>18.34</v>
      </c>
      <c r="E158" s="1">
        <v>-1967.7899170000001</v>
      </c>
      <c r="F158" s="1">
        <v>-1190.679932</v>
      </c>
      <c r="G158" s="1">
        <v>7.92</v>
      </c>
      <c r="H158" s="1">
        <v>4.0000000000000002E-4</v>
      </c>
      <c r="I158" s="1">
        <v>2.0000000000000001E-4</v>
      </c>
      <c r="J158" s="1">
        <v>2.0524</v>
      </c>
      <c r="K158" s="1">
        <v>-8.1429999999999992E-3</v>
      </c>
      <c r="L158" s="1">
        <v>-2.5490000000000001E-3</v>
      </c>
      <c r="M158" s="1">
        <v>0.95359700000000003</v>
      </c>
      <c r="N158" s="1">
        <v>-0.30096299999999998</v>
      </c>
      <c r="O158">
        <v>1</v>
      </c>
      <c r="P158">
        <v>0</v>
      </c>
      <c r="Q158">
        <v>1</v>
      </c>
      <c r="R158">
        <v>1</v>
      </c>
      <c r="S158">
        <v>1</v>
      </c>
      <c r="T158" s="1">
        <f>SQRT(POWER(Breakout[[#This Row],[angvel_X]],2) + POWER(Breakout[[#This Row],[angvel_Y]],2) + POWER(Breakout[[#This Row],[angvel_Z]],2))</f>
        <v>2.0524000487234448</v>
      </c>
      <c r="U158" s="1">
        <f>DEGREES(ASIN(MAX(-1,MIN(1,2 * (Breakout[[#This Row],[quart_W]]*Breakout[[#This Row],[quart_Y]] - Breakout[[#This Row],[quart_Z]]*Breakout[[#This Row],[quart_X]])))))</f>
        <v>0.97777645147226133</v>
      </c>
      <c r="V15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-125.03230339203958</v>
      </c>
      <c r="W15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89.997705204107746</v>
      </c>
      <c r="X158" s="1">
        <f>IF(Breakout[[#This Row],[Yaw]]&gt;V157,(360-ABS(Breakout[[#This Row],[Yaw]])-ABS(V157)),ABS(Breakout[[#This Row],[Yaw]]-V157))</f>
        <v>0.98017374588467021</v>
      </c>
      <c r="Y158" s="1">
        <f>Breakout[[#This Row],[Degree change]]+Y157</f>
        <v>94.184836270416213</v>
      </c>
    </row>
    <row r="159" spans="1:25">
      <c r="A159">
        <v>158</v>
      </c>
      <c r="B159" s="1">
        <v>-1348.329956</v>
      </c>
      <c r="C159" s="1">
        <v>2496.8999020000001</v>
      </c>
      <c r="D159" s="1">
        <v>18.34</v>
      </c>
      <c r="E159" s="1">
        <v>-1947.1400149999999</v>
      </c>
      <c r="F159" s="1">
        <v>-1224.1599120000001</v>
      </c>
      <c r="G159" s="1">
        <v>7.92</v>
      </c>
      <c r="H159" s="1">
        <v>4.0000000000000002E-4</v>
      </c>
      <c r="I159" s="1">
        <v>2.0000000000000001E-4</v>
      </c>
      <c r="J159" s="1">
        <v>2.0524</v>
      </c>
      <c r="K159" s="1">
        <v>-8.1220000000000007E-3</v>
      </c>
      <c r="L159" s="1">
        <v>-2.6189999999999998E-3</v>
      </c>
      <c r="M159" s="1">
        <v>0.95098800000000006</v>
      </c>
      <c r="N159" s="1">
        <v>-0.30910900000000002</v>
      </c>
      <c r="O159">
        <v>1</v>
      </c>
      <c r="P159">
        <v>0</v>
      </c>
      <c r="Q159">
        <v>1</v>
      </c>
      <c r="R159">
        <v>1</v>
      </c>
      <c r="S159">
        <v>1</v>
      </c>
      <c r="T159" s="1">
        <f>SQRT(POWER(Breakout[[#This Row],[angvel_X]],2) + POWER(Breakout[[#This Row],[angvel_Y]],2) + POWER(Breakout[[#This Row],[angvel_Z]],2))</f>
        <v>2.0524000487234448</v>
      </c>
      <c r="U159" s="1">
        <f>DEGREES(ASIN(MAX(-1,MIN(1,2 * (Breakout[[#This Row],[quart_W]]*Breakout[[#This Row],[quart_Y]] - Breakout[[#This Row],[quart_Z]]*Breakout[[#This Row],[quart_X]])))))</f>
        <v>0.97791237101119033</v>
      </c>
      <c r="V15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-126.012494253954</v>
      </c>
      <c r="W15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89.997714055210324</v>
      </c>
      <c r="X159" s="1">
        <f>IF(Breakout[[#This Row],[Yaw]]&gt;V158,(360-ABS(Breakout[[#This Row],[Yaw]])-ABS(V158)),ABS(Breakout[[#This Row],[Yaw]]-V158))</f>
        <v>0.98019086191442284</v>
      </c>
      <c r="Y159" s="1">
        <f>Breakout[[#This Row],[Degree change]]+Y158</f>
        <v>95.165027132330636</v>
      </c>
    </row>
    <row r="160" spans="1:25">
      <c r="A160">
        <v>159</v>
      </c>
      <c r="B160" s="1">
        <v>-1364.6099850000001</v>
      </c>
      <c r="C160" s="1">
        <v>2486.6599120000001</v>
      </c>
      <c r="D160" s="1">
        <v>18.34</v>
      </c>
      <c r="E160" s="1">
        <v>-1925.919922</v>
      </c>
      <c r="F160" s="1">
        <v>-1257.280029</v>
      </c>
      <c r="G160" s="1">
        <v>7.92</v>
      </c>
      <c r="H160" s="1">
        <v>4.0000000000000002E-4</v>
      </c>
      <c r="I160" s="1">
        <v>2.0000000000000001E-4</v>
      </c>
      <c r="J160" s="1">
        <v>2.0525000000000002</v>
      </c>
      <c r="K160" s="1">
        <v>-8.0999999999999996E-3</v>
      </c>
      <c r="L160" s="1">
        <v>-2.689E-3</v>
      </c>
      <c r="M160" s="1">
        <v>0.94831100000000002</v>
      </c>
      <c r="N160" s="1">
        <v>-0.31722899999999998</v>
      </c>
      <c r="O160">
        <v>1</v>
      </c>
      <c r="P160">
        <v>0</v>
      </c>
      <c r="Q160">
        <v>1</v>
      </c>
      <c r="R160">
        <v>1</v>
      </c>
      <c r="S160">
        <v>1</v>
      </c>
      <c r="T160" s="1">
        <f>SQRT(POWER(Breakout[[#This Row],[angvel_X]],2) + POWER(Breakout[[#This Row],[angvel_Y]],2) + POWER(Breakout[[#This Row],[angvel_Z]],2))</f>
        <v>2.0525000487210714</v>
      </c>
      <c r="U160" s="1">
        <f>DEGREES(ASIN(MAX(-1,MIN(1,2 * (Breakout[[#This Row],[quart_W]]*Breakout[[#This Row],[quart_Y]] - Breakout[[#This Row],[quart_Z]]*Breakout[[#This Row],[quart_X]])))))</f>
        <v>0.97801172192637975</v>
      </c>
      <c r="V16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-126.99222873292383</v>
      </c>
      <c r="W16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89.997759795870891</v>
      </c>
      <c r="X160" s="1">
        <f>IF(Breakout[[#This Row],[Yaw]]&gt;V159,(360-ABS(Breakout[[#This Row],[Yaw]])-ABS(V159)),ABS(Breakout[[#This Row],[Yaw]]-V159))</f>
        <v>0.97973447896983146</v>
      </c>
      <c r="Y160" s="1">
        <f>Breakout[[#This Row],[Degree change]]+Y159</f>
        <v>96.144761611300467</v>
      </c>
    </row>
    <row r="161" spans="1:25">
      <c r="A161">
        <v>160</v>
      </c>
      <c r="B161" s="1">
        <v>-1380.709961</v>
      </c>
      <c r="C161" s="1">
        <v>2476.139893</v>
      </c>
      <c r="D161" s="1">
        <v>18.34</v>
      </c>
      <c r="E161" s="1">
        <v>-1904.130005</v>
      </c>
      <c r="F161" s="1">
        <v>-1290.030029</v>
      </c>
      <c r="G161" s="1">
        <v>7.92</v>
      </c>
      <c r="H161" s="1">
        <v>4.0000000000000002E-4</v>
      </c>
      <c r="I161" s="1">
        <v>2.0000000000000001E-4</v>
      </c>
      <c r="J161" s="1">
        <v>2.0525000000000002</v>
      </c>
      <c r="K161" s="1">
        <v>-8.0789999999999994E-3</v>
      </c>
      <c r="L161" s="1">
        <v>-2.7590000000000002E-3</v>
      </c>
      <c r="M161" s="1">
        <v>0.94556300000000004</v>
      </c>
      <c r="N161" s="1">
        <v>-0.325326</v>
      </c>
      <c r="O161">
        <v>1</v>
      </c>
      <c r="P161">
        <v>0</v>
      </c>
      <c r="Q161">
        <v>1</v>
      </c>
      <c r="R161">
        <v>1</v>
      </c>
      <c r="S161">
        <v>1</v>
      </c>
      <c r="T161" s="1">
        <f>SQRT(POWER(Breakout[[#This Row],[angvel_X]],2) + POWER(Breakout[[#This Row],[angvel_Y]],2) + POWER(Breakout[[#This Row],[angvel_Z]],2))</f>
        <v>2.0525000487210714</v>
      </c>
      <c r="U161" s="1">
        <f>DEGREES(ASIN(MAX(-1,MIN(1,2 * (Breakout[[#This Row],[quart_W]]*Breakout[[#This Row],[quart_Y]] - Breakout[[#This Row],[quart_Z]]*Breakout[[#This Row],[quart_X]])))))</f>
        <v>0.97829022343643701</v>
      </c>
      <c r="V16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-127.97214917874659</v>
      </c>
      <c r="W16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89.997765088752573</v>
      </c>
      <c r="X161" s="1">
        <f>IF(Breakout[[#This Row],[Yaw]]&gt;V160,(360-ABS(Breakout[[#This Row],[Yaw]])-ABS(V160)),ABS(Breakout[[#This Row],[Yaw]]-V160))</f>
        <v>0.97992044582275639</v>
      </c>
      <c r="Y161" s="1">
        <f>Breakout[[#This Row],[Degree change]]+Y160</f>
        <v>97.124682057123223</v>
      </c>
    </row>
    <row r="162" spans="1:25">
      <c r="A162">
        <v>161</v>
      </c>
      <c r="B162" s="1">
        <v>-1396.630005</v>
      </c>
      <c r="C162" s="1">
        <v>2465.3498540000001</v>
      </c>
      <c r="D162" s="1">
        <v>18.34</v>
      </c>
      <c r="E162" s="1">
        <v>-1881.7899170000001</v>
      </c>
      <c r="F162" s="1">
        <v>-1322.4099120000001</v>
      </c>
      <c r="G162" s="1">
        <v>7.92</v>
      </c>
      <c r="H162" s="1">
        <v>4.0000000000000002E-4</v>
      </c>
      <c r="I162" s="1">
        <v>2.0000000000000001E-4</v>
      </c>
      <c r="J162" s="1">
        <v>2.0525000000000002</v>
      </c>
      <c r="K162" s="1">
        <v>-8.0569999999999999E-3</v>
      </c>
      <c r="L162" s="1">
        <v>-2.8300000000000001E-3</v>
      </c>
      <c r="M162" s="1">
        <v>0.94274599999999997</v>
      </c>
      <c r="N162" s="1">
        <v>-0.33340199999999998</v>
      </c>
      <c r="O162">
        <v>1</v>
      </c>
      <c r="P162">
        <v>0</v>
      </c>
      <c r="Q162">
        <v>1</v>
      </c>
      <c r="R162">
        <v>1</v>
      </c>
      <c r="S162">
        <v>1</v>
      </c>
      <c r="T162" s="1">
        <f>SQRT(POWER(Breakout[[#This Row],[angvel_X]],2) + POWER(Breakout[[#This Row],[angvel_Y]],2) + POWER(Breakout[[#This Row],[angvel_Z]],2))</f>
        <v>2.0525000487210714</v>
      </c>
      <c r="U162" s="1">
        <f>DEGREES(ASIN(MAX(-1,MIN(1,2 * (Breakout[[#This Row],[quart_W]]*Breakout[[#This Row],[quart_Y]] - Breakout[[#This Row],[quart_Z]]*Breakout[[#This Row],[quart_X]])))))</f>
        <v>0.97857150318878816</v>
      </c>
      <c r="V16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-128.9522919327971</v>
      </c>
      <c r="W16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89.997908544086329</v>
      </c>
      <c r="X162" s="1">
        <f>IF(Breakout[[#This Row],[Yaw]]&gt;V161,(360-ABS(Breakout[[#This Row],[Yaw]])-ABS(V161)),ABS(Breakout[[#This Row],[Yaw]]-V161))</f>
        <v>0.98014275405050455</v>
      </c>
      <c r="Y162" s="1">
        <f>Breakout[[#This Row],[Degree change]]+Y161</f>
        <v>98.104824811173728</v>
      </c>
    </row>
    <row r="163" spans="1:25">
      <c r="A163">
        <v>162</v>
      </c>
      <c r="B163" s="1">
        <v>-1412.369995</v>
      </c>
      <c r="C163" s="1">
        <v>2454.290039</v>
      </c>
      <c r="D163" s="1">
        <v>18.34</v>
      </c>
      <c r="E163" s="1">
        <v>-1858.8999020000001</v>
      </c>
      <c r="F163" s="1">
        <v>-1354.400024</v>
      </c>
      <c r="G163" s="1">
        <v>7.92</v>
      </c>
      <c r="H163" s="1">
        <v>4.0000000000000002E-4</v>
      </c>
      <c r="I163" s="1">
        <v>2.9999999999999997E-4</v>
      </c>
      <c r="J163" s="1">
        <v>2.0525000000000002</v>
      </c>
      <c r="K163" s="1">
        <v>-8.0300000000000007E-3</v>
      </c>
      <c r="L163" s="1">
        <v>-2.8999999999999998E-3</v>
      </c>
      <c r="M163" s="1">
        <v>0.93986099999999995</v>
      </c>
      <c r="N163" s="1">
        <v>-0.341451</v>
      </c>
      <c r="O163">
        <v>1</v>
      </c>
      <c r="P163">
        <v>0</v>
      </c>
      <c r="Q163">
        <v>1</v>
      </c>
      <c r="R163">
        <v>1</v>
      </c>
      <c r="S163">
        <v>1</v>
      </c>
      <c r="T163" s="1">
        <f>SQRT(POWER(Breakout[[#This Row],[angvel_X]],2) + POWER(Breakout[[#This Row],[angvel_Y]],2) + POWER(Breakout[[#This Row],[angvel_Z]],2))</f>
        <v>2.0525000609013393</v>
      </c>
      <c r="U163" s="1">
        <f>DEGREES(ASIN(MAX(-1,MIN(1,2 * (Breakout[[#This Row],[quart_W]]*Breakout[[#This Row],[quart_Y]] - Breakout[[#This Row],[quart_Z]]*Breakout[[#This Row],[quart_X]])))))</f>
        <v>0.97834911134094427</v>
      </c>
      <c r="V16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-129.93211456812136</v>
      </c>
      <c r="W16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89.998137085028461</v>
      </c>
      <c r="X163" s="1">
        <f>IF(Breakout[[#This Row],[Yaw]]&gt;V162,(360-ABS(Breakout[[#This Row],[Yaw]])-ABS(V162)),ABS(Breakout[[#This Row],[Yaw]]-V162))</f>
        <v>0.97982263532426828</v>
      </c>
      <c r="Y163" s="1">
        <f>Breakout[[#This Row],[Degree change]]+Y162</f>
        <v>99.084647446497996</v>
      </c>
    </row>
    <row r="164" spans="1:25">
      <c r="A164">
        <v>163</v>
      </c>
      <c r="B164" s="1">
        <v>-1427.9099120000001</v>
      </c>
      <c r="C164" s="1">
        <v>2442.959961</v>
      </c>
      <c r="D164" s="1">
        <v>18.34</v>
      </c>
      <c r="E164" s="1">
        <v>-1835.459961</v>
      </c>
      <c r="F164" s="1">
        <v>-1385.98999</v>
      </c>
      <c r="G164" s="1">
        <v>7.92</v>
      </c>
      <c r="H164" s="1">
        <v>2.9999999999999997E-4</v>
      </c>
      <c r="I164" s="1">
        <v>2.9999999999999997E-4</v>
      </c>
      <c r="J164" s="1">
        <v>2.0525000000000002</v>
      </c>
      <c r="K164" s="1">
        <v>-8.0029999999999997E-3</v>
      </c>
      <c r="L164" s="1">
        <v>-2.97E-3</v>
      </c>
      <c r="M164" s="1">
        <v>0.93690499999999999</v>
      </c>
      <c r="N164" s="1">
        <v>-0.34947899999999998</v>
      </c>
      <c r="O164">
        <v>1</v>
      </c>
      <c r="P164">
        <v>0</v>
      </c>
      <c r="Q164">
        <v>1</v>
      </c>
      <c r="R164">
        <v>1</v>
      </c>
      <c r="S164">
        <v>1</v>
      </c>
      <c r="T164" s="1">
        <f>SQRT(POWER(Breakout[[#This Row],[angvel_X]],2) + POWER(Breakout[[#This Row],[angvel_Y]],2) + POWER(Breakout[[#This Row],[angvel_Z]],2))</f>
        <v>2.0525000438489642</v>
      </c>
      <c r="U164" s="1">
        <f>DEGREES(ASIN(MAX(-1,MIN(1,2 * (Breakout[[#This Row],[quart_W]]*Breakout[[#This Row],[quart_Y]] - Breakout[[#This Row],[quart_Z]]*Breakout[[#This Row],[quart_X]])))))</f>
        <v>0.97820145177240925</v>
      </c>
      <c r="V16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-130.91250904382804</v>
      </c>
      <c r="W16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89.998364243613224</v>
      </c>
      <c r="X164" s="1">
        <f>IF(Breakout[[#This Row],[Yaw]]&gt;V163,(360-ABS(Breakout[[#This Row],[Yaw]])-ABS(V163)),ABS(Breakout[[#This Row],[Yaw]]-V163))</f>
        <v>0.98039447570667448</v>
      </c>
      <c r="Y164" s="1">
        <f>Breakout[[#This Row],[Degree change]]+Y163</f>
        <v>100.06504192220467</v>
      </c>
    </row>
    <row r="165" spans="1:25">
      <c r="A165">
        <v>164</v>
      </c>
      <c r="B165" s="1">
        <v>-1443.26001</v>
      </c>
      <c r="C165" s="1">
        <v>2431.3698730000001</v>
      </c>
      <c r="D165" s="1">
        <v>18.34</v>
      </c>
      <c r="E165" s="1">
        <v>-1811.48999</v>
      </c>
      <c r="F165" s="1">
        <v>-1417.179932</v>
      </c>
      <c r="G165" s="1">
        <v>7.92</v>
      </c>
      <c r="H165" s="1">
        <v>2.9999999999999997E-4</v>
      </c>
      <c r="I165" s="1">
        <v>2.9999999999999997E-4</v>
      </c>
      <c r="J165" s="1">
        <v>2.0525000000000002</v>
      </c>
      <c r="K165" s="1">
        <v>-7.9760000000000005E-3</v>
      </c>
      <c r="L165" s="1">
        <v>-3.0400000000000002E-3</v>
      </c>
      <c r="M165" s="1">
        <v>0.93388199999999999</v>
      </c>
      <c r="N165" s="1">
        <v>-0.35747899999999999</v>
      </c>
      <c r="O165">
        <v>1</v>
      </c>
      <c r="P165">
        <v>0</v>
      </c>
      <c r="Q165">
        <v>1</v>
      </c>
      <c r="R165">
        <v>1</v>
      </c>
      <c r="S165">
        <v>1</v>
      </c>
      <c r="T165" s="1">
        <f>SQRT(POWER(Breakout[[#This Row],[angvel_X]],2) + POWER(Breakout[[#This Row],[angvel_Y]],2) + POWER(Breakout[[#This Row],[angvel_Z]],2))</f>
        <v>2.0525000438489642</v>
      </c>
      <c r="U165" s="1">
        <f>DEGREES(ASIN(MAX(-1,MIN(1,2 * (Breakout[[#This Row],[quart_W]]*Breakout[[#This Row],[quart_Y]] - Breakout[[#This Row],[quart_Z]]*Breakout[[#This Row],[quart_X]])))))</f>
        <v>0.97812989576113785</v>
      </c>
      <c r="V16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-131.89253553536079</v>
      </c>
      <c r="W16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89.998595908543052</v>
      </c>
      <c r="X165" s="1">
        <f>IF(Breakout[[#This Row],[Yaw]]&gt;V164,(360-ABS(Breakout[[#This Row],[Yaw]])-ABS(V164)),ABS(Breakout[[#This Row],[Yaw]]-V164))</f>
        <v>0.98002649153275456</v>
      </c>
      <c r="Y165" s="1">
        <f>Breakout[[#This Row],[Degree change]]+Y164</f>
        <v>101.04506841373743</v>
      </c>
    </row>
    <row r="166" spans="1:25">
      <c r="A166">
        <v>165</v>
      </c>
      <c r="B166" s="1">
        <v>-1458.4099120000001</v>
      </c>
      <c r="C166" s="1">
        <v>2419.51001</v>
      </c>
      <c r="D166" s="1">
        <v>18.34</v>
      </c>
      <c r="E166" s="1">
        <v>-1786.98999</v>
      </c>
      <c r="F166" s="1">
        <v>-1447.959961</v>
      </c>
      <c r="G166" s="1">
        <v>7.92</v>
      </c>
      <c r="H166" s="1">
        <v>2.0000000000000001E-4</v>
      </c>
      <c r="I166" s="1">
        <v>2.9999999999999997E-4</v>
      </c>
      <c r="J166" s="1">
        <v>2.0525000000000002</v>
      </c>
      <c r="K166" s="1">
        <v>-7.9489999999999995E-3</v>
      </c>
      <c r="L166" s="1">
        <v>-3.1099999999999999E-3</v>
      </c>
      <c r="M166" s="1">
        <v>0.93079100000000004</v>
      </c>
      <c r="N166" s="1">
        <v>-0.36545299999999997</v>
      </c>
      <c r="O166">
        <v>1</v>
      </c>
      <c r="P166">
        <v>0</v>
      </c>
      <c r="Q166">
        <v>1</v>
      </c>
      <c r="R166">
        <v>1</v>
      </c>
      <c r="S166">
        <v>1</v>
      </c>
      <c r="T166" s="1">
        <f>SQRT(POWER(Breakout[[#This Row],[angvel_X]],2) + POWER(Breakout[[#This Row],[angvel_Y]],2) + POWER(Breakout[[#This Row],[angvel_Z]],2))</f>
        <v>2.0525000316686968</v>
      </c>
      <c r="U166" s="1">
        <f>DEGREES(ASIN(MAX(-1,MIN(1,2 * (Breakout[[#This Row],[quart_W]]*Breakout[[#This Row],[quart_Y]] - Breakout[[#This Row],[quart_Z]]*Breakout[[#This Row],[quart_X]])))))</f>
        <v>0.97813419322703865</v>
      </c>
      <c r="V16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-132.87253722456538</v>
      </c>
      <c r="W16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89.998828028889832</v>
      </c>
      <c r="X166" s="1">
        <f>IF(Breakout[[#This Row],[Yaw]]&gt;V165,(360-ABS(Breakout[[#This Row],[Yaw]])-ABS(V165)),ABS(Breakout[[#This Row],[Yaw]]-V165))</f>
        <v>0.98000168920458464</v>
      </c>
      <c r="Y166" s="1">
        <f>Breakout[[#This Row],[Degree change]]+Y165</f>
        <v>102.02507010294201</v>
      </c>
    </row>
    <row r="167" spans="1:25">
      <c r="A167">
        <v>166</v>
      </c>
      <c r="B167" s="1">
        <v>-1473.349976</v>
      </c>
      <c r="C167" s="1">
        <v>2407.3999020000001</v>
      </c>
      <c r="D167" s="1">
        <v>18.34</v>
      </c>
      <c r="E167" s="1">
        <v>-1761.959961</v>
      </c>
      <c r="F167" s="1">
        <v>-1478.309937</v>
      </c>
      <c r="G167" s="1">
        <v>7.92</v>
      </c>
      <c r="H167" s="1">
        <v>2.0000000000000001E-4</v>
      </c>
      <c r="I167" s="1">
        <v>2.0000000000000001E-4</v>
      </c>
      <c r="J167" s="1">
        <v>2.0525000000000002</v>
      </c>
      <c r="K167" s="1">
        <v>-7.9220000000000002E-3</v>
      </c>
      <c r="L167" s="1">
        <v>-3.1800000000000001E-3</v>
      </c>
      <c r="M167" s="1">
        <v>0.92763099999999998</v>
      </c>
      <c r="N167" s="1">
        <v>-0.37340000000000001</v>
      </c>
      <c r="O167">
        <v>1</v>
      </c>
      <c r="P167">
        <v>0</v>
      </c>
      <c r="Q167">
        <v>1</v>
      </c>
      <c r="R167">
        <v>1</v>
      </c>
      <c r="S167">
        <v>1</v>
      </c>
      <c r="T167" s="1">
        <f>SQRT(POWER(Breakout[[#This Row],[angvel_X]],2) + POWER(Breakout[[#This Row],[angvel_Y]],2) + POWER(Breakout[[#This Row],[angvel_Z]],2))</f>
        <v>2.0525000194884289</v>
      </c>
      <c r="U167" s="1">
        <f>DEGREES(ASIN(MAX(-1,MIN(1,2 * (Breakout[[#This Row],[quart_W]]*Breakout[[#This Row],[quart_Y]] - Breakout[[#This Row],[quart_Z]]*Breakout[[#This Row],[quart_X]])))))</f>
        <v>0.9782130772906743</v>
      </c>
      <c r="V16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-133.8526224353464</v>
      </c>
      <c r="W16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89.999059270170576</v>
      </c>
      <c r="X167" s="1">
        <f>IF(Breakout[[#This Row],[Yaw]]&gt;V166,(360-ABS(Breakout[[#This Row],[Yaw]])-ABS(V166)),ABS(Breakout[[#This Row],[Yaw]]-V166))</f>
        <v>0.98008521078102717</v>
      </c>
      <c r="Y167" s="1">
        <f>Breakout[[#This Row],[Degree change]]+Y166</f>
        <v>103.00515531372304</v>
      </c>
    </row>
    <row r="168" spans="1:25">
      <c r="A168">
        <v>167</v>
      </c>
      <c r="B168" s="1">
        <v>-1488.079956</v>
      </c>
      <c r="C168" s="1">
        <v>2395.030029</v>
      </c>
      <c r="D168" s="1">
        <v>18.34</v>
      </c>
      <c r="E168" s="1">
        <v>-1736.419922</v>
      </c>
      <c r="F168" s="1">
        <v>-1508.2299800000001</v>
      </c>
      <c r="G168" s="1">
        <v>7.92</v>
      </c>
      <c r="H168" s="1">
        <v>1E-4</v>
      </c>
      <c r="I168" s="1">
        <v>2.0000000000000001E-4</v>
      </c>
      <c r="J168" s="1">
        <v>2.0525000000000002</v>
      </c>
      <c r="K168" s="1">
        <v>-7.8949999999999992E-3</v>
      </c>
      <c r="L168" s="1">
        <v>-3.2499999999999999E-3</v>
      </c>
      <c r="M168" s="1">
        <v>0.924404</v>
      </c>
      <c r="N168" s="1">
        <v>-0.38131900000000002</v>
      </c>
      <c r="O168">
        <v>1</v>
      </c>
      <c r="P168">
        <v>0</v>
      </c>
      <c r="Q168">
        <v>1</v>
      </c>
      <c r="R168">
        <v>1</v>
      </c>
      <c r="S168">
        <v>1</v>
      </c>
      <c r="T168" s="1">
        <f>SQRT(POWER(Breakout[[#This Row],[angvel_X]],2) + POWER(Breakout[[#This Row],[angvel_Y]],2) + POWER(Breakout[[#This Row],[angvel_Z]],2))</f>
        <v>2.0525000121802681</v>
      </c>
      <c r="U168" s="1">
        <f>DEGREES(ASIN(MAX(-1,MIN(1,2 * (Breakout[[#This Row],[quart_W]]*Breakout[[#This Row],[quart_Y]] - Breakout[[#This Row],[quart_Z]]*Breakout[[#This Row],[quart_X]])))))</f>
        <v>0.97836797586170787</v>
      </c>
      <c r="V16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-134.83255690620049</v>
      </c>
      <c r="W16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89.999289370864815</v>
      </c>
      <c r="X168" s="1">
        <f>IF(Breakout[[#This Row],[Yaw]]&gt;V167,(360-ABS(Breakout[[#This Row],[Yaw]])-ABS(V167)),ABS(Breakout[[#This Row],[Yaw]]-V167))</f>
        <v>0.97993447085409002</v>
      </c>
      <c r="Y168" s="1">
        <f>Breakout[[#This Row],[Degree change]]+Y167</f>
        <v>103.98508978457713</v>
      </c>
    </row>
    <row r="169" spans="1:25">
      <c r="A169">
        <v>168</v>
      </c>
      <c r="B169" s="1">
        <v>-1502.599976</v>
      </c>
      <c r="C169" s="1">
        <v>2382.4099120000001</v>
      </c>
      <c r="D169" s="1">
        <v>18.34</v>
      </c>
      <c r="E169" s="1">
        <v>-1710.369995</v>
      </c>
      <c r="F169" s="1">
        <v>-1537.709961</v>
      </c>
      <c r="G169" s="1">
        <v>7.92</v>
      </c>
      <c r="H169" s="1">
        <v>0</v>
      </c>
      <c r="I169" s="1">
        <v>2.0000000000000001E-4</v>
      </c>
      <c r="J169" s="1">
        <v>2.0525000000000002</v>
      </c>
      <c r="K169" s="1">
        <v>-7.868E-3</v>
      </c>
      <c r="L169" s="1">
        <v>-3.3210000000000002E-3</v>
      </c>
      <c r="M169" s="1">
        <v>0.92110899999999996</v>
      </c>
      <c r="N169" s="1">
        <v>-0.389212</v>
      </c>
      <c r="O169">
        <v>1</v>
      </c>
      <c r="P169">
        <v>0</v>
      </c>
      <c r="Q169">
        <v>1</v>
      </c>
      <c r="R169">
        <v>1</v>
      </c>
      <c r="S169">
        <v>1</v>
      </c>
      <c r="T169" s="1">
        <f>SQRT(POWER(Breakout[[#This Row],[angvel_X]],2) + POWER(Breakout[[#This Row],[angvel_Y]],2) + POWER(Breakout[[#This Row],[angvel_Z]],2))</f>
        <v>2.0525000097442145</v>
      </c>
      <c r="U169" s="1">
        <f>DEGREES(ASIN(MAX(-1,MIN(1,2 * (Breakout[[#This Row],[quart_W]]*Breakout[[#This Row],[quart_Y]] - Breakout[[#This Row],[quart_Z]]*Breakout[[#This Row],[quart_X]])))))</f>
        <v>0.97864330321049997</v>
      </c>
      <c r="V16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-135.81267622274967</v>
      </c>
      <c r="W16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89.999619841251402</v>
      </c>
      <c r="X169" s="1">
        <f>IF(Breakout[[#This Row],[Yaw]]&gt;V168,(360-ABS(Breakout[[#This Row],[Yaw]])-ABS(V168)),ABS(Breakout[[#This Row],[Yaw]]-V168))</f>
        <v>0.98011931654917817</v>
      </c>
      <c r="Y169" s="1">
        <f>Breakout[[#This Row],[Degree change]]+Y168</f>
        <v>104.96520910112631</v>
      </c>
    </row>
    <row r="170" spans="1:25">
      <c r="A170">
        <v>169</v>
      </c>
      <c r="B170" s="1">
        <v>-1516.900024</v>
      </c>
      <c r="C170" s="1">
        <v>2369.5500489999999</v>
      </c>
      <c r="D170" s="1">
        <v>18.34</v>
      </c>
      <c r="E170" s="1">
        <v>-1683.8199460000001</v>
      </c>
      <c r="F170" s="1">
        <v>-1566.73999</v>
      </c>
      <c r="G170" s="1">
        <v>7.92</v>
      </c>
      <c r="H170" s="1">
        <v>0</v>
      </c>
      <c r="I170" s="1">
        <v>2.0000000000000001E-4</v>
      </c>
      <c r="J170" s="1">
        <v>2.0525000000000002</v>
      </c>
      <c r="K170" s="1">
        <v>-7.8410000000000007E-3</v>
      </c>
      <c r="L170" s="1">
        <v>-3.3909999999999999E-3</v>
      </c>
      <c r="M170" s="1">
        <v>0.91774800000000001</v>
      </c>
      <c r="N170" s="1">
        <v>-0.39707199999999998</v>
      </c>
      <c r="O170">
        <v>1</v>
      </c>
      <c r="P170">
        <v>0</v>
      </c>
      <c r="Q170">
        <v>1</v>
      </c>
      <c r="R170">
        <v>1</v>
      </c>
      <c r="S170">
        <v>1</v>
      </c>
      <c r="T170" s="1">
        <f>SQRT(POWER(Breakout[[#This Row],[angvel_X]],2) + POWER(Breakout[[#This Row],[angvel_Y]],2) + POWER(Breakout[[#This Row],[angvel_Z]],2))</f>
        <v>2.0525000097442145</v>
      </c>
      <c r="U170" s="1">
        <f>DEGREES(ASIN(MAX(-1,MIN(1,2 * (Breakout[[#This Row],[quart_W]]*Breakout[[#This Row],[quart_Y]] - Breakout[[#This Row],[quart_Z]]*Breakout[[#This Row],[quart_X]])))))</f>
        <v>0.97894982947893217</v>
      </c>
      <c r="V17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-136.79229864266495</v>
      </c>
      <c r="W17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89.99984435231876</v>
      </c>
      <c r="X170" s="1">
        <f>IF(Breakout[[#This Row],[Yaw]]&gt;V169,(360-ABS(Breakout[[#This Row],[Yaw]])-ABS(V169)),ABS(Breakout[[#This Row],[Yaw]]-V169))</f>
        <v>0.97962241991527321</v>
      </c>
      <c r="Y170" s="1">
        <f>Breakout[[#This Row],[Degree change]]+Y169</f>
        <v>105.94483152104158</v>
      </c>
    </row>
    <row r="171" spans="1:25">
      <c r="A171">
        <v>170</v>
      </c>
      <c r="B171" s="1">
        <v>-1530.9799800000001</v>
      </c>
      <c r="C171" s="1">
        <v>2356.4399410000001</v>
      </c>
      <c r="D171" s="1">
        <v>18.34</v>
      </c>
      <c r="E171" s="1">
        <v>-1656.7799070000001</v>
      </c>
      <c r="F171" s="1">
        <v>-1595.309937</v>
      </c>
      <c r="G171" s="1">
        <v>7.92</v>
      </c>
      <c r="H171" s="1">
        <v>0</v>
      </c>
      <c r="I171" s="1">
        <v>2.0000000000000001E-4</v>
      </c>
      <c r="J171" s="1">
        <v>2.0525000000000002</v>
      </c>
      <c r="K171" s="1">
        <v>-7.809E-3</v>
      </c>
      <c r="L171" s="1">
        <v>-3.4550000000000002E-3</v>
      </c>
      <c r="M171" s="1">
        <v>0.91431899999999999</v>
      </c>
      <c r="N171" s="1">
        <v>-0.40490500000000001</v>
      </c>
      <c r="O171">
        <v>1</v>
      </c>
      <c r="P171">
        <v>0</v>
      </c>
      <c r="Q171">
        <v>1</v>
      </c>
      <c r="R171">
        <v>1</v>
      </c>
      <c r="S171">
        <v>1</v>
      </c>
      <c r="T171" s="1">
        <f>SQRT(POWER(Breakout[[#This Row],[angvel_X]],2) + POWER(Breakout[[#This Row],[angvel_Y]],2) + POWER(Breakout[[#This Row],[angvel_Z]],2))</f>
        <v>2.0525000097442145</v>
      </c>
      <c r="U171" s="1">
        <f>DEGREES(ASIN(MAX(-1,MIN(1,2 * (Breakout[[#This Row],[quart_W]]*Breakout[[#This Row],[quart_Y]] - Breakout[[#This Row],[quart_Z]]*Breakout[[#This Row],[quart_X]])))))</f>
        <v>0.97852928883570611</v>
      </c>
      <c r="V17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-137.77218697852621</v>
      </c>
      <c r="W17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89.999664083152055</v>
      </c>
      <c r="X171" s="1">
        <f>IF(Breakout[[#This Row],[Yaw]]&gt;V170,(360-ABS(Breakout[[#This Row],[Yaw]])-ABS(V170)),ABS(Breakout[[#This Row],[Yaw]]-V170))</f>
        <v>0.97988833586126134</v>
      </c>
      <c r="Y171" s="1">
        <f>Breakout[[#This Row],[Degree change]]+Y170</f>
        <v>106.92471985690284</v>
      </c>
    </row>
    <row r="172" spans="1:25">
      <c r="A172">
        <v>171</v>
      </c>
      <c r="B172" s="1">
        <v>-1544.829956</v>
      </c>
      <c r="C172" s="1">
        <v>2343.0898440000001</v>
      </c>
      <c r="D172" s="1">
        <v>18.34</v>
      </c>
      <c r="E172" s="1">
        <v>-1629.25</v>
      </c>
      <c r="F172" s="1">
        <v>-1623.4099120000001</v>
      </c>
      <c r="G172" s="1">
        <v>7.92</v>
      </c>
      <c r="H172" s="1">
        <v>0</v>
      </c>
      <c r="I172" s="1">
        <v>1E-4</v>
      </c>
      <c r="J172" s="1">
        <v>2.0525000000000002</v>
      </c>
      <c r="K172" s="1">
        <v>-7.7770000000000001E-3</v>
      </c>
      <c r="L172" s="1">
        <v>-3.5200000000000001E-3</v>
      </c>
      <c r="M172" s="1">
        <v>0.91082200000000002</v>
      </c>
      <c r="N172" s="1">
        <v>-0.41271200000000002</v>
      </c>
      <c r="O172">
        <v>1</v>
      </c>
      <c r="P172">
        <v>0</v>
      </c>
      <c r="Q172">
        <v>1</v>
      </c>
      <c r="R172">
        <v>1</v>
      </c>
      <c r="S172">
        <v>1</v>
      </c>
      <c r="T172" s="1">
        <f>SQRT(POWER(Breakout[[#This Row],[angvel_X]],2) + POWER(Breakout[[#This Row],[angvel_Y]],2) + POWER(Breakout[[#This Row],[angvel_Z]],2))</f>
        <v>2.0525000024360538</v>
      </c>
      <c r="U172" s="1">
        <f>DEGREES(ASIN(MAX(-1,MIN(1,2 * (Breakout[[#This Row],[quart_W]]*Breakout[[#This Row],[quart_Y]] - Breakout[[#This Row],[quart_Z]]*Breakout[[#This Row],[quart_X]])))))</f>
        <v>0.97822501397041228</v>
      </c>
      <c r="V17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-138.75246664633684</v>
      </c>
      <c r="W17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89.99959110247471</v>
      </c>
      <c r="X172" s="1">
        <f>IF(Breakout[[#This Row],[Yaw]]&gt;V171,(360-ABS(Breakout[[#This Row],[Yaw]])-ABS(V171)),ABS(Breakout[[#This Row],[Yaw]]-V171))</f>
        <v>0.98027966781063469</v>
      </c>
      <c r="Y172" s="1">
        <f>Breakout[[#This Row],[Degree change]]+Y171</f>
        <v>107.90499952471347</v>
      </c>
    </row>
    <row r="173" spans="1:25">
      <c r="A173">
        <v>172</v>
      </c>
      <c r="B173" s="1">
        <v>-1558.4499510000001</v>
      </c>
      <c r="C173" s="1">
        <v>2329.51001</v>
      </c>
      <c r="D173" s="1">
        <v>18.34</v>
      </c>
      <c r="E173" s="1">
        <v>-1601.23999</v>
      </c>
      <c r="F173" s="1">
        <v>-1651.0399170000001</v>
      </c>
      <c r="G173" s="1">
        <v>7.92</v>
      </c>
      <c r="H173" s="1">
        <v>0</v>
      </c>
      <c r="I173" s="1">
        <v>1E-4</v>
      </c>
      <c r="J173" s="1">
        <v>2.0525000000000002</v>
      </c>
      <c r="K173" s="1">
        <v>-7.744E-3</v>
      </c>
      <c r="L173" s="1">
        <v>-3.5850000000000001E-3</v>
      </c>
      <c r="M173" s="1">
        <v>0.90725900000000004</v>
      </c>
      <c r="N173" s="1">
        <v>-0.420485</v>
      </c>
      <c r="O173">
        <v>1</v>
      </c>
      <c r="P173">
        <v>0</v>
      </c>
      <c r="Q173">
        <v>1</v>
      </c>
      <c r="R173">
        <v>1</v>
      </c>
      <c r="S173">
        <v>1</v>
      </c>
      <c r="T173" s="1">
        <f>SQRT(POWER(Breakout[[#This Row],[angvel_X]],2) + POWER(Breakout[[#This Row],[angvel_Y]],2) + POWER(Breakout[[#This Row],[angvel_Z]],2))</f>
        <v>2.0525000024360538</v>
      </c>
      <c r="U173" s="1">
        <f>DEGREES(ASIN(MAX(-1,MIN(1,2 * (Breakout[[#This Row],[quart_W]]*Breakout[[#This Row],[quart_Y]] - Breakout[[#This Row],[quart_Z]]*Breakout[[#This Row],[quart_X]])))))</f>
        <v>0.9778861731694336</v>
      </c>
      <c r="V17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-139.73240579880996</v>
      </c>
      <c r="W17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89.999574536924712</v>
      </c>
      <c r="X173" s="1">
        <f>IF(Breakout[[#This Row],[Yaw]]&gt;V172,(360-ABS(Breakout[[#This Row],[Yaw]])-ABS(V172)),ABS(Breakout[[#This Row],[Yaw]]-V172))</f>
        <v>0.97993915247312202</v>
      </c>
      <c r="Y173" s="1">
        <f>Breakout[[#This Row],[Degree change]]+Y172</f>
        <v>108.8849386771866</v>
      </c>
    </row>
    <row r="174" spans="1:25">
      <c r="A174">
        <v>173</v>
      </c>
      <c r="B174" s="1">
        <v>-1571.839966</v>
      </c>
      <c r="C174" s="1">
        <v>2315.6999510000001</v>
      </c>
      <c r="D174" s="1">
        <v>18.34</v>
      </c>
      <c r="E174" s="1">
        <v>-1572.7700199999999</v>
      </c>
      <c r="F174" s="1">
        <v>-1678.179932</v>
      </c>
      <c r="G174" s="1">
        <v>7.92</v>
      </c>
      <c r="H174" s="1">
        <v>0</v>
      </c>
      <c r="I174" s="1">
        <v>0</v>
      </c>
      <c r="J174" s="1">
        <v>2.0525000000000002</v>
      </c>
      <c r="K174" s="1">
        <v>-7.7120000000000001E-3</v>
      </c>
      <c r="L174" s="1">
        <v>-3.65E-3</v>
      </c>
      <c r="M174" s="1">
        <v>0.90363099999999996</v>
      </c>
      <c r="N174" s="1">
        <v>-0.42822700000000002</v>
      </c>
      <c r="O174">
        <v>1</v>
      </c>
      <c r="P174">
        <v>0</v>
      </c>
      <c r="Q174">
        <v>1</v>
      </c>
      <c r="R174">
        <v>1</v>
      </c>
      <c r="S174">
        <v>1</v>
      </c>
      <c r="T174" s="1">
        <f>SQRT(POWER(Breakout[[#This Row],[angvel_X]],2) + POWER(Breakout[[#This Row],[angvel_Y]],2) + POWER(Breakout[[#This Row],[angvel_Z]],2))</f>
        <v>2.0525000000000002</v>
      </c>
      <c r="U174" s="1">
        <f>DEGREES(ASIN(MAX(-1,MIN(1,2 * (Breakout[[#This Row],[quart_W]]*Breakout[[#This Row],[quart_Y]] - Breakout[[#This Row],[quart_Z]]*Breakout[[#This Row],[quart_X]])))))</f>
        <v>0.97772324619842887</v>
      </c>
      <c r="V17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-140.71215765830522</v>
      </c>
      <c r="W17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89.999514808972918</v>
      </c>
      <c r="X174" s="1">
        <f>IF(Breakout[[#This Row],[Yaw]]&gt;V173,(360-ABS(Breakout[[#This Row],[Yaw]])-ABS(V173)),ABS(Breakout[[#This Row],[Yaw]]-V173))</f>
        <v>0.97975185949525212</v>
      </c>
      <c r="Y174" s="1">
        <f>Breakout[[#This Row],[Degree change]]+Y173</f>
        <v>109.86469053668185</v>
      </c>
    </row>
    <row r="175" spans="1:25">
      <c r="A175">
        <v>174</v>
      </c>
      <c r="B175" s="1">
        <v>-1584.98999</v>
      </c>
      <c r="C175" s="1">
        <v>2301.6599120000001</v>
      </c>
      <c r="D175" s="1">
        <v>18.34</v>
      </c>
      <c r="E175" s="1">
        <v>-1543.839966</v>
      </c>
      <c r="F175" s="1">
        <v>-1704.829956</v>
      </c>
      <c r="G175" s="1">
        <v>7.92</v>
      </c>
      <c r="H175" s="1">
        <v>0</v>
      </c>
      <c r="I175" s="1">
        <v>0</v>
      </c>
      <c r="J175" s="1">
        <v>2.0525000000000002</v>
      </c>
      <c r="K175" s="1">
        <v>-7.6800000000000002E-3</v>
      </c>
      <c r="L175" s="1">
        <v>-3.7139999999999999E-3</v>
      </c>
      <c r="M175" s="1">
        <v>0.89993400000000001</v>
      </c>
      <c r="N175" s="1">
        <v>-0.435942</v>
      </c>
      <c r="O175">
        <v>1</v>
      </c>
      <c r="P175">
        <v>0</v>
      </c>
      <c r="Q175">
        <v>1</v>
      </c>
      <c r="R175">
        <v>1</v>
      </c>
      <c r="S175">
        <v>1</v>
      </c>
      <c r="T175" s="1">
        <f>SQRT(POWER(Breakout[[#This Row],[angvel_X]],2) + POWER(Breakout[[#This Row],[angvel_Y]],2) + POWER(Breakout[[#This Row],[angvel_Z]],2))</f>
        <v>2.0525000000000002</v>
      </c>
      <c r="U175" s="1">
        <f>DEGREES(ASIN(MAX(-1,MIN(1,2 * (Breakout[[#This Row],[quart_W]]*Breakout[[#This Row],[quart_Y]] - Breakout[[#This Row],[quart_Z]]*Breakout[[#This Row],[quart_X]])))))</f>
        <v>0.97758008743763725</v>
      </c>
      <c r="V17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-141.69256845602314</v>
      </c>
      <c r="W17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89.99934906141003</v>
      </c>
      <c r="X175" s="1">
        <f>IF(Breakout[[#This Row],[Yaw]]&gt;V174,(360-ABS(Breakout[[#This Row],[Yaw]])-ABS(V174)),ABS(Breakout[[#This Row],[Yaw]]-V174))</f>
        <v>0.98041079771792283</v>
      </c>
      <c r="Y175" s="1">
        <f>Breakout[[#This Row],[Degree change]]+Y174</f>
        <v>110.84510133439977</v>
      </c>
    </row>
    <row r="176" spans="1:25">
      <c r="A176">
        <v>175</v>
      </c>
      <c r="B176" s="1">
        <v>-1597.900024</v>
      </c>
      <c r="C176" s="1">
        <v>2287.3999020000001</v>
      </c>
      <c r="D176" s="1">
        <v>18.34</v>
      </c>
      <c r="E176" s="1">
        <v>-1514.459961</v>
      </c>
      <c r="F176" s="1">
        <v>-1730.98999</v>
      </c>
      <c r="G176" s="1">
        <v>7.92</v>
      </c>
      <c r="H176" s="1">
        <v>0</v>
      </c>
      <c r="I176" s="1">
        <v>0</v>
      </c>
      <c r="J176" s="1">
        <v>2.0525000000000002</v>
      </c>
      <c r="K176" s="1">
        <v>-7.6470000000000002E-3</v>
      </c>
      <c r="L176" s="1">
        <v>-3.7789999999999998E-3</v>
      </c>
      <c r="M176" s="1">
        <v>0.89617199999999997</v>
      </c>
      <c r="N176" s="1">
        <v>-0.44362400000000002</v>
      </c>
      <c r="O176">
        <v>1</v>
      </c>
      <c r="P176">
        <v>0</v>
      </c>
      <c r="Q176">
        <v>1</v>
      </c>
      <c r="R176">
        <v>1</v>
      </c>
      <c r="S176">
        <v>1</v>
      </c>
      <c r="T176" s="1">
        <f>SQRT(POWER(Breakout[[#This Row],[angvel_X]],2) + POWER(Breakout[[#This Row],[angvel_Y]],2) + POWER(Breakout[[#This Row],[angvel_Z]],2))</f>
        <v>2.0525000000000002</v>
      </c>
      <c r="U176" s="1">
        <f>DEGREES(ASIN(MAX(-1,MIN(1,2 * (Breakout[[#This Row],[quart_W]]*Breakout[[#This Row],[quart_Y]] - Breakout[[#This Row],[quart_Z]]*Breakout[[#This Row],[quart_X]])))))</f>
        <v>0.97745409539217509</v>
      </c>
      <c r="V17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-142.67279611920983</v>
      </c>
      <c r="W17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89.999340000965717</v>
      </c>
      <c r="X176" s="1">
        <f>IF(Breakout[[#This Row],[Yaw]]&gt;V175,(360-ABS(Breakout[[#This Row],[Yaw]])-ABS(V175)),ABS(Breakout[[#This Row],[Yaw]]-V175))</f>
        <v>0.98022766318669596</v>
      </c>
      <c r="Y176" s="1">
        <f>Breakout[[#This Row],[Degree change]]+Y175</f>
        <v>111.82532899758647</v>
      </c>
    </row>
    <row r="177" spans="1:25">
      <c r="A177">
        <v>176</v>
      </c>
      <c r="B177" s="1">
        <v>-1610.559937</v>
      </c>
      <c r="C177" s="1">
        <v>2272.919922</v>
      </c>
      <c r="D177" s="1">
        <v>18.34</v>
      </c>
      <c r="E177" s="1">
        <v>-1484.630005</v>
      </c>
      <c r="F177" s="1">
        <v>-1756.6400149999999</v>
      </c>
      <c r="G177" s="1">
        <v>7.92</v>
      </c>
      <c r="H177" s="1">
        <v>0</v>
      </c>
      <c r="I177" s="1">
        <v>0</v>
      </c>
      <c r="J177" s="1">
        <v>2.0525000000000002</v>
      </c>
      <c r="K177" s="1">
        <v>-7.6150000000000002E-3</v>
      </c>
      <c r="L177" s="1">
        <v>-3.8440000000000002E-3</v>
      </c>
      <c r="M177" s="1">
        <v>0.89234500000000005</v>
      </c>
      <c r="N177" s="1">
        <v>-0.45127400000000001</v>
      </c>
      <c r="O177">
        <v>1</v>
      </c>
      <c r="P177">
        <v>0</v>
      </c>
      <c r="Q177">
        <v>1</v>
      </c>
      <c r="R177">
        <v>1</v>
      </c>
      <c r="S177">
        <v>1</v>
      </c>
      <c r="T177" s="1">
        <f>SQRT(POWER(Breakout[[#This Row],[angvel_X]],2) + POWER(Breakout[[#This Row],[angvel_Y]],2) + POWER(Breakout[[#This Row],[angvel_Z]],2))</f>
        <v>2.0525000000000002</v>
      </c>
      <c r="U177" s="1">
        <f>DEGREES(ASIN(MAX(-1,MIN(1,2 * (Breakout[[#This Row],[quart_W]]*Breakout[[#This Row],[quart_Y]] - Breakout[[#This Row],[quart_Z]]*Breakout[[#This Row],[quart_X]])))))</f>
        <v>0.9775024659132252</v>
      </c>
      <c r="V17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-143.65297425196331</v>
      </c>
      <c r="W17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89.999280566270258</v>
      </c>
      <c r="X177" s="1">
        <f>IF(Breakout[[#This Row],[Yaw]]&gt;V176,(360-ABS(Breakout[[#This Row],[Yaw]])-ABS(V176)),ABS(Breakout[[#This Row],[Yaw]]-V176))</f>
        <v>0.98017813275347976</v>
      </c>
      <c r="Y177" s="1">
        <f>Breakout[[#This Row],[Degree change]]+Y176</f>
        <v>112.80550713033995</v>
      </c>
    </row>
    <row r="178" spans="1:25">
      <c r="A178">
        <v>177</v>
      </c>
      <c r="B178" s="1">
        <v>-1622.969971</v>
      </c>
      <c r="C178" s="1">
        <v>2258.2299800000001</v>
      </c>
      <c r="D178" s="1">
        <v>18.34</v>
      </c>
      <c r="E178" s="1">
        <v>-1454.3599850000001</v>
      </c>
      <c r="F178" s="1">
        <v>-1781.7799070000001</v>
      </c>
      <c r="G178" s="1">
        <v>7.92</v>
      </c>
      <c r="H178" s="1">
        <v>0</v>
      </c>
      <c r="I178" s="1">
        <v>0</v>
      </c>
      <c r="J178" s="1">
        <v>2.0525000000000002</v>
      </c>
      <c r="K178" s="1">
        <v>-7.5820000000000002E-3</v>
      </c>
      <c r="L178" s="1">
        <v>-3.9090000000000001E-3</v>
      </c>
      <c r="M178" s="1">
        <v>0.88845399999999997</v>
      </c>
      <c r="N178" s="1">
        <v>-0.45888600000000002</v>
      </c>
      <c r="O178">
        <v>1</v>
      </c>
      <c r="P178">
        <v>0</v>
      </c>
      <c r="Q178">
        <v>1</v>
      </c>
      <c r="R178">
        <v>1</v>
      </c>
      <c r="S178">
        <v>1</v>
      </c>
      <c r="T178" s="1">
        <f>SQRT(POWER(Breakout[[#This Row],[angvel_X]],2) + POWER(Breakout[[#This Row],[angvel_Y]],2) + POWER(Breakout[[#This Row],[angvel_Z]],2))</f>
        <v>2.0525000000000002</v>
      </c>
      <c r="U178" s="1">
        <f>DEGREES(ASIN(MAX(-1,MIN(1,2 * (Breakout[[#This Row],[quart_W]]*Breakout[[#This Row],[quart_Y]] - Breakout[[#This Row],[quart_Z]]*Breakout[[#This Row],[quart_X]])))))</f>
        <v>0.97751841605633449</v>
      </c>
      <c r="V17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-144.63268013191274</v>
      </c>
      <c r="W17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89.999277169736999</v>
      </c>
      <c r="X178" s="1">
        <f>IF(Breakout[[#This Row],[Yaw]]&gt;V177,(360-ABS(Breakout[[#This Row],[Yaw]])-ABS(V177)),ABS(Breakout[[#This Row],[Yaw]]-V177))</f>
        <v>0.97970587994942093</v>
      </c>
      <c r="Y178" s="1">
        <f>Breakout[[#This Row],[Degree change]]+Y177</f>
        <v>113.78521301028937</v>
      </c>
    </row>
    <row r="179" spans="1:25">
      <c r="A179">
        <v>178</v>
      </c>
      <c r="B179" s="1">
        <v>-1635.130005</v>
      </c>
      <c r="C179" s="1">
        <v>2243.3298340000001</v>
      </c>
      <c r="D179" s="1">
        <v>18.34</v>
      </c>
      <c r="E179" s="1">
        <v>-1423.669922</v>
      </c>
      <c r="F179" s="1">
        <v>-1806.3900149999999</v>
      </c>
      <c r="G179" s="1">
        <v>7.92</v>
      </c>
      <c r="H179" s="1">
        <v>0</v>
      </c>
      <c r="I179" s="1">
        <v>0</v>
      </c>
      <c r="J179" s="1">
        <v>2.0525000000000002</v>
      </c>
      <c r="K179" s="1">
        <v>-7.5500000000000003E-3</v>
      </c>
      <c r="L179" s="1">
        <v>-3.973E-3</v>
      </c>
      <c r="M179" s="1">
        <v>0.88449800000000001</v>
      </c>
      <c r="N179" s="1">
        <v>-0.46646599999999999</v>
      </c>
      <c r="O179">
        <v>1</v>
      </c>
      <c r="P179">
        <v>0</v>
      </c>
      <c r="Q179">
        <v>1</v>
      </c>
      <c r="R179">
        <v>1</v>
      </c>
      <c r="S179">
        <v>1</v>
      </c>
      <c r="T179" s="1">
        <f>SQRT(POWER(Breakout[[#This Row],[angvel_X]],2) + POWER(Breakout[[#This Row],[angvel_Y]],2) + POWER(Breakout[[#This Row],[angvel_Z]],2))</f>
        <v>2.0525000000000002</v>
      </c>
      <c r="U179" s="1">
        <f>DEGREES(ASIN(MAX(-1,MIN(1,2 * (Breakout[[#This Row],[quart_W]]*Breakout[[#This Row],[quart_Y]] - Breakout[[#This Row],[quart_Z]]*Breakout[[#This Row],[quart_X]])))))</f>
        <v>0.97765430888109606</v>
      </c>
      <c r="V17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-145.61248550606487</v>
      </c>
      <c r="W17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89.999116628773066</v>
      </c>
      <c r="X179" s="1">
        <f>IF(Breakout[[#This Row],[Yaw]]&gt;V178,(360-ABS(Breakout[[#This Row],[Yaw]])-ABS(V178)),ABS(Breakout[[#This Row],[Yaw]]-V178))</f>
        <v>0.97980537415213576</v>
      </c>
      <c r="Y179" s="1">
        <f>Breakout[[#This Row],[Degree change]]+Y178</f>
        <v>114.7650183844415</v>
      </c>
    </row>
    <row r="180" spans="1:25">
      <c r="A180">
        <v>179</v>
      </c>
      <c r="B180" s="1">
        <v>-1647.0299070000001</v>
      </c>
      <c r="C180" s="1">
        <v>2228.219971</v>
      </c>
      <c r="D180" s="1">
        <v>18.34</v>
      </c>
      <c r="E180" s="1">
        <v>-1392.5699460000001</v>
      </c>
      <c r="F180" s="1">
        <v>-1830.4799800000001</v>
      </c>
      <c r="G180" s="1">
        <v>7.92</v>
      </c>
      <c r="H180" s="1">
        <v>0</v>
      </c>
      <c r="I180" s="1">
        <v>0</v>
      </c>
      <c r="J180" s="1">
        <v>2.0525000000000002</v>
      </c>
      <c r="K180" s="1">
        <v>-7.5180000000000004E-3</v>
      </c>
      <c r="L180" s="1">
        <v>-4.0379999999999999E-3</v>
      </c>
      <c r="M180" s="1">
        <v>0.88047600000000004</v>
      </c>
      <c r="N180" s="1">
        <v>-0.47401300000000002</v>
      </c>
      <c r="O180">
        <v>1</v>
      </c>
      <c r="P180">
        <v>0</v>
      </c>
      <c r="Q180">
        <v>1</v>
      </c>
      <c r="R180">
        <v>1</v>
      </c>
      <c r="S180">
        <v>1</v>
      </c>
      <c r="T180" s="1">
        <f>SQRT(POWER(Breakout[[#This Row],[angvel_X]],2) + POWER(Breakout[[#This Row],[angvel_Y]],2) + POWER(Breakout[[#This Row],[angvel_Z]],2))</f>
        <v>2.0525000000000002</v>
      </c>
      <c r="U180" s="1">
        <f>DEGREES(ASIN(MAX(-1,MIN(1,2 * (Breakout[[#This Row],[quart_W]]*Breakout[[#This Row],[quart_Y]] - Breakout[[#This Row],[quart_Z]]*Breakout[[#This Row],[quart_X]])))))</f>
        <v>0.97791260653114742</v>
      </c>
      <c r="V18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-146.59253440953862</v>
      </c>
      <c r="W18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89.999052459544757</v>
      </c>
      <c r="X180" s="1">
        <f>IF(Breakout[[#This Row],[Yaw]]&gt;V179,(360-ABS(Breakout[[#This Row],[Yaw]])-ABS(V179)),ABS(Breakout[[#This Row],[Yaw]]-V179))</f>
        <v>0.98004890347374385</v>
      </c>
      <c r="Y180" s="1">
        <f>Breakout[[#This Row],[Degree change]]+Y179</f>
        <v>115.74506728791525</v>
      </c>
    </row>
    <row r="181" spans="1:25">
      <c r="A181">
        <v>180</v>
      </c>
      <c r="B181" s="1">
        <v>-1658.669922</v>
      </c>
      <c r="C181" s="1">
        <v>2212.9099120000001</v>
      </c>
      <c r="D181" s="1">
        <v>18.34</v>
      </c>
      <c r="E181" s="1">
        <v>-1361.059937</v>
      </c>
      <c r="F181" s="1">
        <v>-1854.0299070000001</v>
      </c>
      <c r="G181" s="1">
        <v>7.92</v>
      </c>
      <c r="H181" s="1">
        <v>0</v>
      </c>
      <c r="I181" s="1">
        <v>0</v>
      </c>
      <c r="J181" s="1">
        <v>2.0525000000000002</v>
      </c>
      <c r="K181" s="1">
        <v>-7.4850000000000003E-3</v>
      </c>
      <c r="L181" s="1">
        <v>-4.1029999999999999E-3</v>
      </c>
      <c r="M181" s="1">
        <v>0.87638899999999997</v>
      </c>
      <c r="N181" s="1">
        <v>-0.48152800000000001</v>
      </c>
      <c r="O181">
        <v>1</v>
      </c>
      <c r="P181">
        <v>0</v>
      </c>
      <c r="Q181">
        <v>1</v>
      </c>
      <c r="R181">
        <v>1</v>
      </c>
      <c r="S181">
        <v>1</v>
      </c>
      <c r="T181" s="1">
        <f>SQRT(POWER(Breakout[[#This Row],[angvel_X]],2) + POWER(Breakout[[#This Row],[angvel_Y]],2) + POWER(Breakout[[#This Row],[angvel_Z]],2))</f>
        <v>2.0525000000000002</v>
      </c>
      <c r="U181" s="1">
        <f>DEGREES(ASIN(MAX(-1,MIN(1,2 * (Breakout[[#This Row],[quart_W]]*Breakout[[#This Row],[quart_Y]] - Breakout[[#This Row],[quart_Z]]*Breakout[[#This Row],[quart_X]])))))</f>
        <v>0.97814159233627584</v>
      </c>
      <c r="V18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-147.57281307717548</v>
      </c>
      <c r="W18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89.999035799221289</v>
      </c>
      <c r="X181" s="1">
        <f>IF(Breakout[[#This Row],[Yaw]]&gt;V180,(360-ABS(Breakout[[#This Row],[Yaw]])-ABS(V180)),ABS(Breakout[[#This Row],[Yaw]]-V180))</f>
        <v>0.98027866763686689</v>
      </c>
      <c r="Y181" s="1">
        <f>Breakout[[#This Row],[Degree change]]+Y180</f>
        <v>116.72534595555211</v>
      </c>
    </row>
    <row r="182" spans="1:25">
      <c r="A182">
        <v>181</v>
      </c>
      <c r="B182" s="1">
        <v>-1670.049927</v>
      </c>
      <c r="C182" s="1">
        <v>2197.3999020000001</v>
      </c>
      <c r="D182" s="1">
        <v>18.34</v>
      </c>
      <c r="E182" s="1">
        <v>-1329.150024</v>
      </c>
      <c r="F182" s="1">
        <v>-1877.0399170000001</v>
      </c>
      <c r="G182" s="1">
        <v>7.92</v>
      </c>
      <c r="H182" s="1">
        <v>0</v>
      </c>
      <c r="I182" s="1">
        <v>0</v>
      </c>
      <c r="J182" s="1">
        <v>2.0525000000000002</v>
      </c>
      <c r="K182" s="1">
        <v>-7.4479999999999998E-3</v>
      </c>
      <c r="L182" s="1">
        <v>-4.1669999999999997E-3</v>
      </c>
      <c r="M182" s="1">
        <v>0.87223899999999999</v>
      </c>
      <c r="N182" s="1">
        <v>-0.48900500000000002</v>
      </c>
      <c r="O182">
        <v>1</v>
      </c>
      <c r="P182">
        <v>0</v>
      </c>
      <c r="Q182">
        <v>1</v>
      </c>
      <c r="R182">
        <v>1</v>
      </c>
      <c r="S182">
        <v>1</v>
      </c>
      <c r="T182" s="1">
        <f>SQRT(POWER(Breakout[[#This Row],[angvel_X]],2) + POWER(Breakout[[#This Row],[angvel_Y]],2) + POWER(Breakout[[#This Row],[angvel_Z]],2))</f>
        <v>2.0525000000000002</v>
      </c>
      <c r="U182" s="1">
        <f>DEGREES(ASIN(MAX(-1,MIN(1,2 * (Breakout[[#This Row],[quart_W]]*Breakout[[#This Row],[quart_Y]] - Breakout[[#This Row],[quart_Z]]*Breakout[[#This Row],[quart_X]])))))</f>
        <v>0.97798559422409947</v>
      </c>
      <c r="V18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-148.55278756910323</v>
      </c>
      <c r="W18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89.99914166130614</v>
      </c>
      <c r="X182" s="1">
        <f>IF(Breakout[[#This Row],[Yaw]]&gt;V181,(360-ABS(Breakout[[#This Row],[Yaw]])-ABS(V181)),ABS(Breakout[[#This Row],[Yaw]]-V181))</f>
        <v>0.97997449192774866</v>
      </c>
      <c r="Y182" s="1">
        <f>Breakout[[#This Row],[Degree change]]+Y181</f>
        <v>117.70532044747986</v>
      </c>
    </row>
    <row r="183" spans="1:25">
      <c r="A183">
        <v>182</v>
      </c>
      <c r="B183" s="1">
        <v>-1681.1599120000001</v>
      </c>
      <c r="C183" s="1">
        <v>2181.6999510000001</v>
      </c>
      <c r="D183" s="1">
        <v>18.34</v>
      </c>
      <c r="E183" s="1">
        <v>-1296.849976</v>
      </c>
      <c r="F183" s="1">
        <v>-1899.5</v>
      </c>
      <c r="G183" s="1">
        <v>7.92</v>
      </c>
      <c r="H183" s="1">
        <v>0</v>
      </c>
      <c r="I183" s="1">
        <v>0</v>
      </c>
      <c r="J183" s="1">
        <v>2.0525000000000002</v>
      </c>
      <c r="K183" s="1">
        <v>-7.4099999999999999E-3</v>
      </c>
      <c r="L183" s="1">
        <v>-4.2319999999999997E-3</v>
      </c>
      <c r="M183" s="1">
        <v>0.86802599999999996</v>
      </c>
      <c r="N183" s="1">
        <v>-0.49644500000000003</v>
      </c>
      <c r="O183">
        <v>1</v>
      </c>
      <c r="P183">
        <v>0</v>
      </c>
      <c r="Q183">
        <v>1</v>
      </c>
      <c r="R183">
        <v>1</v>
      </c>
      <c r="S183">
        <v>1</v>
      </c>
      <c r="T183" s="1">
        <f>SQRT(POWER(Breakout[[#This Row],[angvel_X]],2) + POWER(Breakout[[#This Row],[angvel_Y]],2) + POWER(Breakout[[#This Row],[angvel_Z]],2))</f>
        <v>2.0525000000000002</v>
      </c>
      <c r="U183" s="1">
        <f>DEGREES(ASIN(MAX(-1,MIN(1,2 * (Breakout[[#This Row],[quart_W]]*Breakout[[#This Row],[quart_Y]] - Breakout[[#This Row],[quart_Z]]*Breakout[[#This Row],[quart_X]])))))</f>
        <v>0.97786044121041815</v>
      </c>
      <c r="V18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-149.53258568798663</v>
      </c>
      <c r="W18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89.999407312832531</v>
      </c>
      <c r="X183" s="1">
        <f>IF(Breakout[[#This Row],[Yaw]]&gt;V182,(360-ABS(Breakout[[#This Row],[Yaw]])-ABS(V182)),ABS(Breakout[[#This Row],[Yaw]]-V182))</f>
        <v>0.97979811888339441</v>
      </c>
      <c r="Y183" s="1">
        <f>Breakout[[#This Row],[Degree change]]+Y182</f>
        <v>118.68511856636326</v>
      </c>
    </row>
    <row r="184" spans="1:25">
      <c r="A184">
        <v>183</v>
      </c>
      <c r="B184" s="1">
        <v>-1692</v>
      </c>
      <c r="C184" s="1">
        <v>2165.8100589999999</v>
      </c>
      <c r="D184" s="1">
        <v>18.34</v>
      </c>
      <c r="E184" s="1">
        <v>-1264.169922</v>
      </c>
      <c r="F184" s="1">
        <v>-1921.3999020000001</v>
      </c>
      <c r="G184" s="1">
        <v>7.92</v>
      </c>
      <c r="H184" s="1">
        <v>0</v>
      </c>
      <c r="I184" s="1">
        <v>0</v>
      </c>
      <c r="J184" s="1">
        <v>2.0525000000000002</v>
      </c>
      <c r="K184" s="1">
        <v>-7.3720000000000001E-3</v>
      </c>
      <c r="L184" s="1">
        <v>-4.2969999999999996E-3</v>
      </c>
      <c r="M184" s="1">
        <v>0.86374799999999996</v>
      </c>
      <c r="N184" s="1">
        <v>-0.50385199999999997</v>
      </c>
      <c r="O184">
        <v>1</v>
      </c>
      <c r="P184">
        <v>0</v>
      </c>
      <c r="Q184">
        <v>1</v>
      </c>
      <c r="R184">
        <v>1</v>
      </c>
      <c r="S184">
        <v>1</v>
      </c>
      <c r="T184" s="1">
        <f>SQRT(POWER(Breakout[[#This Row],[angvel_X]],2) + POWER(Breakout[[#This Row],[angvel_Y]],2) + POWER(Breakout[[#This Row],[angvel_Z]],2))</f>
        <v>2.0525000000000002</v>
      </c>
      <c r="U184" s="1">
        <f>DEGREES(ASIN(MAX(-1,MIN(1,2 * (Breakout[[#This Row],[quart_W]]*Breakout[[#This Row],[quart_Y]] - Breakout[[#This Row],[quart_Z]]*Breakout[[#This Row],[quart_X]])))))</f>
        <v>0.97781166393953689</v>
      </c>
      <c r="V18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-150.51276538059184</v>
      </c>
      <c r="W18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89.99967086940751</v>
      </c>
      <c r="X184" s="1">
        <f>IF(Breakout[[#This Row],[Yaw]]&gt;V183,(360-ABS(Breakout[[#This Row],[Yaw]])-ABS(V183)),ABS(Breakout[[#This Row],[Yaw]]-V183))</f>
        <v>0.98017969260521909</v>
      </c>
      <c r="Y184" s="1">
        <f>Breakout[[#This Row],[Degree change]]+Y183</f>
        <v>119.66529825896848</v>
      </c>
    </row>
    <row r="185" spans="1:25">
      <c r="A185">
        <v>184</v>
      </c>
      <c r="B185" s="1">
        <v>-1702.5699460000001</v>
      </c>
      <c r="C185" s="1">
        <v>2149.73999</v>
      </c>
      <c r="D185" s="1">
        <v>18.34</v>
      </c>
      <c r="E185" s="1">
        <v>-1231.119995</v>
      </c>
      <c r="F185" s="1">
        <v>-1942.73999</v>
      </c>
      <c r="G185" s="1">
        <v>7.92</v>
      </c>
      <c r="H185" s="1">
        <v>0</v>
      </c>
      <c r="I185" s="1">
        <v>0</v>
      </c>
      <c r="J185" s="1">
        <v>2.0525000000000002</v>
      </c>
      <c r="K185" s="1">
        <v>-7.3340000000000002E-3</v>
      </c>
      <c r="L185" s="1">
        <v>-4.3620000000000004E-3</v>
      </c>
      <c r="M185" s="1">
        <v>0.85940700000000003</v>
      </c>
      <c r="N185" s="1">
        <v>-0.51122100000000004</v>
      </c>
      <c r="O185">
        <v>1</v>
      </c>
      <c r="P185">
        <v>0</v>
      </c>
      <c r="Q185">
        <v>1</v>
      </c>
      <c r="R185">
        <v>1</v>
      </c>
      <c r="S185">
        <v>1</v>
      </c>
      <c r="T185" s="1">
        <f>SQRT(POWER(Breakout[[#This Row],[angvel_X]],2) + POWER(Breakout[[#This Row],[angvel_Y]],2) + POWER(Breakout[[#This Row],[angvel_Z]],2))</f>
        <v>2.0525000000000002</v>
      </c>
      <c r="U185" s="1">
        <f>DEGREES(ASIN(MAX(-1,MIN(1,2 * (Breakout[[#This Row],[quart_W]]*Breakout[[#This Row],[quart_Y]] - Breakout[[#This Row],[quart_Z]]*Breakout[[#This Row],[quart_X]])))))</f>
        <v>0.97783855561905375</v>
      </c>
      <c r="V18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-151.49286082471741</v>
      </c>
      <c r="W18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89.999935649760175</v>
      </c>
      <c r="X185" s="1">
        <f>IF(Breakout[[#This Row],[Yaw]]&gt;V184,(360-ABS(Breakout[[#This Row],[Yaw]])-ABS(V184)),ABS(Breakout[[#This Row],[Yaw]]-V184))</f>
        <v>0.98009544412556693</v>
      </c>
      <c r="Y185" s="1">
        <f>Breakout[[#This Row],[Degree change]]+Y184</f>
        <v>120.64539370309404</v>
      </c>
    </row>
    <row r="186" spans="1:25">
      <c r="A186">
        <v>185</v>
      </c>
      <c r="B186" s="1">
        <v>-1712.8599850000001</v>
      </c>
      <c r="C186" s="1">
        <v>2133.48999</v>
      </c>
      <c r="D186" s="1">
        <v>18.34</v>
      </c>
      <c r="E186" s="1">
        <v>-1197.709961</v>
      </c>
      <c r="F186" s="1">
        <v>-1963.51001</v>
      </c>
      <c r="G186" s="1">
        <v>7.92</v>
      </c>
      <c r="H186" s="1">
        <v>0</v>
      </c>
      <c r="I186" s="1">
        <v>0</v>
      </c>
      <c r="J186" s="1">
        <v>2.0525000000000002</v>
      </c>
      <c r="K186" s="1">
        <v>-7.2960000000000004E-3</v>
      </c>
      <c r="L186" s="1">
        <v>-4.4260000000000002E-3</v>
      </c>
      <c r="M186" s="1">
        <v>0.85500299999999996</v>
      </c>
      <c r="N186" s="1">
        <v>-0.51855200000000001</v>
      </c>
      <c r="O186">
        <v>1</v>
      </c>
      <c r="P186">
        <v>0</v>
      </c>
      <c r="Q186">
        <v>1</v>
      </c>
      <c r="R186">
        <v>1</v>
      </c>
      <c r="S186">
        <v>1</v>
      </c>
      <c r="T186" s="1">
        <f>SQRT(POWER(Breakout[[#This Row],[angvel_X]],2) + POWER(Breakout[[#This Row],[angvel_Y]],2) + POWER(Breakout[[#This Row],[angvel_Z]],2))</f>
        <v>2.0525000000000002</v>
      </c>
      <c r="U186" s="1">
        <f>DEGREES(ASIN(MAX(-1,MIN(1,2 * (Breakout[[#This Row],[quart_W]]*Breakout[[#This Row],[quart_Y]] - Breakout[[#This Row],[quart_Z]]*Breakout[[#This Row],[quart_X]])))))</f>
        <v>0.97788165978190555</v>
      </c>
      <c r="V18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-152.47294937979441</v>
      </c>
      <c r="W18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90.000101759061394</v>
      </c>
      <c r="X186" s="1">
        <f>IF(Breakout[[#This Row],[Yaw]]&gt;V185,(360-ABS(Breakout[[#This Row],[Yaw]])-ABS(V185)),ABS(Breakout[[#This Row],[Yaw]]-V185))</f>
        <v>0.98008855507700332</v>
      </c>
      <c r="Y186" s="1">
        <f>Breakout[[#This Row],[Degree change]]+Y185</f>
        <v>121.62548225817105</v>
      </c>
    </row>
    <row r="187" spans="1:25">
      <c r="A187">
        <v>186</v>
      </c>
      <c r="B187" s="1">
        <v>-1722.869995</v>
      </c>
      <c r="C187" s="1">
        <v>2117.070068</v>
      </c>
      <c r="D187" s="1">
        <v>18.34</v>
      </c>
      <c r="E187" s="1">
        <v>-1163.9499510000001</v>
      </c>
      <c r="F187" s="1">
        <v>-1983.709961</v>
      </c>
      <c r="G187" s="1">
        <v>7.92</v>
      </c>
      <c r="H187" s="1">
        <v>0</v>
      </c>
      <c r="I187" s="1">
        <v>0</v>
      </c>
      <c r="J187" s="1">
        <v>2.0525000000000002</v>
      </c>
      <c r="K187" s="1">
        <v>-7.2589999999999998E-3</v>
      </c>
      <c r="L187" s="1">
        <v>-4.4910000000000002E-3</v>
      </c>
      <c r="M187" s="1">
        <v>0.85053699999999999</v>
      </c>
      <c r="N187" s="1">
        <v>-0.52584600000000004</v>
      </c>
      <c r="O187">
        <v>1</v>
      </c>
      <c r="P187">
        <v>0</v>
      </c>
      <c r="Q187">
        <v>1</v>
      </c>
      <c r="R187">
        <v>1</v>
      </c>
      <c r="S187">
        <v>1</v>
      </c>
      <c r="T187" s="1">
        <f>SQRT(POWER(Breakout[[#This Row],[angvel_X]],2) + POWER(Breakout[[#This Row],[angvel_Y]],2) + POWER(Breakout[[#This Row],[angvel_Z]],2))</f>
        <v>2.0525000000000002</v>
      </c>
      <c r="U187" s="1">
        <f>DEGREES(ASIN(MAX(-1,MIN(1,2 * (Breakout[[#This Row],[quart_W]]*Breakout[[#This Row],[quart_Y]] - Breakout[[#This Row],[quart_Z]]*Breakout[[#This Row],[quart_X]])))))</f>
        <v>0.97815780023639931</v>
      </c>
      <c r="V18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-153.45299877814062</v>
      </c>
      <c r="W18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90.000303202226689</v>
      </c>
      <c r="X187" s="1">
        <f>IF(Breakout[[#This Row],[Yaw]]&gt;V186,(360-ABS(Breakout[[#This Row],[Yaw]])-ABS(V186)),ABS(Breakout[[#This Row],[Yaw]]-V186))</f>
        <v>0.98004939834621041</v>
      </c>
      <c r="Y187" s="1">
        <f>Breakout[[#This Row],[Degree change]]+Y186</f>
        <v>122.60553165651726</v>
      </c>
    </row>
    <row r="188" spans="1:25">
      <c r="A188">
        <v>187</v>
      </c>
      <c r="B188" s="1">
        <v>-1732.599976</v>
      </c>
      <c r="C188" s="1">
        <v>2100.4799800000001</v>
      </c>
      <c r="D188" s="1">
        <v>18.34</v>
      </c>
      <c r="E188" s="1">
        <v>-1129.849976</v>
      </c>
      <c r="F188" s="1">
        <v>-2003.329956</v>
      </c>
      <c r="G188" s="1">
        <v>7.92</v>
      </c>
      <c r="H188" s="1">
        <v>0</v>
      </c>
      <c r="I188" s="1">
        <v>0</v>
      </c>
      <c r="J188" s="1">
        <v>2.0525000000000002</v>
      </c>
      <c r="K188" s="1">
        <v>-7.221E-3</v>
      </c>
      <c r="L188" s="1">
        <v>-4.5510000000000004E-3</v>
      </c>
      <c r="M188" s="1">
        <v>0.84600799999999998</v>
      </c>
      <c r="N188" s="1">
        <v>-0.53310199999999996</v>
      </c>
      <c r="O188">
        <v>1</v>
      </c>
      <c r="P188">
        <v>0</v>
      </c>
      <c r="Q188">
        <v>1</v>
      </c>
      <c r="R188">
        <v>1</v>
      </c>
      <c r="S188">
        <v>1</v>
      </c>
      <c r="T188" s="1">
        <f>SQRT(POWER(Breakout[[#This Row],[angvel_X]],2) + POWER(Breakout[[#This Row],[angvel_Y]],2) + POWER(Breakout[[#This Row],[angvel_Z]],2))</f>
        <v>2.0525000000000002</v>
      </c>
      <c r="U188" s="1">
        <f>DEGREES(ASIN(MAX(-1,MIN(1,2 * (Breakout[[#This Row],[quart_W]]*Breakout[[#This Row],[quart_Y]] - Breakout[[#This Row],[quart_Z]]*Breakout[[#This Row],[quart_X]])))))</f>
        <v>0.97810605472190959</v>
      </c>
      <c r="V18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-154.43318820100916</v>
      </c>
      <c r="W18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90.000074823835263</v>
      </c>
      <c r="X188" s="1">
        <f>IF(Breakout[[#This Row],[Yaw]]&gt;V187,(360-ABS(Breakout[[#This Row],[Yaw]])-ABS(V187)),ABS(Breakout[[#This Row],[Yaw]]-V187))</f>
        <v>0.98018942286853417</v>
      </c>
      <c r="Y188" s="1">
        <f>Breakout[[#This Row],[Degree change]]+Y187</f>
        <v>123.58572107938579</v>
      </c>
    </row>
    <row r="189" spans="1:25">
      <c r="A189">
        <v>188</v>
      </c>
      <c r="B189" s="1">
        <v>-1742.049927</v>
      </c>
      <c r="C189" s="1">
        <v>2083.719971</v>
      </c>
      <c r="D189" s="1">
        <v>18.34</v>
      </c>
      <c r="E189" s="1">
        <v>-1095.419922</v>
      </c>
      <c r="F189" s="1">
        <v>-2022.369995</v>
      </c>
      <c r="G189" s="1">
        <v>7.92</v>
      </c>
      <c r="H189" s="1">
        <v>0</v>
      </c>
      <c r="I189" s="1">
        <v>0</v>
      </c>
      <c r="J189" s="1">
        <v>2.0525000000000002</v>
      </c>
      <c r="K189" s="1">
        <v>-7.1830000000000001E-3</v>
      </c>
      <c r="L189" s="1">
        <v>-4.6100000000000004E-3</v>
      </c>
      <c r="M189" s="1">
        <v>0.84141900000000003</v>
      </c>
      <c r="N189" s="1">
        <v>-0.54031499999999999</v>
      </c>
      <c r="O189">
        <v>1</v>
      </c>
      <c r="P189">
        <v>0</v>
      </c>
      <c r="Q189">
        <v>1</v>
      </c>
      <c r="R189">
        <v>1</v>
      </c>
      <c r="S189">
        <v>1</v>
      </c>
      <c r="T189" s="1">
        <f>SQRT(POWER(Breakout[[#This Row],[angvel_X]],2) + POWER(Breakout[[#This Row],[angvel_Y]],2) + POWER(Breakout[[#This Row],[angvel_Z]],2))</f>
        <v>2.0525000000000002</v>
      </c>
      <c r="U189" s="1">
        <f>DEGREES(ASIN(MAX(-1,MIN(1,2 * (Breakout[[#This Row],[quart_W]]*Breakout[[#This Row],[quart_Y]] - Breakout[[#This Row],[quart_Z]]*Breakout[[#This Row],[quart_X]])))))</f>
        <v>0.97805950738031278</v>
      </c>
      <c r="V18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-155.41293378174254</v>
      </c>
      <c r="W18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89.999754617418532</v>
      </c>
      <c r="X189" s="1">
        <f>IF(Breakout[[#This Row],[Yaw]]&gt;V188,(360-ABS(Breakout[[#This Row],[Yaw]])-ABS(V188)),ABS(Breakout[[#This Row],[Yaw]]-V188))</f>
        <v>0.97974558073337903</v>
      </c>
      <c r="Y189" s="1">
        <f>Breakout[[#This Row],[Degree change]]+Y188</f>
        <v>124.56546666011917</v>
      </c>
    </row>
    <row r="190" spans="1:25">
      <c r="A190">
        <v>189</v>
      </c>
      <c r="B190" s="1">
        <v>-1751.209961</v>
      </c>
      <c r="C190" s="1">
        <v>2066.8000489999999</v>
      </c>
      <c r="D190" s="1">
        <v>18.34</v>
      </c>
      <c r="E190" s="1">
        <v>-1060.669922</v>
      </c>
      <c r="F190" s="1">
        <v>-2040.809937</v>
      </c>
      <c r="G190" s="1">
        <v>7.92</v>
      </c>
      <c r="H190" s="1">
        <v>0</v>
      </c>
      <c r="I190" s="1">
        <v>0</v>
      </c>
      <c r="J190" s="1">
        <v>2.0525000000000002</v>
      </c>
      <c r="K190" s="1">
        <v>-7.1450000000000003E-3</v>
      </c>
      <c r="L190" s="1">
        <v>-4.6690000000000004E-3</v>
      </c>
      <c r="M190" s="1">
        <v>0.83676799999999996</v>
      </c>
      <c r="N190" s="1">
        <v>-0.54749000000000003</v>
      </c>
      <c r="O190">
        <v>1</v>
      </c>
      <c r="P190">
        <v>0</v>
      </c>
      <c r="Q190">
        <v>1</v>
      </c>
      <c r="R190">
        <v>1</v>
      </c>
      <c r="S190">
        <v>1</v>
      </c>
      <c r="T190" s="1">
        <f>SQRT(POWER(Breakout[[#This Row],[angvel_X]],2) + POWER(Breakout[[#This Row],[angvel_Y]],2) + POWER(Breakout[[#This Row],[angvel_Z]],2))</f>
        <v>2.0525000000000002</v>
      </c>
      <c r="U190" s="1">
        <f>DEGREES(ASIN(MAX(-1,MIN(1,2 * (Breakout[[#This Row],[quart_W]]*Breakout[[#This Row],[quart_Y]] - Breakout[[#This Row],[quart_Z]]*Breakout[[#This Row],[quart_X]])))))</f>
        <v>0.978079373919444</v>
      </c>
      <c r="V19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-156.39281323014876</v>
      </c>
      <c r="W19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89.999433117989085</v>
      </c>
      <c r="X190" s="1">
        <f>IF(Breakout[[#This Row],[Yaw]]&gt;V189,(360-ABS(Breakout[[#This Row],[Yaw]])-ABS(V189)),ABS(Breakout[[#This Row],[Yaw]]-V189))</f>
        <v>0.97987944840622276</v>
      </c>
      <c r="Y190" s="1">
        <f>Breakout[[#This Row],[Degree change]]+Y189</f>
        <v>125.54534610852539</v>
      </c>
    </row>
    <row r="191" spans="1:25">
      <c r="A191">
        <v>190</v>
      </c>
      <c r="B191" s="1">
        <v>-1760.079956</v>
      </c>
      <c r="C191" s="1">
        <v>2049.7299800000001</v>
      </c>
      <c r="D191" s="1">
        <v>18.34</v>
      </c>
      <c r="E191" s="1">
        <v>-1025.6099850000001</v>
      </c>
      <c r="F191" s="1">
        <v>-2058.6499020000001</v>
      </c>
      <c r="G191" s="1">
        <v>7.92</v>
      </c>
      <c r="H191" s="1">
        <v>0</v>
      </c>
      <c r="I191" s="1">
        <v>0</v>
      </c>
      <c r="J191" s="1">
        <v>2.0525000000000002</v>
      </c>
      <c r="K191" s="1">
        <v>-7.1079999999999997E-3</v>
      </c>
      <c r="L191" s="1">
        <v>-4.7289999999999997E-3</v>
      </c>
      <c r="M191" s="1">
        <v>0.83205499999999999</v>
      </c>
      <c r="N191" s="1">
        <v>-0.55462800000000001</v>
      </c>
      <c r="O191">
        <v>1</v>
      </c>
      <c r="P191">
        <v>0</v>
      </c>
      <c r="Q191">
        <v>1</v>
      </c>
      <c r="R191">
        <v>1</v>
      </c>
      <c r="S191">
        <v>1</v>
      </c>
      <c r="T191" s="1">
        <f>SQRT(POWER(Breakout[[#This Row],[angvel_X]],2) + POWER(Breakout[[#This Row],[angvel_Y]],2) + POWER(Breakout[[#This Row],[angvel_Z]],2))</f>
        <v>2.0525000000000002</v>
      </c>
      <c r="U191" s="1">
        <f>DEGREES(ASIN(MAX(-1,MIN(1,2 * (Breakout[[#This Row],[quart_W]]*Breakout[[#This Row],[quart_Y]] - Breakout[[#This Row],[quart_Z]]*Breakout[[#This Row],[quart_X]])))))</f>
        <v>0.97832516073465647</v>
      </c>
      <c r="V19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-157.37292616697323</v>
      </c>
      <c r="W19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89.999139552198116</v>
      </c>
      <c r="X191" s="1">
        <f>IF(Breakout[[#This Row],[Yaw]]&gt;V190,(360-ABS(Breakout[[#This Row],[Yaw]])-ABS(V190)),ABS(Breakout[[#This Row],[Yaw]]-V190))</f>
        <v>0.98011293682446876</v>
      </c>
      <c r="Y191" s="1">
        <f>Breakout[[#This Row],[Degree change]]+Y190</f>
        <v>126.52545904534986</v>
      </c>
    </row>
    <row r="192" spans="1:25">
      <c r="A192">
        <v>191</v>
      </c>
      <c r="B192" s="1">
        <v>-1768.6499020000001</v>
      </c>
      <c r="C192" s="1">
        <v>2032.51001</v>
      </c>
      <c r="D192" s="1">
        <v>18.34</v>
      </c>
      <c r="E192" s="1">
        <v>-990.25</v>
      </c>
      <c r="F192" s="1">
        <v>-2075.889893</v>
      </c>
      <c r="G192" s="1">
        <v>7.92</v>
      </c>
      <c r="H192" s="1">
        <v>0</v>
      </c>
      <c r="I192" s="1">
        <v>0</v>
      </c>
      <c r="J192" s="1">
        <v>2.0525000000000002</v>
      </c>
      <c r="K192" s="1">
        <v>-7.0650000000000001E-3</v>
      </c>
      <c r="L192" s="1">
        <v>-4.7879999999999997E-3</v>
      </c>
      <c r="M192" s="1">
        <v>0.82728199999999996</v>
      </c>
      <c r="N192" s="1">
        <v>-0.56172200000000005</v>
      </c>
      <c r="O192">
        <v>1</v>
      </c>
      <c r="P192">
        <v>0</v>
      </c>
      <c r="Q192">
        <v>1</v>
      </c>
      <c r="R192">
        <v>1</v>
      </c>
      <c r="S192">
        <v>1</v>
      </c>
      <c r="T192" s="1">
        <f>SQRT(POWER(Breakout[[#This Row],[angvel_X]],2) + POWER(Breakout[[#This Row],[angvel_Y]],2) + POWER(Breakout[[#This Row],[angvel_Z]],2))</f>
        <v>2.0525000000000002</v>
      </c>
      <c r="U192" s="1">
        <f>DEGREES(ASIN(MAX(-1,MIN(1,2 * (Breakout[[#This Row],[quart_W]]*Breakout[[#This Row],[quart_Y]] - Breakout[[#This Row],[quart_Z]]*Breakout[[#This Row],[quart_X]])))))</f>
        <v>0.97800305582317038</v>
      </c>
      <c r="V19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-158.35278426658522</v>
      </c>
      <c r="W19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89.999135886535583</v>
      </c>
      <c r="X192" s="1">
        <f>IF(Breakout[[#This Row],[Yaw]]&gt;V191,(360-ABS(Breakout[[#This Row],[Yaw]])-ABS(V191)),ABS(Breakout[[#This Row],[Yaw]]-V191))</f>
        <v>0.97985809961198811</v>
      </c>
      <c r="Y192" s="1">
        <f>Breakout[[#This Row],[Degree change]]+Y191</f>
        <v>127.50531714496185</v>
      </c>
    </row>
    <row r="193" spans="1:25">
      <c r="A193">
        <v>192</v>
      </c>
      <c r="B193" s="1">
        <v>-1776.929932</v>
      </c>
      <c r="C193" s="1">
        <v>2015.1499020000001</v>
      </c>
      <c r="D193" s="1">
        <v>18.34</v>
      </c>
      <c r="E193" s="1">
        <v>-954.59997599999997</v>
      </c>
      <c r="F193" s="1">
        <v>-2092.5200199999999</v>
      </c>
      <c r="G193" s="1">
        <v>7.92</v>
      </c>
      <c r="H193" s="1">
        <v>0</v>
      </c>
      <c r="I193" s="1">
        <v>0</v>
      </c>
      <c r="J193" s="1">
        <v>2.0525000000000002</v>
      </c>
      <c r="K193" s="1">
        <v>-7.0210000000000003E-3</v>
      </c>
      <c r="L193" s="1">
        <v>-4.8469999999999997E-3</v>
      </c>
      <c r="M193" s="1">
        <v>0.82244700000000004</v>
      </c>
      <c r="N193" s="1">
        <v>-0.56877800000000001</v>
      </c>
      <c r="O193">
        <v>1</v>
      </c>
      <c r="P193">
        <v>0</v>
      </c>
      <c r="Q193">
        <v>1</v>
      </c>
      <c r="R193">
        <v>1</v>
      </c>
      <c r="S193">
        <v>1</v>
      </c>
      <c r="T193" s="1">
        <f>SQRT(POWER(Breakout[[#This Row],[angvel_X]],2) + POWER(Breakout[[#This Row],[angvel_Y]],2) + POWER(Breakout[[#This Row],[angvel_Z]],2))</f>
        <v>2.0525000000000002</v>
      </c>
      <c r="U193" s="1">
        <f>DEGREES(ASIN(MAX(-1,MIN(1,2 * (Breakout[[#This Row],[quart_W]]*Breakout[[#This Row],[quart_Y]] - Breakout[[#This Row],[quart_Z]]*Breakout[[#This Row],[quart_X]])))))</f>
        <v>0.97765866800562296</v>
      </c>
      <c r="V19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-159.33297765819469</v>
      </c>
      <c r="W19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89.999198919438911</v>
      </c>
      <c r="X193" s="1">
        <f>IF(Breakout[[#This Row],[Yaw]]&gt;V192,(360-ABS(Breakout[[#This Row],[Yaw]])-ABS(V192)),ABS(Breakout[[#This Row],[Yaw]]-V192))</f>
        <v>0.98019339160947538</v>
      </c>
      <c r="Y193" s="1">
        <f>Breakout[[#This Row],[Degree change]]+Y192</f>
        <v>128.48551053657133</v>
      </c>
    </row>
    <row r="194" spans="1:25">
      <c r="A194">
        <v>193</v>
      </c>
      <c r="B194" s="1">
        <v>-1784.9099120000001</v>
      </c>
      <c r="C194" s="1">
        <v>1997.6499020000001</v>
      </c>
      <c r="D194" s="1">
        <v>18.34</v>
      </c>
      <c r="E194" s="1">
        <v>-918.669983</v>
      </c>
      <c r="F194" s="1">
        <v>-2108.540039</v>
      </c>
      <c r="G194" s="1">
        <v>7.92</v>
      </c>
      <c r="H194" s="1">
        <v>0</v>
      </c>
      <c r="I194" s="1">
        <v>0</v>
      </c>
      <c r="J194" s="1">
        <v>2.0525000000000002</v>
      </c>
      <c r="K194" s="1">
        <v>-6.9779999999999998E-3</v>
      </c>
      <c r="L194" s="1">
        <v>-4.9069999999999999E-3</v>
      </c>
      <c r="M194" s="1">
        <v>0.81755199999999995</v>
      </c>
      <c r="N194" s="1">
        <v>-0.57579100000000005</v>
      </c>
      <c r="O194">
        <v>1</v>
      </c>
      <c r="P194">
        <v>0</v>
      </c>
      <c r="Q194">
        <v>1</v>
      </c>
      <c r="R194">
        <v>1</v>
      </c>
      <c r="S194">
        <v>1</v>
      </c>
      <c r="T194" s="1">
        <f>SQRT(POWER(Breakout[[#This Row],[angvel_X]],2) + POWER(Breakout[[#This Row],[angvel_Y]],2) + POWER(Breakout[[#This Row],[angvel_Z]],2))</f>
        <v>2.0525000000000002</v>
      </c>
      <c r="U194" s="1">
        <f>DEGREES(ASIN(MAX(-1,MIN(1,2 * (Breakout[[#This Row],[quart_W]]*Breakout[[#This Row],[quart_Y]] - Breakout[[#This Row],[quart_Z]]*Breakout[[#This Row],[quart_X]])))))</f>
        <v>0.97754600122795854</v>
      </c>
      <c r="V19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-160.3130972077671</v>
      </c>
      <c r="W19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89.999296083757983</v>
      </c>
      <c r="X194" s="1">
        <f>IF(Breakout[[#This Row],[Yaw]]&gt;V193,(360-ABS(Breakout[[#This Row],[Yaw]])-ABS(V193)),ABS(Breakout[[#This Row],[Yaw]]-V193))</f>
        <v>0.98011954957240732</v>
      </c>
      <c r="Y194" s="1">
        <f>Breakout[[#This Row],[Degree change]]+Y193</f>
        <v>129.46563008614373</v>
      </c>
    </row>
    <row r="195" spans="1:25">
      <c r="A195">
        <v>194</v>
      </c>
      <c r="B195" s="1">
        <v>-1792.589966</v>
      </c>
      <c r="C195" s="1">
        <v>1980.01001</v>
      </c>
      <c r="D195" s="1">
        <v>18.34</v>
      </c>
      <c r="E195" s="1">
        <v>-882.46997099999999</v>
      </c>
      <c r="F195" s="1">
        <v>-2123.9499510000001</v>
      </c>
      <c r="G195" s="1">
        <v>7.92</v>
      </c>
      <c r="H195" s="1">
        <v>0</v>
      </c>
      <c r="I195" s="1">
        <v>0</v>
      </c>
      <c r="J195" s="1">
        <v>2.0525000000000002</v>
      </c>
      <c r="K195" s="1">
        <v>-6.9350000000000002E-3</v>
      </c>
      <c r="L195" s="1">
        <v>-4.9659999999999999E-3</v>
      </c>
      <c r="M195" s="1">
        <v>0.81259800000000004</v>
      </c>
      <c r="N195" s="1">
        <v>-0.582762</v>
      </c>
      <c r="O195">
        <v>1</v>
      </c>
      <c r="P195">
        <v>0</v>
      </c>
      <c r="Q195">
        <v>1</v>
      </c>
      <c r="R195">
        <v>1</v>
      </c>
      <c r="S195">
        <v>1</v>
      </c>
      <c r="T195" s="1">
        <f>SQRT(POWER(Breakout[[#This Row],[angvel_X]],2) + POWER(Breakout[[#This Row],[angvel_Y]],2) + POWER(Breakout[[#This Row],[angvel_Z]],2))</f>
        <v>2.0525000000000002</v>
      </c>
      <c r="U195" s="1">
        <f>DEGREES(ASIN(MAX(-1,MIN(1,2 * (Breakout[[#This Row],[quart_W]]*Breakout[[#This Row],[quart_Y]] - Breakout[[#This Row],[quart_Z]]*Breakout[[#This Row],[quart_X]])))))</f>
        <v>0.97744043890399213</v>
      </c>
      <c r="V19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-161.2930981216341</v>
      </c>
      <c r="W19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89.99930171471199</v>
      </c>
      <c r="X195" s="1">
        <f>IF(Breakout[[#This Row],[Yaw]]&gt;V194,(360-ABS(Breakout[[#This Row],[Yaw]])-ABS(V194)),ABS(Breakout[[#This Row],[Yaw]]-V194))</f>
        <v>0.98000091386700205</v>
      </c>
      <c r="Y195" s="1">
        <f>Breakout[[#This Row],[Degree change]]+Y194</f>
        <v>130.44563100001074</v>
      </c>
    </row>
    <row r="196" spans="1:25">
      <c r="A196">
        <v>195</v>
      </c>
      <c r="B196" s="1">
        <v>-1799.969971</v>
      </c>
      <c r="C196" s="1">
        <v>1962.25</v>
      </c>
      <c r="D196" s="1">
        <v>18.34</v>
      </c>
      <c r="E196" s="1">
        <v>-846.01000999999997</v>
      </c>
      <c r="F196" s="1">
        <v>-2138.7299800000001</v>
      </c>
      <c r="G196" s="1">
        <v>7.92</v>
      </c>
      <c r="H196" s="1">
        <v>0</v>
      </c>
      <c r="I196" s="1">
        <v>0</v>
      </c>
      <c r="J196" s="1">
        <v>2.0525000000000002</v>
      </c>
      <c r="K196" s="1">
        <v>-6.8919999999999997E-3</v>
      </c>
      <c r="L196" s="1">
        <v>-5.025E-3</v>
      </c>
      <c r="M196" s="1">
        <v>0.80758600000000003</v>
      </c>
      <c r="N196" s="1">
        <v>-0.58968900000000002</v>
      </c>
      <c r="O196">
        <v>1</v>
      </c>
      <c r="P196">
        <v>0</v>
      </c>
      <c r="Q196">
        <v>1</v>
      </c>
      <c r="R196">
        <v>1</v>
      </c>
      <c r="S196">
        <v>1</v>
      </c>
      <c r="T196" s="1">
        <f>SQRT(POWER(Breakout[[#This Row],[angvel_X]],2) + POWER(Breakout[[#This Row],[angvel_Y]],2) + POWER(Breakout[[#This Row],[angvel_Z]],2))</f>
        <v>2.0525000000000002</v>
      </c>
      <c r="U196" s="1">
        <f>DEGREES(ASIN(MAX(-1,MIN(1,2 * (Breakout[[#This Row],[quart_W]]*Breakout[[#This Row],[quart_Y]] - Breakout[[#This Row],[quart_Z]]*Breakout[[#This Row],[quart_X]])))))</f>
        <v>0.97740682602773965</v>
      </c>
      <c r="V19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-162.27283533384619</v>
      </c>
      <c r="W19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89.999310409358216</v>
      </c>
      <c r="X196" s="1">
        <f>IF(Breakout[[#This Row],[Yaw]]&gt;V195,(360-ABS(Breakout[[#This Row],[Yaw]])-ABS(V195)),ABS(Breakout[[#This Row],[Yaw]]-V195))</f>
        <v>0.97973721221208621</v>
      </c>
      <c r="Y196" s="1">
        <f>Breakout[[#This Row],[Degree change]]+Y195</f>
        <v>131.42536821222282</v>
      </c>
    </row>
    <row r="197" spans="1:25">
      <c r="A197">
        <v>196</v>
      </c>
      <c r="B197" s="1">
        <v>-1807.0399170000001</v>
      </c>
      <c r="C197" s="1">
        <v>1944.3599850000001</v>
      </c>
      <c r="D197" s="1">
        <v>18.34</v>
      </c>
      <c r="E197" s="1">
        <v>-809.30999799999995</v>
      </c>
      <c r="F197" s="1">
        <v>-2152.889893</v>
      </c>
      <c r="G197" s="1">
        <v>7.92</v>
      </c>
      <c r="H197" s="1">
        <v>0</v>
      </c>
      <c r="I197" s="1">
        <v>0</v>
      </c>
      <c r="J197" s="1">
        <v>2.0525000000000002</v>
      </c>
      <c r="K197" s="1">
        <v>-6.8490000000000001E-3</v>
      </c>
      <c r="L197" s="1">
        <v>-5.0850000000000001E-3</v>
      </c>
      <c r="M197" s="1">
        <v>0.80251399999999995</v>
      </c>
      <c r="N197" s="1">
        <v>-0.59657199999999999</v>
      </c>
      <c r="O197">
        <v>1</v>
      </c>
      <c r="P197">
        <v>0</v>
      </c>
      <c r="Q197">
        <v>1</v>
      </c>
      <c r="R197">
        <v>1</v>
      </c>
      <c r="S197">
        <v>1</v>
      </c>
      <c r="T197" s="1">
        <f>SQRT(POWER(Breakout[[#This Row],[angvel_X]],2) + POWER(Breakout[[#This Row],[angvel_Y]],2) + POWER(Breakout[[#This Row],[angvel_Z]],2))</f>
        <v>2.0525000000000002</v>
      </c>
      <c r="U197" s="1">
        <f>DEGREES(ASIN(MAX(-1,MIN(1,2 * (Breakout[[#This Row],[quart_W]]*Breakout[[#This Row],[quart_Y]] - Breakout[[#This Row],[quart_Z]]*Breakout[[#This Row],[quart_X]])))))</f>
        <v>0.97751192968847989</v>
      </c>
      <c r="V19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-163.25269513388196</v>
      </c>
      <c r="W19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89.999411149977874</v>
      </c>
      <c r="X197" s="1">
        <f>IF(Breakout[[#This Row],[Yaw]]&gt;V196,(360-ABS(Breakout[[#This Row],[Yaw]])-ABS(V196)),ABS(Breakout[[#This Row],[Yaw]]-V196))</f>
        <v>0.97985980003576856</v>
      </c>
      <c r="Y197" s="1">
        <f>Breakout[[#This Row],[Degree change]]+Y196</f>
        <v>132.40522801225859</v>
      </c>
    </row>
    <row r="198" spans="1:25">
      <c r="A198">
        <v>197</v>
      </c>
      <c r="B198" s="1">
        <v>-1813.799927</v>
      </c>
      <c r="C198" s="1">
        <v>1926.349976</v>
      </c>
      <c r="D198" s="1">
        <v>18.34</v>
      </c>
      <c r="E198" s="1">
        <v>-772.36999500000002</v>
      </c>
      <c r="F198" s="1">
        <v>-2166.4099120000001</v>
      </c>
      <c r="G198" s="1">
        <v>7.92</v>
      </c>
      <c r="H198" s="1">
        <v>0</v>
      </c>
      <c r="I198" s="1">
        <v>0</v>
      </c>
      <c r="J198" s="1">
        <v>2.0525000000000002</v>
      </c>
      <c r="K198" s="1">
        <v>-6.8060000000000004E-3</v>
      </c>
      <c r="L198" s="1">
        <v>-5.1440000000000001E-3</v>
      </c>
      <c r="M198" s="1">
        <v>0.79738299999999995</v>
      </c>
      <c r="N198" s="1">
        <v>-0.60341299999999998</v>
      </c>
      <c r="O198">
        <v>1</v>
      </c>
      <c r="P198">
        <v>0</v>
      </c>
      <c r="Q198">
        <v>1</v>
      </c>
      <c r="R198">
        <v>1</v>
      </c>
      <c r="S198">
        <v>1</v>
      </c>
      <c r="T198" s="1">
        <f>SQRT(POWER(Breakout[[#This Row],[angvel_X]],2) + POWER(Breakout[[#This Row],[angvel_Y]],2) + POWER(Breakout[[#This Row],[angvel_Z]],2))</f>
        <v>2.0525000000000002</v>
      </c>
      <c r="U198" s="1">
        <f>DEGREES(ASIN(MAX(-1,MIN(1,2 * (Breakout[[#This Row],[quart_W]]*Breakout[[#This Row],[quart_Y]] - Breakout[[#This Row],[quart_Z]]*Breakout[[#This Row],[quart_X]])))))</f>
        <v>0.97762174317820894</v>
      </c>
      <c r="V19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-164.23264992908514</v>
      </c>
      <c r="W19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89.999416560842931</v>
      </c>
      <c r="X198" s="1">
        <f>IF(Breakout[[#This Row],[Yaw]]&gt;V197,(360-ABS(Breakout[[#This Row],[Yaw]])-ABS(V197)),ABS(Breakout[[#This Row],[Yaw]]-V197))</f>
        <v>0.9799547952031844</v>
      </c>
      <c r="Y198" s="1">
        <f>Breakout[[#This Row],[Degree change]]+Y197</f>
        <v>133.38518280746177</v>
      </c>
    </row>
    <row r="199" spans="1:25">
      <c r="A199">
        <v>198</v>
      </c>
      <c r="B199" s="1">
        <v>-1820.25</v>
      </c>
      <c r="C199" s="1">
        <v>1908.2299800000001</v>
      </c>
      <c r="D199" s="1">
        <v>18.34</v>
      </c>
      <c r="E199" s="1">
        <v>-735.20996100000002</v>
      </c>
      <c r="F199" s="1">
        <v>-2179.3100589999999</v>
      </c>
      <c r="G199" s="1">
        <v>7.92</v>
      </c>
      <c r="H199" s="1">
        <v>0</v>
      </c>
      <c r="I199" s="1">
        <v>0</v>
      </c>
      <c r="J199" s="1">
        <v>2.0525000000000002</v>
      </c>
      <c r="K199" s="1">
        <v>-6.7619999999999998E-3</v>
      </c>
      <c r="L199" s="1">
        <v>-5.2030000000000002E-3</v>
      </c>
      <c r="M199" s="1">
        <v>0.79219300000000004</v>
      </c>
      <c r="N199" s="1">
        <v>-0.61021000000000003</v>
      </c>
      <c r="O199">
        <v>1</v>
      </c>
      <c r="P199">
        <v>0</v>
      </c>
      <c r="Q199">
        <v>1</v>
      </c>
      <c r="R199">
        <v>1</v>
      </c>
      <c r="S199">
        <v>1</v>
      </c>
      <c r="T199" s="1">
        <f>SQRT(POWER(Breakout[[#This Row],[angvel_X]],2) + POWER(Breakout[[#This Row],[angvel_Y]],2) + POWER(Breakout[[#This Row],[angvel_Z]],2))</f>
        <v>2.0525000000000002</v>
      </c>
      <c r="U199" s="1">
        <f>DEGREES(ASIN(MAX(-1,MIN(1,2 * (Breakout[[#This Row],[quart_W]]*Breakout[[#This Row],[quart_Y]] - Breakout[[#This Row],[quart_Z]]*Breakout[[#This Row],[quart_X]])))))</f>
        <v>0.97771188554151489</v>
      </c>
      <c r="V19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-165.21271542560439</v>
      </c>
      <c r="W19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89.999488865449862</v>
      </c>
      <c r="X199" s="1">
        <f>IF(Breakout[[#This Row],[Yaw]]&gt;V198,(360-ABS(Breakout[[#This Row],[Yaw]])-ABS(V198)),ABS(Breakout[[#This Row],[Yaw]]-V198))</f>
        <v>0.98006549651924502</v>
      </c>
      <c r="Y199" s="1">
        <f>Breakout[[#This Row],[Degree change]]+Y198</f>
        <v>134.36524830398102</v>
      </c>
    </row>
    <row r="200" spans="1:25">
      <c r="A200">
        <v>199</v>
      </c>
      <c r="B200" s="1">
        <v>-1826.3900149999999</v>
      </c>
      <c r="C200" s="1">
        <v>1890</v>
      </c>
      <c r="D200" s="1">
        <v>18.34</v>
      </c>
      <c r="E200" s="1">
        <v>-697.82995600000004</v>
      </c>
      <c r="F200" s="1">
        <v>-2191.5600589999999</v>
      </c>
      <c r="G200" s="1">
        <v>7.92</v>
      </c>
      <c r="H200" s="1">
        <v>0</v>
      </c>
      <c r="I200" s="1">
        <v>0</v>
      </c>
      <c r="J200" s="1">
        <v>2.0525000000000002</v>
      </c>
      <c r="K200" s="1">
        <v>-6.7190000000000001E-3</v>
      </c>
      <c r="L200" s="1">
        <v>-5.2630000000000003E-3</v>
      </c>
      <c r="M200" s="1">
        <v>0.78694399999999998</v>
      </c>
      <c r="N200" s="1">
        <v>-0.61696499999999999</v>
      </c>
      <c r="O200">
        <v>1</v>
      </c>
      <c r="P200">
        <v>0</v>
      </c>
      <c r="Q200">
        <v>1</v>
      </c>
      <c r="R200">
        <v>1</v>
      </c>
      <c r="S200">
        <v>1</v>
      </c>
      <c r="T200" s="1">
        <f>SQRT(POWER(Breakout[[#This Row],[angvel_X]],2) + POWER(Breakout[[#This Row],[angvel_Y]],2) + POWER(Breakout[[#This Row],[angvel_Z]],2))</f>
        <v>2.0525000000000002</v>
      </c>
      <c r="U200" s="1">
        <f>DEGREES(ASIN(MAX(-1,MIN(1,2 * (Breakout[[#This Row],[quart_W]]*Breakout[[#This Row],[quart_Y]] - Breakout[[#This Row],[quart_Z]]*Breakout[[#This Row],[quart_X]])))))</f>
        <v>0.97803643719671507</v>
      </c>
      <c r="V20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-166.19300432537057</v>
      </c>
      <c r="W20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89.999575770319723</v>
      </c>
      <c r="X200" s="1">
        <f>IF(Breakout[[#This Row],[Yaw]]&gt;V199,(360-ABS(Breakout[[#This Row],[Yaw]])-ABS(V199)),ABS(Breakout[[#This Row],[Yaw]]-V199))</f>
        <v>0.98028889976617961</v>
      </c>
      <c r="Y200" s="1">
        <f>Breakout[[#This Row],[Degree change]]+Y199</f>
        <v>135.3455372037472</v>
      </c>
    </row>
    <row r="201" spans="1:25">
      <c r="A201">
        <v>200</v>
      </c>
      <c r="B201" s="1">
        <v>-1832.219971</v>
      </c>
      <c r="C201" s="1">
        <v>1871.669922</v>
      </c>
      <c r="D201" s="1">
        <v>18.34</v>
      </c>
      <c r="E201" s="1">
        <v>-660.23999000000003</v>
      </c>
      <c r="F201" s="1">
        <v>-2203.179932</v>
      </c>
      <c r="G201" s="1">
        <v>7.92</v>
      </c>
      <c r="H201" s="1">
        <v>0</v>
      </c>
      <c r="I201" s="1">
        <v>0</v>
      </c>
      <c r="J201" s="1">
        <v>2.0525000000000002</v>
      </c>
      <c r="K201" s="1">
        <v>-6.6759999999999996E-3</v>
      </c>
      <c r="L201" s="1">
        <v>-5.3220000000000003E-3</v>
      </c>
      <c r="M201" s="1">
        <v>0.78164100000000003</v>
      </c>
      <c r="N201" s="1">
        <v>-0.62366999999999995</v>
      </c>
      <c r="O201">
        <v>1</v>
      </c>
      <c r="P201">
        <v>0</v>
      </c>
      <c r="Q201">
        <v>1</v>
      </c>
      <c r="R201">
        <v>1</v>
      </c>
      <c r="S201">
        <v>1</v>
      </c>
      <c r="T201" s="1">
        <f>SQRT(POWER(Breakout[[#This Row],[angvel_X]],2) + POWER(Breakout[[#This Row],[angvel_Y]],2) + POWER(Breakout[[#This Row],[angvel_Z]],2))</f>
        <v>2.0525000000000002</v>
      </c>
      <c r="U201" s="1">
        <f>DEGREES(ASIN(MAX(-1,MIN(1,2 * (Breakout[[#This Row],[quart_W]]*Breakout[[#This Row],[quart_Y]] - Breakout[[#This Row],[quart_Z]]*Breakout[[#This Row],[quart_X]])))))</f>
        <v>0.97836232865394401</v>
      </c>
      <c r="V20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-167.17262576722348</v>
      </c>
      <c r="W20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89.999572795620963</v>
      </c>
      <c r="X201" s="1">
        <f>IF(Breakout[[#This Row],[Yaw]]&gt;V200,(360-ABS(Breakout[[#This Row],[Yaw]])-ABS(V200)),ABS(Breakout[[#This Row],[Yaw]]-V200))</f>
        <v>0.97962144185291322</v>
      </c>
      <c r="Y201" s="1">
        <f>Breakout[[#This Row],[Degree change]]+Y200</f>
        <v>136.32515864560011</v>
      </c>
    </row>
    <row r="202" spans="1:25">
      <c r="A202">
        <v>201</v>
      </c>
      <c r="B202" s="1">
        <v>-1837.73999</v>
      </c>
      <c r="C202" s="1">
        <v>1853.23999</v>
      </c>
      <c r="D202" s="1">
        <v>18.34</v>
      </c>
      <c r="E202" s="1">
        <v>-622.45996100000002</v>
      </c>
      <c r="F202" s="1">
        <v>-2214.1499020000001</v>
      </c>
      <c r="G202" s="1">
        <v>7.92</v>
      </c>
      <c r="H202" s="1">
        <v>0</v>
      </c>
      <c r="I202" s="1">
        <v>0</v>
      </c>
      <c r="J202" s="1">
        <v>2.0525000000000002</v>
      </c>
      <c r="K202" s="1">
        <v>-6.633E-3</v>
      </c>
      <c r="L202" s="1">
        <v>-5.3810000000000004E-3</v>
      </c>
      <c r="M202" s="1">
        <v>0.77627800000000002</v>
      </c>
      <c r="N202" s="1">
        <v>-0.63033300000000003</v>
      </c>
      <c r="O202">
        <v>1</v>
      </c>
      <c r="P202">
        <v>0</v>
      </c>
      <c r="Q202">
        <v>1</v>
      </c>
      <c r="R202">
        <v>1</v>
      </c>
      <c r="S202">
        <v>1</v>
      </c>
      <c r="T202" s="1">
        <f>SQRT(POWER(Breakout[[#This Row],[angvel_X]],2) + POWER(Breakout[[#This Row],[angvel_Y]],2) + POWER(Breakout[[#This Row],[angvel_Z]],2))</f>
        <v>2.0525000000000002</v>
      </c>
      <c r="U202" s="1">
        <f>DEGREES(ASIN(MAX(-1,MIN(1,2 * (Breakout[[#This Row],[quart_W]]*Breakout[[#This Row],[quart_Y]] - Breakout[[#This Row],[quart_Z]]*Breakout[[#This Row],[quart_X]])))))</f>
        <v>0.978759651586807</v>
      </c>
      <c r="V20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-168.15276961875296</v>
      </c>
      <c r="W20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89.99955911672825</v>
      </c>
      <c r="X202" s="1">
        <f>IF(Breakout[[#This Row],[Yaw]]&gt;V201,(360-ABS(Breakout[[#This Row],[Yaw]])-ABS(V201)),ABS(Breakout[[#This Row],[Yaw]]-V201))</f>
        <v>0.98014385152947625</v>
      </c>
      <c r="Y202" s="1">
        <f>Breakout[[#This Row],[Degree change]]+Y201</f>
        <v>137.30530249712959</v>
      </c>
    </row>
    <row r="203" spans="1:25">
      <c r="A203">
        <v>202</v>
      </c>
      <c r="B203" s="1">
        <v>-1842.9399410000001</v>
      </c>
      <c r="C203" s="1">
        <v>1834.719971</v>
      </c>
      <c r="D203" s="1">
        <v>18.34</v>
      </c>
      <c r="E203" s="1">
        <v>-584.5</v>
      </c>
      <c r="F203" s="1">
        <v>-2224.469971</v>
      </c>
      <c r="G203" s="1">
        <v>7.92</v>
      </c>
      <c r="H203" s="1">
        <v>0</v>
      </c>
      <c r="I203" s="1">
        <v>0</v>
      </c>
      <c r="J203" s="1">
        <v>2.0525000000000002</v>
      </c>
      <c r="K203" s="1">
        <v>-6.5839999999999996E-3</v>
      </c>
      <c r="L203" s="1">
        <v>-5.4349999999999997E-3</v>
      </c>
      <c r="M203" s="1">
        <v>0.77085999999999999</v>
      </c>
      <c r="N203" s="1">
        <v>-0.63694700000000004</v>
      </c>
      <c r="O203">
        <v>1</v>
      </c>
      <c r="P203">
        <v>0</v>
      </c>
      <c r="Q203">
        <v>1</v>
      </c>
      <c r="R203">
        <v>1</v>
      </c>
      <c r="S203">
        <v>1</v>
      </c>
      <c r="T203" s="1">
        <f>SQRT(POWER(Breakout[[#This Row],[angvel_X]],2) + POWER(Breakout[[#This Row],[angvel_Y]],2) + POWER(Breakout[[#This Row],[angvel_Z]],2))</f>
        <v>2.0525000000000002</v>
      </c>
      <c r="U203" s="1">
        <f>DEGREES(ASIN(MAX(-1,MIN(1,2 * (Breakout[[#This Row],[quart_W]]*Breakout[[#This Row],[quart_Y]] - Breakout[[#This Row],[quart_Z]]*Breakout[[#This Row],[quart_X]])))))</f>
        <v>0.97833277450559719</v>
      </c>
      <c r="V20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-169.13258530667636</v>
      </c>
      <c r="W20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89.999537561605422</v>
      </c>
      <c r="X203" s="1">
        <f>IF(Breakout[[#This Row],[Yaw]]&gt;V202,(360-ABS(Breakout[[#This Row],[Yaw]])-ABS(V202)),ABS(Breakout[[#This Row],[Yaw]]-V202))</f>
        <v>0.97981568792340568</v>
      </c>
      <c r="Y203" s="1">
        <f>Breakout[[#This Row],[Degree change]]+Y202</f>
        <v>138.28511818505299</v>
      </c>
    </row>
    <row r="204" spans="1:25">
      <c r="A204">
        <v>203</v>
      </c>
      <c r="B204" s="1">
        <v>-1847.8199460000001</v>
      </c>
      <c r="C204" s="1">
        <v>1816.119995</v>
      </c>
      <c r="D204" s="1">
        <v>18.34</v>
      </c>
      <c r="E204" s="1">
        <v>-546.36999500000002</v>
      </c>
      <c r="F204" s="1">
        <v>-2234.139893</v>
      </c>
      <c r="G204" s="1">
        <v>7.92</v>
      </c>
      <c r="H204" s="1">
        <v>0</v>
      </c>
      <c r="I204" s="1">
        <v>0</v>
      </c>
      <c r="J204" s="1">
        <v>2.0525000000000002</v>
      </c>
      <c r="K204" s="1">
        <v>-6.5360000000000001E-3</v>
      </c>
      <c r="L204" s="1">
        <v>-5.489E-3</v>
      </c>
      <c r="M204" s="1">
        <v>0.76538300000000004</v>
      </c>
      <c r="N204" s="1">
        <v>-0.64351800000000003</v>
      </c>
      <c r="O204">
        <v>1</v>
      </c>
      <c r="P204">
        <v>0</v>
      </c>
      <c r="Q204">
        <v>1</v>
      </c>
      <c r="R204">
        <v>1</v>
      </c>
      <c r="S204">
        <v>1</v>
      </c>
      <c r="T204" s="1">
        <f>SQRT(POWER(Breakout[[#This Row],[angvel_X]],2) + POWER(Breakout[[#This Row],[angvel_Y]],2) + POWER(Breakout[[#This Row],[angvel_Z]],2))</f>
        <v>2.0525000000000002</v>
      </c>
      <c r="U204" s="1">
        <f>DEGREES(ASIN(MAX(-1,MIN(1,2 * (Breakout[[#This Row],[quart_W]]*Breakout[[#This Row],[quart_Y]] - Breakout[[#This Row],[quart_Z]]*Breakout[[#This Row],[quart_X]])))))</f>
        <v>0.97806509602274772</v>
      </c>
      <c r="V20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-170.11287858244546</v>
      </c>
      <c r="W20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89.999444567012603</v>
      </c>
      <c r="X204" s="1">
        <f>IF(Breakout[[#This Row],[Yaw]]&gt;V203,(360-ABS(Breakout[[#This Row],[Yaw]])-ABS(V203)),ABS(Breakout[[#This Row],[Yaw]]-V203))</f>
        <v>0.98029327576909964</v>
      </c>
      <c r="Y204" s="1">
        <f>Breakout[[#This Row],[Degree change]]+Y203</f>
        <v>139.26541146082209</v>
      </c>
    </row>
    <row r="205" spans="1:25">
      <c r="A205">
        <v>204</v>
      </c>
      <c r="B205" s="1">
        <v>-1852.380005</v>
      </c>
      <c r="C205" s="1">
        <v>1797.429932</v>
      </c>
      <c r="D205" s="1">
        <v>18.34</v>
      </c>
      <c r="E205" s="1">
        <v>-508.07998700000002</v>
      </c>
      <c r="F205" s="1">
        <v>-2243.1599120000001</v>
      </c>
      <c r="G205" s="1">
        <v>7.92</v>
      </c>
      <c r="H205" s="1">
        <v>0</v>
      </c>
      <c r="I205" s="1">
        <v>0</v>
      </c>
      <c r="J205" s="1">
        <v>2.0525000000000002</v>
      </c>
      <c r="K205" s="1">
        <v>-6.4869999999999997E-3</v>
      </c>
      <c r="L205" s="1">
        <v>-5.5430000000000002E-3</v>
      </c>
      <c r="M205" s="1">
        <v>0.75985199999999997</v>
      </c>
      <c r="N205" s="1">
        <v>-0.65003999999999995</v>
      </c>
      <c r="O205">
        <v>1</v>
      </c>
      <c r="P205">
        <v>0</v>
      </c>
      <c r="Q205">
        <v>1</v>
      </c>
      <c r="R205">
        <v>1</v>
      </c>
      <c r="S205">
        <v>1</v>
      </c>
      <c r="T205" s="1">
        <f>SQRT(POWER(Breakout[[#This Row],[angvel_X]],2) + POWER(Breakout[[#This Row],[angvel_Y]],2) + POWER(Breakout[[#This Row],[angvel_Z]],2))</f>
        <v>2.0525000000000002</v>
      </c>
      <c r="U205" s="1">
        <f>DEGREES(ASIN(MAX(-1,MIN(1,2 * (Breakout[[#This Row],[quart_W]]*Breakout[[#This Row],[quart_Y]] - Breakout[[#This Row],[quart_Z]]*Breakout[[#This Row],[quart_X]])))))</f>
        <v>0.97778064452959668</v>
      </c>
      <c r="V20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-171.09282280557167</v>
      </c>
      <c r="W20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89.999432707054453</v>
      </c>
      <c r="X205" s="1">
        <f>IF(Breakout[[#This Row],[Yaw]]&gt;V204,(360-ABS(Breakout[[#This Row],[Yaw]])-ABS(V204)),ABS(Breakout[[#This Row],[Yaw]]-V204))</f>
        <v>0.97994422312621055</v>
      </c>
      <c r="Y205" s="1">
        <f>Breakout[[#This Row],[Degree change]]+Y204</f>
        <v>140.2453556839483</v>
      </c>
    </row>
    <row r="206" spans="1:25">
      <c r="A206">
        <v>205</v>
      </c>
      <c r="B206" s="1">
        <v>-1856.619995</v>
      </c>
      <c r="C206" s="1">
        <v>1778.669922</v>
      </c>
      <c r="D206" s="1">
        <v>18.34</v>
      </c>
      <c r="E206" s="1">
        <v>-469.63998400000003</v>
      </c>
      <c r="F206" s="1">
        <v>-2251.5200199999999</v>
      </c>
      <c r="G206" s="1">
        <v>7.92</v>
      </c>
      <c r="H206" s="1">
        <v>0</v>
      </c>
      <c r="I206" s="1">
        <v>0</v>
      </c>
      <c r="J206" s="1">
        <v>2.0525000000000002</v>
      </c>
      <c r="K206" s="1">
        <v>-6.4390000000000003E-3</v>
      </c>
      <c r="L206" s="1">
        <v>-5.5970000000000004E-3</v>
      </c>
      <c r="M206" s="1">
        <v>0.75426499999999996</v>
      </c>
      <c r="N206" s="1">
        <v>-0.65651400000000004</v>
      </c>
      <c r="O206">
        <v>1</v>
      </c>
      <c r="P206">
        <v>0</v>
      </c>
      <c r="Q206">
        <v>1</v>
      </c>
      <c r="R206">
        <v>1</v>
      </c>
      <c r="S206">
        <v>1</v>
      </c>
      <c r="T206" s="1">
        <f>SQRT(POWER(Breakout[[#This Row],[angvel_X]],2) + POWER(Breakout[[#This Row],[angvel_Y]],2) + POWER(Breakout[[#This Row],[angvel_Z]],2))</f>
        <v>2.0525000000000002</v>
      </c>
      <c r="U206" s="1">
        <f>DEGREES(ASIN(MAX(-1,MIN(1,2 * (Breakout[[#This Row],[quart_W]]*Breakout[[#This Row],[quart_Y]] - Breakout[[#This Row],[quart_Z]]*Breakout[[#This Row],[quart_X]])))))</f>
        <v>0.97765337768912142</v>
      </c>
      <c r="V20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-172.07282920679717</v>
      </c>
      <c r="W20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89.999349891503286</v>
      </c>
      <c r="X206" s="1">
        <f>IF(Breakout[[#This Row],[Yaw]]&gt;V205,(360-ABS(Breakout[[#This Row],[Yaw]])-ABS(V205)),ABS(Breakout[[#This Row],[Yaw]]-V205))</f>
        <v>0.98000640122549498</v>
      </c>
      <c r="Y206" s="1">
        <f>Breakout[[#This Row],[Degree change]]+Y205</f>
        <v>141.2253620851738</v>
      </c>
    </row>
    <row r="207" spans="1:25">
      <c r="A207">
        <v>206</v>
      </c>
      <c r="B207" s="1">
        <v>-1860.5399170000001</v>
      </c>
      <c r="C207" s="1">
        <v>1759.839966</v>
      </c>
      <c r="D207" s="1">
        <v>18.34</v>
      </c>
      <c r="E207" s="1">
        <v>-431.05999800000001</v>
      </c>
      <c r="F207" s="1">
        <v>-2259.219971</v>
      </c>
      <c r="G207" s="1">
        <v>7.92</v>
      </c>
      <c r="H207" s="1">
        <v>0</v>
      </c>
      <c r="I207" s="1">
        <v>0</v>
      </c>
      <c r="J207" s="1">
        <v>2.0525000000000002</v>
      </c>
      <c r="K207" s="1">
        <v>-6.3899999999999998E-3</v>
      </c>
      <c r="L207" s="1">
        <v>-5.6509999999999998E-3</v>
      </c>
      <c r="M207" s="1">
        <v>0.74862399999999996</v>
      </c>
      <c r="N207" s="1">
        <v>-0.66293899999999994</v>
      </c>
      <c r="O207">
        <v>1</v>
      </c>
      <c r="P207">
        <v>0</v>
      </c>
      <c r="Q207">
        <v>1</v>
      </c>
      <c r="R207">
        <v>1</v>
      </c>
      <c r="S207">
        <v>1</v>
      </c>
      <c r="T207" s="1">
        <f>SQRT(POWER(Breakout[[#This Row],[angvel_X]],2) + POWER(Breakout[[#This Row],[angvel_Y]],2) + POWER(Breakout[[#This Row],[angvel_Z]],2))</f>
        <v>2.0525000000000002</v>
      </c>
      <c r="U207" s="1">
        <f>DEGREES(ASIN(MAX(-1,MIN(1,2 * (Breakout[[#This Row],[quart_W]]*Breakout[[#This Row],[quart_Y]] - Breakout[[#This Row],[quart_Z]]*Breakout[[#This Row],[quart_X]])))))</f>
        <v>0.97751062808271894</v>
      </c>
      <c r="V20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-173.05263859262584</v>
      </c>
      <c r="W20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89.999346046997545</v>
      </c>
      <c r="X207" s="1">
        <f>IF(Breakout[[#This Row],[Yaw]]&gt;V206,(360-ABS(Breakout[[#This Row],[Yaw]])-ABS(V206)),ABS(Breakout[[#This Row],[Yaw]]-V206))</f>
        <v>0.97980938582867338</v>
      </c>
      <c r="Y207" s="1">
        <f>Breakout[[#This Row],[Degree change]]+Y206</f>
        <v>142.20517147100247</v>
      </c>
    </row>
    <row r="208" spans="1:25">
      <c r="A208">
        <v>207</v>
      </c>
      <c r="B208" s="1">
        <v>-1864.1400149999999</v>
      </c>
      <c r="C208" s="1">
        <v>1740.9399410000001</v>
      </c>
      <c r="D208" s="1">
        <v>18.34</v>
      </c>
      <c r="E208" s="1">
        <v>-392.35998499999999</v>
      </c>
      <c r="F208" s="1">
        <v>-2266.2700199999999</v>
      </c>
      <c r="G208" s="1">
        <v>7.92</v>
      </c>
      <c r="H208" s="1">
        <v>0</v>
      </c>
      <c r="I208" s="1">
        <v>0</v>
      </c>
      <c r="J208" s="1">
        <v>2.0525000000000002</v>
      </c>
      <c r="K208" s="1">
        <v>-6.3420000000000004E-3</v>
      </c>
      <c r="L208" s="1">
        <v>-5.705E-3</v>
      </c>
      <c r="M208" s="1">
        <v>0.74292899999999995</v>
      </c>
      <c r="N208" s="1">
        <v>-0.66931600000000002</v>
      </c>
      <c r="O208">
        <v>1</v>
      </c>
      <c r="P208">
        <v>0</v>
      </c>
      <c r="Q208">
        <v>1</v>
      </c>
      <c r="R208">
        <v>1</v>
      </c>
      <c r="S208">
        <v>1</v>
      </c>
      <c r="T208" s="1">
        <f>SQRT(POWER(Breakout[[#This Row],[angvel_X]],2) + POWER(Breakout[[#This Row],[angvel_Y]],2) + POWER(Breakout[[#This Row],[angvel_Z]],2))</f>
        <v>2.0525000000000002</v>
      </c>
      <c r="U208" s="1">
        <f>DEGREES(ASIN(MAX(-1,MIN(1,2 * (Breakout[[#This Row],[quart_W]]*Breakout[[#This Row],[quart_Y]] - Breakout[[#This Row],[quart_Z]]*Breakout[[#This Row],[quart_X]])))))</f>
        <v>0.9775252806313891</v>
      </c>
      <c r="V20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-174.03233402061738</v>
      </c>
      <c r="W20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89.999267409583368</v>
      </c>
      <c r="X208" s="1">
        <f>IF(Breakout[[#This Row],[Yaw]]&gt;V207,(360-ABS(Breakout[[#This Row],[Yaw]])-ABS(V207)),ABS(Breakout[[#This Row],[Yaw]]-V207))</f>
        <v>0.97969542799154397</v>
      </c>
      <c r="Y208" s="1">
        <f>Breakout[[#This Row],[Degree change]]+Y207</f>
        <v>143.18486689899402</v>
      </c>
    </row>
    <row r="209" spans="1:25">
      <c r="A209">
        <v>208</v>
      </c>
      <c r="B209" s="1">
        <v>-1867.419922</v>
      </c>
      <c r="C209" s="1">
        <v>1721.98999</v>
      </c>
      <c r="D209" s="1">
        <v>18.34</v>
      </c>
      <c r="E209" s="1">
        <v>-353.53997800000002</v>
      </c>
      <c r="F209" s="1">
        <v>-2272.6499020000001</v>
      </c>
      <c r="G209" s="1">
        <v>7.92</v>
      </c>
      <c r="H209" s="1">
        <v>0</v>
      </c>
      <c r="I209" s="1">
        <v>0</v>
      </c>
      <c r="J209" s="1">
        <v>2.0525000000000002</v>
      </c>
      <c r="K209" s="1">
        <v>-6.293E-3</v>
      </c>
      <c r="L209" s="1">
        <v>-5.7590000000000002E-3</v>
      </c>
      <c r="M209" s="1">
        <v>0.737178</v>
      </c>
      <c r="N209" s="1">
        <v>-0.67564400000000002</v>
      </c>
      <c r="O209">
        <v>1</v>
      </c>
      <c r="P209">
        <v>0</v>
      </c>
      <c r="Q209">
        <v>1</v>
      </c>
      <c r="R209">
        <v>1</v>
      </c>
      <c r="S209">
        <v>1</v>
      </c>
      <c r="T209" s="1">
        <f>SQRT(POWER(Breakout[[#This Row],[angvel_X]],2) + POWER(Breakout[[#This Row],[angvel_Y]],2) + POWER(Breakout[[#This Row],[angvel_Z]],2))</f>
        <v>2.0525000000000002</v>
      </c>
      <c r="U209" s="1">
        <f>DEGREES(ASIN(MAX(-1,MIN(1,2 * (Breakout[[#This Row],[quart_W]]*Breakout[[#This Row],[quart_Y]] - Breakout[[#This Row],[quart_Z]]*Breakout[[#This Row],[quart_X]])))))</f>
        <v>0.97752430096016552</v>
      </c>
      <c r="V20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-175.01229963605269</v>
      </c>
      <c r="W20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89.999264262097384</v>
      </c>
      <c r="X209" s="1">
        <f>IF(Breakout[[#This Row],[Yaw]]&gt;V208,(360-ABS(Breakout[[#This Row],[Yaw]])-ABS(V208)),ABS(Breakout[[#This Row],[Yaw]]-V208))</f>
        <v>0.97996561543530447</v>
      </c>
      <c r="Y209" s="1">
        <f>Breakout[[#This Row],[Degree change]]+Y208</f>
        <v>144.16483251442932</v>
      </c>
    </row>
    <row r="210" spans="1:25">
      <c r="A210">
        <v>209</v>
      </c>
      <c r="B210" s="1">
        <v>-1870.369995</v>
      </c>
      <c r="C210" s="1">
        <v>1702.9799800000001</v>
      </c>
      <c r="D210" s="1">
        <v>18.34</v>
      </c>
      <c r="E210" s="1">
        <v>-314.61999500000002</v>
      </c>
      <c r="F210" s="1">
        <v>-2278.3598630000001</v>
      </c>
      <c r="G210" s="1">
        <v>7.92</v>
      </c>
      <c r="H210" s="1">
        <v>0</v>
      </c>
      <c r="I210" s="1">
        <v>0</v>
      </c>
      <c r="J210" s="1">
        <v>2.0525000000000002</v>
      </c>
      <c r="K210" s="1">
        <v>-6.2449999999999997E-3</v>
      </c>
      <c r="L210" s="1">
        <v>-5.8129999999999996E-3</v>
      </c>
      <c r="M210" s="1">
        <v>0.73137300000000005</v>
      </c>
      <c r="N210" s="1">
        <v>-0.68192399999999997</v>
      </c>
      <c r="O210">
        <v>1</v>
      </c>
      <c r="P210">
        <v>0</v>
      </c>
      <c r="Q210">
        <v>1</v>
      </c>
      <c r="R210">
        <v>1</v>
      </c>
      <c r="S210">
        <v>1</v>
      </c>
      <c r="T210" s="1">
        <f>SQRT(POWER(Breakout[[#This Row],[angvel_X]],2) + POWER(Breakout[[#This Row],[angvel_Y]],2) + POWER(Breakout[[#This Row],[angvel_Z]],2))</f>
        <v>2.0525000000000002</v>
      </c>
      <c r="U210" s="1">
        <f>DEGREES(ASIN(MAX(-1,MIN(1,2 * (Breakout[[#This Row],[quart_W]]*Breakout[[#This Row],[quart_Y]] - Breakout[[#This Row],[quart_Z]]*Breakout[[#This Row],[quart_X]])))))</f>
        <v>0.9776794400621166</v>
      </c>
      <c r="V21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-175.99228960475287</v>
      </c>
      <c r="W21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89.999181223691807</v>
      </c>
      <c r="X210" s="1">
        <f>IF(Breakout[[#This Row],[Yaw]]&gt;V209,(360-ABS(Breakout[[#This Row],[Yaw]])-ABS(V209)),ABS(Breakout[[#This Row],[Yaw]]-V209))</f>
        <v>0.97998996870018118</v>
      </c>
      <c r="Y210" s="1">
        <f>Breakout[[#This Row],[Degree change]]+Y209</f>
        <v>145.1448224831295</v>
      </c>
    </row>
    <row r="211" spans="1:25">
      <c r="A211">
        <v>210</v>
      </c>
      <c r="B211" s="1">
        <v>-1873</v>
      </c>
      <c r="C211" s="1">
        <v>1683.919922</v>
      </c>
      <c r="D211" s="1">
        <v>18.34</v>
      </c>
      <c r="E211" s="1">
        <v>-275.60998499999999</v>
      </c>
      <c r="F211" s="1">
        <v>-2283.4099120000001</v>
      </c>
      <c r="G211" s="1">
        <v>7.92</v>
      </c>
      <c r="H211" s="1">
        <v>0</v>
      </c>
      <c r="I211" s="1">
        <v>0</v>
      </c>
      <c r="J211" s="1">
        <v>2.0525000000000002</v>
      </c>
      <c r="K211" s="1">
        <v>-6.1960000000000001E-3</v>
      </c>
      <c r="L211" s="1">
        <v>-5.8669999999999998E-3</v>
      </c>
      <c r="M211" s="1">
        <v>0.72551399999999999</v>
      </c>
      <c r="N211" s="1">
        <v>-0.68815499999999996</v>
      </c>
      <c r="O211">
        <v>1</v>
      </c>
      <c r="P211">
        <v>0</v>
      </c>
      <c r="Q211">
        <v>1</v>
      </c>
      <c r="R211">
        <v>1</v>
      </c>
      <c r="S211">
        <v>1</v>
      </c>
      <c r="T211" s="1">
        <f>SQRT(POWER(Breakout[[#This Row],[angvel_X]],2) + POWER(Breakout[[#This Row],[angvel_Y]],2) + POWER(Breakout[[#This Row],[angvel_Z]],2))</f>
        <v>2.0525000000000002</v>
      </c>
      <c r="U211" s="1">
        <f>DEGREES(ASIN(MAX(-1,MIN(1,2 * (Breakout[[#This Row],[quart_W]]*Breakout[[#This Row],[quart_Y]] - Breakout[[#This Row],[quart_Z]]*Breakout[[#This Row],[quart_X]])))))</f>
        <v>0.97782172986740279</v>
      </c>
      <c r="V21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-176.97236416299683</v>
      </c>
      <c r="W21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89.999172787229426</v>
      </c>
      <c r="X211" s="1">
        <f>IF(Breakout[[#This Row],[Yaw]]&gt;V210,(360-ABS(Breakout[[#This Row],[Yaw]])-ABS(V210)),ABS(Breakout[[#This Row],[Yaw]]-V210))</f>
        <v>0.98007455824395606</v>
      </c>
      <c r="Y211" s="1">
        <f>Breakout[[#This Row],[Degree change]]+Y210</f>
        <v>146.12489704137346</v>
      </c>
    </row>
    <row r="212" spans="1:25">
      <c r="A212">
        <v>211</v>
      </c>
      <c r="B212" s="1">
        <v>-1875.299927</v>
      </c>
      <c r="C212" s="1">
        <v>1664.8199460000001</v>
      </c>
      <c r="D212" s="1">
        <v>18.34</v>
      </c>
      <c r="E212" s="1">
        <v>-236.509995</v>
      </c>
      <c r="F212" s="1">
        <v>-2287.790039</v>
      </c>
      <c r="G212" s="1">
        <v>7.92</v>
      </c>
      <c r="H212" s="1">
        <v>0</v>
      </c>
      <c r="I212" s="1">
        <v>0</v>
      </c>
      <c r="J212" s="1">
        <v>2.0525000000000002</v>
      </c>
      <c r="K212" s="1">
        <v>-6.1469999999999997E-3</v>
      </c>
      <c r="L212" s="1">
        <v>-5.921E-3</v>
      </c>
      <c r="M212" s="1">
        <v>0.71960400000000002</v>
      </c>
      <c r="N212" s="1">
        <v>-0.69433199999999995</v>
      </c>
      <c r="O212">
        <v>1</v>
      </c>
      <c r="P212">
        <v>0</v>
      </c>
      <c r="Q212">
        <v>1</v>
      </c>
      <c r="R212">
        <v>1</v>
      </c>
      <c r="S212">
        <v>1</v>
      </c>
      <c r="T212" s="1">
        <f>SQRT(POWER(Breakout[[#This Row],[angvel_X]],2) + POWER(Breakout[[#This Row],[angvel_Y]],2) + POWER(Breakout[[#This Row],[angvel_Z]],2))</f>
        <v>2.0525000000000002</v>
      </c>
      <c r="U212" s="1">
        <f>DEGREES(ASIN(MAX(-1,MIN(1,2 * (Breakout[[#This Row],[quart_W]]*Breakout[[#This Row],[quart_Y]] - Breakout[[#This Row],[quart_Z]]*Breakout[[#This Row],[quart_X]])))))</f>
        <v>0.97803437757174527</v>
      </c>
      <c r="V21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-177.95208967851087</v>
      </c>
      <c r="W21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89.999165248475038</v>
      </c>
      <c r="X212" s="1">
        <f>IF(Breakout[[#This Row],[Yaw]]&gt;V211,(360-ABS(Breakout[[#This Row],[Yaw]])-ABS(V211)),ABS(Breakout[[#This Row],[Yaw]]-V211))</f>
        <v>0.97972551551404763</v>
      </c>
      <c r="Y212" s="1">
        <f>Breakout[[#This Row],[Degree change]]+Y211</f>
        <v>147.10462255688751</v>
      </c>
    </row>
    <row r="213" spans="1:25">
      <c r="A213">
        <v>212</v>
      </c>
      <c r="B213" s="1">
        <v>-1877.2698969999999</v>
      </c>
      <c r="C213" s="1">
        <v>1645.6899410000001</v>
      </c>
      <c r="D213" s="1">
        <v>18.34</v>
      </c>
      <c r="E213" s="1">
        <v>-197.34999099999999</v>
      </c>
      <c r="F213" s="1">
        <v>-2291.5</v>
      </c>
      <c r="G213" s="1">
        <v>7.92</v>
      </c>
      <c r="H213" s="1">
        <v>0</v>
      </c>
      <c r="I213" s="1">
        <v>0</v>
      </c>
      <c r="J213" s="1">
        <v>2.0525000000000002</v>
      </c>
      <c r="K213" s="1">
        <v>-6.0990000000000003E-3</v>
      </c>
      <c r="L213" s="1">
        <v>-5.9750000000000003E-3</v>
      </c>
      <c r="M213" s="1">
        <v>0.71364000000000005</v>
      </c>
      <c r="N213" s="1">
        <v>-0.70045999999999997</v>
      </c>
      <c r="O213">
        <v>1</v>
      </c>
      <c r="P213">
        <v>0</v>
      </c>
      <c r="Q213">
        <v>1</v>
      </c>
      <c r="R213">
        <v>1</v>
      </c>
      <c r="S213">
        <v>1</v>
      </c>
      <c r="T213" s="1">
        <f>SQRT(POWER(Breakout[[#This Row],[angvel_X]],2) + POWER(Breakout[[#This Row],[angvel_Y]],2) + POWER(Breakout[[#This Row],[angvel_Z]],2))</f>
        <v>2.0525000000000002</v>
      </c>
      <c r="U213" s="1">
        <f>DEGREES(ASIN(MAX(-1,MIN(1,2 * (Breakout[[#This Row],[quart_W]]*Breakout[[#This Row],[quart_Y]] - Breakout[[#This Row],[quart_Z]]*Breakout[[#This Row],[quart_X]])))))</f>
        <v>0.97840035613565735</v>
      </c>
      <c r="V21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-178.93204602804298</v>
      </c>
      <c r="W21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89.999070923486741</v>
      </c>
      <c r="X213" s="1">
        <f>IF(Breakout[[#This Row],[Yaw]]&gt;V212,(360-ABS(Breakout[[#This Row],[Yaw]])-ABS(V212)),ABS(Breakout[[#This Row],[Yaw]]-V212))</f>
        <v>0.97995634953210242</v>
      </c>
      <c r="Y213" s="1">
        <f>Breakout[[#This Row],[Degree change]]+Y212</f>
        <v>148.08457890641961</v>
      </c>
    </row>
    <row r="214" spans="1:25">
      <c r="A214">
        <v>213</v>
      </c>
      <c r="B214" s="1">
        <v>-1878.919922</v>
      </c>
      <c r="C214" s="1">
        <v>1626.5299070000001</v>
      </c>
      <c r="D214" s="1">
        <v>18.34</v>
      </c>
      <c r="E214" s="1">
        <v>-158.12998999999999</v>
      </c>
      <c r="F214" s="1">
        <v>-2294.540039</v>
      </c>
      <c r="G214" s="1">
        <v>7.92</v>
      </c>
      <c r="H214" s="1">
        <v>0</v>
      </c>
      <c r="I214" s="1">
        <v>0</v>
      </c>
      <c r="J214" s="1">
        <v>2.0525000000000002</v>
      </c>
      <c r="K214" s="1">
        <v>-6.045E-3</v>
      </c>
      <c r="L214" s="1">
        <v>-6.0289999999999996E-3</v>
      </c>
      <c r="M214" s="1">
        <v>0.70762100000000006</v>
      </c>
      <c r="N214" s="1">
        <v>-0.70653999999999995</v>
      </c>
      <c r="O214">
        <v>1</v>
      </c>
      <c r="P214">
        <v>0</v>
      </c>
      <c r="Q214">
        <v>1</v>
      </c>
      <c r="R214">
        <v>1</v>
      </c>
      <c r="S214">
        <v>1</v>
      </c>
      <c r="T214" s="1">
        <f>SQRT(POWER(Breakout[[#This Row],[angvel_X]],2) + POWER(Breakout[[#This Row],[angvel_Y]],2) + POWER(Breakout[[#This Row],[angvel_Z]],2))</f>
        <v>2.0525000000000002</v>
      </c>
      <c r="U214" s="1">
        <f>DEGREES(ASIN(MAX(-1,MIN(1,2 * (Breakout[[#This Row],[quart_W]]*Breakout[[#This Row],[quart_Y]] - Breakout[[#This Row],[quart_Z]]*Breakout[[#This Row],[quart_X]])))))</f>
        <v>0.97834989927277849</v>
      </c>
      <c r="V21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-179.91245883224957</v>
      </c>
      <c r="W21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89.999451336875751</v>
      </c>
      <c r="X214" s="1">
        <f>IF(Breakout[[#This Row],[Yaw]]&gt;V213,(360-ABS(Breakout[[#This Row],[Yaw]])-ABS(V213)),ABS(Breakout[[#This Row],[Yaw]]-V213))</f>
        <v>0.98041280420659405</v>
      </c>
      <c r="Y214" s="1">
        <f>Breakout[[#This Row],[Degree change]]+Y213</f>
        <v>149.0649917106262</v>
      </c>
    </row>
    <row r="215" spans="1:25">
      <c r="A215">
        <v>214</v>
      </c>
      <c r="B215" s="1">
        <v>-1880.23999</v>
      </c>
      <c r="C215" s="1">
        <v>1607.339966</v>
      </c>
      <c r="D215" s="1">
        <v>18.34</v>
      </c>
      <c r="E215" s="1">
        <v>-118.860001</v>
      </c>
      <c r="F215" s="1">
        <v>-2296.9099120000001</v>
      </c>
      <c r="G215" s="1">
        <v>7.92</v>
      </c>
      <c r="H215" s="1">
        <v>0</v>
      </c>
      <c r="I215" s="1">
        <v>0</v>
      </c>
      <c r="J215" s="1">
        <v>2.0525000000000002</v>
      </c>
      <c r="K215" s="1">
        <v>5.9909999999999998E-3</v>
      </c>
      <c r="L215" s="1">
        <v>6.0829999999999999E-3</v>
      </c>
      <c r="M215" s="1">
        <v>-0.70155500000000004</v>
      </c>
      <c r="N215" s="1">
        <v>0.71256399999999998</v>
      </c>
      <c r="O215">
        <v>1</v>
      </c>
      <c r="P215">
        <v>0</v>
      </c>
      <c r="Q215">
        <v>1</v>
      </c>
      <c r="R215">
        <v>1</v>
      </c>
      <c r="S215">
        <v>1</v>
      </c>
      <c r="T215" s="1">
        <f>SQRT(POWER(Breakout[[#This Row],[angvel_X]],2) + POWER(Breakout[[#This Row],[angvel_Y]],2) + POWER(Breakout[[#This Row],[angvel_Z]],2))</f>
        <v>2.0525000000000002</v>
      </c>
      <c r="U215" s="1">
        <f>DEGREES(ASIN(MAX(-1,MIN(1,2 * (Breakout[[#This Row],[quart_W]]*Breakout[[#This Row],[quart_Y]] - Breakout[[#This Row],[quart_Z]]*Breakout[[#This Row],[quart_X]])))))</f>
        <v>0.97837788798694636</v>
      </c>
      <c r="V21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179.10790123509381</v>
      </c>
      <c r="W21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89.999838189285697</v>
      </c>
      <c r="X215" s="1">
        <f>IF(Breakout[[#This Row],[Yaw]]&gt;V214,(360-ABS(Breakout[[#This Row],[Yaw]])-ABS(V214)),ABS(Breakout[[#This Row],[Yaw]]-V214))</f>
        <v>0.97963993265662452</v>
      </c>
      <c r="Y215" s="1">
        <f>Breakout[[#This Row],[Degree change]]+Y214</f>
        <v>150.04463164328283</v>
      </c>
    </row>
    <row r="216" spans="1:25">
      <c r="A216">
        <v>215</v>
      </c>
      <c r="B216" s="1">
        <v>-1881.2299800000001</v>
      </c>
      <c r="C216" s="1">
        <v>1588.130005</v>
      </c>
      <c r="D216" s="1">
        <v>18.34</v>
      </c>
      <c r="E216" s="1">
        <v>-79.559997999999993</v>
      </c>
      <c r="F216" s="1">
        <v>-2298.5998540000001</v>
      </c>
      <c r="G216" s="1">
        <v>7.92</v>
      </c>
      <c r="H216" s="1">
        <v>0</v>
      </c>
      <c r="I216" s="1">
        <v>0</v>
      </c>
      <c r="J216" s="1">
        <v>2.0525000000000002</v>
      </c>
      <c r="K216" s="1">
        <v>5.9369999999999996E-3</v>
      </c>
      <c r="L216" s="1">
        <v>6.1310000000000002E-3</v>
      </c>
      <c r="M216" s="1">
        <v>-0.695438</v>
      </c>
      <c r="N216" s="1">
        <v>0.71853599999999995</v>
      </c>
      <c r="O216">
        <v>1</v>
      </c>
      <c r="P216">
        <v>0</v>
      </c>
      <c r="Q216">
        <v>1</v>
      </c>
      <c r="R216">
        <v>1</v>
      </c>
      <c r="S216">
        <v>1</v>
      </c>
      <c r="T216" s="1">
        <f>SQRT(POWER(Breakout[[#This Row],[angvel_X]],2) + POWER(Breakout[[#This Row],[angvel_Y]],2) + POWER(Breakout[[#This Row],[angvel_Z]],2))</f>
        <v>2.0525000000000002</v>
      </c>
      <c r="U216" s="1">
        <f>DEGREES(ASIN(MAX(-1,MIN(1,2 * (Breakout[[#This Row],[quart_W]]*Breakout[[#This Row],[quart_Y]] - Breakout[[#This Row],[quart_Z]]*Breakout[[#This Row],[quart_X]])))))</f>
        <v>0.97799014589092437</v>
      </c>
      <c r="V21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178.12829931788997</v>
      </c>
      <c r="W21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89.999745815624323</v>
      </c>
      <c r="X216" s="1">
        <f>IF(Breakout[[#This Row],[Yaw]]&gt;V215,(360-ABS(Breakout[[#This Row],[Yaw]])-ABS(V215)),ABS(Breakout[[#This Row],[Yaw]]-V215))</f>
        <v>0.97960191720383705</v>
      </c>
      <c r="Y216" s="1">
        <f>Breakout[[#This Row],[Degree change]]+Y215</f>
        <v>151.02423356048666</v>
      </c>
    </row>
    <row r="217" spans="1:25">
      <c r="A217">
        <v>216</v>
      </c>
      <c r="B217" s="1">
        <v>-1881.8900149999999</v>
      </c>
      <c r="C217" s="1">
        <v>1568.9099120000001</v>
      </c>
      <c r="D217" s="1">
        <v>18.34</v>
      </c>
      <c r="E217" s="1">
        <v>-40.239998</v>
      </c>
      <c r="F217" s="1">
        <v>-2299.6298830000001</v>
      </c>
      <c r="G217" s="1">
        <v>7.92</v>
      </c>
      <c r="H217" s="1">
        <v>0</v>
      </c>
      <c r="I217" s="1">
        <v>0</v>
      </c>
      <c r="J217" s="1">
        <v>2.0525000000000002</v>
      </c>
      <c r="K217" s="1">
        <v>5.8830000000000002E-3</v>
      </c>
      <c r="L217" s="1">
        <v>6.1799999999999997E-3</v>
      </c>
      <c r="M217" s="1">
        <v>-0.68926600000000005</v>
      </c>
      <c r="N217" s="1">
        <v>0.72445800000000005</v>
      </c>
      <c r="O217">
        <v>1</v>
      </c>
      <c r="P217">
        <v>0</v>
      </c>
      <c r="Q217">
        <v>1</v>
      </c>
      <c r="R217">
        <v>1</v>
      </c>
      <c r="S217">
        <v>1</v>
      </c>
      <c r="T217" s="1">
        <f>SQRT(POWER(Breakout[[#This Row],[angvel_X]],2) + POWER(Breakout[[#This Row],[angvel_Y]],2) + POWER(Breakout[[#This Row],[angvel_Z]],2))</f>
        <v>2.0525000000000002</v>
      </c>
      <c r="U217" s="1">
        <f>DEGREES(ASIN(MAX(-1,MIN(1,2 * (Breakout[[#This Row],[quart_W]]*Breakout[[#This Row],[quart_Y]] - Breakout[[#This Row],[quart_Z]]*Breakout[[#This Row],[quart_X]])))))</f>
        <v>0.97775436187876597</v>
      </c>
      <c r="V21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177.14803477393252</v>
      </c>
      <c r="W21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89.999733818450906</v>
      </c>
      <c r="X217" s="1">
        <f>IF(Breakout[[#This Row],[Yaw]]&gt;V216,(360-ABS(Breakout[[#This Row],[Yaw]])-ABS(V216)),ABS(Breakout[[#This Row],[Yaw]]-V216))</f>
        <v>0.98026454395744622</v>
      </c>
      <c r="Y217" s="1">
        <f>Breakout[[#This Row],[Degree change]]+Y216</f>
        <v>152.00449810444411</v>
      </c>
    </row>
    <row r="218" spans="1:25">
      <c r="A218">
        <v>217</v>
      </c>
      <c r="B218" s="1">
        <v>-1882.219971</v>
      </c>
      <c r="C218" s="1">
        <v>1549.679932</v>
      </c>
      <c r="D218" s="1">
        <v>18.34</v>
      </c>
      <c r="E218" s="1">
        <v>-0.9</v>
      </c>
      <c r="F218" s="1">
        <v>-2299.9799800000001</v>
      </c>
      <c r="G218" s="1">
        <v>7.92</v>
      </c>
      <c r="H218" s="1">
        <v>0</v>
      </c>
      <c r="I218" s="1">
        <v>0</v>
      </c>
      <c r="J218" s="1">
        <v>2.0525000000000002</v>
      </c>
      <c r="K218" s="1">
        <v>5.829E-3</v>
      </c>
      <c r="L218" s="1">
        <v>6.228E-3</v>
      </c>
      <c r="M218" s="1">
        <v>-0.68304600000000004</v>
      </c>
      <c r="N218" s="1">
        <v>0.73032600000000003</v>
      </c>
      <c r="O218">
        <v>1</v>
      </c>
      <c r="P218">
        <v>0</v>
      </c>
      <c r="Q218">
        <v>1</v>
      </c>
      <c r="R218">
        <v>1</v>
      </c>
      <c r="S218">
        <v>1</v>
      </c>
      <c r="T218" s="1">
        <f>SQRT(POWER(Breakout[[#This Row],[angvel_X]],2) + POWER(Breakout[[#This Row],[angvel_Y]],2) + POWER(Breakout[[#This Row],[angvel_Z]],2))</f>
        <v>2.0525000000000002</v>
      </c>
      <c r="U218" s="1">
        <f>DEGREES(ASIN(MAX(-1,MIN(1,2 * (Breakout[[#This Row],[quart_W]]*Breakout[[#This Row],[quart_Y]] - Breakout[[#This Row],[quart_Z]]*Breakout[[#This Row],[quart_X]])))))</f>
        <v>0.97750716840383622</v>
      </c>
      <c r="V21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176.16815710629331</v>
      </c>
      <c r="W21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89.999649325610008</v>
      </c>
      <c r="X218" s="1">
        <f>IF(Breakout[[#This Row],[Yaw]]&gt;V217,(360-ABS(Breakout[[#This Row],[Yaw]])-ABS(V217)),ABS(Breakout[[#This Row],[Yaw]]-V217))</f>
        <v>0.97987766763921513</v>
      </c>
      <c r="Y218" s="1">
        <f>Breakout[[#This Row],[Degree change]]+Y217</f>
        <v>152.98437577208333</v>
      </c>
    </row>
    <row r="219" spans="1:25">
      <c r="A219">
        <v>218</v>
      </c>
      <c r="B219" s="1">
        <v>-1882.219971</v>
      </c>
      <c r="C219" s="1">
        <v>1530.4399410000001</v>
      </c>
      <c r="D219" s="1">
        <v>18.34</v>
      </c>
      <c r="E219" s="1">
        <v>38.43</v>
      </c>
      <c r="F219" s="1">
        <v>-2299.6599120000001</v>
      </c>
      <c r="G219" s="1">
        <v>7.92</v>
      </c>
      <c r="H219" s="1">
        <v>0</v>
      </c>
      <c r="I219" s="1">
        <v>0</v>
      </c>
      <c r="J219" s="1">
        <v>2.0525000000000002</v>
      </c>
      <c r="K219" s="1">
        <v>5.7749999999999998E-3</v>
      </c>
      <c r="L219" s="1">
        <v>6.2769999999999996E-3</v>
      </c>
      <c r="M219" s="1">
        <v>-0.67677699999999996</v>
      </c>
      <c r="N219" s="1">
        <v>0.73613899999999999</v>
      </c>
      <c r="O219">
        <v>1</v>
      </c>
      <c r="P219">
        <v>0</v>
      </c>
      <c r="Q219">
        <v>1</v>
      </c>
      <c r="R219">
        <v>1</v>
      </c>
      <c r="S219">
        <v>1</v>
      </c>
      <c r="T219" s="1">
        <f>SQRT(POWER(Breakout[[#This Row],[angvel_X]],2) + POWER(Breakout[[#This Row],[angvel_Y]],2) + POWER(Breakout[[#This Row],[angvel_Z]],2))</f>
        <v>2.0525000000000002</v>
      </c>
      <c r="U219" s="1">
        <f>DEGREES(ASIN(MAX(-1,MIN(1,2 * (Breakout[[#This Row],[quart_W]]*Breakout[[#This Row],[quart_Y]] - Breakout[[#This Row],[quart_Z]]*Breakout[[#This Row],[quart_X]])))))</f>
        <v>0.9774139020547592</v>
      </c>
      <c r="V21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175.18842526542466</v>
      </c>
      <c r="W21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89.999647752048674</v>
      </c>
      <c r="X219" s="1">
        <f>IF(Breakout[[#This Row],[Yaw]]&gt;V218,(360-ABS(Breakout[[#This Row],[Yaw]])-ABS(V218)),ABS(Breakout[[#This Row],[Yaw]]-V218))</f>
        <v>0.97973184086865217</v>
      </c>
      <c r="Y219" s="1">
        <f>Breakout[[#This Row],[Degree change]]+Y218</f>
        <v>153.96410761295198</v>
      </c>
    </row>
    <row r="220" spans="1:25">
      <c r="A220">
        <v>219</v>
      </c>
      <c r="B220" s="1">
        <v>-1881.8900149999999</v>
      </c>
      <c r="C220" s="1">
        <v>1511.209961</v>
      </c>
      <c r="D220" s="1">
        <v>18.34</v>
      </c>
      <c r="E220" s="1">
        <v>77.739998</v>
      </c>
      <c r="F220" s="1">
        <v>-2298.669922</v>
      </c>
      <c r="G220" s="1">
        <v>7.92</v>
      </c>
      <c r="H220" s="1">
        <v>0</v>
      </c>
      <c r="I220" s="1">
        <v>0</v>
      </c>
      <c r="J220" s="1">
        <v>2.0525000000000002</v>
      </c>
      <c r="K220" s="1">
        <v>5.7210000000000004E-3</v>
      </c>
      <c r="L220" s="1">
        <v>6.3249999999999999E-3</v>
      </c>
      <c r="M220" s="1">
        <v>-0.67045399999999999</v>
      </c>
      <c r="N220" s="1">
        <v>0.74190199999999995</v>
      </c>
      <c r="O220">
        <v>1</v>
      </c>
      <c r="P220">
        <v>0</v>
      </c>
      <c r="Q220">
        <v>1</v>
      </c>
      <c r="R220">
        <v>1</v>
      </c>
      <c r="S220">
        <v>1</v>
      </c>
      <c r="T220" s="1">
        <f>SQRT(POWER(Breakout[[#This Row],[angvel_X]],2) + POWER(Breakout[[#This Row],[angvel_Y]],2) + POWER(Breakout[[#This Row],[angvel_Z]],2))</f>
        <v>2.0525000000000002</v>
      </c>
      <c r="U220" s="1">
        <f>DEGREES(ASIN(MAX(-1,MIN(1,2 * (Breakout[[#This Row],[quart_W]]*Breakout[[#This Row],[quart_Y]] - Breakout[[#This Row],[quart_Z]]*Breakout[[#This Row],[quart_X]])))))</f>
        <v>0.97730683573112731</v>
      </c>
      <c r="V22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174.20799058979199</v>
      </c>
      <c r="W22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89.999564512559999</v>
      </c>
      <c r="X220" s="1">
        <f>IF(Breakout[[#This Row],[Yaw]]&gt;V219,(360-ABS(Breakout[[#This Row],[Yaw]])-ABS(V219)),ABS(Breakout[[#This Row],[Yaw]]-V219))</f>
        <v>0.98043467563266518</v>
      </c>
      <c r="Y220" s="1">
        <f>Breakout[[#This Row],[Degree change]]+Y219</f>
        <v>154.94454228858464</v>
      </c>
    </row>
    <row r="221" spans="1:25">
      <c r="A221">
        <v>220</v>
      </c>
      <c r="B221" s="1">
        <v>-1881.23999</v>
      </c>
      <c r="C221" s="1">
        <v>1491.98999</v>
      </c>
      <c r="D221" s="1">
        <v>18.34</v>
      </c>
      <c r="E221" s="1">
        <v>117.040001</v>
      </c>
      <c r="F221" s="1">
        <v>-2297</v>
      </c>
      <c r="G221" s="1">
        <v>7.92</v>
      </c>
      <c r="H221" s="1">
        <v>0</v>
      </c>
      <c r="I221" s="1">
        <v>0</v>
      </c>
      <c r="J221" s="1">
        <v>2.0525000000000002</v>
      </c>
      <c r="K221" s="1">
        <v>5.6670000000000002E-3</v>
      </c>
      <c r="L221" s="1">
        <v>6.3740000000000003E-3</v>
      </c>
      <c r="M221" s="1">
        <v>-0.66408299999999998</v>
      </c>
      <c r="N221" s="1">
        <v>0.74761</v>
      </c>
      <c r="O221">
        <v>1</v>
      </c>
      <c r="P221">
        <v>0</v>
      </c>
      <c r="Q221">
        <v>1</v>
      </c>
      <c r="R221">
        <v>1</v>
      </c>
      <c r="S221">
        <v>1</v>
      </c>
      <c r="T221" s="1">
        <f>SQRT(POWER(Breakout[[#This Row],[angvel_X]],2) + POWER(Breakout[[#This Row],[angvel_Y]],2) + POWER(Breakout[[#This Row],[angvel_Z]],2))</f>
        <v>2.0525000000000002</v>
      </c>
      <c r="U221" s="1">
        <f>DEGREES(ASIN(MAX(-1,MIN(1,2 * (Breakout[[#This Row],[quart_W]]*Breakout[[#This Row],[quart_Y]] - Breakout[[#This Row],[quart_Z]]*Breakout[[#This Row],[quart_X]])))))</f>
        <v>0.97735577539454066</v>
      </c>
      <c r="V22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173.22772468575451</v>
      </c>
      <c r="W22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89.999559809490194</v>
      </c>
      <c r="X221" s="1">
        <f>IF(Breakout[[#This Row],[Yaw]]&gt;V220,(360-ABS(Breakout[[#This Row],[Yaw]])-ABS(V220)),ABS(Breakout[[#This Row],[Yaw]]-V220))</f>
        <v>0.9802659040374806</v>
      </c>
      <c r="Y221" s="1">
        <f>Breakout[[#This Row],[Degree change]]+Y220</f>
        <v>155.92480819262212</v>
      </c>
    </row>
    <row r="222" spans="1:25">
      <c r="A222">
        <v>221</v>
      </c>
      <c r="B222" s="1">
        <v>-1880.26001</v>
      </c>
      <c r="C222" s="1">
        <v>1472.7799070000001</v>
      </c>
      <c r="D222" s="1">
        <v>18.34</v>
      </c>
      <c r="E222" s="1">
        <v>156.300003</v>
      </c>
      <c r="F222" s="1">
        <v>-2294.6599120000001</v>
      </c>
      <c r="G222" s="1">
        <v>7.92</v>
      </c>
      <c r="H222" s="1">
        <v>0</v>
      </c>
      <c r="I222" s="1">
        <v>0</v>
      </c>
      <c r="J222" s="1">
        <v>2.0525000000000002</v>
      </c>
      <c r="K222" s="1">
        <v>5.6129999999999999E-3</v>
      </c>
      <c r="L222" s="1">
        <v>6.4229999999999999E-3</v>
      </c>
      <c r="M222" s="1">
        <v>-0.657663</v>
      </c>
      <c r="N222" s="1">
        <v>0.75326400000000004</v>
      </c>
      <c r="O222">
        <v>1</v>
      </c>
      <c r="P222">
        <v>0</v>
      </c>
      <c r="Q222">
        <v>1</v>
      </c>
      <c r="R222">
        <v>1</v>
      </c>
      <c r="S222">
        <v>1</v>
      </c>
      <c r="T222" s="1">
        <f>SQRT(POWER(Breakout[[#This Row],[angvel_X]],2) + POWER(Breakout[[#This Row],[angvel_Y]],2) + POWER(Breakout[[#This Row],[angvel_Z]],2))</f>
        <v>2.0525000000000002</v>
      </c>
      <c r="U222" s="1">
        <f>DEGREES(ASIN(MAX(-1,MIN(1,2 * (Breakout[[#This Row],[quart_W]]*Breakout[[#This Row],[quart_Y]] - Breakout[[#This Row],[quart_Z]]*Breakout[[#This Row],[quart_X]])))))</f>
        <v>0.97747641087653037</v>
      </c>
      <c r="V22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172.24740122380405</v>
      </c>
      <c r="W22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89.999552869372607</v>
      </c>
      <c r="X222" s="1">
        <f>IF(Breakout[[#This Row],[Yaw]]&gt;V221,(360-ABS(Breakout[[#This Row],[Yaw]])-ABS(V221)),ABS(Breakout[[#This Row],[Yaw]]-V221))</f>
        <v>0.98032346195046216</v>
      </c>
      <c r="Y222" s="1">
        <f>Breakout[[#This Row],[Degree change]]+Y221</f>
        <v>156.90513165457259</v>
      </c>
    </row>
    <row r="223" spans="1:25">
      <c r="A223">
        <v>222</v>
      </c>
      <c r="B223" s="1">
        <v>-1878.9499510000001</v>
      </c>
      <c r="C223" s="1">
        <v>1453.589966</v>
      </c>
      <c r="D223" s="1">
        <v>18.34</v>
      </c>
      <c r="E223" s="1">
        <v>195.51998900000001</v>
      </c>
      <c r="F223" s="1">
        <v>-2291.6599120000001</v>
      </c>
      <c r="G223" s="1">
        <v>7.92</v>
      </c>
      <c r="H223" s="1">
        <v>0</v>
      </c>
      <c r="I223" s="1">
        <v>0</v>
      </c>
      <c r="J223" s="1">
        <v>2.0525000000000002</v>
      </c>
      <c r="K223" s="1">
        <v>5.5589999999999997E-3</v>
      </c>
      <c r="L223" s="1">
        <v>6.4710000000000002E-3</v>
      </c>
      <c r="M223" s="1">
        <v>-0.65119499999999997</v>
      </c>
      <c r="N223" s="1">
        <v>0.75886299999999995</v>
      </c>
      <c r="O223">
        <v>1</v>
      </c>
      <c r="P223">
        <v>0</v>
      </c>
      <c r="Q223">
        <v>1</v>
      </c>
      <c r="R223">
        <v>1</v>
      </c>
      <c r="S223">
        <v>1</v>
      </c>
      <c r="T223" s="1">
        <f>SQRT(POWER(Breakout[[#This Row],[angvel_X]],2) + POWER(Breakout[[#This Row],[angvel_Y]],2) + POWER(Breakout[[#This Row],[angvel_Z]],2))</f>
        <v>2.0525000000000002</v>
      </c>
      <c r="U223" s="1">
        <f>DEGREES(ASIN(MAX(-1,MIN(1,2 * (Breakout[[#This Row],[quart_W]]*Breakout[[#This Row],[quart_Y]] - Breakout[[#This Row],[quart_Z]]*Breakout[[#This Row],[quart_X]])))))</f>
        <v>0.97758166559310966</v>
      </c>
      <c r="V22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171.26710022329388</v>
      </c>
      <c r="W22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89.999468610640875</v>
      </c>
      <c r="X223" s="1">
        <f>IF(Breakout[[#This Row],[Yaw]]&gt;V222,(360-ABS(Breakout[[#This Row],[Yaw]])-ABS(V222)),ABS(Breakout[[#This Row],[Yaw]]-V222))</f>
        <v>0.98030100051016689</v>
      </c>
      <c r="Y223" s="1">
        <f>Breakout[[#This Row],[Degree change]]+Y222</f>
        <v>157.88543265508275</v>
      </c>
    </row>
    <row r="224" spans="1:25">
      <c r="A224">
        <v>223</v>
      </c>
      <c r="B224" s="1">
        <v>-1877.309937</v>
      </c>
      <c r="C224" s="1">
        <v>1434.419922</v>
      </c>
      <c r="D224" s="1">
        <v>18.34</v>
      </c>
      <c r="E224" s="1">
        <v>234.689987</v>
      </c>
      <c r="F224" s="1">
        <v>-2287.9799800000001</v>
      </c>
      <c r="G224" s="1">
        <v>7.92</v>
      </c>
      <c r="H224" s="1">
        <v>0</v>
      </c>
      <c r="I224" s="1">
        <v>0</v>
      </c>
      <c r="J224" s="1">
        <v>2.0525000000000002</v>
      </c>
      <c r="K224" s="1">
        <v>5.5050000000000003E-3</v>
      </c>
      <c r="L224" s="1">
        <v>6.5199999999999998E-3</v>
      </c>
      <c r="M224" s="1">
        <v>-0.64468300000000001</v>
      </c>
      <c r="N224" s="1">
        <v>0.76440200000000003</v>
      </c>
      <c r="O224">
        <v>1</v>
      </c>
      <c r="P224">
        <v>0</v>
      </c>
      <c r="Q224">
        <v>1</v>
      </c>
      <c r="R224">
        <v>1</v>
      </c>
      <c r="S224">
        <v>1</v>
      </c>
      <c r="T224" s="1">
        <f>SQRT(POWER(Breakout[[#This Row],[angvel_X]],2) + POWER(Breakout[[#This Row],[angvel_Y]],2) + POWER(Breakout[[#This Row],[angvel_Z]],2))</f>
        <v>2.0525000000000002</v>
      </c>
      <c r="U224" s="1">
        <f>DEGREES(ASIN(MAX(-1,MIN(1,2 * (Breakout[[#This Row],[quart_W]]*Breakout[[#This Row],[quart_Y]] - Breakout[[#This Row],[quart_Z]]*Breakout[[#This Row],[quart_X]])))))</f>
        <v>0.97784360010115179</v>
      </c>
      <c r="V22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170.28733327659103</v>
      </c>
      <c r="W22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89.9994613584185</v>
      </c>
      <c r="X224" s="1">
        <f>IF(Breakout[[#This Row],[Yaw]]&gt;V223,(360-ABS(Breakout[[#This Row],[Yaw]])-ABS(V223)),ABS(Breakout[[#This Row],[Yaw]]-V223))</f>
        <v>0.97976694670285269</v>
      </c>
      <c r="Y224" s="1">
        <f>Breakout[[#This Row],[Degree change]]+Y223</f>
        <v>158.8651996017856</v>
      </c>
    </row>
    <row r="225" spans="1:25">
      <c r="A225">
        <v>224</v>
      </c>
      <c r="B225" s="1">
        <v>-1875.339966</v>
      </c>
      <c r="C225" s="1">
        <v>1415.2899170000001</v>
      </c>
      <c r="D225" s="1">
        <v>18.34</v>
      </c>
      <c r="E225" s="1">
        <v>273.790009</v>
      </c>
      <c r="F225" s="1">
        <v>-2283.6298830000001</v>
      </c>
      <c r="G225" s="1">
        <v>7.92</v>
      </c>
      <c r="H225" s="1">
        <v>0</v>
      </c>
      <c r="I225" s="1">
        <v>0</v>
      </c>
      <c r="J225" s="1">
        <v>2.0525000000000002</v>
      </c>
      <c r="K225" s="1">
        <v>5.4510000000000001E-3</v>
      </c>
      <c r="L225" s="1">
        <v>6.5680000000000001E-3</v>
      </c>
      <c r="M225" s="1">
        <v>-0.638123</v>
      </c>
      <c r="N225" s="1">
        <v>0.76988699999999999</v>
      </c>
      <c r="O225">
        <v>1</v>
      </c>
      <c r="P225">
        <v>0</v>
      </c>
      <c r="Q225">
        <v>1</v>
      </c>
      <c r="R225">
        <v>1</v>
      </c>
      <c r="S225">
        <v>1</v>
      </c>
      <c r="T225" s="1">
        <f>SQRT(POWER(Breakout[[#This Row],[angvel_X]],2) + POWER(Breakout[[#This Row],[angvel_Y]],2) + POWER(Breakout[[#This Row],[angvel_Z]],2))</f>
        <v>2.0525000000000002</v>
      </c>
      <c r="U225" s="1">
        <f>DEGREES(ASIN(MAX(-1,MIN(1,2 * (Breakout[[#This Row],[quart_W]]*Breakout[[#This Row],[quart_Y]] - Breakout[[#This Row],[quart_Z]]*Breakout[[#This Row],[quart_X]])))))</f>
        <v>0.97808947308450667</v>
      </c>
      <c r="V22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169.30744931906659</v>
      </c>
      <c r="W22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89.999373989868076</v>
      </c>
      <c r="X225" s="1">
        <f>IF(Breakout[[#This Row],[Yaw]]&gt;V224,(360-ABS(Breakout[[#This Row],[Yaw]])-ABS(V224)),ABS(Breakout[[#This Row],[Yaw]]-V224))</f>
        <v>0.9798839575244358</v>
      </c>
      <c r="Y225" s="1">
        <f>Breakout[[#This Row],[Degree change]]+Y224</f>
        <v>159.84508355931004</v>
      </c>
    </row>
    <row r="226" spans="1:25">
      <c r="A226">
        <v>225</v>
      </c>
      <c r="B226" s="1">
        <v>-1873.049927</v>
      </c>
      <c r="C226" s="1">
        <v>1396.1899410000001</v>
      </c>
      <c r="D226" s="1">
        <v>18.34</v>
      </c>
      <c r="E226" s="1">
        <v>312.80999800000001</v>
      </c>
      <c r="F226" s="1">
        <v>-2278.6098630000001</v>
      </c>
      <c r="G226" s="1">
        <v>7.92</v>
      </c>
      <c r="H226" s="1">
        <v>0</v>
      </c>
      <c r="I226" s="1">
        <v>0</v>
      </c>
      <c r="J226" s="1">
        <v>2.0525000000000002</v>
      </c>
      <c r="K226" s="1">
        <v>5.398E-3</v>
      </c>
      <c r="L226" s="1">
        <v>6.6169999999999996E-3</v>
      </c>
      <c r="M226" s="1">
        <v>-0.63151500000000005</v>
      </c>
      <c r="N226" s="1">
        <v>0.77531700000000003</v>
      </c>
      <c r="O226">
        <v>1</v>
      </c>
      <c r="P226">
        <v>0</v>
      </c>
      <c r="Q226">
        <v>1</v>
      </c>
      <c r="R226">
        <v>1</v>
      </c>
      <c r="S226">
        <v>1</v>
      </c>
      <c r="T226" s="1">
        <f>SQRT(POWER(Breakout[[#This Row],[angvel_X]],2) + POWER(Breakout[[#This Row],[angvel_Y]],2) + POWER(Breakout[[#This Row],[angvel_Z]],2))</f>
        <v>2.0525000000000002</v>
      </c>
      <c r="U226" s="1">
        <f>DEGREES(ASIN(MAX(-1,MIN(1,2 * (Breakout[[#This Row],[quart_W]]*Breakout[[#This Row],[quart_Y]] - Breakout[[#This Row],[quart_Z]]*Breakout[[#This Row],[quart_X]])))))</f>
        <v>0.97856673284858764</v>
      </c>
      <c r="V22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168.32737262895424</v>
      </c>
      <c r="W22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89.999263480126004</v>
      </c>
      <c r="X226" s="1">
        <f>IF(Breakout[[#This Row],[Yaw]]&gt;V225,(360-ABS(Breakout[[#This Row],[Yaw]])-ABS(V225)),ABS(Breakout[[#This Row],[Yaw]]-V225))</f>
        <v>0.98007669011235521</v>
      </c>
      <c r="Y226" s="1">
        <f>Breakout[[#This Row],[Degree change]]+Y225</f>
        <v>160.8251602494224</v>
      </c>
    </row>
    <row r="227" spans="1:25">
      <c r="A227">
        <v>226</v>
      </c>
      <c r="B227" s="1">
        <v>-1870.429932</v>
      </c>
      <c r="C227" s="1">
        <v>1377.130005</v>
      </c>
      <c r="D227" s="1">
        <v>18.34</v>
      </c>
      <c r="E227" s="1">
        <v>351.72998000000001</v>
      </c>
      <c r="F227" s="1">
        <v>-2272.929932</v>
      </c>
      <c r="G227" s="1">
        <v>7.92</v>
      </c>
      <c r="H227" s="1">
        <v>0</v>
      </c>
      <c r="I227" s="1">
        <v>0</v>
      </c>
      <c r="J227" s="1">
        <v>2.0525000000000002</v>
      </c>
      <c r="K227" s="1">
        <v>5.3379999999999999E-3</v>
      </c>
      <c r="L227" s="1">
        <v>6.6649999999999999E-3</v>
      </c>
      <c r="M227" s="1">
        <v>-0.62486299999999995</v>
      </c>
      <c r="N227" s="1">
        <v>0.78068800000000005</v>
      </c>
      <c r="O227">
        <v>1</v>
      </c>
      <c r="P227">
        <v>0</v>
      </c>
      <c r="Q227">
        <v>1</v>
      </c>
      <c r="R227">
        <v>1</v>
      </c>
      <c r="S227">
        <v>1</v>
      </c>
      <c r="T227" s="1">
        <f>SQRT(POWER(Breakout[[#This Row],[angvel_X]],2) + POWER(Breakout[[#This Row],[angvel_Y]],2) + POWER(Breakout[[#This Row],[angvel_Z]],2))</f>
        <v>2.0525000000000002</v>
      </c>
      <c r="U227" s="1">
        <f>DEGREES(ASIN(MAX(-1,MIN(1,2 * (Breakout[[#This Row],[quart_W]]*Breakout[[#This Row],[quart_Y]] - Breakout[[#This Row],[quart_Z]]*Breakout[[#This Row],[quart_X]])))))</f>
        <v>0.97852245451518161</v>
      </c>
      <c r="V22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167.34761125176735</v>
      </c>
      <c r="W22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89.999701944110257</v>
      </c>
      <c r="X227" s="1">
        <f>IF(Breakout[[#This Row],[Yaw]]&gt;V226,(360-ABS(Breakout[[#This Row],[Yaw]])-ABS(V226)),ABS(Breakout[[#This Row],[Yaw]]-V226))</f>
        <v>0.9797613771868896</v>
      </c>
      <c r="Y227" s="1">
        <f>Breakout[[#This Row],[Degree change]]+Y226</f>
        <v>161.80492162660929</v>
      </c>
    </row>
    <row r="228" spans="1:25">
      <c r="A228">
        <v>227</v>
      </c>
      <c r="B228" s="1">
        <v>-1867.4799800000001</v>
      </c>
      <c r="C228" s="1">
        <v>1358.119995</v>
      </c>
      <c r="D228" s="1">
        <v>18.34</v>
      </c>
      <c r="E228" s="1">
        <v>390.54998799999998</v>
      </c>
      <c r="F228" s="1">
        <v>-2266.5798340000001</v>
      </c>
      <c r="G228" s="1">
        <v>7.92</v>
      </c>
      <c r="H228" s="1">
        <v>0</v>
      </c>
      <c r="I228" s="1">
        <v>0</v>
      </c>
      <c r="J228" s="1">
        <v>2.0525000000000002</v>
      </c>
      <c r="K228" s="1">
        <v>5.2789999999999998E-3</v>
      </c>
      <c r="L228" s="1">
        <v>6.7080000000000004E-3</v>
      </c>
      <c r="M228" s="1">
        <v>-0.61816199999999999</v>
      </c>
      <c r="N228" s="1">
        <v>0.78600400000000004</v>
      </c>
      <c r="O228">
        <v>1</v>
      </c>
      <c r="P228">
        <v>0</v>
      </c>
      <c r="Q228">
        <v>1</v>
      </c>
      <c r="R228">
        <v>1</v>
      </c>
      <c r="S228">
        <v>1</v>
      </c>
      <c r="T228" s="1">
        <f>SQRT(POWER(Breakout[[#This Row],[angvel_X]],2) + POWER(Breakout[[#This Row],[angvel_Y]],2) + POWER(Breakout[[#This Row],[angvel_Z]],2))</f>
        <v>2.0525000000000002</v>
      </c>
      <c r="U228" s="1">
        <f>DEGREES(ASIN(MAX(-1,MIN(1,2 * (Breakout[[#This Row],[quart_W]]*Breakout[[#This Row],[quart_Y]] - Breakout[[#This Row],[quart_Z]]*Breakout[[#This Row],[quart_X]])))))</f>
        <v>0.97817723332766982</v>
      </c>
      <c r="V22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166.36735022593464</v>
      </c>
      <c r="W22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89.999692343292239</v>
      </c>
      <c r="X228" s="1">
        <f>IF(Breakout[[#This Row],[Yaw]]&gt;V227,(360-ABS(Breakout[[#This Row],[Yaw]])-ABS(V227)),ABS(Breakout[[#This Row],[Yaw]]-V227))</f>
        <v>0.98026102583270358</v>
      </c>
      <c r="Y228" s="1">
        <f>Breakout[[#This Row],[Degree change]]+Y227</f>
        <v>162.78518265244199</v>
      </c>
    </row>
    <row r="229" spans="1:25">
      <c r="A229">
        <v>228</v>
      </c>
      <c r="B229" s="1">
        <v>-1864.209961</v>
      </c>
      <c r="C229" s="1">
        <v>1339.1599120000001</v>
      </c>
      <c r="D229" s="1">
        <v>18.34</v>
      </c>
      <c r="E229" s="1">
        <v>429.25997899999999</v>
      </c>
      <c r="F229" s="1">
        <v>-2259.570068</v>
      </c>
      <c r="G229" s="1">
        <v>7.92</v>
      </c>
      <c r="H229" s="1">
        <v>0</v>
      </c>
      <c r="I229" s="1">
        <v>0</v>
      </c>
      <c r="J229" s="1">
        <v>2.0525000000000002</v>
      </c>
      <c r="K229" s="1">
        <v>5.2189999999999997E-3</v>
      </c>
      <c r="L229" s="1">
        <v>6.7520000000000002E-3</v>
      </c>
      <c r="M229" s="1">
        <v>-0.61141900000000005</v>
      </c>
      <c r="N229" s="1">
        <v>0.79126099999999999</v>
      </c>
      <c r="O229">
        <v>1</v>
      </c>
      <c r="P229">
        <v>0</v>
      </c>
      <c r="Q229">
        <v>1</v>
      </c>
      <c r="R229">
        <v>1</v>
      </c>
      <c r="S229">
        <v>1</v>
      </c>
      <c r="T229" s="1">
        <f>SQRT(POWER(Breakout[[#This Row],[angvel_X]],2) + POWER(Breakout[[#This Row],[angvel_Y]],2) + POWER(Breakout[[#This Row],[angvel_Z]],2))</f>
        <v>2.0525000000000002</v>
      </c>
      <c r="U229" s="1">
        <f>DEGREES(ASIN(MAX(-1,MIN(1,2 * (Breakout[[#This Row],[quart_W]]*Breakout[[#This Row],[quart_Y]] - Breakout[[#This Row],[quart_Z]]*Breakout[[#This Row],[quart_X]])))))</f>
        <v>0.97792486629048003</v>
      </c>
      <c r="V22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165.38757652354604</v>
      </c>
      <c r="W22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89.999852147217368</v>
      </c>
      <c r="X229" s="1">
        <f>IF(Breakout[[#This Row],[Yaw]]&gt;V228,(360-ABS(Breakout[[#This Row],[Yaw]])-ABS(V228)),ABS(Breakout[[#This Row],[Yaw]]-V228))</f>
        <v>0.97977370238859862</v>
      </c>
      <c r="Y229" s="1">
        <f>Breakout[[#This Row],[Degree change]]+Y228</f>
        <v>163.76495635483059</v>
      </c>
    </row>
    <row r="230" spans="1:25">
      <c r="A230">
        <v>229</v>
      </c>
      <c r="B230" s="1">
        <v>-1860.619995</v>
      </c>
      <c r="C230" s="1">
        <v>1320.26001</v>
      </c>
      <c r="D230" s="1">
        <v>18.34</v>
      </c>
      <c r="E230" s="1">
        <v>467.83999599999999</v>
      </c>
      <c r="F230" s="1">
        <v>-2251.8999020000001</v>
      </c>
      <c r="G230" s="1">
        <v>7.92</v>
      </c>
      <c r="H230" s="1">
        <v>0</v>
      </c>
      <c r="I230" s="1">
        <v>0</v>
      </c>
      <c r="J230" s="1">
        <v>2.0525000000000002</v>
      </c>
      <c r="K230" s="1">
        <v>5.1599999999999997E-3</v>
      </c>
      <c r="L230" s="1">
        <v>6.7949999999999998E-3</v>
      </c>
      <c r="M230" s="1">
        <v>-0.60463199999999995</v>
      </c>
      <c r="N230" s="1">
        <v>0.79645900000000003</v>
      </c>
      <c r="O230">
        <v>1</v>
      </c>
      <c r="P230">
        <v>0</v>
      </c>
      <c r="Q230">
        <v>1</v>
      </c>
      <c r="R230">
        <v>1</v>
      </c>
      <c r="S230">
        <v>1</v>
      </c>
      <c r="T230" s="1">
        <f>SQRT(POWER(Breakout[[#This Row],[angvel_X]],2) + POWER(Breakout[[#This Row],[angvel_Y]],2) + POWER(Breakout[[#This Row],[angvel_Z]],2))</f>
        <v>2.0525000000000002</v>
      </c>
      <c r="U230" s="1">
        <f>DEGREES(ASIN(MAX(-1,MIN(1,2 * (Breakout[[#This Row],[quart_W]]*Breakout[[#This Row],[quart_Y]] - Breakout[[#This Row],[quart_Z]]*Breakout[[#This Row],[quart_X]])))))</f>
        <v>0.97772430093811125</v>
      </c>
      <c r="V23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164.40789147906793</v>
      </c>
      <c r="W23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89.999856281260222</v>
      </c>
      <c r="X230" s="1">
        <f>IF(Breakout[[#This Row],[Yaw]]&gt;V229,(360-ABS(Breakout[[#This Row],[Yaw]])-ABS(V229)),ABS(Breakout[[#This Row],[Yaw]]-V229))</f>
        <v>0.97968504447811711</v>
      </c>
      <c r="Y230" s="1">
        <f>Breakout[[#This Row],[Degree change]]+Y229</f>
        <v>164.7446413993087</v>
      </c>
    </row>
    <row r="231" spans="1:25">
      <c r="A231">
        <v>230</v>
      </c>
      <c r="B231" s="1">
        <v>-1856.6999510000001</v>
      </c>
      <c r="C231" s="1">
        <v>1301.429932</v>
      </c>
      <c r="D231" s="1">
        <v>18.34</v>
      </c>
      <c r="E231" s="1">
        <v>506.27999899999998</v>
      </c>
      <c r="F231" s="1">
        <v>-2243.570068</v>
      </c>
      <c r="G231" s="1">
        <v>7.92</v>
      </c>
      <c r="H231" s="1">
        <v>0</v>
      </c>
      <c r="I231" s="1">
        <v>0</v>
      </c>
      <c r="J231" s="1">
        <v>2.0525000000000002</v>
      </c>
      <c r="K231" s="1">
        <v>5.1009999999999996E-3</v>
      </c>
      <c r="L231" s="1">
        <v>6.8380000000000003E-3</v>
      </c>
      <c r="M231" s="1">
        <v>-0.59779700000000002</v>
      </c>
      <c r="N231" s="1">
        <v>0.80160200000000004</v>
      </c>
      <c r="O231">
        <v>1</v>
      </c>
      <c r="P231">
        <v>0</v>
      </c>
      <c r="Q231">
        <v>1</v>
      </c>
      <c r="R231">
        <v>1</v>
      </c>
      <c r="S231">
        <v>1</v>
      </c>
      <c r="T231" s="1">
        <f>SQRT(POWER(Breakout[[#This Row],[angvel_X]],2) + POWER(Breakout[[#This Row],[angvel_Y]],2) + POWER(Breakout[[#This Row],[angvel_Z]],2))</f>
        <v>2.0525000000000002</v>
      </c>
      <c r="U231" s="1">
        <f>DEGREES(ASIN(MAX(-1,MIN(1,2 * (Breakout[[#This Row],[quart_W]]*Breakout[[#This Row],[quart_Y]] - Breakout[[#This Row],[quart_Z]]*Breakout[[#This Row],[quart_X]])))))</f>
        <v>0.97759558992132611</v>
      </c>
      <c r="V23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163.4276696465071</v>
      </c>
      <c r="W23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89.999858353841162</v>
      </c>
      <c r="X231" s="1">
        <f>IF(Breakout[[#This Row],[Yaw]]&gt;V230,(360-ABS(Breakout[[#This Row],[Yaw]])-ABS(V230)),ABS(Breakout[[#This Row],[Yaw]]-V230))</f>
        <v>0.9802218325608294</v>
      </c>
      <c r="Y231" s="1">
        <f>Breakout[[#This Row],[Degree change]]+Y230</f>
        <v>165.72486323186953</v>
      </c>
    </row>
    <row r="232" spans="1:25">
      <c r="A232">
        <v>231</v>
      </c>
      <c r="B232" s="1">
        <v>-1852.459961</v>
      </c>
      <c r="C232" s="1">
        <v>1282.669922</v>
      </c>
      <c r="D232" s="1">
        <v>18.34</v>
      </c>
      <c r="E232" s="1">
        <v>544.580017</v>
      </c>
      <c r="F232" s="1">
        <v>-2234.5798340000001</v>
      </c>
      <c r="G232" s="1">
        <v>7.92</v>
      </c>
      <c r="H232" s="1">
        <v>0</v>
      </c>
      <c r="I232" s="1">
        <v>0</v>
      </c>
      <c r="J232" s="1">
        <v>2.0525000000000002</v>
      </c>
      <c r="K232" s="1">
        <v>5.0410000000000003E-3</v>
      </c>
      <c r="L232" s="1">
        <v>6.881E-3</v>
      </c>
      <c r="M232" s="1">
        <v>-0.59091800000000005</v>
      </c>
      <c r="N232" s="1">
        <v>0.80668600000000001</v>
      </c>
      <c r="O232">
        <v>1</v>
      </c>
      <c r="P232">
        <v>0</v>
      </c>
      <c r="Q232">
        <v>1</v>
      </c>
      <c r="R232">
        <v>1</v>
      </c>
      <c r="S232">
        <v>1</v>
      </c>
      <c r="T232" s="1">
        <f>SQRT(POWER(Breakout[[#This Row],[angvel_X]],2) + POWER(Breakout[[#This Row],[angvel_Y]],2) + POWER(Breakout[[#This Row],[angvel_Z]],2))</f>
        <v>2.0525000000000002</v>
      </c>
      <c r="U232" s="1">
        <f>DEGREES(ASIN(MAX(-1,MIN(1,2 * (Breakout[[#This Row],[quart_W]]*Breakout[[#This Row],[quart_Y]] - Breakout[[#This Row],[quart_Z]]*Breakout[[#This Row],[quart_X]])))))</f>
        <v>0.97747032666905975</v>
      </c>
      <c r="V23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162.44740130558654</v>
      </c>
      <c r="W23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89.999954458354168</v>
      </c>
      <c r="X232" s="1">
        <f>IF(Breakout[[#This Row],[Yaw]]&gt;V231,(360-ABS(Breakout[[#This Row],[Yaw]])-ABS(V231)),ABS(Breakout[[#This Row],[Yaw]]-V231))</f>
        <v>0.98026834092055992</v>
      </c>
      <c r="Y232" s="1">
        <f>Breakout[[#This Row],[Degree change]]+Y231</f>
        <v>166.70513157279009</v>
      </c>
    </row>
    <row r="233" spans="1:25">
      <c r="A233">
        <v>232</v>
      </c>
      <c r="B233" s="1">
        <v>-1847.8999020000001</v>
      </c>
      <c r="C233" s="1">
        <v>1263.9799800000001</v>
      </c>
      <c r="D233" s="1">
        <v>18.34</v>
      </c>
      <c r="E233" s="1">
        <v>582.71997099999999</v>
      </c>
      <c r="F233" s="1">
        <v>-2224.9399410000001</v>
      </c>
      <c r="G233" s="1">
        <v>7.92</v>
      </c>
      <c r="H233" s="1">
        <v>0</v>
      </c>
      <c r="I233" s="1">
        <v>0</v>
      </c>
      <c r="J233" s="1">
        <v>2.0525000000000002</v>
      </c>
      <c r="K233" s="1">
        <v>4.9820000000000003E-3</v>
      </c>
      <c r="L233" s="1">
        <v>6.9239999999999996E-3</v>
      </c>
      <c r="M233" s="1">
        <v>-0.58399699999999999</v>
      </c>
      <c r="N233" s="1">
        <v>0.81171099999999996</v>
      </c>
      <c r="O233">
        <v>1</v>
      </c>
      <c r="P233">
        <v>0</v>
      </c>
      <c r="Q233">
        <v>1</v>
      </c>
      <c r="R233">
        <v>1</v>
      </c>
      <c r="S233">
        <v>1</v>
      </c>
      <c r="T233" s="1">
        <f>SQRT(POWER(Breakout[[#This Row],[angvel_X]],2) + POWER(Breakout[[#This Row],[angvel_Y]],2) + POWER(Breakout[[#This Row],[angvel_Z]],2))</f>
        <v>2.0525000000000002</v>
      </c>
      <c r="U233" s="1">
        <f>DEGREES(ASIN(MAX(-1,MIN(1,2 * (Breakout[[#This Row],[quart_W]]*Breakout[[#This Row],[quart_Y]] - Breakout[[#This Row],[quart_Z]]*Breakout[[#This Row],[quart_X]])))))</f>
        <v>0.9774859149938111</v>
      </c>
      <c r="V23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161.46732762229269</v>
      </c>
      <c r="W23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89.999960004705002</v>
      </c>
      <c r="X233" s="1">
        <f>IF(Breakout[[#This Row],[Yaw]]&gt;V232,(360-ABS(Breakout[[#This Row],[Yaw]])-ABS(V232)),ABS(Breakout[[#This Row],[Yaw]]-V232))</f>
        <v>0.98007368329385258</v>
      </c>
      <c r="Y233" s="1">
        <f>Breakout[[#This Row],[Degree change]]+Y232</f>
        <v>167.68520525608395</v>
      </c>
    </row>
    <row r="234" spans="1:25">
      <c r="A234">
        <v>233</v>
      </c>
      <c r="B234" s="1">
        <v>-1843.0200199999999</v>
      </c>
      <c r="C234" s="1">
        <v>1245.369995</v>
      </c>
      <c r="D234" s="1">
        <v>18.34</v>
      </c>
      <c r="E234" s="1">
        <v>620.69000200000005</v>
      </c>
      <c r="F234" s="1">
        <v>-2214.6499020000001</v>
      </c>
      <c r="G234" s="1">
        <v>7.92</v>
      </c>
      <c r="H234" s="1">
        <v>0</v>
      </c>
      <c r="I234" s="1">
        <v>0</v>
      </c>
      <c r="J234" s="1">
        <v>2.0525000000000002</v>
      </c>
      <c r="K234" s="1">
        <v>4.9230000000000003E-3</v>
      </c>
      <c r="L234" s="1">
        <v>6.9670000000000001E-3</v>
      </c>
      <c r="M234" s="1">
        <v>-0.57703199999999999</v>
      </c>
      <c r="N234" s="1">
        <v>0.81667699999999999</v>
      </c>
      <c r="O234">
        <v>1</v>
      </c>
      <c r="P234">
        <v>0</v>
      </c>
      <c r="Q234">
        <v>1</v>
      </c>
      <c r="R234">
        <v>1</v>
      </c>
      <c r="S234">
        <v>1</v>
      </c>
      <c r="T234" s="1">
        <f>SQRT(POWER(Breakout[[#This Row],[angvel_X]],2) + POWER(Breakout[[#This Row],[angvel_Y]],2) + POWER(Breakout[[#This Row],[angvel_Z]],2))</f>
        <v>2.0525000000000002</v>
      </c>
      <c r="U234" s="1">
        <f>DEGREES(ASIN(MAX(-1,MIN(1,2 * (Breakout[[#This Row],[quart_W]]*Breakout[[#This Row],[quart_Y]] - Breakout[[#This Row],[quart_Z]]*Breakout[[#This Row],[quart_X]])))))</f>
        <v>0.97757269371622535</v>
      </c>
      <c r="V23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160.48706411367374</v>
      </c>
      <c r="W23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89.999963448337766</v>
      </c>
      <c r="X234" s="1">
        <f>IF(Breakout[[#This Row],[Yaw]]&gt;V233,(360-ABS(Breakout[[#This Row],[Yaw]])-ABS(V233)),ABS(Breakout[[#This Row],[Yaw]]-V233))</f>
        <v>0.98026350861894684</v>
      </c>
      <c r="Y234" s="1">
        <f>Breakout[[#This Row],[Degree change]]+Y233</f>
        <v>168.66546876470289</v>
      </c>
    </row>
    <row r="235" spans="1:25">
      <c r="A235">
        <v>234</v>
      </c>
      <c r="B235" s="1">
        <v>-1837.8199460000001</v>
      </c>
      <c r="C235" s="1">
        <v>1226.849976</v>
      </c>
      <c r="D235" s="1">
        <v>18.34</v>
      </c>
      <c r="E235" s="1">
        <v>658.47997999999995</v>
      </c>
      <c r="F235" s="1">
        <v>-2203.6999510000001</v>
      </c>
      <c r="G235" s="1">
        <v>7.92</v>
      </c>
      <c r="H235" s="1">
        <v>0</v>
      </c>
      <c r="I235" s="1">
        <v>0</v>
      </c>
      <c r="J235" s="1">
        <v>2.0525000000000002</v>
      </c>
      <c r="K235" s="1">
        <v>4.8630000000000001E-3</v>
      </c>
      <c r="L235" s="1">
        <v>7.0109999999999999E-3</v>
      </c>
      <c r="M235" s="1">
        <v>-0.57002399999999998</v>
      </c>
      <c r="N235" s="1">
        <v>0.82158299999999995</v>
      </c>
      <c r="O235">
        <v>1</v>
      </c>
      <c r="P235">
        <v>0</v>
      </c>
      <c r="Q235">
        <v>1</v>
      </c>
      <c r="R235">
        <v>1</v>
      </c>
      <c r="S235">
        <v>1</v>
      </c>
      <c r="T235" s="1">
        <f>SQRT(POWER(Breakout[[#This Row],[angvel_X]],2) + POWER(Breakout[[#This Row],[angvel_Y]],2) + POWER(Breakout[[#This Row],[angvel_Z]],2))</f>
        <v>2.0525000000000002</v>
      </c>
      <c r="U235" s="1">
        <f>DEGREES(ASIN(MAX(-1,MIN(1,2 * (Breakout[[#This Row],[quart_W]]*Breakout[[#This Row],[quart_Y]] - Breakout[[#This Row],[quart_Z]]*Breakout[[#This Row],[quart_X]])))))</f>
        <v>0.97775926791397549</v>
      </c>
      <c r="V23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159.50667704933622</v>
      </c>
      <c r="W23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90.000123792378488</v>
      </c>
      <c r="X235" s="1">
        <f>IF(Breakout[[#This Row],[Yaw]]&gt;V234,(360-ABS(Breakout[[#This Row],[Yaw]])-ABS(V234)),ABS(Breakout[[#This Row],[Yaw]]-V234))</f>
        <v>0.98038706433752054</v>
      </c>
      <c r="Y235" s="1">
        <f>Breakout[[#This Row],[Degree change]]+Y234</f>
        <v>169.64585582904041</v>
      </c>
    </row>
    <row r="236" spans="1:25">
      <c r="A236">
        <v>235</v>
      </c>
      <c r="B236" s="1">
        <v>-1832.309937</v>
      </c>
      <c r="C236" s="1">
        <v>1208.419922</v>
      </c>
      <c r="D236" s="1">
        <v>18.34</v>
      </c>
      <c r="E236" s="1">
        <v>696.07995600000004</v>
      </c>
      <c r="F236" s="1">
        <v>-2192.1198730000001</v>
      </c>
      <c r="G236" s="1">
        <v>7.92</v>
      </c>
      <c r="H236" s="1">
        <v>0</v>
      </c>
      <c r="I236" s="1">
        <v>0</v>
      </c>
      <c r="J236" s="1">
        <v>2.0525000000000002</v>
      </c>
      <c r="K236" s="1">
        <v>4.8040000000000001E-3</v>
      </c>
      <c r="L236" s="1">
        <v>7.0540000000000004E-3</v>
      </c>
      <c r="M236" s="1">
        <v>-0.56297900000000001</v>
      </c>
      <c r="N236" s="1">
        <v>0.82642700000000002</v>
      </c>
      <c r="O236">
        <v>1</v>
      </c>
      <c r="P236">
        <v>0</v>
      </c>
      <c r="Q236">
        <v>1</v>
      </c>
      <c r="R236">
        <v>1</v>
      </c>
      <c r="S236">
        <v>1</v>
      </c>
      <c r="T236" s="1">
        <f>SQRT(POWER(Breakout[[#This Row],[angvel_X]],2) + POWER(Breakout[[#This Row],[angvel_Y]],2) + POWER(Breakout[[#This Row],[angvel_Z]],2))</f>
        <v>2.0525000000000002</v>
      </c>
      <c r="U236" s="1">
        <f>DEGREES(ASIN(MAX(-1,MIN(1,2 * (Breakout[[#This Row],[quart_W]]*Breakout[[#This Row],[quart_Y]] - Breakout[[#This Row],[quart_Z]]*Breakout[[#This Row],[quart_X]])))))</f>
        <v>0.9779910114124627</v>
      </c>
      <c r="V23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158.52697452212149</v>
      </c>
      <c r="W23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90.00012590381489</v>
      </c>
      <c r="X236" s="1">
        <f>IF(Breakout[[#This Row],[Yaw]]&gt;V235,(360-ABS(Breakout[[#This Row],[Yaw]])-ABS(V235)),ABS(Breakout[[#This Row],[Yaw]]-V235))</f>
        <v>0.97970252721472662</v>
      </c>
      <c r="Y236" s="1">
        <f>Breakout[[#This Row],[Degree change]]+Y235</f>
        <v>170.62555835625514</v>
      </c>
    </row>
    <row r="237" spans="1:25">
      <c r="A237">
        <v>236</v>
      </c>
      <c r="B237" s="1">
        <v>-1826.4799800000001</v>
      </c>
      <c r="C237" s="1">
        <v>1190.089966</v>
      </c>
      <c r="D237" s="1">
        <v>18.34</v>
      </c>
      <c r="E237" s="1">
        <v>733.46997099999999</v>
      </c>
      <c r="F237" s="1">
        <v>-2179.889893</v>
      </c>
      <c r="G237" s="1">
        <v>7.92</v>
      </c>
      <c r="H237" s="1">
        <v>0</v>
      </c>
      <c r="I237" s="1">
        <v>0</v>
      </c>
      <c r="J237" s="1">
        <v>2.0525000000000002</v>
      </c>
      <c r="K237" s="1">
        <v>4.7450000000000001E-3</v>
      </c>
      <c r="L237" s="1">
        <v>7.097E-3</v>
      </c>
      <c r="M237" s="1">
        <v>-0.55589</v>
      </c>
      <c r="N237" s="1">
        <v>0.83121199999999995</v>
      </c>
      <c r="O237">
        <v>1</v>
      </c>
      <c r="P237">
        <v>0</v>
      </c>
      <c r="Q237">
        <v>1</v>
      </c>
      <c r="R237">
        <v>1</v>
      </c>
      <c r="S237">
        <v>1</v>
      </c>
      <c r="T237" s="1">
        <f>SQRT(POWER(Breakout[[#This Row],[angvel_X]],2) + POWER(Breakout[[#This Row],[angvel_Y]],2) + POWER(Breakout[[#This Row],[angvel_Z]],2))</f>
        <v>2.0525000000000002</v>
      </c>
      <c r="U237" s="1">
        <f>DEGREES(ASIN(MAX(-1,MIN(1,2 * (Breakout[[#This Row],[quart_W]]*Breakout[[#This Row],[quart_Y]] - Breakout[[#This Row],[quart_Z]]*Breakout[[#This Row],[quart_X]])))))</f>
        <v>0.97829385686225656</v>
      </c>
      <c r="V23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157.54686855131689</v>
      </c>
      <c r="W23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90.000120383375346</v>
      </c>
      <c r="X237" s="1">
        <f>IF(Breakout[[#This Row],[Yaw]]&gt;V236,(360-ABS(Breakout[[#This Row],[Yaw]])-ABS(V236)),ABS(Breakout[[#This Row],[Yaw]]-V236))</f>
        <v>0.98010597080460116</v>
      </c>
      <c r="Y237" s="1">
        <f>Breakout[[#This Row],[Degree change]]+Y236</f>
        <v>171.60566432705974</v>
      </c>
    </row>
    <row r="238" spans="1:25">
      <c r="A238">
        <v>237</v>
      </c>
      <c r="B238" s="1">
        <v>-1820.339966</v>
      </c>
      <c r="C238" s="1">
        <v>1171.8599850000001</v>
      </c>
      <c r="D238" s="1">
        <v>18.34</v>
      </c>
      <c r="E238" s="1">
        <v>770.64996299999996</v>
      </c>
      <c r="F238" s="1">
        <v>-2167.030029</v>
      </c>
      <c r="G238" s="1">
        <v>7.92</v>
      </c>
      <c r="H238" s="1">
        <v>0</v>
      </c>
      <c r="I238" s="1">
        <v>0</v>
      </c>
      <c r="J238" s="1">
        <v>2.0525000000000002</v>
      </c>
      <c r="K238" s="1">
        <v>4.6849999999999999E-3</v>
      </c>
      <c r="L238" s="1">
        <v>7.1349999999999998E-3</v>
      </c>
      <c r="M238" s="1">
        <v>-0.548763</v>
      </c>
      <c r="N238" s="1">
        <v>0.83593399999999995</v>
      </c>
      <c r="O238">
        <v>1</v>
      </c>
      <c r="P238">
        <v>0</v>
      </c>
      <c r="Q238">
        <v>1</v>
      </c>
      <c r="R238">
        <v>1</v>
      </c>
      <c r="S238">
        <v>1</v>
      </c>
      <c r="T238" s="1">
        <f>SQRT(POWER(Breakout[[#This Row],[angvel_X]],2) + POWER(Breakout[[#This Row],[angvel_Y]],2) + POWER(Breakout[[#This Row],[angvel_Z]],2))</f>
        <v>2.0525000000000002</v>
      </c>
      <c r="U238" s="1">
        <f>DEGREES(ASIN(MAX(-1,MIN(1,2 * (Breakout[[#This Row],[quart_W]]*Breakout[[#This Row],[quart_Y]] - Breakout[[#This Row],[quart_Z]]*Breakout[[#This Row],[quart_X]])))))</f>
        <v>0.97812585616382508</v>
      </c>
      <c r="V23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156.56711146759307</v>
      </c>
      <c r="W23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89.99989378278454</v>
      </c>
      <c r="X238" s="1">
        <f>IF(Breakout[[#This Row],[Yaw]]&gt;V237,(360-ABS(Breakout[[#This Row],[Yaw]])-ABS(V237)),ABS(Breakout[[#This Row],[Yaw]]-V237))</f>
        <v>0.97975708372382542</v>
      </c>
      <c r="Y238" s="1">
        <f>Breakout[[#This Row],[Degree change]]+Y237</f>
        <v>172.58542141078357</v>
      </c>
    </row>
    <row r="239" spans="1:25">
      <c r="A239">
        <v>238</v>
      </c>
      <c r="B239" s="1">
        <v>-1813.8900149999999</v>
      </c>
      <c r="C239" s="1">
        <v>1153.73999</v>
      </c>
      <c r="D239" s="1">
        <v>18.34</v>
      </c>
      <c r="E239" s="1">
        <v>807.59997599999997</v>
      </c>
      <c r="F239" s="1">
        <v>-2153.530029</v>
      </c>
      <c r="G239" s="1">
        <v>7.92</v>
      </c>
      <c r="H239" s="1">
        <v>0</v>
      </c>
      <c r="I239" s="1">
        <v>0</v>
      </c>
      <c r="J239" s="1">
        <v>2.0525000000000002</v>
      </c>
      <c r="K239" s="1">
        <v>4.6259999999999999E-3</v>
      </c>
      <c r="L239" s="1">
        <v>7.1720000000000004E-3</v>
      </c>
      <c r="M239" s="1">
        <v>-0.54159400000000002</v>
      </c>
      <c r="N239" s="1">
        <v>0.84059700000000004</v>
      </c>
      <c r="O239">
        <v>1</v>
      </c>
      <c r="P239">
        <v>0</v>
      </c>
      <c r="Q239">
        <v>1</v>
      </c>
      <c r="R239">
        <v>1</v>
      </c>
      <c r="S239">
        <v>1</v>
      </c>
      <c r="T239" s="1">
        <f>SQRT(POWER(Breakout[[#This Row],[angvel_X]],2) + POWER(Breakout[[#This Row],[angvel_Y]],2) + POWER(Breakout[[#This Row],[angvel_Z]],2))</f>
        <v>2.0525000000000002</v>
      </c>
      <c r="U239" s="1">
        <f>DEGREES(ASIN(MAX(-1,MIN(1,2 * (Breakout[[#This Row],[quart_W]]*Breakout[[#This Row],[quart_Y]] - Breakout[[#This Row],[quart_Z]]*Breakout[[#This Row],[quart_X]])))))</f>
        <v>0.97799196884982109</v>
      </c>
      <c r="V23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155.58711872651529</v>
      </c>
      <c r="W23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89.99950838170318</v>
      </c>
      <c r="X239" s="1">
        <f>IF(Breakout[[#This Row],[Yaw]]&gt;V238,(360-ABS(Breakout[[#This Row],[Yaw]])-ABS(V238)),ABS(Breakout[[#This Row],[Yaw]]-V238))</f>
        <v>0.97999274107777978</v>
      </c>
      <c r="Y239" s="1">
        <f>Breakout[[#This Row],[Degree change]]+Y238</f>
        <v>173.56541415186135</v>
      </c>
    </row>
    <row r="240" spans="1:25">
      <c r="A240">
        <v>239</v>
      </c>
      <c r="B240" s="1">
        <v>-1807.130005</v>
      </c>
      <c r="C240" s="1">
        <v>1135.7299800000001</v>
      </c>
      <c r="D240" s="1">
        <v>18.34</v>
      </c>
      <c r="E240" s="1">
        <v>844.32000700000003</v>
      </c>
      <c r="F240" s="1">
        <v>-2139.3999020000001</v>
      </c>
      <c r="G240" s="1">
        <v>7.92</v>
      </c>
      <c r="H240" s="1">
        <v>0</v>
      </c>
      <c r="I240" s="1">
        <v>0</v>
      </c>
      <c r="J240" s="1">
        <v>2.0525000000000002</v>
      </c>
      <c r="K240" s="1">
        <v>4.5669999999999999E-3</v>
      </c>
      <c r="L240" s="1">
        <v>7.2100000000000003E-3</v>
      </c>
      <c r="M240" s="1">
        <v>-0.53438600000000003</v>
      </c>
      <c r="N240" s="1">
        <v>0.84519699999999998</v>
      </c>
      <c r="O240">
        <v>1</v>
      </c>
      <c r="P240">
        <v>0</v>
      </c>
      <c r="Q240">
        <v>1</v>
      </c>
      <c r="R240">
        <v>1</v>
      </c>
      <c r="S240">
        <v>1</v>
      </c>
      <c r="T240" s="1">
        <f>SQRT(POWER(Breakout[[#This Row],[angvel_X]],2) + POWER(Breakout[[#This Row],[angvel_Y]],2) + POWER(Breakout[[#This Row],[angvel_Z]],2))</f>
        <v>2.0525000000000002</v>
      </c>
      <c r="U240" s="1">
        <f>DEGREES(ASIN(MAX(-1,MIN(1,2 * (Breakout[[#This Row],[quart_W]]*Breakout[[#This Row],[quart_Y]] - Breakout[[#This Row],[quart_Z]]*Breakout[[#This Row],[quart_X]])))))</f>
        <v>0.97801898247396579</v>
      </c>
      <c r="V24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154.60718157667128</v>
      </c>
      <c r="W24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89.999187239625485</v>
      </c>
      <c r="X240" s="1">
        <f>IF(Breakout[[#This Row],[Yaw]]&gt;V239,(360-ABS(Breakout[[#This Row],[Yaw]])-ABS(V239)),ABS(Breakout[[#This Row],[Yaw]]-V239))</f>
        <v>0.97993714984400526</v>
      </c>
      <c r="Y240" s="1">
        <f>Breakout[[#This Row],[Degree change]]+Y239</f>
        <v>174.54535130170535</v>
      </c>
    </row>
    <row r="241" spans="1:25">
      <c r="A241">
        <v>240</v>
      </c>
      <c r="B241" s="1">
        <v>-1800.059937</v>
      </c>
      <c r="C241" s="1">
        <v>1117.839966</v>
      </c>
      <c r="D241" s="1">
        <v>18.34</v>
      </c>
      <c r="E241" s="1">
        <v>880.78997800000002</v>
      </c>
      <c r="F241" s="1">
        <v>-2124.6499020000001</v>
      </c>
      <c r="G241" s="1">
        <v>7.92</v>
      </c>
      <c r="H241" s="1">
        <v>0</v>
      </c>
      <c r="I241" s="1">
        <v>0</v>
      </c>
      <c r="J241" s="1">
        <v>2.0525000000000002</v>
      </c>
      <c r="K241" s="1">
        <v>4.5069999999999997E-3</v>
      </c>
      <c r="L241" s="1">
        <v>7.2480000000000001E-3</v>
      </c>
      <c r="M241" s="1">
        <v>-0.52714099999999997</v>
      </c>
      <c r="N241" s="1">
        <v>0.84973500000000002</v>
      </c>
      <c r="O241">
        <v>1</v>
      </c>
      <c r="P241">
        <v>0</v>
      </c>
      <c r="Q241">
        <v>1</v>
      </c>
      <c r="R241">
        <v>1</v>
      </c>
      <c r="S241">
        <v>1</v>
      </c>
      <c r="T241" s="1">
        <f>SQRT(POWER(Breakout[[#This Row],[angvel_X]],2) + POWER(Breakout[[#This Row],[angvel_Y]],2) + POWER(Breakout[[#This Row],[angvel_Z]],2))</f>
        <v>2.0525000000000002</v>
      </c>
      <c r="U241" s="1">
        <f>DEGREES(ASIN(MAX(-1,MIN(1,2 * (Breakout[[#This Row],[quart_W]]*Breakout[[#This Row],[quart_Y]] - Breakout[[#This Row],[quart_Z]]*Breakout[[#This Row],[quart_X]])))))</f>
        <v>0.97805250940015498</v>
      </c>
      <c r="V24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153.62755416946032</v>
      </c>
      <c r="W24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89.998964207594895</v>
      </c>
      <c r="X241" s="1">
        <f>IF(Breakout[[#This Row],[Yaw]]&gt;V240,(360-ABS(Breakout[[#This Row],[Yaw]])-ABS(V240)),ABS(Breakout[[#This Row],[Yaw]]-V240))</f>
        <v>0.97962740721095543</v>
      </c>
      <c r="Y241" s="1">
        <f>Breakout[[#This Row],[Degree change]]+Y240</f>
        <v>175.52497870891631</v>
      </c>
    </row>
    <row r="242" spans="1:25">
      <c r="A242">
        <v>241</v>
      </c>
      <c r="B242" s="1">
        <v>-1792.6899410000001</v>
      </c>
      <c r="C242" s="1">
        <v>1100.0699460000001</v>
      </c>
      <c r="D242" s="1">
        <v>18.34</v>
      </c>
      <c r="E242" s="1">
        <v>917</v>
      </c>
      <c r="F242" s="1">
        <v>-2109.2700199999999</v>
      </c>
      <c r="G242" s="1">
        <v>7.92</v>
      </c>
      <c r="H242" s="1">
        <v>0</v>
      </c>
      <c r="I242" s="1">
        <v>0</v>
      </c>
      <c r="J242" s="1">
        <v>2.0525000000000002</v>
      </c>
      <c r="K242" s="1">
        <v>4.4429999999999999E-3</v>
      </c>
      <c r="L242" s="1">
        <v>7.2859999999999999E-3</v>
      </c>
      <c r="M242" s="1">
        <v>-0.51985300000000001</v>
      </c>
      <c r="N242" s="1">
        <v>0.854213</v>
      </c>
      <c r="O242">
        <v>1</v>
      </c>
      <c r="P242">
        <v>0</v>
      </c>
      <c r="Q242">
        <v>1</v>
      </c>
      <c r="R242">
        <v>1</v>
      </c>
      <c r="S242">
        <v>1</v>
      </c>
      <c r="T242" s="1">
        <f>SQRT(POWER(Breakout[[#This Row],[angvel_X]],2) + POWER(Breakout[[#This Row],[angvel_Y]],2) + POWER(Breakout[[#This Row],[angvel_Z]],2))</f>
        <v>2.0525000000000002</v>
      </c>
      <c r="U242" s="1">
        <f>DEGREES(ASIN(MAX(-1,MIN(1,2 * (Breakout[[#This Row],[quart_W]]*Breakout[[#This Row],[quart_Y]] - Breakout[[#This Row],[quart_Z]]*Breakout[[#This Row],[quart_X]])))))</f>
        <v>0.97791486832499874</v>
      </c>
      <c r="V24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152.64731209173485</v>
      </c>
      <c r="W24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89.999126753770497</v>
      </c>
      <c r="X242" s="1">
        <f>IF(Breakout[[#This Row],[Yaw]]&gt;V241,(360-ABS(Breakout[[#This Row],[Yaw]])-ABS(V241)),ABS(Breakout[[#This Row],[Yaw]]-V241))</f>
        <v>0.98024207772547811</v>
      </c>
      <c r="Y242" s="1">
        <f>Breakout[[#This Row],[Degree change]]+Y241</f>
        <v>176.50522078664179</v>
      </c>
    </row>
    <row r="243" spans="1:25">
      <c r="A243">
        <v>242</v>
      </c>
      <c r="B243" s="1">
        <v>-1785.0200199999999</v>
      </c>
      <c r="C243" s="1">
        <v>1082.429932</v>
      </c>
      <c r="D243" s="1">
        <v>18.34</v>
      </c>
      <c r="E243" s="1">
        <v>952.94000200000005</v>
      </c>
      <c r="F243" s="1">
        <v>-2093.280029</v>
      </c>
      <c r="G243" s="1">
        <v>7.92</v>
      </c>
      <c r="H243" s="1">
        <v>0</v>
      </c>
      <c r="I243" s="1">
        <v>0</v>
      </c>
      <c r="J243" s="1">
        <v>2.0525000000000002</v>
      </c>
      <c r="K243" s="1">
        <v>4.3779999999999999E-3</v>
      </c>
      <c r="L243" s="1">
        <v>7.3229999999999996E-3</v>
      </c>
      <c r="M243" s="1">
        <v>-0.51252699999999995</v>
      </c>
      <c r="N243" s="1">
        <v>0.85862899999999998</v>
      </c>
      <c r="O243">
        <v>1</v>
      </c>
      <c r="P243">
        <v>0</v>
      </c>
      <c r="Q243">
        <v>1</v>
      </c>
      <c r="R243">
        <v>1</v>
      </c>
      <c r="S243">
        <v>1</v>
      </c>
      <c r="T243" s="1">
        <f>SQRT(POWER(Breakout[[#This Row],[angvel_X]],2) + POWER(Breakout[[#This Row],[angvel_Y]],2) + POWER(Breakout[[#This Row],[angvel_Z]],2))</f>
        <v>2.0525000000000002</v>
      </c>
      <c r="U243" s="1">
        <f>DEGREES(ASIN(MAX(-1,MIN(1,2 * (Breakout[[#This Row],[quart_W]]*Breakout[[#This Row],[quart_Y]] - Breakout[[#This Row],[quart_Z]]*Breakout[[#This Row],[quart_X]])))))</f>
        <v>0.97769488650283265</v>
      </c>
      <c r="V24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151.66708969882356</v>
      </c>
      <c r="W24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89.999330396632999</v>
      </c>
      <c r="X243" s="1">
        <f>IF(Breakout[[#This Row],[Yaw]]&gt;V242,(360-ABS(Breakout[[#This Row],[Yaw]])-ABS(V242)),ABS(Breakout[[#This Row],[Yaw]]-V242))</f>
        <v>0.98022239291128699</v>
      </c>
      <c r="Y243" s="1">
        <f>Breakout[[#This Row],[Degree change]]+Y242</f>
        <v>177.48544317955307</v>
      </c>
    </row>
    <row r="244" spans="1:25">
      <c r="A244">
        <v>243</v>
      </c>
      <c r="B244" s="1">
        <v>-1777.049927</v>
      </c>
      <c r="C244" s="1">
        <v>1064.929932</v>
      </c>
      <c r="D244" s="1">
        <v>18.34</v>
      </c>
      <c r="E244" s="1">
        <v>988.59997599999997</v>
      </c>
      <c r="F244" s="1">
        <v>-2076.669922</v>
      </c>
      <c r="G244" s="1">
        <v>7.92</v>
      </c>
      <c r="H244" s="1">
        <v>0</v>
      </c>
      <c r="I244" s="1">
        <v>0</v>
      </c>
      <c r="J244" s="1">
        <v>2.0525000000000002</v>
      </c>
      <c r="K244" s="1">
        <v>4.313E-3</v>
      </c>
      <c r="L244" s="1">
        <v>7.3610000000000004E-3</v>
      </c>
      <c r="M244" s="1">
        <v>-0.50516300000000003</v>
      </c>
      <c r="N244" s="1">
        <v>0.86298200000000003</v>
      </c>
      <c r="O244">
        <v>1</v>
      </c>
      <c r="P244">
        <v>0</v>
      </c>
      <c r="Q244">
        <v>1</v>
      </c>
      <c r="R244">
        <v>1</v>
      </c>
      <c r="S244">
        <v>1</v>
      </c>
      <c r="T244" s="1">
        <f>SQRT(POWER(Breakout[[#This Row],[angvel_X]],2) + POWER(Breakout[[#This Row],[angvel_Y]],2) + POWER(Breakout[[#This Row],[angvel_Z]],2))</f>
        <v>2.0525000000000002</v>
      </c>
      <c r="U244" s="1">
        <f>DEGREES(ASIN(MAX(-1,MIN(1,2 * (Breakout[[#This Row],[quart_W]]*Breakout[[#This Row],[quart_Y]] - Breakout[[#This Row],[quart_Z]]*Breakout[[#This Row],[quart_X]])))))</f>
        <v>0.97764848712617891</v>
      </c>
      <c r="V24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150.6867904532061</v>
      </c>
      <c r="W24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89.999594685313198</v>
      </c>
      <c r="X244" s="1">
        <f>IF(Breakout[[#This Row],[Yaw]]&gt;V243,(360-ABS(Breakout[[#This Row],[Yaw]])-ABS(V243)),ABS(Breakout[[#This Row],[Yaw]]-V243))</f>
        <v>0.98029924561745929</v>
      </c>
      <c r="Y244" s="1">
        <f>Breakout[[#This Row],[Degree change]]+Y243</f>
        <v>178.46574242517053</v>
      </c>
    </row>
    <row r="245" spans="1:25">
      <c r="A245">
        <v>244</v>
      </c>
      <c r="B245" s="1">
        <v>-1768.7799070000001</v>
      </c>
      <c r="C245" s="1">
        <v>1047.559937</v>
      </c>
      <c r="D245" s="1">
        <v>18.34</v>
      </c>
      <c r="E245" s="1">
        <v>1023.97998</v>
      </c>
      <c r="F245" s="1">
        <v>-2059.459961</v>
      </c>
      <c r="G245" s="1">
        <v>7.92</v>
      </c>
      <c r="H245" s="1">
        <v>0</v>
      </c>
      <c r="I245" s="1">
        <v>0</v>
      </c>
      <c r="J245" s="1">
        <v>2.0525000000000002</v>
      </c>
      <c r="K245" s="1">
        <v>4.248E-3</v>
      </c>
      <c r="L245" s="1">
        <v>7.3990000000000002E-3</v>
      </c>
      <c r="M245" s="1">
        <v>-0.49776599999999999</v>
      </c>
      <c r="N245" s="1">
        <v>0.86726899999999996</v>
      </c>
      <c r="O245">
        <v>1</v>
      </c>
      <c r="P245">
        <v>0</v>
      </c>
      <c r="Q245">
        <v>1</v>
      </c>
      <c r="R245">
        <v>1</v>
      </c>
      <c r="S245">
        <v>1</v>
      </c>
      <c r="T245" s="1">
        <f>SQRT(POWER(Breakout[[#This Row],[angvel_X]],2) + POWER(Breakout[[#This Row],[angvel_Y]],2) + POWER(Breakout[[#This Row],[angvel_Z]],2))</f>
        <v>2.0525000000000002</v>
      </c>
      <c r="U245" s="1">
        <f>DEGREES(ASIN(MAX(-1,MIN(1,2 * (Breakout[[#This Row],[quart_W]]*Breakout[[#This Row],[quart_Y]] - Breakout[[#This Row],[quart_Z]]*Breakout[[#This Row],[quart_X]])))))</f>
        <v>0.97767768678520206</v>
      </c>
      <c r="V24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149.70699991922382</v>
      </c>
      <c r="W24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89.999863836466858</v>
      </c>
      <c r="X245" s="1">
        <f>IF(Breakout[[#This Row],[Yaw]]&gt;V244,(360-ABS(Breakout[[#This Row],[Yaw]])-ABS(V244)),ABS(Breakout[[#This Row],[Yaw]]-V244))</f>
        <v>0.97979053398228189</v>
      </c>
      <c r="Y245" s="1">
        <f>Breakout[[#This Row],[Degree change]]+Y244</f>
        <v>179.44553295915281</v>
      </c>
    </row>
    <row r="246" spans="1:25">
      <c r="A246">
        <v>245</v>
      </c>
      <c r="B246" s="1">
        <v>-1760.209961</v>
      </c>
      <c r="C246" s="1">
        <v>1030.339966</v>
      </c>
      <c r="D246" s="1">
        <v>18.34</v>
      </c>
      <c r="E246" s="1">
        <v>1059.049927</v>
      </c>
      <c r="F246" s="1">
        <v>-2041.6400149999999</v>
      </c>
      <c r="G246" s="1">
        <v>7.92</v>
      </c>
      <c r="H246" s="1">
        <v>0</v>
      </c>
      <c r="I246" s="1">
        <v>0</v>
      </c>
      <c r="J246" s="1">
        <v>2.0525000000000002</v>
      </c>
      <c r="K246" s="1">
        <v>4.1840000000000002E-3</v>
      </c>
      <c r="L246" s="1">
        <v>7.437E-3</v>
      </c>
      <c r="M246" s="1">
        <v>-0.49033199999999999</v>
      </c>
      <c r="N246" s="1">
        <v>0.87149399999999999</v>
      </c>
      <c r="O246">
        <v>1</v>
      </c>
      <c r="P246">
        <v>0</v>
      </c>
      <c r="Q246">
        <v>1</v>
      </c>
      <c r="R246">
        <v>1</v>
      </c>
      <c r="S246">
        <v>1</v>
      </c>
      <c r="T246" s="1">
        <f>SQRT(POWER(Breakout[[#This Row],[angvel_X]],2) + POWER(Breakout[[#This Row],[angvel_Y]],2) + POWER(Breakout[[#This Row],[angvel_Z]],2))</f>
        <v>2.0525000000000002</v>
      </c>
      <c r="U246" s="1">
        <f>DEGREES(ASIN(MAX(-1,MIN(1,2 * (Breakout[[#This Row],[quart_W]]*Breakout[[#This Row],[quart_Y]] - Breakout[[#This Row],[quart_Z]]*Breakout[[#This Row],[quart_X]])))))</f>
        <v>0.97784004850610984</v>
      </c>
      <c r="V24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148.72715949217033</v>
      </c>
      <c r="W24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90.000030736557179</v>
      </c>
      <c r="X246" s="1">
        <f>IF(Breakout[[#This Row],[Yaw]]&gt;V245,(360-ABS(Breakout[[#This Row],[Yaw]])-ABS(V245)),ABS(Breakout[[#This Row],[Yaw]]-V245))</f>
        <v>0.97984042705348884</v>
      </c>
      <c r="Y246" s="1">
        <f>Breakout[[#This Row],[Degree change]]+Y245</f>
        <v>180.4253733862063</v>
      </c>
    </row>
    <row r="247" spans="1:25">
      <c r="A247">
        <v>246</v>
      </c>
      <c r="B247" s="1">
        <v>-1751.349976</v>
      </c>
      <c r="C247" s="1">
        <v>1013.269958</v>
      </c>
      <c r="D247" s="1">
        <v>18.34</v>
      </c>
      <c r="E247" s="1">
        <v>1093.8199460000001</v>
      </c>
      <c r="F247" s="1">
        <v>-2023.2299800000001</v>
      </c>
      <c r="G247" s="1">
        <v>7.92</v>
      </c>
      <c r="H247" s="1">
        <v>0</v>
      </c>
      <c r="I247" s="1">
        <v>0</v>
      </c>
      <c r="J247" s="1">
        <v>2.0525000000000002</v>
      </c>
      <c r="K247" s="1">
        <v>4.1190000000000003E-3</v>
      </c>
      <c r="L247" s="1">
        <v>7.4749999999999999E-3</v>
      </c>
      <c r="M247" s="1">
        <v>-0.48286000000000001</v>
      </c>
      <c r="N247" s="1">
        <v>0.87565599999999999</v>
      </c>
      <c r="O247">
        <v>1</v>
      </c>
      <c r="P247">
        <v>0</v>
      </c>
      <c r="Q247">
        <v>1</v>
      </c>
      <c r="R247">
        <v>1</v>
      </c>
      <c r="S247">
        <v>1</v>
      </c>
      <c r="T247" s="1">
        <f>SQRT(POWER(Breakout[[#This Row],[angvel_X]],2) + POWER(Breakout[[#This Row],[angvel_Y]],2) + POWER(Breakout[[#This Row],[angvel_Z]],2))</f>
        <v>2.0525000000000002</v>
      </c>
      <c r="U247" s="1">
        <f>DEGREES(ASIN(MAX(-1,MIN(1,2 * (Breakout[[#This Row],[quart_W]]*Breakout[[#This Row],[quart_Y]] - Breakout[[#This Row],[quart_Z]]*Breakout[[#This Row],[quart_X]])))))</f>
        <v>0.97802101195695468</v>
      </c>
      <c r="V24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147.74702543676759</v>
      </c>
      <c r="W24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90.000292415629147</v>
      </c>
      <c r="X247" s="1">
        <f>IF(Breakout[[#This Row],[Yaw]]&gt;V246,(360-ABS(Breakout[[#This Row],[Yaw]])-ABS(V246)),ABS(Breakout[[#This Row],[Yaw]]-V246))</f>
        <v>0.98013405540274334</v>
      </c>
      <c r="Y247" s="1">
        <f>Breakout[[#This Row],[Degree change]]+Y246</f>
        <v>181.40550744160905</v>
      </c>
    </row>
    <row r="248" spans="1:25">
      <c r="A248">
        <v>247</v>
      </c>
      <c r="B248" s="1">
        <v>-1742.1999510000001</v>
      </c>
      <c r="C248" s="1">
        <v>996.34997599999997</v>
      </c>
      <c r="D248" s="1">
        <v>18.34</v>
      </c>
      <c r="E248" s="1">
        <v>1128.2700199999999</v>
      </c>
      <c r="F248" s="1">
        <v>-2004.2299800000001</v>
      </c>
      <c r="G248" s="1">
        <v>7.92</v>
      </c>
      <c r="H248" s="1">
        <v>0</v>
      </c>
      <c r="I248" s="1">
        <v>0</v>
      </c>
      <c r="J248" s="1">
        <v>2.0525000000000002</v>
      </c>
      <c r="K248" s="1">
        <v>4.0540000000000003E-3</v>
      </c>
      <c r="L248" s="1">
        <v>7.5069999999999998E-3</v>
      </c>
      <c r="M248" s="1">
        <v>-0.475356</v>
      </c>
      <c r="N248" s="1">
        <v>0.87975199999999998</v>
      </c>
      <c r="O248">
        <v>1</v>
      </c>
      <c r="P248">
        <v>0</v>
      </c>
      <c r="Q248">
        <v>1</v>
      </c>
      <c r="R248">
        <v>1</v>
      </c>
      <c r="S248">
        <v>1</v>
      </c>
      <c r="T248" s="1">
        <f>SQRT(POWER(Breakout[[#This Row],[angvel_X]],2) + POWER(Breakout[[#This Row],[angvel_Y]],2) + POWER(Breakout[[#This Row],[angvel_Z]],2))</f>
        <v>2.0525000000000002</v>
      </c>
      <c r="U248" s="1">
        <f>DEGREES(ASIN(MAX(-1,MIN(1,2 * (Breakout[[#This Row],[quart_W]]*Breakout[[#This Row],[quart_Y]] - Breakout[[#This Row],[quart_Z]]*Breakout[[#This Row],[quart_X]])))))</f>
        <v>0.97767289489992215</v>
      </c>
      <c r="V24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146.76731368422367</v>
      </c>
      <c r="W24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90.000227254852661</v>
      </c>
      <c r="X248" s="1">
        <f>IF(Breakout[[#This Row],[Yaw]]&gt;V247,(360-ABS(Breakout[[#This Row],[Yaw]])-ABS(V247)),ABS(Breakout[[#This Row],[Yaw]]-V247))</f>
        <v>0.97971175254392051</v>
      </c>
      <c r="Y248" s="1">
        <f>Breakout[[#This Row],[Degree change]]+Y247</f>
        <v>182.38521919415297</v>
      </c>
    </row>
    <row r="249" spans="1:25">
      <c r="A249">
        <v>248</v>
      </c>
      <c r="B249" s="1">
        <v>-1732.76001</v>
      </c>
      <c r="C249" s="1">
        <v>979.589966</v>
      </c>
      <c r="D249" s="1">
        <v>18.34</v>
      </c>
      <c r="E249" s="1">
        <v>1162.380005</v>
      </c>
      <c r="F249" s="1">
        <v>-1984.6400149999999</v>
      </c>
      <c r="G249" s="1">
        <v>7.92</v>
      </c>
      <c r="H249" s="1">
        <v>0</v>
      </c>
      <c r="I249" s="1">
        <v>0</v>
      </c>
      <c r="J249" s="1">
        <v>2.0525000000000002</v>
      </c>
      <c r="K249" s="1">
        <v>3.9890000000000004E-3</v>
      </c>
      <c r="L249" s="1">
        <v>7.5389999999999997E-3</v>
      </c>
      <c r="M249" s="1">
        <v>-0.46781400000000001</v>
      </c>
      <c r="N249" s="1">
        <v>0.88378599999999996</v>
      </c>
      <c r="O249">
        <v>1</v>
      </c>
      <c r="P249">
        <v>0</v>
      </c>
      <c r="Q249">
        <v>1</v>
      </c>
      <c r="R249">
        <v>1</v>
      </c>
      <c r="S249">
        <v>1</v>
      </c>
      <c r="T249" s="1">
        <f>SQRT(POWER(Breakout[[#This Row],[angvel_X]],2) + POWER(Breakout[[#This Row],[angvel_Y]],2) + POWER(Breakout[[#This Row],[angvel_Z]],2))</f>
        <v>2.0525000000000002</v>
      </c>
      <c r="U249" s="1">
        <f>DEGREES(ASIN(MAX(-1,MIN(1,2 * (Breakout[[#This Row],[quart_W]]*Breakout[[#This Row],[quart_Y]] - Breakout[[#This Row],[quart_Z]]*Breakout[[#This Row],[quart_X]])))))</f>
        <v>0.97739568186685033</v>
      </c>
      <c r="V24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145.78719798549994</v>
      </c>
      <c r="W24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90.000163590876653</v>
      </c>
      <c r="X249" s="1">
        <f>IF(Breakout[[#This Row],[Yaw]]&gt;V248,(360-ABS(Breakout[[#This Row],[Yaw]])-ABS(V248)),ABS(Breakout[[#This Row],[Yaw]]-V248))</f>
        <v>0.98011569872372206</v>
      </c>
      <c r="Y249" s="1">
        <f>Breakout[[#This Row],[Degree change]]+Y248</f>
        <v>183.36533489287669</v>
      </c>
    </row>
    <row r="250" spans="1:25">
      <c r="A250">
        <v>249</v>
      </c>
      <c r="B250" s="1">
        <v>-1723.0299070000001</v>
      </c>
      <c r="C250" s="1">
        <v>962.98999000000003</v>
      </c>
      <c r="D250" s="1">
        <v>18.34</v>
      </c>
      <c r="E250" s="1">
        <v>1196.150024</v>
      </c>
      <c r="F250" s="1">
        <v>-1964.469971</v>
      </c>
      <c r="G250" s="1">
        <v>7.92</v>
      </c>
      <c r="H250" s="1">
        <v>0</v>
      </c>
      <c r="I250" s="1">
        <v>0</v>
      </c>
      <c r="J250" s="1">
        <v>2.0525000000000002</v>
      </c>
      <c r="K250" s="1">
        <v>3.9249999999999997E-3</v>
      </c>
      <c r="L250" s="1">
        <v>7.5719999999999997E-3</v>
      </c>
      <c r="M250" s="1">
        <v>-0.46023999999999998</v>
      </c>
      <c r="N250" s="1">
        <v>0.88775400000000004</v>
      </c>
      <c r="O250">
        <v>1</v>
      </c>
      <c r="P250">
        <v>0</v>
      </c>
      <c r="Q250">
        <v>1</v>
      </c>
      <c r="R250">
        <v>1</v>
      </c>
      <c r="S250">
        <v>1</v>
      </c>
      <c r="T250" s="1">
        <f>SQRT(POWER(Breakout[[#This Row],[angvel_X]],2) + POWER(Breakout[[#This Row],[angvel_Y]],2) + POWER(Breakout[[#This Row],[angvel_Z]],2))</f>
        <v>2.0525000000000002</v>
      </c>
      <c r="U250" s="1">
        <f>DEGREES(ASIN(MAX(-1,MIN(1,2 * (Breakout[[#This Row],[quart_W]]*Breakout[[#This Row],[quart_Y]] - Breakout[[#This Row],[quart_Z]]*Breakout[[#This Row],[quart_X]])))))</f>
        <v>0.97734325868562888</v>
      </c>
      <c r="V25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144.80736497010119</v>
      </c>
      <c r="W25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90.000057628457498</v>
      </c>
      <c r="X250" s="1">
        <f>IF(Breakout[[#This Row],[Yaw]]&gt;V249,(360-ABS(Breakout[[#This Row],[Yaw]])-ABS(V249)),ABS(Breakout[[#This Row],[Yaw]]-V249))</f>
        <v>0.97983301539875356</v>
      </c>
      <c r="Y250" s="1">
        <f>Breakout[[#This Row],[Degree change]]+Y249</f>
        <v>184.34516790827544</v>
      </c>
    </row>
    <row r="251" spans="1:25">
      <c r="A251">
        <v>250</v>
      </c>
      <c r="B251" s="1">
        <v>-1713.0200199999999</v>
      </c>
      <c r="C251" s="1">
        <v>946.55999799999995</v>
      </c>
      <c r="D251" s="1">
        <v>18.34</v>
      </c>
      <c r="E251" s="1">
        <v>1229.5699460000001</v>
      </c>
      <c r="F251" s="1">
        <v>-1943.719971</v>
      </c>
      <c r="G251" s="1">
        <v>7.92</v>
      </c>
      <c r="H251" s="1">
        <v>0</v>
      </c>
      <c r="I251" s="1">
        <v>0</v>
      </c>
      <c r="J251" s="1">
        <v>2.0525000000000002</v>
      </c>
      <c r="K251" s="1">
        <v>3.8600000000000001E-3</v>
      </c>
      <c r="L251" s="1">
        <v>7.6039999999999996E-3</v>
      </c>
      <c r="M251" s="1">
        <v>-0.45263300000000001</v>
      </c>
      <c r="N251" s="1">
        <v>0.891656</v>
      </c>
      <c r="O251">
        <v>1</v>
      </c>
      <c r="P251">
        <v>0</v>
      </c>
      <c r="Q251">
        <v>1</v>
      </c>
      <c r="R251">
        <v>1</v>
      </c>
      <c r="S251">
        <v>1</v>
      </c>
      <c r="T251" s="1">
        <f>SQRT(POWER(Breakout[[#This Row],[angvel_X]],2) + POWER(Breakout[[#This Row],[angvel_Y]],2) + POWER(Breakout[[#This Row],[angvel_Z]],2))</f>
        <v>2.0525000000000002</v>
      </c>
      <c r="U251" s="1">
        <f>DEGREES(ASIN(MAX(-1,MIN(1,2 * (Breakout[[#This Row],[quart_W]]*Breakout[[#This Row],[quart_Y]] - Breakout[[#This Row],[quart_Z]]*Breakout[[#This Row],[quart_X]])))))</f>
        <v>0.97720576502572876</v>
      </c>
      <c r="V25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143.82759209333895</v>
      </c>
      <c r="W25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90.000003343351224</v>
      </c>
      <c r="X251" s="1">
        <f>IF(Breakout[[#This Row],[Yaw]]&gt;V250,(360-ABS(Breakout[[#This Row],[Yaw]])-ABS(V250)),ABS(Breakout[[#This Row],[Yaw]]-V250))</f>
        <v>0.97977287676224023</v>
      </c>
      <c r="Y251" s="1">
        <f>Breakout[[#This Row],[Degree change]]+Y250</f>
        <v>185.32494078503768</v>
      </c>
    </row>
    <row r="252" spans="1:25">
      <c r="A252">
        <v>251</v>
      </c>
      <c r="B252" s="1">
        <v>-1702.7299800000001</v>
      </c>
      <c r="C252" s="1">
        <v>930.30999799999995</v>
      </c>
      <c r="D252" s="1">
        <v>18.34</v>
      </c>
      <c r="E252" s="1">
        <v>1262.6400149999999</v>
      </c>
      <c r="F252" s="1">
        <v>-1922.4099120000001</v>
      </c>
      <c r="G252" s="1">
        <v>7.92</v>
      </c>
      <c r="H252" s="1">
        <v>0</v>
      </c>
      <c r="I252" s="1">
        <v>0</v>
      </c>
      <c r="J252" s="1">
        <v>2.0525000000000002</v>
      </c>
      <c r="K252" s="1">
        <v>3.7950000000000002E-3</v>
      </c>
      <c r="L252" s="1">
        <v>7.6360000000000004E-3</v>
      </c>
      <c r="M252" s="1">
        <v>-0.44498900000000002</v>
      </c>
      <c r="N252" s="1">
        <v>0.89549500000000004</v>
      </c>
      <c r="O252">
        <v>1</v>
      </c>
      <c r="P252">
        <v>0</v>
      </c>
      <c r="Q252">
        <v>1</v>
      </c>
      <c r="R252">
        <v>1</v>
      </c>
      <c r="S252">
        <v>1</v>
      </c>
      <c r="T252" s="1">
        <f>SQRT(POWER(Breakout[[#This Row],[angvel_X]],2) + POWER(Breakout[[#This Row],[angvel_Y]],2) + POWER(Breakout[[#This Row],[angvel_Z]],2))</f>
        <v>2.0525000000000002</v>
      </c>
      <c r="U252" s="1">
        <f>DEGREES(ASIN(MAX(-1,MIN(1,2 * (Breakout[[#This Row],[quart_W]]*Breakout[[#This Row],[quart_Y]] - Breakout[[#This Row],[quart_Z]]*Breakout[[#This Row],[quart_X]])))))</f>
        <v>0.97713900241009599</v>
      </c>
      <c r="V25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142.84732623277128</v>
      </c>
      <c r="W25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89.999946418247816</v>
      </c>
      <c r="X252" s="1">
        <f>IF(Breakout[[#This Row],[Yaw]]&gt;V251,(360-ABS(Breakout[[#This Row],[Yaw]])-ABS(V251)),ABS(Breakout[[#This Row],[Yaw]]-V251))</f>
        <v>0.98026586056766973</v>
      </c>
      <c r="Y252" s="1">
        <f>Breakout[[#This Row],[Degree change]]+Y251</f>
        <v>186.30520664560535</v>
      </c>
    </row>
    <row r="253" spans="1:25">
      <c r="A253">
        <v>252</v>
      </c>
      <c r="B253" s="1">
        <v>-1692.169922</v>
      </c>
      <c r="C253" s="1">
        <v>914.23999000000003</v>
      </c>
      <c r="D253" s="1">
        <v>18.34</v>
      </c>
      <c r="E253" s="1">
        <v>1295.329956</v>
      </c>
      <c r="F253" s="1">
        <v>-1900.5299070000001</v>
      </c>
      <c r="G253" s="1">
        <v>7.92</v>
      </c>
      <c r="H253" s="1">
        <v>0</v>
      </c>
      <c r="I253" s="1">
        <v>0</v>
      </c>
      <c r="J253" s="1">
        <v>2.0525000000000002</v>
      </c>
      <c r="K253" s="1">
        <v>3.7309999999999999E-3</v>
      </c>
      <c r="L253" s="1">
        <v>7.6689999999999996E-3</v>
      </c>
      <c r="M253" s="1">
        <v>-0.43731199999999998</v>
      </c>
      <c r="N253" s="1">
        <v>0.89926899999999999</v>
      </c>
      <c r="O253">
        <v>1</v>
      </c>
      <c r="P253">
        <v>0</v>
      </c>
      <c r="Q253">
        <v>1</v>
      </c>
      <c r="R253">
        <v>1</v>
      </c>
      <c r="S253">
        <v>1</v>
      </c>
      <c r="T253" s="1">
        <f>SQRT(POWER(Breakout[[#This Row],[angvel_X]],2) + POWER(Breakout[[#This Row],[angvel_Y]],2) + POWER(Breakout[[#This Row],[angvel_Z]],2))</f>
        <v>2.0525000000000002</v>
      </c>
      <c r="U253" s="1">
        <f>DEGREES(ASIN(MAX(-1,MIN(1,2 * (Breakout[[#This Row],[quart_W]]*Breakout[[#This Row],[quart_Y]] - Breakout[[#This Row],[quart_Z]]*Breakout[[#This Row],[quart_X]])))))</f>
        <v>0.97729624008556248</v>
      </c>
      <c r="V25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141.86701541066407</v>
      </c>
      <c r="W25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89.999836464254727</v>
      </c>
      <c r="X253" s="1">
        <f>IF(Breakout[[#This Row],[Yaw]]&gt;V252,(360-ABS(Breakout[[#This Row],[Yaw]])-ABS(V252)),ABS(Breakout[[#This Row],[Yaw]]-V252))</f>
        <v>0.98031082210721365</v>
      </c>
      <c r="Y253" s="1">
        <f>Breakout[[#This Row],[Degree change]]+Y252</f>
        <v>187.28551746771257</v>
      </c>
    </row>
    <row r="254" spans="1:25">
      <c r="A254">
        <v>253</v>
      </c>
      <c r="B254" s="1">
        <v>-1681.329956</v>
      </c>
      <c r="C254" s="1">
        <v>898.34997599999997</v>
      </c>
      <c r="D254" s="1">
        <v>18.34</v>
      </c>
      <c r="E254" s="1">
        <v>1327.650024</v>
      </c>
      <c r="F254" s="1">
        <v>-1878.099976</v>
      </c>
      <c r="G254" s="1">
        <v>7.92</v>
      </c>
      <c r="H254" s="1">
        <v>0</v>
      </c>
      <c r="I254" s="1">
        <v>0</v>
      </c>
      <c r="J254" s="1">
        <v>2.0525000000000002</v>
      </c>
      <c r="K254" s="1">
        <v>3.666E-3</v>
      </c>
      <c r="L254" s="1">
        <v>7.7010000000000004E-3</v>
      </c>
      <c r="M254" s="1">
        <v>-0.42960300000000001</v>
      </c>
      <c r="N254" s="1">
        <v>0.90297799999999995</v>
      </c>
      <c r="O254">
        <v>1</v>
      </c>
      <c r="P254">
        <v>0</v>
      </c>
      <c r="Q254">
        <v>1</v>
      </c>
      <c r="R254">
        <v>1</v>
      </c>
      <c r="S254">
        <v>1</v>
      </c>
      <c r="T254" s="1">
        <f>SQRT(POWER(Breakout[[#This Row],[angvel_X]],2) + POWER(Breakout[[#This Row],[angvel_Y]],2) + POWER(Breakout[[#This Row],[angvel_Z]],2))</f>
        <v>2.0525000000000002</v>
      </c>
      <c r="U254" s="1">
        <f>DEGREES(ASIN(MAX(-1,MIN(1,2 * (Breakout[[#This Row],[quart_W]]*Breakout[[#This Row],[quart_Y]] - Breakout[[#This Row],[quart_Z]]*Breakout[[#This Row],[quart_X]])))))</f>
        <v>0.97737109565010272</v>
      </c>
      <c r="V25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140.88673034726719</v>
      </c>
      <c r="W25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89.999777127672033</v>
      </c>
      <c r="X254" s="1">
        <f>IF(Breakout[[#This Row],[Yaw]]&gt;V253,(360-ABS(Breakout[[#This Row],[Yaw]])-ABS(V253)),ABS(Breakout[[#This Row],[Yaw]]-V253))</f>
        <v>0.98028506339687738</v>
      </c>
      <c r="Y254" s="1">
        <f>Breakout[[#This Row],[Degree change]]+Y253</f>
        <v>188.26580253110944</v>
      </c>
    </row>
    <row r="255" spans="1:25">
      <c r="A255">
        <v>254</v>
      </c>
      <c r="B255" s="1">
        <v>-1670.219971</v>
      </c>
      <c r="C255" s="1">
        <v>882.64996299999996</v>
      </c>
      <c r="D255" s="1">
        <v>18.34</v>
      </c>
      <c r="E255" s="1">
        <v>1359.579956</v>
      </c>
      <c r="F255" s="1">
        <v>-1855.1099850000001</v>
      </c>
      <c r="G255" s="1">
        <v>7.92</v>
      </c>
      <c r="H255" s="1">
        <v>0</v>
      </c>
      <c r="I255" s="1">
        <v>0</v>
      </c>
      <c r="J255" s="1">
        <v>2.0525000000000002</v>
      </c>
      <c r="K255" s="1">
        <v>3.601E-3</v>
      </c>
      <c r="L255" s="1">
        <v>7.7330000000000003E-3</v>
      </c>
      <c r="M255" s="1">
        <v>-0.42186699999999999</v>
      </c>
      <c r="N255" s="1">
        <v>0.90661800000000003</v>
      </c>
      <c r="O255">
        <v>1</v>
      </c>
      <c r="P255">
        <v>0</v>
      </c>
      <c r="Q255">
        <v>1</v>
      </c>
      <c r="R255">
        <v>1</v>
      </c>
      <c r="S255">
        <v>1</v>
      </c>
      <c r="T255" s="1">
        <f>SQRT(POWER(Breakout[[#This Row],[angvel_X]],2) + POWER(Breakout[[#This Row],[angvel_Y]],2) + POWER(Breakout[[#This Row],[angvel_Z]],2))</f>
        <v>2.0525000000000002</v>
      </c>
      <c r="U255" s="1">
        <f>DEGREES(ASIN(MAX(-1,MIN(1,2 * (Breakout[[#This Row],[quart_W]]*Breakout[[#This Row],[quart_Y]] - Breakout[[#This Row],[quart_Z]]*Breakout[[#This Row],[quart_X]])))))</f>
        <v>0.97751571806379545</v>
      </c>
      <c r="V25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139.90698066558875</v>
      </c>
      <c r="W25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89.999721054206546</v>
      </c>
      <c r="X255" s="1">
        <f>IF(Breakout[[#This Row],[Yaw]]&gt;V254,(360-ABS(Breakout[[#This Row],[Yaw]])-ABS(V254)),ABS(Breakout[[#This Row],[Yaw]]-V254))</f>
        <v>0.97974968167844168</v>
      </c>
      <c r="Y255" s="1">
        <f>Breakout[[#This Row],[Degree change]]+Y254</f>
        <v>189.24555221278789</v>
      </c>
    </row>
    <row r="256" spans="1:25">
      <c r="A256">
        <v>255</v>
      </c>
      <c r="B256" s="1">
        <v>-1658.849976</v>
      </c>
      <c r="C256" s="1">
        <v>867.13995399999999</v>
      </c>
      <c r="D256" s="1">
        <v>18.34</v>
      </c>
      <c r="E256" s="1">
        <v>1391.1099850000001</v>
      </c>
      <c r="F256" s="1">
        <v>-1831.589966</v>
      </c>
      <c r="G256" s="1">
        <v>7.92</v>
      </c>
      <c r="H256" s="1">
        <v>0</v>
      </c>
      <c r="I256" s="1">
        <v>0</v>
      </c>
      <c r="J256" s="1">
        <v>2.0525000000000002</v>
      </c>
      <c r="K256" s="1">
        <v>3.5360000000000001E-3</v>
      </c>
      <c r="L256" s="1">
        <v>7.7660000000000003E-3</v>
      </c>
      <c r="M256" s="1">
        <v>-0.41409800000000002</v>
      </c>
      <c r="N256" s="1">
        <v>0.910192</v>
      </c>
      <c r="O256">
        <v>1</v>
      </c>
      <c r="P256">
        <v>0</v>
      </c>
      <c r="Q256">
        <v>1</v>
      </c>
      <c r="R256">
        <v>1</v>
      </c>
      <c r="S256">
        <v>1</v>
      </c>
      <c r="T256" s="1">
        <f>SQRT(POWER(Breakout[[#This Row],[angvel_X]],2) + POWER(Breakout[[#This Row],[angvel_Y]],2) + POWER(Breakout[[#This Row],[angvel_Z]],2))</f>
        <v>2.0525000000000002</v>
      </c>
      <c r="U256" s="1">
        <f>DEGREES(ASIN(MAX(-1,MIN(1,2 * (Breakout[[#This Row],[quart_W]]*Breakout[[#This Row],[quart_Y]] - Breakout[[#This Row],[quart_Z]]*Breakout[[#This Row],[quart_X]])))))</f>
        <v>0.97783450536352456</v>
      </c>
      <c r="V25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138.9269382320058</v>
      </c>
      <c r="W25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89.999707308410407</v>
      </c>
      <c r="X256" s="1">
        <f>IF(Breakout[[#This Row],[Yaw]]&gt;V255,(360-ABS(Breakout[[#This Row],[Yaw]])-ABS(V255)),ABS(Breakout[[#This Row],[Yaw]]-V255))</f>
        <v>0.98004243358295184</v>
      </c>
      <c r="Y256" s="1">
        <f>Breakout[[#This Row],[Degree change]]+Y255</f>
        <v>190.22559464637084</v>
      </c>
    </row>
    <row r="257" spans="1:25">
      <c r="A257">
        <v>256</v>
      </c>
      <c r="B257" s="1">
        <v>-1647.209961</v>
      </c>
      <c r="C257" s="1">
        <v>851.82000700000003</v>
      </c>
      <c r="D257" s="1">
        <v>18.34</v>
      </c>
      <c r="E257" s="1">
        <v>1422.2299800000001</v>
      </c>
      <c r="F257" s="1">
        <v>-1807.5299070000001</v>
      </c>
      <c r="G257" s="1">
        <v>7.92</v>
      </c>
      <c r="H257" s="1">
        <v>0</v>
      </c>
      <c r="I257" s="1">
        <v>0</v>
      </c>
      <c r="J257" s="1">
        <v>2.0525000000000002</v>
      </c>
      <c r="K257" s="1">
        <v>3.4719999999999998E-3</v>
      </c>
      <c r="L257" s="1">
        <v>7.7980000000000002E-3</v>
      </c>
      <c r="M257" s="1">
        <v>-0.40629700000000002</v>
      </c>
      <c r="N257" s="1">
        <v>0.91370099999999999</v>
      </c>
      <c r="O257">
        <v>1</v>
      </c>
      <c r="P257">
        <v>0</v>
      </c>
      <c r="Q257">
        <v>1</v>
      </c>
      <c r="R257">
        <v>1</v>
      </c>
      <c r="S257">
        <v>1</v>
      </c>
      <c r="T257" s="1">
        <f>SQRT(POWER(Breakout[[#This Row],[angvel_X]],2) + POWER(Breakout[[#This Row],[angvel_Y]],2) + POWER(Breakout[[#This Row],[angvel_Z]],2))</f>
        <v>2.0525000000000002</v>
      </c>
      <c r="U257" s="1">
        <f>DEGREES(ASIN(MAX(-1,MIN(1,2 * (Breakout[[#This Row],[quart_W]]*Breakout[[#This Row],[quart_Y]] - Breakout[[#This Row],[quart_Z]]*Breakout[[#This Row],[quart_X]])))))</f>
        <v>0.9781670964562249</v>
      </c>
      <c r="V25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137.9467049941978</v>
      </c>
      <c r="W25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89.999534018170067</v>
      </c>
      <c r="X257" s="1">
        <f>IF(Breakout[[#This Row],[Yaw]]&gt;V256,(360-ABS(Breakout[[#This Row],[Yaw]])-ABS(V256)),ABS(Breakout[[#This Row],[Yaw]]-V256))</f>
        <v>0.98023323780799387</v>
      </c>
      <c r="Y257" s="1">
        <f>Breakout[[#This Row],[Degree change]]+Y256</f>
        <v>191.20582788417883</v>
      </c>
    </row>
    <row r="258" spans="1:25">
      <c r="A258">
        <v>257</v>
      </c>
      <c r="B258" s="1">
        <v>-1635.309937</v>
      </c>
      <c r="C258" s="1">
        <v>836.70996100000002</v>
      </c>
      <c r="D258" s="1">
        <v>18.34</v>
      </c>
      <c r="E258" s="1">
        <v>1452.9399410000001</v>
      </c>
      <c r="F258" s="1">
        <v>-1782.9399410000001</v>
      </c>
      <c r="G258" s="1">
        <v>7.92</v>
      </c>
      <c r="H258" s="1">
        <v>0</v>
      </c>
      <c r="I258" s="1">
        <v>0</v>
      </c>
      <c r="J258" s="1">
        <v>2.0525000000000002</v>
      </c>
      <c r="K258" s="1">
        <v>3.4069999999999999E-3</v>
      </c>
      <c r="L258" s="1">
        <v>7.8250000000000004E-3</v>
      </c>
      <c r="M258" s="1">
        <v>-0.39846900000000002</v>
      </c>
      <c r="N258" s="1">
        <v>0.91714200000000001</v>
      </c>
      <c r="O258">
        <v>1</v>
      </c>
      <c r="P258">
        <v>0</v>
      </c>
      <c r="Q258">
        <v>1</v>
      </c>
      <c r="R258">
        <v>1</v>
      </c>
      <c r="S258">
        <v>1</v>
      </c>
      <c r="T258" s="1">
        <f>SQRT(POWER(Breakout[[#This Row],[angvel_X]],2) + POWER(Breakout[[#This Row],[angvel_Y]],2) + POWER(Breakout[[#This Row],[angvel_Z]],2))</f>
        <v>2.0525000000000002</v>
      </c>
      <c r="U258" s="1">
        <f>DEGREES(ASIN(MAX(-1,MIN(1,2 * (Breakout[[#This Row],[quart_W]]*Breakout[[#This Row],[quart_Y]] - Breakout[[#This Row],[quart_Z]]*Breakout[[#This Row],[quart_X]])))))</f>
        <v>0.97799706949019483</v>
      </c>
      <c r="V25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136.96680999819529</v>
      </c>
      <c r="W25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89.99923408804716</v>
      </c>
      <c r="X258" s="1">
        <f>IF(Breakout[[#This Row],[Yaw]]&gt;V257,(360-ABS(Breakout[[#This Row],[Yaw]])-ABS(V257)),ABS(Breakout[[#This Row],[Yaw]]-V257))</f>
        <v>0.97989499600251406</v>
      </c>
      <c r="Y258" s="1">
        <f>Breakout[[#This Row],[Degree change]]+Y257</f>
        <v>192.18572288018134</v>
      </c>
    </row>
    <row r="259" spans="1:25">
      <c r="A259">
        <v>258</v>
      </c>
      <c r="B259" s="1">
        <v>-1623.1599120000001</v>
      </c>
      <c r="C259" s="1">
        <v>821.79998799999998</v>
      </c>
      <c r="D259" s="1">
        <v>18.34</v>
      </c>
      <c r="E259" s="1">
        <v>1483.219971</v>
      </c>
      <c r="F259" s="1">
        <v>-1757.829956</v>
      </c>
      <c r="G259" s="1">
        <v>7.92</v>
      </c>
      <c r="H259" s="1">
        <v>0</v>
      </c>
      <c r="I259" s="1">
        <v>0</v>
      </c>
      <c r="J259" s="1">
        <v>2.0525000000000002</v>
      </c>
      <c r="K259" s="1">
        <v>3.3419999999999999E-3</v>
      </c>
      <c r="L259" s="1">
        <v>7.8519999999999996E-3</v>
      </c>
      <c r="M259" s="1">
        <v>-0.39060899999999998</v>
      </c>
      <c r="N259" s="1">
        <v>0.92051700000000003</v>
      </c>
      <c r="O259">
        <v>1</v>
      </c>
      <c r="P259">
        <v>0</v>
      </c>
      <c r="Q259">
        <v>1</v>
      </c>
      <c r="R259">
        <v>1</v>
      </c>
      <c r="S259">
        <v>1</v>
      </c>
      <c r="T259" s="1">
        <f>SQRT(POWER(Breakout[[#This Row],[angvel_X]],2) + POWER(Breakout[[#This Row],[angvel_Y]],2) + POWER(Breakout[[#This Row],[angvel_Z]],2))</f>
        <v>2.0525000000000002</v>
      </c>
      <c r="U259" s="1">
        <f>DEGREES(ASIN(MAX(-1,MIN(1,2 * (Breakout[[#This Row],[quart_W]]*Breakout[[#This Row],[quart_Y]] - Breakout[[#This Row],[quart_Z]]*Breakout[[#This Row],[quart_X]])))))</f>
        <v>0.9778933179624143</v>
      </c>
      <c r="V25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135.98655433634025</v>
      </c>
      <c r="W25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89.998933461803034</v>
      </c>
      <c r="X259" s="1">
        <f>IF(Breakout[[#This Row],[Yaw]]&gt;V258,(360-ABS(Breakout[[#This Row],[Yaw]])-ABS(V258)),ABS(Breakout[[#This Row],[Yaw]]-V258))</f>
        <v>0.98025566185503976</v>
      </c>
      <c r="Y259" s="1">
        <f>Breakout[[#This Row],[Degree change]]+Y258</f>
        <v>193.16597854203638</v>
      </c>
    </row>
    <row r="260" spans="1:25">
      <c r="A260">
        <v>259</v>
      </c>
      <c r="B260" s="1">
        <v>-1610.75</v>
      </c>
      <c r="C260" s="1">
        <v>807.09997599999997</v>
      </c>
      <c r="D260" s="1">
        <v>18.34</v>
      </c>
      <c r="E260" s="1">
        <v>1513.0699460000001</v>
      </c>
      <c r="F260" s="1">
        <v>-1732.1999510000001</v>
      </c>
      <c r="G260" s="1">
        <v>7.92</v>
      </c>
      <c r="H260" s="1">
        <v>0</v>
      </c>
      <c r="I260" s="1">
        <v>0</v>
      </c>
      <c r="J260" s="1">
        <v>2.0525000000000002</v>
      </c>
      <c r="K260" s="1">
        <v>3.277E-3</v>
      </c>
      <c r="L260" s="1">
        <v>7.8790000000000006E-3</v>
      </c>
      <c r="M260" s="1">
        <v>-0.38272200000000001</v>
      </c>
      <c r="N260" s="1">
        <v>0.92382399999999998</v>
      </c>
      <c r="O260">
        <v>1</v>
      </c>
      <c r="P260">
        <v>0</v>
      </c>
      <c r="Q260">
        <v>1</v>
      </c>
      <c r="R260">
        <v>1</v>
      </c>
      <c r="S260">
        <v>1</v>
      </c>
      <c r="T260" s="1">
        <f>SQRT(POWER(Breakout[[#This Row],[angvel_X]],2) + POWER(Breakout[[#This Row],[angvel_Y]],2) + POWER(Breakout[[#This Row],[angvel_Z]],2))</f>
        <v>2.0525000000000002</v>
      </c>
      <c r="U260" s="1">
        <f>DEGREES(ASIN(MAX(-1,MIN(1,2 * (Breakout[[#This Row],[quart_W]]*Breakout[[#This Row],[quart_Y]] - Breakout[[#This Row],[quart_Z]]*Breakout[[#This Row],[quart_X]])))))</f>
        <v>0.97785601618588536</v>
      </c>
      <c r="V26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135.00649597549275</v>
      </c>
      <c r="W26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89.998635633481598</v>
      </c>
      <c r="X260" s="1">
        <f>IF(Breakout[[#This Row],[Yaw]]&gt;V259,(360-ABS(Breakout[[#This Row],[Yaw]])-ABS(V259)),ABS(Breakout[[#This Row],[Yaw]]-V259))</f>
        <v>0.98005836084749376</v>
      </c>
      <c r="Y260" s="1">
        <f>Breakout[[#This Row],[Degree change]]+Y259</f>
        <v>194.14603690288388</v>
      </c>
    </row>
    <row r="261" spans="1:25">
      <c r="A261">
        <v>260</v>
      </c>
      <c r="B261" s="1">
        <v>-1598.089966</v>
      </c>
      <c r="C261" s="1">
        <v>792.61999500000002</v>
      </c>
      <c r="D261" s="1">
        <v>18.34</v>
      </c>
      <c r="E261" s="1">
        <v>1542.4799800000001</v>
      </c>
      <c r="F261" s="1">
        <v>-1706.0699460000001</v>
      </c>
      <c r="G261" s="1">
        <v>7.92</v>
      </c>
      <c r="H261" s="1">
        <v>0</v>
      </c>
      <c r="I261" s="1">
        <v>1E-4</v>
      </c>
      <c r="J261" s="1">
        <v>2.0525000000000002</v>
      </c>
      <c r="K261" s="1">
        <v>3.2070000000000002E-3</v>
      </c>
      <c r="L261" s="1">
        <v>7.9059999999999998E-3</v>
      </c>
      <c r="M261" s="1">
        <v>-0.37480799999999997</v>
      </c>
      <c r="N261" s="1">
        <v>0.92706299999999997</v>
      </c>
      <c r="O261">
        <v>1</v>
      </c>
      <c r="P261">
        <v>0</v>
      </c>
      <c r="Q261">
        <v>1</v>
      </c>
      <c r="R261">
        <v>1</v>
      </c>
      <c r="S261">
        <v>1</v>
      </c>
      <c r="T261" s="1">
        <f>SQRT(POWER(Breakout[[#This Row],[angvel_X]],2) + POWER(Breakout[[#This Row],[angvel_Y]],2) + POWER(Breakout[[#This Row],[angvel_Z]],2))</f>
        <v>2.0525000024360538</v>
      </c>
      <c r="U261" s="1">
        <f>DEGREES(ASIN(MAX(-1,MIN(1,2 * (Breakout[[#This Row],[quart_W]]*Breakout[[#This Row],[quart_Y]] - Breakout[[#This Row],[quart_Z]]*Breakout[[#This Row],[quart_X]])))))</f>
        <v>0.97767035586889262</v>
      </c>
      <c r="V26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134.0265635258543</v>
      </c>
      <c r="W26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89.998870078128547</v>
      </c>
      <c r="X261" s="1">
        <f>IF(Breakout[[#This Row],[Yaw]]&gt;V260,(360-ABS(Breakout[[#This Row],[Yaw]])-ABS(V260)),ABS(Breakout[[#This Row],[Yaw]]-V260))</f>
        <v>0.97993244963845427</v>
      </c>
      <c r="Y261" s="1">
        <f>Breakout[[#This Row],[Degree change]]+Y260</f>
        <v>195.12596935252233</v>
      </c>
    </row>
    <row r="262" spans="1:25">
      <c r="A262">
        <v>261</v>
      </c>
      <c r="B262" s="1">
        <v>-1585.1899410000001</v>
      </c>
      <c r="C262" s="1">
        <v>778.34997599999997</v>
      </c>
      <c r="D262" s="1">
        <v>18.34</v>
      </c>
      <c r="E262" s="1">
        <v>1571.4399410000001</v>
      </c>
      <c r="F262" s="1">
        <v>-1679.429932</v>
      </c>
      <c r="G262" s="1">
        <v>7.92</v>
      </c>
      <c r="H262" s="1">
        <v>0</v>
      </c>
      <c r="I262" s="1">
        <v>1E-4</v>
      </c>
      <c r="J262" s="1">
        <v>2.0525000000000002</v>
      </c>
      <c r="K262" s="1">
        <v>3.137E-3</v>
      </c>
      <c r="L262" s="1">
        <v>7.9330000000000008E-3</v>
      </c>
      <c r="M262" s="1">
        <v>-0.36686600000000003</v>
      </c>
      <c r="N262" s="1">
        <v>0.93023400000000001</v>
      </c>
      <c r="O262">
        <v>1</v>
      </c>
      <c r="P262">
        <v>0</v>
      </c>
      <c r="Q262">
        <v>1</v>
      </c>
      <c r="R262">
        <v>1</v>
      </c>
      <c r="S262">
        <v>1</v>
      </c>
      <c r="T262" s="1">
        <f>SQRT(POWER(Breakout[[#This Row],[angvel_X]],2) + POWER(Breakout[[#This Row],[angvel_Y]],2) + POWER(Breakout[[#This Row],[angvel_Z]],2))</f>
        <v>2.0525000024360538</v>
      </c>
      <c r="U262" s="1">
        <f>DEGREES(ASIN(MAX(-1,MIN(1,2 * (Breakout[[#This Row],[quart_W]]*Breakout[[#This Row],[quart_Y]] - Breakout[[#This Row],[quart_Z]]*Breakout[[#This Row],[quart_X]])))))</f>
        <v>0.97755983111883749</v>
      </c>
      <c r="V26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133.04654530180017</v>
      </c>
      <c r="W26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89.999106504993506</v>
      </c>
      <c r="X262" s="1">
        <f>IF(Breakout[[#This Row],[Yaw]]&gt;V261,(360-ABS(Breakout[[#This Row],[Yaw]])-ABS(V261)),ABS(Breakout[[#This Row],[Yaw]]-V261))</f>
        <v>0.98001822405413463</v>
      </c>
      <c r="Y262" s="1">
        <f>Breakout[[#This Row],[Degree change]]+Y261</f>
        <v>196.10598757657647</v>
      </c>
    </row>
    <row r="263" spans="1:25">
      <c r="A263">
        <v>262</v>
      </c>
      <c r="B263" s="1">
        <v>-1572.0399170000001</v>
      </c>
      <c r="C263" s="1">
        <v>764.30999799999995</v>
      </c>
      <c r="D263" s="1">
        <v>18.34</v>
      </c>
      <c r="E263" s="1">
        <v>1599.9399410000001</v>
      </c>
      <c r="F263" s="1">
        <v>-1652.299927</v>
      </c>
      <c r="G263" s="1">
        <v>7.92</v>
      </c>
      <c r="H263" s="1">
        <v>0</v>
      </c>
      <c r="I263" s="1">
        <v>1E-4</v>
      </c>
      <c r="J263" s="1">
        <v>2.0525000000000002</v>
      </c>
      <c r="K263" s="1">
        <v>3.0669999999999998E-3</v>
      </c>
      <c r="L263" s="1">
        <v>7.9600000000000001E-3</v>
      </c>
      <c r="M263" s="1">
        <v>-0.35889799999999999</v>
      </c>
      <c r="N263" s="1">
        <v>0.933338</v>
      </c>
      <c r="O263">
        <v>1</v>
      </c>
      <c r="P263">
        <v>0</v>
      </c>
      <c r="Q263">
        <v>1</v>
      </c>
      <c r="R263">
        <v>1</v>
      </c>
      <c r="S263">
        <v>1</v>
      </c>
      <c r="T263" s="1">
        <f>SQRT(POWER(Breakout[[#This Row],[angvel_X]],2) + POWER(Breakout[[#This Row],[angvel_Y]],2) + POWER(Breakout[[#This Row],[angvel_Z]],2))</f>
        <v>2.0525000024360538</v>
      </c>
      <c r="U263" s="1">
        <f>DEGREES(ASIN(MAX(-1,MIN(1,2 * (Breakout[[#This Row],[quart_W]]*Breakout[[#This Row],[quart_Y]] - Breakout[[#This Row],[quart_Z]]*Breakout[[#This Row],[quart_X]])))))</f>
        <v>0.97752609985107919</v>
      </c>
      <c r="V26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132.06667133017618</v>
      </c>
      <c r="W26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89.999344490614803</v>
      </c>
      <c r="X263" s="1">
        <f>IF(Breakout[[#This Row],[Yaw]]&gt;V262,(360-ABS(Breakout[[#This Row],[Yaw]])-ABS(V262)),ABS(Breakout[[#This Row],[Yaw]]-V262))</f>
        <v>0.97987397162398793</v>
      </c>
      <c r="Y263" s="1">
        <f>Breakout[[#This Row],[Degree change]]+Y262</f>
        <v>197.08586154820046</v>
      </c>
    </row>
    <row r="264" spans="1:25">
      <c r="A264">
        <v>263</v>
      </c>
      <c r="B264" s="1">
        <v>-1558.6599120000001</v>
      </c>
      <c r="C264" s="1">
        <v>750.48999000000003</v>
      </c>
      <c r="D264" s="1">
        <v>18.34</v>
      </c>
      <c r="E264" s="1">
        <v>1627.969971</v>
      </c>
      <c r="F264" s="1">
        <v>-1624.6899410000001</v>
      </c>
      <c r="G264" s="1">
        <v>7.92</v>
      </c>
      <c r="H264" s="1">
        <v>0</v>
      </c>
      <c r="I264" s="1">
        <v>1E-4</v>
      </c>
      <c r="J264" s="1">
        <v>2.0525000000000002</v>
      </c>
      <c r="K264" s="1">
        <v>2.9970000000000001E-3</v>
      </c>
      <c r="L264" s="1">
        <v>7.9869999999999993E-3</v>
      </c>
      <c r="M264" s="1">
        <v>-0.35090300000000002</v>
      </c>
      <c r="N264" s="1">
        <v>0.93637300000000001</v>
      </c>
      <c r="O264">
        <v>1</v>
      </c>
      <c r="P264">
        <v>0</v>
      </c>
      <c r="Q264">
        <v>1</v>
      </c>
      <c r="R264">
        <v>1</v>
      </c>
      <c r="S264">
        <v>1</v>
      </c>
      <c r="T264" s="1">
        <f>SQRT(POWER(Breakout[[#This Row],[angvel_X]],2) + POWER(Breakout[[#This Row],[angvel_Y]],2) + POWER(Breakout[[#This Row],[angvel_Z]],2))</f>
        <v>2.0525000024360538</v>
      </c>
      <c r="U264" s="1">
        <f>DEGREES(ASIN(MAX(-1,MIN(1,2 * (Breakout[[#This Row],[quart_W]]*Breakout[[#This Row],[quart_Y]] - Breakout[[#This Row],[quart_Z]]*Breakout[[#This Row],[quart_X]])))))</f>
        <v>0.97756699161245242</v>
      </c>
      <c r="V26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131.08667353654934</v>
      </c>
      <c r="W26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89.999581952691372</v>
      </c>
      <c r="X264" s="1">
        <f>IF(Breakout[[#This Row],[Yaw]]&gt;V263,(360-ABS(Breakout[[#This Row],[Yaw]])-ABS(V263)),ABS(Breakout[[#This Row],[Yaw]]-V263))</f>
        <v>0.97999779362683626</v>
      </c>
      <c r="Y264" s="1">
        <f>Breakout[[#This Row],[Degree change]]+Y263</f>
        <v>198.06585934182729</v>
      </c>
    </row>
    <row r="265" spans="1:25">
      <c r="A265">
        <v>264</v>
      </c>
      <c r="B265" s="1">
        <v>-1545.0399170000001</v>
      </c>
      <c r="C265" s="1">
        <v>736.90997300000004</v>
      </c>
      <c r="D265" s="1">
        <v>18.34</v>
      </c>
      <c r="E265" s="1">
        <v>1655.5200199999999</v>
      </c>
      <c r="F265" s="1">
        <v>-1596.6099850000001</v>
      </c>
      <c r="G265" s="1">
        <v>7.92</v>
      </c>
      <c r="H265" s="1">
        <v>0</v>
      </c>
      <c r="I265" s="1">
        <v>1E-4</v>
      </c>
      <c r="J265" s="1">
        <v>2.0525000000000002</v>
      </c>
      <c r="K265" s="1">
        <v>2.9269999999999999E-3</v>
      </c>
      <c r="L265" s="1">
        <v>8.0140000000000003E-3</v>
      </c>
      <c r="M265" s="1">
        <v>-0.34288099999999999</v>
      </c>
      <c r="N265" s="1">
        <v>0.93933999999999995</v>
      </c>
      <c r="O265">
        <v>1</v>
      </c>
      <c r="P265">
        <v>0</v>
      </c>
      <c r="Q265">
        <v>1</v>
      </c>
      <c r="R265">
        <v>1</v>
      </c>
      <c r="S265">
        <v>1</v>
      </c>
      <c r="T265" s="1">
        <f>SQRT(POWER(Breakout[[#This Row],[angvel_X]],2) + POWER(Breakout[[#This Row],[angvel_Y]],2) + POWER(Breakout[[#This Row],[angvel_Z]],2))</f>
        <v>2.0525000024360538</v>
      </c>
      <c r="U265" s="1">
        <f>DEGREES(ASIN(MAX(-1,MIN(1,2 * (Breakout[[#This Row],[quart_W]]*Breakout[[#This Row],[quart_Y]] - Breakout[[#This Row],[quart_Z]]*Breakout[[#This Row],[quart_X]])))))</f>
        <v>0.97768343415941927</v>
      </c>
      <c r="V26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130.10651312886321</v>
      </c>
      <c r="W26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89.999816644459202</v>
      </c>
      <c r="X265" s="1">
        <f>IF(Breakout[[#This Row],[Yaw]]&gt;V264,(360-ABS(Breakout[[#This Row],[Yaw]])-ABS(V264)),ABS(Breakout[[#This Row],[Yaw]]-V264))</f>
        <v>0.98016040768612811</v>
      </c>
      <c r="Y265" s="1">
        <f>Breakout[[#This Row],[Degree change]]+Y264</f>
        <v>199.04601974951342</v>
      </c>
    </row>
    <row r="266" spans="1:25">
      <c r="A266">
        <v>265</v>
      </c>
      <c r="B266" s="1">
        <v>-1531.1899410000001</v>
      </c>
      <c r="C266" s="1">
        <v>723.55999799999995</v>
      </c>
      <c r="D266" s="1">
        <v>18.34</v>
      </c>
      <c r="E266" s="1">
        <v>1682.589966</v>
      </c>
      <c r="F266" s="1">
        <v>-1568.059937</v>
      </c>
      <c r="G266" s="1">
        <v>7.92</v>
      </c>
      <c r="H266" s="1">
        <v>0</v>
      </c>
      <c r="I266" s="1">
        <v>0</v>
      </c>
      <c r="J266" s="1">
        <v>2.0525000000000002</v>
      </c>
      <c r="K266" s="1">
        <v>2.8570000000000002E-3</v>
      </c>
      <c r="L266" s="1">
        <v>8.0409999999999995E-3</v>
      </c>
      <c r="M266" s="1">
        <v>-0.334837</v>
      </c>
      <c r="N266" s="1">
        <v>0.94223699999999999</v>
      </c>
      <c r="O266">
        <v>1</v>
      </c>
      <c r="P266">
        <v>0</v>
      </c>
      <c r="Q266">
        <v>1</v>
      </c>
      <c r="R266">
        <v>1</v>
      </c>
      <c r="S266">
        <v>1</v>
      </c>
      <c r="T266" s="1">
        <f>SQRT(POWER(Breakout[[#This Row],[angvel_X]],2) + POWER(Breakout[[#This Row],[angvel_Y]],2) + POWER(Breakout[[#This Row],[angvel_Z]],2))</f>
        <v>2.0525000000000002</v>
      </c>
      <c r="U266" s="1">
        <f>DEGREES(ASIN(MAX(-1,MIN(1,2 * (Breakout[[#This Row],[quart_W]]*Breakout[[#This Row],[quart_Y]] - Breakout[[#This Row],[quart_Z]]*Breakout[[#This Row],[quart_X]])))))</f>
        <v>0.97787524011535076</v>
      </c>
      <c r="V26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129.12672313373025</v>
      </c>
      <c r="W26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90.000051941376029</v>
      </c>
      <c r="X266" s="1">
        <f>IF(Breakout[[#This Row],[Yaw]]&gt;V265,(360-ABS(Breakout[[#This Row],[Yaw]])-ABS(V265)),ABS(Breakout[[#This Row],[Yaw]]-V265))</f>
        <v>0.97978999513296117</v>
      </c>
      <c r="Y266" s="1">
        <f>Breakout[[#This Row],[Degree change]]+Y265</f>
        <v>200.02580974464638</v>
      </c>
    </row>
    <row r="267" spans="1:25">
      <c r="A267">
        <v>266</v>
      </c>
      <c r="B267" s="1">
        <v>-1517.1099850000001</v>
      </c>
      <c r="C267" s="1">
        <v>710.45001200000002</v>
      </c>
      <c r="D267" s="1">
        <v>18.34</v>
      </c>
      <c r="E267" s="1">
        <v>1709.1599120000001</v>
      </c>
      <c r="F267" s="1">
        <v>-1539.049927</v>
      </c>
      <c r="G267" s="1">
        <v>7.92</v>
      </c>
      <c r="H267" s="1">
        <v>0</v>
      </c>
      <c r="I267" s="1">
        <v>0</v>
      </c>
      <c r="J267" s="1">
        <v>2.0525000000000002</v>
      </c>
      <c r="K267" s="1">
        <v>2.7859999999999998E-3</v>
      </c>
      <c r="L267" s="1">
        <v>8.0630000000000007E-3</v>
      </c>
      <c r="M267" s="1">
        <v>-0.32676699999999997</v>
      </c>
      <c r="N267" s="1">
        <v>0.94506599999999996</v>
      </c>
      <c r="O267">
        <v>1</v>
      </c>
      <c r="P267">
        <v>0</v>
      </c>
      <c r="Q267">
        <v>1</v>
      </c>
      <c r="R267">
        <v>1</v>
      </c>
      <c r="S267">
        <v>1</v>
      </c>
      <c r="T267" s="1">
        <f>SQRT(POWER(Breakout[[#This Row],[angvel_X]],2) + POWER(Breakout[[#This Row],[angvel_Y]],2) + POWER(Breakout[[#This Row],[angvel_Z]],2))</f>
        <v>2.0525000000000002</v>
      </c>
      <c r="U267" s="1">
        <f>DEGREES(ASIN(MAX(-1,MIN(1,2 * (Breakout[[#This Row],[quart_W]]*Breakout[[#This Row],[quart_Y]] - Breakout[[#This Row],[quart_Z]]*Breakout[[#This Row],[quart_X]])))))</f>
        <v>0.97756384882529479</v>
      </c>
      <c r="V26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128.14675596928672</v>
      </c>
      <c r="W26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90.000202678368922</v>
      </c>
      <c r="X267" s="1">
        <f>IF(Breakout[[#This Row],[Yaw]]&gt;V266,(360-ABS(Breakout[[#This Row],[Yaw]])-ABS(V266)),ABS(Breakout[[#This Row],[Yaw]]-V266))</f>
        <v>0.97996716444353638</v>
      </c>
      <c r="Y267" s="1">
        <f>Breakout[[#This Row],[Degree change]]+Y266</f>
        <v>201.00577690908992</v>
      </c>
    </row>
    <row r="268" spans="1:25">
      <c r="A268">
        <v>267</v>
      </c>
      <c r="B268" s="1">
        <v>-1502.809937</v>
      </c>
      <c r="C268" s="1">
        <v>697.57995600000004</v>
      </c>
      <c r="D268" s="1">
        <v>18.34</v>
      </c>
      <c r="E268" s="1">
        <v>1735.2299800000001</v>
      </c>
      <c r="F268" s="1">
        <v>-1509.589966</v>
      </c>
      <c r="G268" s="1">
        <v>7.92</v>
      </c>
      <c r="H268" s="1">
        <v>0</v>
      </c>
      <c r="I268" s="1">
        <v>0</v>
      </c>
      <c r="J268" s="1">
        <v>2.0525000000000002</v>
      </c>
      <c r="K268" s="1">
        <v>2.7160000000000001E-3</v>
      </c>
      <c r="L268" s="1">
        <v>8.0839999999999992E-3</v>
      </c>
      <c r="M268" s="1">
        <v>-0.31867499999999999</v>
      </c>
      <c r="N268" s="1">
        <v>0.94782599999999995</v>
      </c>
      <c r="O268">
        <v>1</v>
      </c>
      <c r="P268">
        <v>0</v>
      </c>
      <c r="Q268">
        <v>1</v>
      </c>
      <c r="R268">
        <v>1</v>
      </c>
      <c r="S268">
        <v>1</v>
      </c>
      <c r="T268" s="1">
        <f>SQRT(POWER(Breakout[[#This Row],[angvel_X]],2) + POWER(Breakout[[#This Row],[angvel_Y]],2) + POWER(Breakout[[#This Row],[angvel_Z]],2))</f>
        <v>2.0525000000000002</v>
      </c>
      <c r="U268" s="1">
        <f>DEGREES(ASIN(MAX(-1,MIN(1,2 * (Breakout[[#This Row],[quart_W]]*Breakout[[#This Row],[quart_Y]] - Breakout[[#This Row],[quart_Z]]*Breakout[[#This Row],[quart_X]])))))</f>
        <v>0.97725517034090525</v>
      </c>
      <c r="V26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127.16703905960512</v>
      </c>
      <c r="W26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90.00021469376243</v>
      </c>
      <c r="X268" s="1">
        <f>IF(Breakout[[#This Row],[Yaw]]&gt;V267,(360-ABS(Breakout[[#This Row],[Yaw]])-ABS(V267)),ABS(Breakout[[#This Row],[Yaw]]-V267))</f>
        <v>0.97971690968159919</v>
      </c>
      <c r="Y268" s="1">
        <f>Breakout[[#This Row],[Degree change]]+Y267</f>
        <v>201.98549381877152</v>
      </c>
    </row>
    <row r="269" spans="1:25">
      <c r="A269">
        <v>268</v>
      </c>
      <c r="B269" s="1">
        <v>-1488.2899170000001</v>
      </c>
      <c r="C269" s="1">
        <v>684.95996100000002</v>
      </c>
      <c r="D269" s="1">
        <v>18.34</v>
      </c>
      <c r="E269" s="1">
        <v>1760.799927</v>
      </c>
      <c r="F269" s="1">
        <v>-1479.6899410000001</v>
      </c>
      <c r="G269" s="1">
        <v>7.92</v>
      </c>
      <c r="H269" s="1">
        <v>0</v>
      </c>
      <c r="I269" s="1">
        <v>0</v>
      </c>
      <c r="J269" s="1">
        <v>2.0525000000000002</v>
      </c>
      <c r="K269" s="1">
        <v>2.6459999999999999E-3</v>
      </c>
      <c r="L269" s="1">
        <v>8.1060000000000004E-3</v>
      </c>
      <c r="M269" s="1">
        <v>-0.31055500000000003</v>
      </c>
      <c r="N269" s="1">
        <v>0.95051699999999995</v>
      </c>
      <c r="O269">
        <v>1</v>
      </c>
      <c r="P269">
        <v>0</v>
      </c>
      <c r="Q269">
        <v>1</v>
      </c>
      <c r="R269">
        <v>1</v>
      </c>
      <c r="S269">
        <v>1</v>
      </c>
      <c r="T269" s="1">
        <f>SQRT(POWER(Breakout[[#This Row],[angvel_X]],2) + POWER(Breakout[[#This Row],[angvel_Y]],2) + POWER(Breakout[[#This Row],[angvel_Z]],2))</f>
        <v>2.0525000000000002</v>
      </c>
      <c r="U269" s="1">
        <f>DEGREES(ASIN(MAX(-1,MIN(1,2 * (Breakout[[#This Row],[quart_W]]*Breakout[[#This Row],[quart_Y]] - Breakout[[#This Row],[quart_Z]]*Breakout[[#This Row],[quart_X]])))))</f>
        <v>0.97712596652673267</v>
      </c>
      <c r="V26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126.18671965664757</v>
      </c>
      <c r="W26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90.000262550023066</v>
      </c>
      <c r="X269" s="1">
        <f>IF(Breakout[[#This Row],[Yaw]]&gt;V268,(360-ABS(Breakout[[#This Row],[Yaw]])-ABS(V268)),ABS(Breakout[[#This Row],[Yaw]]-V268))</f>
        <v>0.98031940295754794</v>
      </c>
      <c r="Y269" s="1">
        <f>Breakout[[#This Row],[Degree change]]+Y268</f>
        <v>202.96581322172906</v>
      </c>
    </row>
    <row r="270" spans="1:25">
      <c r="A270">
        <v>269</v>
      </c>
      <c r="B270" s="1">
        <v>-1473.559937</v>
      </c>
      <c r="C270" s="1">
        <v>672.589966</v>
      </c>
      <c r="D270" s="1">
        <v>18.34</v>
      </c>
      <c r="E270" s="1">
        <v>1785.849976</v>
      </c>
      <c r="F270" s="1">
        <v>-1449.3599850000001</v>
      </c>
      <c r="G270" s="1">
        <v>7.92</v>
      </c>
      <c r="H270" s="1">
        <v>0</v>
      </c>
      <c r="I270" s="1">
        <v>0</v>
      </c>
      <c r="J270" s="1">
        <v>2.0525000000000002</v>
      </c>
      <c r="K270" s="1">
        <v>2.5760000000000002E-3</v>
      </c>
      <c r="L270" s="1">
        <v>8.1270000000000005E-3</v>
      </c>
      <c r="M270" s="1">
        <v>-0.30241499999999999</v>
      </c>
      <c r="N270" s="1">
        <v>0.95313800000000004</v>
      </c>
      <c r="O270">
        <v>1</v>
      </c>
      <c r="P270">
        <v>0</v>
      </c>
      <c r="Q270">
        <v>1</v>
      </c>
      <c r="R270">
        <v>1</v>
      </c>
      <c r="S270">
        <v>1</v>
      </c>
      <c r="T270" s="1">
        <f>SQRT(POWER(Breakout[[#This Row],[angvel_X]],2) + POWER(Breakout[[#This Row],[angvel_Y]],2) + POWER(Breakout[[#This Row],[angvel_Z]],2))</f>
        <v>2.0525000000000002</v>
      </c>
      <c r="U270" s="1">
        <f>DEGREES(ASIN(MAX(-1,MIN(1,2 * (Breakout[[#This Row],[quart_W]]*Breakout[[#This Row],[quart_Y]] - Breakout[[#This Row],[quart_Z]]*Breakout[[#This Row],[quart_X]])))))</f>
        <v>0.97696026985577067</v>
      </c>
      <c r="V27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125.20674026617893</v>
      </c>
      <c r="W27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90.000280012749897</v>
      </c>
      <c r="X270" s="1">
        <f>IF(Breakout[[#This Row],[Yaw]]&gt;V269,(360-ABS(Breakout[[#This Row],[Yaw]])-ABS(V269)),ABS(Breakout[[#This Row],[Yaw]]-V269))</f>
        <v>0.97997939046864246</v>
      </c>
      <c r="Y270" s="1">
        <f>Breakout[[#This Row],[Degree change]]+Y269</f>
        <v>203.94579261219769</v>
      </c>
    </row>
    <row r="271" spans="1:25">
      <c r="A271">
        <v>270</v>
      </c>
      <c r="B271" s="1">
        <v>-1458.619995</v>
      </c>
      <c r="C271" s="1">
        <v>660.46997099999999</v>
      </c>
      <c r="D271" s="1">
        <v>18.34</v>
      </c>
      <c r="E271" s="1">
        <v>1810.380005</v>
      </c>
      <c r="F271" s="1">
        <v>-1418.599976</v>
      </c>
      <c r="G271" s="1">
        <v>7.92</v>
      </c>
      <c r="H271" s="1">
        <v>0</v>
      </c>
      <c r="I271" s="1">
        <v>0</v>
      </c>
      <c r="J271" s="1">
        <v>2.0525000000000002</v>
      </c>
      <c r="K271" s="1">
        <v>2.506E-3</v>
      </c>
      <c r="L271" s="1">
        <v>8.149E-3</v>
      </c>
      <c r="M271" s="1">
        <v>-0.29425200000000001</v>
      </c>
      <c r="N271" s="1">
        <v>0.95569000000000004</v>
      </c>
      <c r="O271">
        <v>1</v>
      </c>
      <c r="P271">
        <v>0</v>
      </c>
      <c r="Q271">
        <v>1</v>
      </c>
      <c r="R271">
        <v>1</v>
      </c>
      <c r="S271">
        <v>1</v>
      </c>
      <c r="T271" s="1">
        <f>SQRT(POWER(Breakout[[#This Row],[angvel_X]],2) + POWER(Breakout[[#This Row],[angvel_Y]],2) + POWER(Breakout[[#This Row],[angvel_Z]],2))</f>
        <v>2.0525000000000002</v>
      </c>
      <c r="U271" s="1">
        <f>DEGREES(ASIN(MAX(-1,MIN(1,2 * (Breakout[[#This Row],[quart_W]]*Breakout[[#This Row],[quart_Y]] - Breakout[[#This Row],[quart_Z]]*Breakout[[#This Row],[quart_X]])))))</f>
        <v>0.97697628704211426</v>
      </c>
      <c r="V27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124.22666841487116</v>
      </c>
      <c r="W27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90.000332410597878</v>
      </c>
      <c r="X271" s="1">
        <f>IF(Breakout[[#This Row],[Yaw]]&gt;V270,(360-ABS(Breakout[[#This Row],[Yaw]])-ABS(V270)),ABS(Breakout[[#This Row],[Yaw]]-V270))</f>
        <v>0.98007185130776975</v>
      </c>
      <c r="Y271" s="1">
        <f>Breakout[[#This Row],[Degree change]]+Y270</f>
        <v>204.92586446350546</v>
      </c>
    </row>
    <row r="272" spans="1:25">
      <c r="A272">
        <v>271</v>
      </c>
      <c r="B272" s="1">
        <v>-1443.4799800000001</v>
      </c>
      <c r="C272" s="1">
        <v>648.60998500000005</v>
      </c>
      <c r="D272" s="1">
        <v>18.34</v>
      </c>
      <c r="E272" s="1">
        <v>1834.380005</v>
      </c>
      <c r="F272" s="1">
        <v>-1387.429932</v>
      </c>
      <c r="G272" s="1">
        <v>7.92</v>
      </c>
      <c r="H272" s="1">
        <v>0</v>
      </c>
      <c r="I272" s="1">
        <v>0</v>
      </c>
      <c r="J272" s="1">
        <v>2.0525000000000002</v>
      </c>
      <c r="K272" s="1">
        <v>2.4359999999999998E-3</v>
      </c>
      <c r="L272" s="1">
        <v>8.1700000000000002E-3</v>
      </c>
      <c r="M272" s="1">
        <v>-0.28606799999999999</v>
      </c>
      <c r="N272" s="1">
        <v>0.95817099999999999</v>
      </c>
      <c r="O272">
        <v>1</v>
      </c>
      <c r="P272">
        <v>0</v>
      </c>
      <c r="Q272">
        <v>1</v>
      </c>
      <c r="R272">
        <v>1</v>
      </c>
      <c r="S272">
        <v>1</v>
      </c>
      <c r="T272" s="1">
        <f>SQRT(POWER(Breakout[[#This Row],[angvel_X]],2) + POWER(Breakout[[#This Row],[angvel_Y]],2) + POWER(Breakout[[#This Row],[angvel_Z]],2))</f>
        <v>2.0525000000000002</v>
      </c>
      <c r="U272" s="1">
        <f>DEGREES(ASIN(MAX(-1,MIN(1,2 * (Breakout[[#This Row],[quart_W]]*Breakout[[#This Row],[quart_Y]] - Breakout[[#This Row],[quart_Z]]*Breakout[[#This Row],[quart_X]])))))</f>
        <v>0.97695398382416077</v>
      </c>
      <c r="V27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123.24663289284794</v>
      </c>
      <c r="W27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90.000351962299476</v>
      </c>
      <c r="X272" s="1">
        <f>IF(Breakout[[#This Row],[Yaw]]&gt;V271,(360-ABS(Breakout[[#This Row],[Yaw]])-ABS(V271)),ABS(Breakout[[#This Row],[Yaw]]-V271))</f>
        <v>0.98003552202321487</v>
      </c>
      <c r="Y272" s="1">
        <f>Breakout[[#This Row],[Degree change]]+Y271</f>
        <v>205.90589998552866</v>
      </c>
    </row>
    <row r="273" spans="1:25">
      <c r="A273">
        <v>272</v>
      </c>
      <c r="B273" s="1">
        <v>-1428.1400149999999</v>
      </c>
      <c r="C273" s="1">
        <v>637.01000999999997</v>
      </c>
      <c r="D273" s="1">
        <v>18.34</v>
      </c>
      <c r="E273" s="1">
        <v>1857.839966</v>
      </c>
      <c r="F273" s="1">
        <v>-1355.849976</v>
      </c>
      <c r="G273" s="1">
        <v>7.92</v>
      </c>
      <c r="H273" s="1">
        <v>0</v>
      </c>
      <c r="I273" s="1">
        <v>0</v>
      </c>
      <c r="J273" s="1">
        <v>2.0525000000000002</v>
      </c>
      <c r="K273" s="1">
        <v>2.366E-3</v>
      </c>
      <c r="L273" s="1">
        <v>8.1919999999999996E-3</v>
      </c>
      <c r="M273" s="1">
        <v>-0.27786300000000003</v>
      </c>
      <c r="N273" s="1">
        <v>0.96058299999999996</v>
      </c>
      <c r="O273">
        <v>1</v>
      </c>
      <c r="P273">
        <v>0</v>
      </c>
      <c r="Q273">
        <v>1</v>
      </c>
      <c r="R273">
        <v>1</v>
      </c>
      <c r="S273">
        <v>1</v>
      </c>
      <c r="T273" s="1">
        <f>SQRT(POWER(Breakout[[#This Row],[angvel_X]],2) + POWER(Breakout[[#This Row],[angvel_Y]],2) + POWER(Breakout[[#This Row],[angvel_Z]],2))</f>
        <v>2.0525000000000002</v>
      </c>
      <c r="U273" s="1">
        <f>DEGREES(ASIN(MAX(-1,MIN(1,2 * (Breakout[[#This Row],[quart_W]]*Breakout[[#This Row],[quart_Y]] - Breakout[[#This Row],[quart_Z]]*Breakout[[#This Row],[quart_X]])))))</f>
        <v>0.97711455865325025</v>
      </c>
      <c r="V27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122.26661840224256</v>
      </c>
      <c r="W27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90.000402769746742</v>
      </c>
      <c r="X273" s="1">
        <f>IF(Breakout[[#This Row],[Yaw]]&gt;V272,(360-ABS(Breakout[[#This Row],[Yaw]])-ABS(V272)),ABS(Breakout[[#This Row],[Yaw]]-V272))</f>
        <v>0.98001449060538448</v>
      </c>
      <c r="Y273" s="1">
        <f>Breakout[[#This Row],[Degree change]]+Y272</f>
        <v>206.88591447613405</v>
      </c>
    </row>
    <row r="274" spans="1:25">
      <c r="A274">
        <v>273</v>
      </c>
      <c r="B274" s="1">
        <v>-1412.599976</v>
      </c>
      <c r="C274" s="1">
        <v>625.669983</v>
      </c>
      <c r="D274" s="1">
        <v>18.34</v>
      </c>
      <c r="E274" s="1">
        <v>1880.76001</v>
      </c>
      <c r="F274" s="1">
        <v>-1323.880005</v>
      </c>
      <c r="G274" s="1">
        <v>7.92</v>
      </c>
      <c r="H274" s="1">
        <v>0</v>
      </c>
      <c r="I274" s="1">
        <v>0</v>
      </c>
      <c r="J274" s="1">
        <v>2.0525000000000002</v>
      </c>
      <c r="K274" s="1">
        <v>2.2950000000000002E-3</v>
      </c>
      <c r="L274" s="1">
        <v>8.2140000000000008E-3</v>
      </c>
      <c r="M274" s="1">
        <v>-0.26963599999999999</v>
      </c>
      <c r="N274" s="1">
        <v>0.96292500000000003</v>
      </c>
      <c r="O274">
        <v>1</v>
      </c>
      <c r="P274">
        <v>0</v>
      </c>
      <c r="Q274">
        <v>1</v>
      </c>
      <c r="R274">
        <v>1</v>
      </c>
      <c r="S274">
        <v>1</v>
      </c>
      <c r="T274" s="1">
        <f>SQRT(POWER(Breakout[[#This Row],[angvel_X]],2) + POWER(Breakout[[#This Row],[angvel_Y]],2) + POWER(Breakout[[#This Row],[angvel_Z]],2))</f>
        <v>2.0525000000000002</v>
      </c>
      <c r="U274" s="1">
        <f>DEGREES(ASIN(MAX(-1,MIN(1,2 * (Breakout[[#This Row],[quart_W]]*Breakout[[#This Row],[quart_Y]] - Breakout[[#This Row],[quart_Z]]*Breakout[[#This Row],[quart_X]])))))</f>
        <v>0.97731635807063733</v>
      </c>
      <c r="V27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121.28639939730321</v>
      </c>
      <c r="W27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90.000558970590291</v>
      </c>
      <c r="X274" s="1">
        <f>IF(Breakout[[#This Row],[Yaw]]&gt;V273,(360-ABS(Breakout[[#This Row],[Yaw]])-ABS(V273)),ABS(Breakout[[#This Row],[Yaw]]-V273))</f>
        <v>0.98021900493934311</v>
      </c>
      <c r="Y274" s="1">
        <f>Breakout[[#This Row],[Degree change]]+Y273</f>
        <v>207.8661334810734</v>
      </c>
    </row>
    <row r="275" spans="1:25">
      <c r="A275">
        <v>274</v>
      </c>
      <c r="B275" s="1">
        <v>-1396.869995</v>
      </c>
      <c r="C275" s="1">
        <v>614.59997599999997</v>
      </c>
      <c r="D275" s="1">
        <v>18.34</v>
      </c>
      <c r="E275" s="1">
        <v>1903.130005</v>
      </c>
      <c r="F275" s="1">
        <v>-1291.5200199999999</v>
      </c>
      <c r="G275" s="1">
        <v>7.92</v>
      </c>
      <c r="H275" s="1">
        <v>0</v>
      </c>
      <c r="I275" s="1">
        <v>0</v>
      </c>
      <c r="J275" s="1">
        <v>2.0525000000000002</v>
      </c>
      <c r="K275" s="1">
        <v>2.225E-3</v>
      </c>
      <c r="L275" s="1">
        <v>8.2349999999999993E-3</v>
      </c>
      <c r="M275" s="1">
        <v>-0.26139200000000001</v>
      </c>
      <c r="N275" s="1">
        <v>0.96519500000000003</v>
      </c>
      <c r="O275">
        <v>1</v>
      </c>
      <c r="P275">
        <v>0</v>
      </c>
      <c r="Q275">
        <v>1</v>
      </c>
      <c r="R275">
        <v>1</v>
      </c>
      <c r="S275">
        <v>1</v>
      </c>
      <c r="T275" s="1">
        <f>SQRT(POWER(Breakout[[#This Row],[angvel_X]],2) + POWER(Breakout[[#This Row],[angvel_Y]],2) + POWER(Breakout[[#This Row],[angvel_Z]],2))</f>
        <v>2.0525000000000002</v>
      </c>
      <c r="U275" s="1">
        <f>DEGREES(ASIN(MAX(-1,MIN(1,2 * (Breakout[[#This Row],[quart_W]]*Breakout[[#This Row],[quart_Y]] - Breakout[[#This Row],[quart_Z]]*Breakout[[#This Row],[quart_X]])))))</f>
        <v>0.97751090039189303</v>
      </c>
      <c r="V27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120.30648215551373</v>
      </c>
      <c r="W27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90.000573527702741</v>
      </c>
      <c r="X275" s="1">
        <f>IF(Breakout[[#This Row],[Yaw]]&gt;V274,(360-ABS(Breakout[[#This Row],[Yaw]])-ABS(V274)),ABS(Breakout[[#This Row],[Yaw]]-V274))</f>
        <v>0.97991724178947948</v>
      </c>
      <c r="Y275" s="1">
        <f>Breakout[[#This Row],[Degree change]]+Y274</f>
        <v>208.84605072286288</v>
      </c>
    </row>
    <row r="276" spans="1:25">
      <c r="A276">
        <v>275</v>
      </c>
      <c r="B276" s="1">
        <v>-1380.9499510000001</v>
      </c>
      <c r="C276" s="1">
        <v>603.79998799999998</v>
      </c>
      <c r="D276" s="1">
        <v>18.34</v>
      </c>
      <c r="E276" s="1">
        <v>1924.9399410000001</v>
      </c>
      <c r="F276" s="1">
        <v>-1258.780029</v>
      </c>
      <c r="G276" s="1">
        <v>7.92</v>
      </c>
      <c r="H276" s="1">
        <v>0</v>
      </c>
      <c r="I276" s="1">
        <v>0</v>
      </c>
      <c r="J276" s="1">
        <v>2.0525000000000002</v>
      </c>
      <c r="K276" s="1">
        <v>2.1549999999999998E-3</v>
      </c>
      <c r="L276" s="1">
        <v>8.2509999999999997E-3</v>
      </c>
      <c r="M276" s="1">
        <v>-0.25312800000000002</v>
      </c>
      <c r="N276" s="1">
        <v>0.967395</v>
      </c>
      <c r="O276">
        <v>1</v>
      </c>
      <c r="P276">
        <v>0</v>
      </c>
      <c r="Q276">
        <v>1</v>
      </c>
      <c r="R276">
        <v>1</v>
      </c>
      <c r="S276">
        <v>1</v>
      </c>
      <c r="T276" s="1">
        <f>SQRT(POWER(Breakout[[#This Row],[angvel_X]],2) + POWER(Breakout[[#This Row],[angvel_Y]],2) + POWER(Breakout[[#This Row],[angvel_Z]],2))</f>
        <v>2.0525000000000002</v>
      </c>
      <c r="U276" s="1">
        <f>DEGREES(ASIN(MAX(-1,MIN(1,2 * (Breakout[[#This Row],[quart_W]]*Breakout[[#This Row],[quart_Y]] - Breakout[[#This Row],[quart_Z]]*Breakout[[#This Row],[quart_X]])))))</f>
        <v>0.97722311453389676</v>
      </c>
      <c r="V27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119.32646595998544</v>
      </c>
      <c r="W27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90.000438136139934</v>
      </c>
      <c r="X276" s="1">
        <f>IF(Breakout[[#This Row],[Yaw]]&gt;V275,(360-ABS(Breakout[[#This Row],[Yaw]])-ABS(V275)),ABS(Breakout[[#This Row],[Yaw]]-V275))</f>
        <v>0.98001619552829311</v>
      </c>
      <c r="Y276" s="1">
        <f>Breakout[[#This Row],[Degree change]]+Y275</f>
        <v>209.82606691839118</v>
      </c>
    </row>
    <row r="277" spans="1:25">
      <c r="A277">
        <v>276</v>
      </c>
      <c r="B277" s="1">
        <v>-1364.849976</v>
      </c>
      <c r="C277" s="1">
        <v>593.27996800000005</v>
      </c>
      <c r="D277" s="1">
        <v>18.34</v>
      </c>
      <c r="E277" s="1">
        <v>1946.1899410000001</v>
      </c>
      <c r="F277" s="1">
        <v>-1225.669922</v>
      </c>
      <c r="G277" s="1">
        <v>7.92</v>
      </c>
      <c r="H277" s="1">
        <v>0</v>
      </c>
      <c r="I277" s="1">
        <v>0</v>
      </c>
      <c r="J277" s="1">
        <v>2.0525000000000002</v>
      </c>
      <c r="K277" s="1">
        <v>2.085E-3</v>
      </c>
      <c r="L277" s="1">
        <v>8.2679999999999993E-3</v>
      </c>
      <c r="M277" s="1">
        <v>-0.24484600000000001</v>
      </c>
      <c r="N277" s="1">
        <v>0.96952400000000005</v>
      </c>
      <c r="O277">
        <v>1</v>
      </c>
      <c r="P277">
        <v>0</v>
      </c>
      <c r="Q277">
        <v>1</v>
      </c>
      <c r="R277">
        <v>1</v>
      </c>
      <c r="S277">
        <v>1</v>
      </c>
      <c r="T277" s="1">
        <f>SQRT(POWER(Breakout[[#This Row],[angvel_X]],2) + POWER(Breakout[[#This Row],[angvel_Y]],2) + POWER(Breakout[[#This Row],[angvel_Z]],2))</f>
        <v>2.0525000000000002</v>
      </c>
      <c r="U277" s="1">
        <f>DEGREES(ASIN(MAX(-1,MIN(1,2 * (Breakout[[#This Row],[quart_W]]*Breakout[[#This Row],[quart_Y]] - Breakout[[#This Row],[quart_Z]]*Breakout[[#This Row],[quart_X]])))))</f>
        <v>0.9771155383243546</v>
      </c>
      <c r="V27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118.34650890248956</v>
      </c>
      <c r="W27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90.00033570903642</v>
      </c>
      <c r="X277" s="1">
        <f>IF(Breakout[[#This Row],[Yaw]]&gt;V276,(360-ABS(Breakout[[#This Row],[Yaw]])-ABS(V276)),ABS(Breakout[[#This Row],[Yaw]]-V276))</f>
        <v>0.97995705749588069</v>
      </c>
      <c r="Y277" s="1">
        <f>Breakout[[#This Row],[Degree change]]+Y276</f>
        <v>210.80602397588706</v>
      </c>
    </row>
    <row r="278" spans="1:25">
      <c r="A278">
        <v>277</v>
      </c>
      <c r="B278" s="1">
        <v>-1348.5699460000001</v>
      </c>
      <c r="C278" s="1">
        <v>583.02996800000005</v>
      </c>
      <c r="D278" s="1">
        <v>18.34</v>
      </c>
      <c r="E278" s="1">
        <v>1966.869995</v>
      </c>
      <c r="F278" s="1">
        <v>-1192.1999510000001</v>
      </c>
      <c r="G278" s="1">
        <v>7.92</v>
      </c>
      <c r="H278" s="1">
        <v>0</v>
      </c>
      <c r="I278" s="1">
        <v>0</v>
      </c>
      <c r="J278" s="1">
        <v>2.0525000000000002</v>
      </c>
      <c r="K278" s="1">
        <v>2.0149999999999999E-3</v>
      </c>
      <c r="L278" s="1">
        <v>8.2839999999999997E-3</v>
      </c>
      <c r="M278" s="1">
        <v>-0.236544</v>
      </c>
      <c r="N278" s="1">
        <v>0.97158299999999997</v>
      </c>
      <c r="O278">
        <v>1</v>
      </c>
      <c r="P278">
        <v>0</v>
      </c>
      <c r="Q278">
        <v>1</v>
      </c>
      <c r="R278">
        <v>1</v>
      </c>
      <c r="S278">
        <v>1</v>
      </c>
      <c r="T278" s="1">
        <f>SQRT(POWER(Breakout[[#This Row],[angvel_X]],2) + POWER(Breakout[[#This Row],[angvel_Y]],2) + POWER(Breakout[[#This Row],[angvel_Z]],2))</f>
        <v>2.0525000000000002</v>
      </c>
      <c r="U278" s="1">
        <f>DEGREES(ASIN(MAX(-1,MIN(1,2 * (Breakout[[#This Row],[quart_W]]*Breakout[[#This Row],[quart_Y]] - Breakout[[#This Row],[quart_Z]]*Breakout[[#This Row],[quart_X]])))))</f>
        <v>0.97696670694102539</v>
      </c>
      <c r="V27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117.36631424450889</v>
      </c>
      <c r="W27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90.000205234783849</v>
      </c>
      <c r="X278" s="1">
        <f>IF(Breakout[[#This Row],[Yaw]]&gt;V277,(360-ABS(Breakout[[#This Row],[Yaw]])-ABS(V277)),ABS(Breakout[[#This Row],[Yaw]]-V277))</f>
        <v>0.98019465798067529</v>
      </c>
      <c r="Y278" s="1">
        <f>Breakout[[#This Row],[Degree change]]+Y277</f>
        <v>211.78621863386775</v>
      </c>
    </row>
    <row r="279" spans="1:25">
      <c r="A279">
        <v>278</v>
      </c>
      <c r="B279" s="1">
        <v>-1332.119995</v>
      </c>
      <c r="C279" s="1">
        <v>573.05999799999995</v>
      </c>
      <c r="D279" s="1">
        <v>18.34</v>
      </c>
      <c r="E279" s="1">
        <v>1986.969971</v>
      </c>
      <c r="F279" s="1">
        <v>-1158.380005</v>
      </c>
      <c r="G279" s="1">
        <v>7.92</v>
      </c>
      <c r="H279" s="1">
        <v>0</v>
      </c>
      <c r="I279" s="1">
        <v>0</v>
      </c>
      <c r="J279" s="1">
        <v>2.0525000000000002</v>
      </c>
      <c r="K279" s="1">
        <v>1.9449999999999999E-3</v>
      </c>
      <c r="L279" s="1">
        <v>8.3000000000000001E-3</v>
      </c>
      <c r="M279" s="1">
        <v>-0.22822500000000001</v>
      </c>
      <c r="N279" s="1">
        <v>0.97357099999999996</v>
      </c>
      <c r="O279">
        <v>1</v>
      </c>
      <c r="P279">
        <v>0</v>
      </c>
      <c r="Q279">
        <v>1</v>
      </c>
      <c r="R279">
        <v>1</v>
      </c>
      <c r="S279">
        <v>1</v>
      </c>
      <c r="T279" s="1">
        <f>SQRT(POWER(Breakout[[#This Row],[angvel_X]],2) + POWER(Breakout[[#This Row],[angvel_Y]],2) + POWER(Breakout[[#This Row],[angvel_Z]],2))</f>
        <v>2.0525000000000002</v>
      </c>
      <c r="U279" s="1">
        <f>DEGREES(ASIN(MAX(-1,MIN(1,2 * (Breakout[[#This Row],[quart_W]]*Breakout[[#This Row],[quart_Y]] - Breakout[[#This Row],[quart_Z]]*Breakout[[#This Row],[quart_X]])))))</f>
        <v>0.976887305565179</v>
      </c>
      <c r="V27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116.38615969023779</v>
      </c>
      <c r="W27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90.000077005833958</v>
      </c>
      <c r="X279" s="1">
        <f>IF(Breakout[[#This Row],[Yaw]]&gt;V278,(360-ABS(Breakout[[#This Row],[Yaw]])-ABS(V278)),ABS(Breakout[[#This Row],[Yaw]]-V278))</f>
        <v>0.98015455427109544</v>
      </c>
      <c r="Y279" s="1">
        <f>Breakout[[#This Row],[Degree change]]+Y278</f>
        <v>212.76637318813886</v>
      </c>
    </row>
    <row r="280" spans="1:25">
      <c r="A280">
        <v>279</v>
      </c>
      <c r="B280" s="1">
        <v>-1315.5</v>
      </c>
      <c r="C280" s="1">
        <v>563.38000499999998</v>
      </c>
      <c r="D280" s="1">
        <v>18.34</v>
      </c>
      <c r="E280" s="1">
        <v>2006.48999</v>
      </c>
      <c r="F280" s="1">
        <v>-1124.2299800000001</v>
      </c>
      <c r="G280" s="1">
        <v>7.92</v>
      </c>
      <c r="H280" s="1">
        <v>0</v>
      </c>
      <c r="I280" s="1">
        <v>0</v>
      </c>
      <c r="J280" s="1">
        <v>2.0525000000000002</v>
      </c>
      <c r="K280" s="1">
        <v>1.8749999999999999E-3</v>
      </c>
      <c r="L280" s="1">
        <v>8.3160000000000005E-3</v>
      </c>
      <c r="M280" s="1">
        <v>-0.21989</v>
      </c>
      <c r="N280" s="1">
        <v>0.97548699999999999</v>
      </c>
      <c r="O280">
        <v>1</v>
      </c>
      <c r="P280">
        <v>0</v>
      </c>
      <c r="Q280">
        <v>1</v>
      </c>
      <c r="R280">
        <v>1</v>
      </c>
      <c r="S280">
        <v>1</v>
      </c>
      <c r="T280" s="1">
        <f>SQRT(POWER(Breakout[[#This Row],[angvel_X]],2) + POWER(Breakout[[#This Row],[angvel_Y]],2) + POWER(Breakout[[#This Row],[angvel_Z]],2))</f>
        <v>2.0525000000000002</v>
      </c>
      <c r="U280" s="1">
        <f>DEGREES(ASIN(MAX(-1,MIN(1,2 * (Breakout[[#This Row],[quart_W]]*Breakout[[#This Row],[quart_Y]] - Breakout[[#This Row],[quart_Z]]*Breakout[[#This Row],[quart_X]])))))</f>
        <v>0.97687661456690156</v>
      </c>
      <c r="V28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115.40607299433023</v>
      </c>
      <c r="W28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89.999950387822182</v>
      </c>
      <c r="X280" s="1">
        <f>IF(Breakout[[#This Row],[Yaw]]&gt;V279,(360-ABS(Breakout[[#This Row],[Yaw]])-ABS(V279)),ABS(Breakout[[#This Row],[Yaw]]-V279))</f>
        <v>0.98008669590755915</v>
      </c>
      <c r="Y280" s="1">
        <f>Breakout[[#This Row],[Degree change]]+Y279</f>
        <v>213.74645988404643</v>
      </c>
    </row>
    <row r="281" spans="1:25">
      <c r="A281">
        <v>280</v>
      </c>
      <c r="B281" s="1">
        <v>-1298.719971</v>
      </c>
      <c r="C281" s="1">
        <v>553.97997999999995</v>
      </c>
      <c r="D281" s="1">
        <v>18.34</v>
      </c>
      <c r="E281" s="1">
        <v>2025.429932</v>
      </c>
      <c r="F281" s="1">
        <v>-1089.75</v>
      </c>
      <c r="G281" s="1">
        <v>7.92</v>
      </c>
      <c r="H281" s="1">
        <v>0</v>
      </c>
      <c r="I281" s="1">
        <v>0</v>
      </c>
      <c r="J281" s="1">
        <v>2.0525000000000002</v>
      </c>
      <c r="K281" s="1">
        <v>1.805E-3</v>
      </c>
      <c r="L281" s="1">
        <v>8.3320000000000009E-3</v>
      </c>
      <c r="M281" s="1">
        <v>-0.211539</v>
      </c>
      <c r="N281" s="1">
        <v>0.97733199999999998</v>
      </c>
      <c r="O281">
        <v>1</v>
      </c>
      <c r="P281">
        <v>0</v>
      </c>
      <c r="Q281">
        <v>1</v>
      </c>
      <c r="R281">
        <v>1</v>
      </c>
      <c r="S281">
        <v>1</v>
      </c>
      <c r="T281" s="1">
        <f>SQRT(POWER(Breakout[[#This Row],[angvel_X]],2) + POWER(Breakout[[#This Row],[angvel_Y]],2) + POWER(Breakout[[#This Row],[angvel_Z]],2))</f>
        <v>2.0525000000000002</v>
      </c>
      <c r="U281" s="1">
        <f>DEGREES(ASIN(MAX(-1,MIN(1,2 * (Breakout[[#This Row],[quart_W]]*Breakout[[#This Row],[quart_Y]] - Breakout[[#This Row],[quart_Z]]*Breakout[[#This Row],[quart_X]])))))</f>
        <v>0.97693557785882446</v>
      </c>
      <c r="V28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114.42600523768813</v>
      </c>
      <c r="W28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89.999823352977472</v>
      </c>
      <c r="X281" s="1">
        <f>IF(Breakout[[#This Row],[Yaw]]&gt;V280,(360-ABS(Breakout[[#This Row],[Yaw]])-ABS(V280)),ABS(Breakout[[#This Row],[Yaw]]-V280))</f>
        <v>0.98006775664210011</v>
      </c>
      <c r="Y281" s="1">
        <f>Breakout[[#This Row],[Degree change]]+Y280</f>
        <v>214.72652764068852</v>
      </c>
    </row>
    <row r="282" spans="1:25">
      <c r="A282">
        <v>281</v>
      </c>
      <c r="B282" s="1">
        <v>-1281.780029</v>
      </c>
      <c r="C282" s="1">
        <v>544.86999500000002</v>
      </c>
      <c r="D282" s="1">
        <v>18.34</v>
      </c>
      <c r="E282" s="1">
        <v>2043.7698969999999</v>
      </c>
      <c r="F282" s="1">
        <v>-1054.9399410000001</v>
      </c>
      <c r="G282" s="1">
        <v>7.92</v>
      </c>
      <c r="H282" s="1">
        <v>0</v>
      </c>
      <c r="I282" s="1">
        <v>0</v>
      </c>
      <c r="J282" s="1">
        <v>2.0525000000000002</v>
      </c>
      <c r="K282" s="1">
        <v>1.7340000000000001E-3</v>
      </c>
      <c r="L282" s="1">
        <v>8.3479999999999995E-3</v>
      </c>
      <c r="M282" s="1">
        <v>-0.20317099999999999</v>
      </c>
      <c r="N282" s="1">
        <v>0.97910600000000003</v>
      </c>
      <c r="O282">
        <v>1</v>
      </c>
      <c r="P282">
        <v>0</v>
      </c>
      <c r="Q282">
        <v>1</v>
      </c>
      <c r="R282">
        <v>1</v>
      </c>
      <c r="S282">
        <v>1</v>
      </c>
      <c r="T282" s="1">
        <f>SQRT(POWER(Breakout[[#This Row],[angvel_X]],2) + POWER(Breakout[[#This Row],[angvel_Y]],2) + POWER(Breakout[[#This Row],[angvel_Z]],2))</f>
        <v>2.0525000000000002</v>
      </c>
      <c r="U282" s="1">
        <f>DEGREES(ASIN(MAX(-1,MIN(1,2 * (Breakout[[#This Row],[quart_W]]*Breakout[[#This Row],[quart_Y]] - Breakout[[#This Row],[quart_Z]]*Breakout[[#This Row],[quart_X]])))))</f>
        <v>0.97704070603097848</v>
      </c>
      <c r="V28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113.44576357380238</v>
      </c>
      <c r="W28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89.999805361314827</v>
      </c>
      <c r="X282" s="1">
        <f>IF(Breakout[[#This Row],[Yaw]]&gt;V281,(360-ABS(Breakout[[#This Row],[Yaw]])-ABS(V281)),ABS(Breakout[[#This Row],[Yaw]]-V281))</f>
        <v>0.9802416638857494</v>
      </c>
      <c r="Y282" s="1">
        <f>Breakout[[#This Row],[Degree change]]+Y281</f>
        <v>215.70676930457427</v>
      </c>
    </row>
    <row r="283" spans="1:25">
      <c r="A283">
        <v>282</v>
      </c>
      <c r="B283" s="1">
        <v>-1264.6899410000001</v>
      </c>
      <c r="C283" s="1">
        <v>536.04998799999998</v>
      </c>
      <c r="D283" s="1">
        <v>18.34</v>
      </c>
      <c r="E283" s="1">
        <v>2061.5200199999999</v>
      </c>
      <c r="F283" s="1">
        <v>-1019.829956</v>
      </c>
      <c r="G283" s="1">
        <v>7.92</v>
      </c>
      <c r="H283" s="1">
        <v>0</v>
      </c>
      <c r="I283" s="1">
        <v>0</v>
      </c>
      <c r="J283" s="1">
        <v>2.0525000000000002</v>
      </c>
      <c r="K283" s="1">
        <v>1.6639999999999999E-3</v>
      </c>
      <c r="L283" s="1">
        <v>8.3649999999999992E-3</v>
      </c>
      <c r="M283" s="1">
        <v>-0.19479299999999999</v>
      </c>
      <c r="N283" s="1">
        <v>0.98080699999999998</v>
      </c>
      <c r="O283">
        <v>1</v>
      </c>
      <c r="P283">
        <v>0</v>
      </c>
      <c r="Q283">
        <v>1</v>
      </c>
      <c r="R283">
        <v>1</v>
      </c>
      <c r="S283">
        <v>1</v>
      </c>
      <c r="T283" s="1">
        <f>SQRT(POWER(Breakout[[#This Row],[angvel_X]],2) + POWER(Breakout[[#This Row],[angvel_Y]],2) + POWER(Breakout[[#This Row],[angvel_Z]],2))</f>
        <v>2.0525000000000002</v>
      </c>
      <c r="U283" s="1">
        <f>DEGREES(ASIN(MAX(-1,MIN(1,2 * (Breakout[[#This Row],[quart_W]]*Breakout[[#This Row],[quart_Y]] - Breakout[[#This Row],[quart_Z]]*Breakout[[#This Row],[quart_X]])))))</f>
        <v>0.97735137512605108</v>
      </c>
      <c r="V28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112.46608213816178</v>
      </c>
      <c r="W28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89.999699794851395</v>
      </c>
      <c r="X283" s="1">
        <f>IF(Breakout[[#This Row],[Yaw]]&gt;V282,(360-ABS(Breakout[[#This Row],[Yaw]])-ABS(V282)),ABS(Breakout[[#This Row],[Yaw]]-V282))</f>
        <v>0.97968143564060028</v>
      </c>
      <c r="Y283" s="1">
        <f>Breakout[[#This Row],[Degree change]]+Y282</f>
        <v>216.68645074021487</v>
      </c>
    </row>
    <row r="284" spans="1:25">
      <c r="A284">
        <v>283</v>
      </c>
      <c r="B284" s="1">
        <v>-1247.4499510000001</v>
      </c>
      <c r="C284" s="1">
        <v>527.52996800000005</v>
      </c>
      <c r="D284" s="1">
        <v>18.34</v>
      </c>
      <c r="E284" s="1">
        <v>2078.6599120000001</v>
      </c>
      <c r="F284" s="1">
        <v>-984.419983</v>
      </c>
      <c r="G284" s="1">
        <v>7.92</v>
      </c>
      <c r="H284" s="1">
        <v>0</v>
      </c>
      <c r="I284" s="1">
        <v>0</v>
      </c>
      <c r="J284" s="1">
        <v>2.0525000000000002</v>
      </c>
      <c r="K284" s="1">
        <v>1.5939999999999999E-3</v>
      </c>
      <c r="L284" s="1">
        <v>8.3809999999999996E-3</v>
      </c>
      <c r="M284" s="1">
        <v>-0.18639900000000001</v>
      </c>
      <c r="N284" s="1">
        <v>0.982437</v>
      </c>
      <c r="O284">
        <v>1</v>
      </c>
      <c r="P284">
        <v>0</v>
      </c>
      <c r="Q284">
        <v>1</v>
      </c>
      <c r="R284">
        <v>1</v>
      </c>
      <c r="S284">
        <v>1</v>
      </c>
      <c r="T284" s="1">
        <f>SQRT(POWER(Breakout[[#This Row],[angvel_X]],2) + POWER(Breakout[[#This Row],[angvel_Y]],2) + POWER(Breakout[[#This Row],[angvel_Z]],2))</f>
        <v>2.0525000000000002</v>
      </c>
      <c r="U284" s="1">
        <f>DEGREES(ASIN(MAX(-1,MIN(1,2 * (Breakout[[#This Row],[quart_W]]*Breakout[[#This Row],[quart_Y]] - Breakout[[#This Row],[quart_Z]]*Breakout[[#This Row],[quart_X]])))))</f>
        <v>0.9776193745696734</v>
      </c>
      <c r="V28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111.48620192484447</v>
      </c>
      <c r="W28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89.999565112264392</v>
      </c>
      <c r="X284" s="1">
        <f>IF(Breakout[[#This Row],[Yaw]]&gt;V283,(360-ABS(Breakout[[#This Row],[Yaw]])-ABS(V283)),ABS(Breakout[[#This Row],[Yaw]]-V283))</f>
        <v>0.97988021331731545</v>
      </c>
      <c r="Y284" s="1">
        <f>Breakout[[#This Row],[Degree change]]+Y283</f>
        <v>217.66633095353217</v>
      </c>
    </row>
    <row r="285" spans="1:25">
      <c r="A285">
        <v>284</v>
      </c>
      <c r="B285" s="1">
        <v>-1230.059937</v>
      </c>
      <c r="C285" s="1">
        <v>519.29998799999998</v>
      </c>
      <c r="D285" s="1">
        <v>18.34</v>
      </c>
      <c r="E285" s="1">
        <v>2095.1899410000001</v>
      </c>
      <c r="F285" s="1">
        <v>-948.71997099999999</v>
      </c>
      <c r="G285" s="1">
        <v>7.92</v>
      </c>
      <c r="H285" s="1">
        <v>0</v>
      </c>
      <c r="I285" s="1">
        <v>0</v>
      </c>
      <c r="J285" s="1">
        <v>2.0525000000000002</v>
      </c>
      <c r="K285" s="1">
        <v>1.524E-3</v>
      </c>
      <c r="L285" s="1">
        <v>8.3920000000000002E-3</v>
      </c>
      <c r="M285" s="1">
        <v>-0.17798800000000001</v>
      </c>
      <c r="N285" s="1">
        <v>0.98399599999999998</v>
      </c>
      <c r="O285">
        <v>1</v>
      </c>
      <c r="P285">
        <v>0</v>
      </c>
      <c r="Q285">
        <v>1</v>
      </c>
      <c r="R285">
        <v>1</v>
      </c>
      <c r="S285">
        <v>1</v>
      </c>
      <c r="T285" s="1">
        <f>SQRT(POWER(Breakout[[#This Row],[angvel_X]],2) + POWER(Breakout[[#This Row],[angvel_Y]],2) + POWER(Breakout[[#This Row],[angvel_Z]],2))</f>
        <v>2.0525000000000002</v>
      </c>
      <c r="U285" s="1">
        <f>DEGREES(ASIN(MAX(-1,MIN(1,2 * (Breakout[[#This Row],[quart_W]]*Breakout[[#This Row],[quart_Y]] - Breakout[[#This Row],[quart_Z]]*Breakout[[#This Row],[quart_X]])))))</f>
        <v>0.97739286754705179</v>
      </c>
      <c r="V28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110.50593078192969</v>
      </c>
      <c r="W28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89.999319845056959</v>
      </c>
      <c r="X285" s="1">
        <f>IF(Breakout[[#This Row],[Yaw]]&gt;V284,(360-ABS(Breakout[[#This Row],[Yaw]])-ABS(V284)),ABS(Breakout[[#This Row],[Yaw]]-V284))</f>
        <v>0.98027114291477346</v>
      </c>
      <c r="Y285" s="1">
        <f>Breakout[[#This Row],[Degree change]]+Y284</f>
        <v>218.64660209644694</v>
      </c>
    </row>
    <row r="286" spans="1:25">
      <c r="A286">
        <v>285</v>
      </c>
      <c r="B286" s="1">
        <v>-1212.5399170000001</v>
      </c>
      <c r="C286" s="1">
        <v>511.36999500000002</v>
      </c>
      <c r="D286" s="1">
        <v>18.34</v>
      </c>
      <c r="E286" s="1">
        <v>2111.1098630000001</v>
      </c>
      <c r="F286" s="1">
        <v>-912.75</v>
      </c>
      <c r="G286" s="1">
        <v>7.92</v>
      </c>
      <c r="H286" s="1">
        <v>0</v>
      </c>
      <c r="I286" s="1">
        <v>0</v>
      </c>
      <c r="J286" s="1">
        <v>2.0525000000000002</v>
      </c>
      <c r="K286" s="1">
        <v>1.454E-3</v>
      </c>
      <c r="L286" s="1">
        <v>8.4019999999999997E-3</v>
      </c>
      <c r="M286" s="1">
        <v>-0.169567</v>
      </c>
      <c r="N286" s="1">
        <v>0.98548199999999997</v>
      </c>
      <c r="O286">
        <v>1</v>
      </c>
      <c r="P286">
        <v>0</v>
      </c>
      <c r="Q286">
        <v>1</v>
      </c>
      <c r="R286">
        <v>1</v>
      </c>
      <c r="S286">
        <v>1</v>
      </c>
      <c r="T286" s="1">
        <f>SQRT(POWER(Breakout[[#This Row],[angvel_X]],2) + POWER(Breakout[[#This Row],[angvel_Y]],2) + POWER(Breakout[[#This Row],[angvel_Z]],2))</f>
        <v>2.0525000000000002</v>
      </c>
      <c r="U286" s="1">
        <f>DEGREES(ASIN(MAX(-1,MIN(1,2 * (Breakout[[#This Row],[quart_W]]*Breakout[[#This Row],[quart_Y]] - Breakout[[#This Row],[quart_Z]]*Breakout[[#This Row],[quart_X]])))))</f>
        <v>0.97712033353247796</v>
      </c>
      <c r="V28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109.526001933685</v>
      </c>
      <c r="W28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89.999061485395416</v>
      </c>
      <c r="X286" s="1">
        <f>IF(Breakout[[#This Row],[Yaw]]&gt;V285,(360-ABS(Breakout[[#This Row],[Yaw]])-ABS(V285)),ABS(Breakout[[#This Row],[Yaw]]-V285))</f>
        <v>0.97992884824469684</v>
      </c>
      <c r="Y286" s="1">
        <f>Breakout[[#This Row],[Degree change]]+Y285</f>
        <v>219.62653094469164</v>
      </c>
    </row>
    <row r="287" spans="1:25">
      <c r="A287">
        <v>286</v>
      </c>
      <c r="B287" s="1">
        <v>-1194.880005</v>
      </c>
      <c r="C287" s="1">
        <v>503.73998999999998</v>
      </c>
      <c r="D287" s="1">
        <v>18.34</v>
      </c>
      <c r="E287" s="1">
        <v>2126.419922</v>
      </c>
      <c r="F287" s="1">
        <v>-876.51000999999997</v>
      </c>
      <c r="G287" s="1">
        <v>7.92</v>
      </c>
      <c r="H287" s="1">
        <v>0</v>
      </c>
      <c r="I287" s="1">
        <v>0</v>
      </c>
      <c r="J287" s="1">
        <v>2.0525000000000002</v>
      </c>
      <c r="K287" s="1">
        <v>1.384E-3</v>
      </c>
      <c r="L287" s="1">
        <v>8.4130000000000003E-3</v>
      </c>
      <c r="M287" s="1">
        <v>-0.161135</v>
      </c>
      <c r="N287" s="1">
        <v>0.986896</v>
      </c>
      <c r="O287">
        <v>1</v>
      </c>
      <c r="P287">
        <v>0</v>
      </c>
      <c r="Q287">
        <v>1</v>
      </c>
      <c r="R287">
        <v>1</v>
      </c>
      <c r="S287">
        <v>1</v>
      </c>
      <c r="T287" s="1">
        <f>SQRT(POWER(Breakout[[#This Row],[angvel_X]],2) + POWER(Breakout[[#This Row],[angvel_Y]],2) + POWER(Breakout[[#This Row],[angvel_Z]],2))</f>
        <v>2.0525000000000002</v>
      </c>
      <c r="U287" s="1">
        <f>DEGREES(ASIN(MAX(-1,MIN(1,2 * (Breakout[[#This Row],[quart_W]]*Breakout[[#This Row],[quart_Y]] - Breakout[[#This Row],[quart_Z]]*Breakout[[#This Row],[quart_X]])))))</f>
        <v>0.9770282694343877</v>
      </c>
      <c r="V28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108.54624163598839</v>
      </c>
      <c r="W28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89.998826949437216</v>
      </c>
      <c r="X287" s="1">
        <f>IF(Breakout[[#This Row],[Yaw]]&gt;V286,(360-ABS(Breakout[[#This Row],[Yaw]])-ABS(V286)),ABS(Breakout[[#This Row],[Yaw]]-V286))</f>
        <v>0.97976029769660045</v>
      </c>
      <c r="Y287" s="1">
        <f>Breakout[[#This Row],[Degree change]]+Y286</f>
        <v>220.60629124238824</v>
      </c>
    </row>
    <row r="288" spans="1:25">
      <c r="A288">
        <v>287</v>
      </c>
      <c r="B288" s="1">
        <v>-1177.089966</v>
      </c>
      <c r="C288" s="1">
        <v>496.41000400000001</v>
      </c>
      <c r="D288" s="1">
        <v>18.34</v>
      </c>
      <c r="E288" s="1">
        <v>2141.0998540000001</v>
      </c>
      <c r="F288" s="1">
        <v>-840.01000999999997</v>
      </c>
      <c r="G288" s="1">
        <v>7.92</v>
      </c>
      <c r="H288" s="1">
        <v>0</v>
      </c>
      <c r="I288" s="1">
        <v>1E-4</v>
      </c>
      <c r="J288" s="1">
        <v>2.0525000000000002</v>
      </c>
      <c r="K288" s="1">
        <v>1.3140000000000001E-3</v>
      </c>
      <c r="L288" s="1">
        <v>8.4239999999999992E-3</v>
      </c>
      <c r="M288" s="1">
        <v>-0.15268699999999999</v>
      </c>
      <c r="N288" s="1">
        <v>0.98823799999999995</v>
      </c>
      <c r="O288">
        <v>1</v>
      </c>
      <c r="P288">
        <v>0</v>
      </c>
      <c r="Q288">
        <v>1</v>
      </c>
      <c r="R288">
        <v>1</v>
      </c>
      <c r="S288">
        <v>1</v>
      </c>
      <c r="T288" s="1">
        <f>SQRT(POWER(Breakout[[#This Row],[angvel_X]],2) + POWER(Breakout[[#This Row],[angvel_Y]],2) + POWER(Breakout[[#This Row],[angvel_Z]],2))</f>
        <v>2.0525000024360538</v>
      </c>
      <c r="U288" s="1">
        <f>DEGREES(ASIN(MAX(-1,MIN(1,2 * (Breakout[[#This Row],[quart_W]]*Breakout[[#This Row],[quart_Y]] - Breakout[[#This Row],[quart_Z]]*Breakout[[#This Row],[quart_X]])))))</f>
        <v>0.97700314066501182</v>
      </c>
      <c r="V28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107.56598325153733</v>
      </c>
      <c r="W28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89.998589236523742</v>
      </c>
      <c r="X288" s="1">
        <f>IF(Breakout[[#This Row],[Yaw]]&gt;V287,(360-ABS(Breakout[[#This Row],[Yaw]])-ABS(V287)),ABS(Breakout[[#This Row],[Yaw]]-V287))</f>
        <v>0.98025838445106217</v>
      </c>
      <c r="Y288" s="1">
        <f>Breakout[[#This Row],[Degree change]]+Y287</f>
        <v>221.58654962683931</v>
      </c>
    </row>
    <row r="289" spans="1:25">
      <c r="A289">
        <v>288</v>
      </c>
      <c r="B289" s="1">
        <v>-1159.179932</v>
      </c>
      <c r="C289" s="1">
        <v>489.38998400000003</v>
      </c>
      <c r="D289" s="1">
        <v>18.34</v>
      </c>
      <c r="E289" s="1">
        <v>2155.1499020000001</v>
      </c>
      <c r="F289" s="1">
        <v>-803.26000999999997</v>
      </c>
      <c r="G289" s="1">
        <v>7.92</v>
      </c>
      <c r="H289" s="1">
        <v>-1E-4</v>
      </c>
      <c r="I289" s="1">
        <v>1E-4</v>
      </c>
      <c r="J289" s="1">
        <v>2.0525000000000002</v>
      </c>
      <c r="K289" s="1">
        <v>1.2440000000000001E-3</v>
      </c>
      <c r="L289" s="1">
        <v>8.4349999999999998E-3</v>
      </c>
      <c r="M289" s="1">
        <v>-0.144228</v>
      </c>
      <c r="N289" s="1">
        <v>0.98950800000000005</v>
      </c>
      <c r="O289">
        <v>1</v>
      </c>
      <c r="P289">
        <v>0</v>
      </c>
      <c r="Q289">
        <v>1</v>
      </c>
      <c r="R289">
        <v>1</v>
      </c>
      <c r="S289">
        <v>1</v>
      </c>
      <c r="T289" s="1">
        <f>SQRT(POWER(Breakout[[#This Row],[angvel_X]],2) + POWER(Breakout[[#This Row],[angvel_Y]],2) + POWER(Breakout[[#This Row],[angvel_Z]],2))</f>
        <v>2.0525000048721074</v>
      </c>
      <c r="U289" s="1">
        <f>DEGREES(ASIN(MAX(-1,MIN(1,2 * (Breakout[[#This Row],[quart_W]]*Breakout[[#This Row],[quart_Y]] - Breakout[[#This Row],[quart_Z]]*Breakout[[#This Row],[quart_X]])))))</f>
        <v>0.97704577286048166</v>
      </c>
      <c r="V28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106.58575091091434</v>
      </c>
      <c r="W28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89.998351386853074</v>
      </c>
      <c r="X289" s="1">
        <f>IF(Breakout[[#This Row],[Yaw]]&gt;V288,(360-ABS(Breakout[[#This Row],[Yaw]])-ABS(V288)),ABS(Breakout[[#This Row],[Yaw]]-V288))</f>
        <v>0.98023234062299025</v>
      </c>
      <c r="Y289" s="1">
        <f>Breakout[[#This Row],[Degree change]]+Y288</f>
        <v>222.5667819674623</v>
      </c>
    </row>
    <row r="290" spans="1:25">
      <c r="A290">
        <v>289</v>
      </c>
      <c r="B290" s="1">
        <v>-1141.150024</v>
      </c>
      <c r="C290" s="1">
        <v>482.67999300000002</v>
      </c>
      <c r="D290" s="1">
        <v>18.34</v>
      </c>
      <c r="E290" s="1">
        <v>2168.5798340000001</v>
      </c>
      <c r="F290" s="1">
        <v>-766.27996800000005</v>
      </c>
      <c r="G290" s="1">
        <v>7.92</v>
      </c>
      <c r="H290" s="1">
        <v>-2.0000000000000001E-4</v>
      </c>
      <c r="I290" s="1">
        <v>1E-4</v>
      </c>
      <c r="J290" s="1">
        <v>2.0525000000000002</v>
      </c>
      <c r="K290" s="1">
        <v>1.173E-3</v>
      </c>
      <c r="L290" s="1">
        <v>8.4460000000000004E-3</v>
      </c>
      <c r="M290" s="1">
        <v>-0.13575799999999999</v>
      </c>
      <c r="N290" s="1">
        <v>0.99070499999999995</v>
      </c>
      <c r="O290">
        <v>1</v>
      </c>
      <c r="P290">
        <v>0</v>
      </c>
      <c r="Q290">
        <v>1</v>
      </c>
      <c r="R290">
        <v>1</v>
      </c>
      <c r="S290">
        <v>1</v>
      </c>
      <c r="T290" s="1">
        <f>SQRT(POWER(Breakout[[#This Row],[angvel_X]],2) + POWER(Breakout[[#This Row],[angvel_Y]],2) + POWER(Breakout[[#This Row],[angvel_Z]],2))</f>
        <v>2.0525000121802681</v>
      </c>
      <c r="U290" s="1">
        <f>DEGREES(ASIN(MAX(-1,MIN(1,2 * (Breakout[[#This Row],[quart_W]]*Breakout[[#This Row],[quart_Y]] - Breakout[[#This Row],[quart_Z]]*Breakout[[#This Row],[quart_X]])))))</f>
        <v>0.97713963149464556</v>
      </c>
      <c r="V29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105.60545803831123</v>
      </c>
      <c r="W29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89.998225303432605</v>
      </c>
      <c r="X290" s="1">
        <f>IF(Breakout[[#This Row],[Yaw]]&gt;V289,(360-ABS(Breakout[[#This Row],[Yaw]])-ABS(V289)),ABS(Breakout[[#This Row],[Yaw]]-V289))</f>
        <v>0.98029287260311548</v>
      </c>
      <c r="Y290" s="1">
        <f>Breakout[[#This Row],[Degree change]]+Y289</f>
        <v>223.54707484006542</v>
      </c>
    </row>
    <row r="291" spans="1:25">
      <c r="A291">
        <v>290</v>
      </c>
      <c r="B291" s="1">
        <v>-1123.01001</v>
      </c>
      <c r="C291" s="1">
        <v>476.27999899999998</v>
      </c>
      <c r="D291" s="1">
        <v>18.34</v>
      </c>
      <c r="E291" s="1">
        <v>2181.3698730000001</v>
      </c>
      <c r="F291" s="1">
        <v>-729.07000700000003</v>
      </c>
      <c r="G291" s="1">
        <v>7.92</v>
      </c>
      <c r="H291" s="1">
        <v>-2.0000000000000001E-4</v>
      </c>
      <c r="I291" s="1">
        <v>1E-4</v>
      </c>
      <c r="J291" s="1">
        <v>2.0525000000000002</v>
      </c>
      <c r="K291" s="1">
        <v>1.098E-3</v>
      </c>
      <c r="L291" s="1">
        <v>8.456E-3</v>
      </c>
      <c r="M291" s="1">
        <v>-0.12728300000000001</v>
      </c>
      <c r="N291" s="1">
        <v>0.99182999999999999</v>
      </c>
      <c r="O291">
        <v>1</v>
      </c>
      <c r="P291">
        <v>0</v>
      </c>
      <c r="Q291">
        <v>1</v>
      </c>
      <c r="R291">
        <v>1</v>
      </c>
      <c r="S291">
        <v>1</v>
      </c>
      <c r="T291" s="1">
        <f>SQRT(POWER(Breakout[[#This Row],[angvel_X]],2) + POWER(Breakout[[#This Row],[angvel_Y]],2) + POWER(Breakout[[#This Row],[angvel_Z]],2))</f>
        <v>2.0525000121802681</v>
      </c>
      <c r="U291" s="1">
        <f>DEGREES(ASIN(MAX(-1,MIN(1,2 * (Breakout[[#This Row],[quart_W]]*Breakout[[#This Row],[quart_Y]] - Breakout[[#This Row],[quart_Z]]*Breakout[[#This Row],[quart_X]])))))</f>
        <v>0.97713191263066812</v>
      </c>
      <c r="V29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104.62575586191359</v>
      </c>
      <c r="W29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89.998541691476646</v>
      </c>
      <c r="X291" s="1">
        <f>IF(Breakout[[#This Row],[Yaw]]&gt;V290,(360-ABS(Breakout[[#This Row],[Yaw]])-ABS(V290)),ABS(Breakout[[#This Row],[Yaw]]-V290))</f>
        <v>0.97970217639763746</v>
      </c>
      <c r="Y291" s="1">
        <f>Breakout[[#This Row],[Degree change]]+Y290</f>
        <v>224.52677701646306</v>
      </c>
    </row>
    <row r="292" spans="1:25">
      <c r="A292">
        <v>291</v>
      </c>
      <c r="B292" s="1">
        <v>-1104.7700199999999</v>
      </c>
      <c r="C292" s="1">
        <v>470.19000199999999</v>
      </c>
      <c r="D292" s="1">
        <v>18.34</v>
      </c>
      <c r="E292" s="1">
        <v>2193.5200199999999</v>
      </c>
      <c r="F292" s="1">
        <v>-691.64996299999996</v>
      </c>
      <c r="G292" s="1">
        <v>7.92</v>
      </c>
      <c r="H292" s="1">
        <v>-2.0000000000000001E-4</v>
      </c>
      <c r="I292" s="1">
        <v>1E-4</v>
      </c>
      <c r="J292" s="1">
        <v>2.0525000000000002</v>
      </c>
      <c r="K292" s="1">
        <v>1.0219999999999999E-3</v>
      </c>
      <c r="L292" s="1">
        <v>8.4670000000000006E-3</v>
      </c>
      <c r="M292" s="1">
        <v>-0.118797</v>
      </c>
      <c r="N292" s="1">
        <v>0.99288200000000004</v>
      </c>
      <c r="O292">
        <v>1</v>
      </c>
      <c r="P292">
        <v>0</v>
      </c>
      <c r="Q292">
        <v>1</v>
      </c>
      <c r="R292">
        <v>1</v>
      </c>
      <c r="S292">
        <v>1</v>
      </c>
      <c r="T292" s="1">
        <f>SQRT(POWER(Breakout[[#This Row],[angvel_X]],2) + POWER(Breakout[[#This Row],[angvel_Y]],2) + POWER(Breakout[[#This Row],[angvel_Z]],2))</f>
        <v>2.0525000121802681</v>
      </c>
      <c r="U292" s="1">
        <f>DEGREES(ASIN(MAX(-1,MIN(1,2 * (Breakout[[#This Row],[quart_W]]*Breakout[[#This Row],[quart_Y]] - Breakout[[#This Row],[quart_Z]]*Breakout[[#This Row],[quart_X]])))))</f>
        <v>0.97730052586035721</v>
      </c>
      <c r="V29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103.64584906136463</v>
      </c>
      <c r="W29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89.998983286888333</v>
      </c>
      <c r="X292" s="1">
        <f>IF(Breakout[[#This Row],[Yaw]]&gt;V291,(360-ABS(Breakout[[#This Row],[Yaw]])-ABS(V291)),ABS(Breakout[[#This Row],[Yaw]]-V291))</f>
        <v>0.97990680054896018</v>
      </c>
      <c r="Y292" s="1">
        <f>Breakout[[#This Row],[Degree change]]+Y291</f>
        <v>225.506683817012</v>
      </c>
    </row>
    <row r="293" spans="1:25">
      <c r="A293">
        <v>292</v>
      </c>
      <c r="B293" s="1">
        <v>-1086.419922</v>
      </c>
      <c r="C293" s="1">
        <v>464.41000400000001</v>
      </c>
      <c r="D293" s="1">
        <v>18.34</v>
      </c>
      <c r="E293" s="1">
        <v>2205.030029</v>
      </c>
      <c r="F293" s="1">
        <v>-654.02996800000005</v>
      </c>
      <c r="G293" s="1">
        <v>7.92</v>
      </c>
      <c r="H293" s="1">
        <v>-2.0000000000000001E-4</v>
      </c>
      <c r="I293" s="1">
        <v>1E-4</v>
      </c>
      <c r="J293" s="1">
        <v>2.0525000000000002</v>
      </c>
      <c r="K293" s="1">
        <v>9.4700000000000003E-4</v>
      </c>
      <c r="L293" s="1">
        <v>8.4779999999999994E-3</v>
      </c>
      <c r="M293" s="1">
        <v>-0.1103</v>
      </c>
      <c r="N293" s="1">
        <v>0.99386200000000002</v>
      </c>
      <c r="O293">
        <v>1</v>
      </c>
      <c r="P293">
        <v>0</v>
      </c>
      <c r="Q293">
        <v>1</v>
      </c>
      <c r="R293">
        <v>1</v>
      </c>
      <c r="S293">
        <v>1</v>
      </c>
      <c r="T293" s="1">
        <f>SQRT(POWER(Breakout[[#This Row],[angvel_X]],2) + POWER(Breakout[[#This Row],[angvel_Y]],2) + POWER(Breakout[[#This Row],[angvel_Z]],2))</f>
        <v>2.0525000121802681</v>
      </c>
      <c r="U293" s="1">
        <f>DEGREES(ASIN(MAX(-1,MIN(1,2 * (Breakout[[#This Row],[quart_W]]*Breakout[[#This Row],[quart_Y]] - Breakout[[#This Row],[quart_Z]]*Breakout[[#This Row],[quart_X]])))))</f>
        <v>0.9775611115220928</v>
      </c>
      <c r="V29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102.6656792427024</v>
      </c>
      <c r="W29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89.999305025489804</v>
      </c>
      <c r="X293" s="1">
        <f>IF(Breakout[[#This Row],[Yaw]]&gt;V292,(360-ABS(Breakout[[#This Row],[Yaw]])-ABS(V292)),ABS(Breakout[[#This Row],[Yaw]]-V292))</f>
        <v>0.98016981866223318</v>
      </c>
      <c r="Y293" s="1">
        <f>Breakout[[#This Row],[Degree change]]+Y292</f>
        <v>226.48685363567424</v>
      </c>
    </row>
    <row r="294" spans="1:25">
      <c r="A294">
        <v>293</v>
      </c>
      <c r="B294" s="1">
        <v>-1067.9799800000001</v>
      </c>
      <c r="C294" s="1">
        <v>458.94000199999999</v>
      </c>
      <c r="D294" s="1">
        <v>18.34</v>
      </c>
      <c r="E294" s="1">
        <v>2215.889893</v>
      </c>
      <c r="F294" s="1">
        <v>-616.21997099999999</v>
      </c>
      <c r="G294" s="1">
        <v>7.92</v>
      </c>
      <c r="H294" s="1">
        <v>-1E-4</v>
      </c>
      <c r="I294" s="1">
        <v>1E-4</v>
      </c>
      <c r="J294" s="1">
        <v>2.0525000000000002</v>
      </c>
      <c r="K294" s="1">
        <v>8.7100000000000003E-4</v>
      </c>
      <c r="L294" s="1">
        <v>8.489E-3</v>
      </c>
      <c r="M294" s="1">
        <v>-0.101797</v>
      </c>
      <c r="N294" s="1">
        <v>0.99476900000000001</v>
      </c>
      <c r="O294">
        <v>1</v>
      </c>
      <c r="P294">
        <v>0</v>
      </c>
      <c r="Q294">
        <v>1</v>
      </c>
      <c r="R294">
        <v>1</v>
      </c>
      <c r="S294">
        <v>1</v>
      </c>
      <c r="T294" s="1">
        <f>SQRT(POWER(Breakout[[#This Row],[angvel_X]],2) + POWER(Breakout[[#This Row],[angvel_Y]],2) + POWER(Breakout[[#This Row],[angvel_Z]],2))</f>
        <v>2.0525000048721074</v>
      </c>
      <c r="U294" s="1">
        <f>DEGREES(ASIN(MAX(-1,MIN(1,2 * (Breakout[[#This Row],[quart_W]]*Breakout[[#This Row],[quart_Y]] - Breakout[[#This Row],[quart_Z]]*Breakout[[#This Row],[quart_X]])))))</f>
        <v>0.97788695330779785</v>
      </c>
      <c r="V29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101.68574769214197</v>
      </c>
      <c r="W29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89.999737654149385</v>
      </c>
      <c r="X294" s="1">
        <f>IF(Breakout[[#This Row],[Yaw]]&gt;V293,(360-ABS(Breakout[[#This Row],[Yaw]])-ABS(V293)),ABS(Breakout[[#This Row],[Yaw]]-V293))</f>
        <v>0.97993155056042269</v>
      </c>
      <c r="Y294" s="1">
        <f>Breakout[[#This Row],[Degree change]]+Y293</f>
        <v>227.46678518623466</v>
      </c>
    </row>
    <row r="295" spans="1:25">
      <c r="A295">
        <v>294</v>
      </c>
      <c r="B295" s="1">
        <v>-1049.4499510000001</v>
      </c>
      <c r="C295" s="1">
        <v>453.78997800000002</v>
      </c>
      <c r="D295" s="1">
        <v>18.34</v>
      </c>
      <c r="E295" s="1">
        <v>2226.1098630000001</v>
      </c>
      <c r="F295" s="1">
        <v>-578.22997999999995</v>
      </c>
      <c r="G295" s="1">
        <v>7.92</v>
      </c>
      <c r="H295" s="1">
        <v>0</v>
      </c>
      <c r="I295" s="1">
        <v>0</v>
      </c>
      <c r="J295" s="1">
        <v>2.0525000000000002</v>
      </c>
      <c r="K295" s="1">
        <v>7.9600000000000005E-4</v>
      </c>
      <c r="L295" s="1">
        <v>8.4939999999999998E-3</v>
      </c>
      <c r="M295" s="1">
        <v>-9.3284000000000006E-2</v>
      </c>
      <c r="N295" s="1">
        <v>0.99560300000000002</v>
      </c>
      <c r="O295">
        <v>1</v>
      </c>
      <c r="P295">
        <v>0</v>
      </c>
      <c r="Q295">
        <v>1</v>
      </c>
      <c r="R295">
        <v>1</v>
      </c>
      <c r="S295">
        <v>1</v>
      </c>
      <c r="T295" s="1">
        <f>SQRT(POWER(Breakout[[#This Row],[angvel_X]],2) + POWER(Breakout[[#This Row],[angvel_Y]],2) + POWER(Breakout[[#This Row],[angvel_Z]],2))</f>
        <v>2.0525000000000002</v>
      </c>
      <c r="U295" s="1">
        <f>DEGREES(ASIN(MAX(-1,MIN(1,2 * (Breakout[[#This Row],[quart_W]]*Breakout[[#This Row],[quart_Y]] - Breakout[[#This Row],[quart_Z]]*Breakout[[#This Row],[quart_X]])))))</f>
        <v>0.97761724778453041</v>
      </c>
      <c r="V29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100.70551396046736</v>
      </c>
      <c r="W29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89.999983302496034</v>
      </c>
      <c r="X295" s="1">
        <f>IF(Breakout[[#This Row],[Yaw]]&gt;V294,(360-ABS(Breakout[[#This Row],[Yaw]])-ABS(V294)),ABS(Breakout[[#This Row],[Yaw]]-V294))</f>
        <v>0.98023373167461614</v>
      </c>
      <c r="Y295" s="1">
        <f>Breakout[[#This Row],[Degree change]]+Y294</f>
        <v>228.44701891790928</v>
      </c>
    </row>
    <row r="296" spans="1:25">
      <c r="A296">
        <v>295</v>
      </c>
      <c r="B296" s="1">
        <v>-1030.829956</v>
      </c>
      <c r="C296" s="1">
        <v>448.959991</v>
      </c>
      <c r="D296" s="1">
        <v>18.34</v>
      </c>
      <c r="E296" s="1">
        <v>2235.669922</v>
      </c>
      <c r="F296" s="1">
        <v>-540.07000700000003</v>
      </c>
      <c r="G296" s="1">
        <v>7.92</v>
      </c>
      <c r="H296" s="1">
        <v>0</v>
      </c>
      <c r="I296" s="1">
        <v>0</v>
      </c>
      <c r="J296" s="1">
        <v>2.0525000000000002</v>
      </c>
      <c r="K296" s="1">
        <v>7.2599999999999997E-4</v>
      </c>
      <c r="L296" s="1">
        <v>8.5000000000000006E-3</v>
      </c>
      <c r="M296" s="1">
        <v>-8.4765999999999994E-2</v>
      </c>
      <c r="N296" s="1">
        <v>0.99636400000000003</v>
      </c>
      <c r="O296">
        <v>1</v>
      </c>
      <c r="P296">
        <v>0</v>
      </c>
      <c r="Q296">
        <v>1</v>
      </c>
      <c r="R296">
        <v>1</v>
      </c>
      <c r="S296">
        <v>1</v>
      </c>
      <c r="T296" s="1">
        <f>SQRT(POWER(Breakout[[#This Row],[angvel_X]],2) + POWER(Breakout[[#This Row],[angvel_Y]],2) + POWER(Breakout[[#This Row],[angvel_Z]],2))</f>
        <v>2.0525000000000002</v>
      </c>
      <c r="U296" s="1">
        <f>DEGREES(ASIN(MAX(-1,MIN(1,2 * (Breakout[[#This Row],[quart_W]]*Breakout[[#This Row],[quart_Y]] - Breakout[[#This Row],[quart_Z]]*Breakout[[#This Row],[quart_X]])))))</f>
        <v>0.97758609382631179</v>
      </c>
      <c r="V29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99.725486660932646</v>
      </c>
      <c r="W29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89.999673450865586</v>
      </c>
      <c r="X296" s="1">
        <f>IF(Breakout[[#This Row],[Yaw]]&gt;V295,(360-ABS(Breakout[[#This Row],[Yaw]])-ABS(V295)),ABS(Breakout[[#This Row],[Yaw]]-V295))</f>
        <v>0.98002729953471146</v>
      </c>
      <c r="Y296" s="1">
        <f>Breakout[[#This Row],[Degree change]]+Y295</f>
        <v>229.427046217444</v>
      </c>
    </row>
    <row r="297" spans="1:25">
      <c r="A297">
        <v>296</v>
      </c>
      <c r="B297" s="1">
        <v>-1012.130005</v>
      </c>
      <c r="C297" s="1">
        <v>444.44998199999998</v>
      </c>
      <c r="D297" s="1">
        <v>18.34</v>
      </c>
      <c r="E297" s="1">
        <v>2244.5798340000001</v>
      </c>
      <c r="F297" s="1">
        <v>-501.75</v>
      </c>
      <c r="G297" s="1">
        <v>7.92</v>
      </c>
      <c r="H297" s="1">
        <v>0</v>
      </c>
      <c r="I297" s="1">
        <v>0</v>
      </c>
      <c r="J297" s="1">
        <v>2.0525000000000002</v>
      </c>
      <c r="K297" s="1">
        <v>6.5499999999999998E-4</v>
      </c>
      <c r="L297" s="1">
        <v>8.5050000000000004E-3</v>
      </c>
      <c r="M297" s="1">
        <v>-7.6242000000000004E-2</v>
      </c>
      <c r="N297" s="1">
        <v>0.99705299999999997</v>
      </c>
      <c r="O297">
        <v>1</v>
      </c>
      <c r="P297">
        <v>0</v>
      </c>
      <c r="Q297">
        <v>1</v>
      </c>
      <c r="R297">
        <v>1</v>
      </c>
      <c r="S297">
        <v>1</v>
      </c>
      <c r="T297" s="1">
        <f>SQRT(POWER(Breakout[[#This Row],[angvel_X]],2) + POWER(Breakout[[#This Row],[angvel_Y]],2) + POWER(Breakout[[#This Row],[angvel_Z]],2))</f>
        <v>2.0525000000000002</v>
      </c>
      <c r="U297" s="1">
        <f>DEGREES(ASIN(MAX(-1,MIN(1,2 * (Breakout[[#This Row],[quart_W]]*Breakout[[#This Row],[quart_Y]] - Breakout[[#This Row],[quart_Z]]*Breakout[[#This Row],[quart_X]])))))</f>
        <v>0.97749900978720572</v>
      </c>
      <c r="V29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98.745491565422057</v>
      </c>
      <c r="W29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89.999469191373862</v>
      </c>
      <c r="X297" s="1">
        <f>IF(Breakout[[#This Row],[Yaw]]&gt;V296,(360-ABS(Breakout[[#This Row],[Yaw]])-ABS(V296)),ABS(Breakout[[#This Row],[Yaw]]-V296))</f>
        <v>0.9799950955105885</v>
      </c>
      <c r="Y297" s="1">
        <f>Breakout[[#This Row],[Degree change]]+Y296</f>
        <v>230.40704131295459</v>
      </c>
    </row>
    <row r="298" spans="1:25">
      <c r="A298">
        <v>297</v>
      </c>
      <c r="B298" s="1">
        <v>-993.35998500000005</v>
      </c>
      <c r="C298" s="1">
        <v>440.25997899999999</v>
      </c>
      <c r="D298" s="1">
        <v>18.34</v>
      </c>
      <c r="E298" s="1">
        <v>2252.8398440000001</v>
      </c>
      <c r="F298" s="1">
        <v>-463.28997800000002</v>
      </c>
      <c r="G298" s="1">
        <v>7.92</v>
      </c>
      <c r="H298" s="1">
        <v>0</v>
      </c>
      <c r="I298" s="1">
        <v>0</v>
      </c>
      <c r="J298" s="1">
        <v>2.0525000000000002</v>
      </c>
      <c r="K298" s="1">
        <v>5.8500000000000002E-4</v>
      </c>
      <c r="L298" s="1">
        <v>8.5100000000000002E-3</v>
      </c>
      <c r="M298" s="1">
        <v>-6.7712999999999995E-2</v>
      </c>
      <c r="N298" s="1">
        <v>0.997668</v>
      </c>
      <c r="O298">
        <v>1</v>
      </c>
      <c r="P298">
        <v>0</v>
      </c>
      <c r="Q298">
        <v>1</v>
      </c>
      <c r="R298">
        <v>1</v>
      </c>
      <c r="S298">
        <v>1</v>
      </c>
      <c r="T298" s="1">
        <f>SQRT(POWER(Breakout[[#This Row],[angvel_X]],2) + POWER(Breakout[[#This Row],[angvel_Y]],2) + POWER(Breakout[[#This Row],[angvel_Z]],2))</f>
        <v>2.0525000000000002</v>
      </c>
      <c r="U298" s="1">
        <f>DEGREES(ASIN(MAX(-1,MIN(1,2 * (Breakout[[#This Row],[quart_W]]*Breakout[[#This Row],[quart_Y]] - Breakout[[#This Row],[quart_Z]]*Breakout[[#This Row],[quart_X]])))))</f>
        <v>0.97748669054775306</v>
      </c>
      <c r="V29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97.765552835649871</v>
      </c>
      <c r="W29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89.999152111068923</v>
      </c>
      <c r="X298" s="1">
        <f>IF(Breakout[[#This Row],[Yaw]]&gt;V297,(360-ABS(Breakout[[#This Row],[Yaw]])-ABS(V297)),ABS(Breakout[[#This Row],[Yaw]]-V297))</f>
        <v>0.97993872977218643</v>
      </c>
      <c r="Y298" s="1">
        <f>Breakout[[#This Row],[Degree change]]+Y297</f>
        <v>231.38698004272678</v>
      </c>
    </row>
    <row r="299" spans="1:25">
      <c r="A299">
        <v>298</v>
      </c>
      <c r="B299" s="1">
        <v>-974.51995799999997</v>
      </c>
      <c r="C299" s="1">
        <v>436.38998400000003</v>
      </c>
      <c r="D299" s="1">
        <v>18.34</v>
      </c>
      <c r="E299" s="1">
        <v>2260.429932</v>
      </c>
      <c r="F299" s="1">
        <v>-424.69000199999999</v>
      </c>
      <c r="G299" s="1">
        <v>7.92</v>
      </c>
      <c r="H299" s="1">
        <v>0</v>
      </c>
      <c r="I299" s="1">
        <v>0</v>
      </c>
      <c r="J299" s="1">
        <v>2.0525000000000002</v>
      </c>
      <c r="K299" s="1">
        <v>5.1500000000000005E-4</v>
      </c>
      <c r="L299" s="1">
        <v>8.5159999999999993E-3</v>
      </c>
      <c r="M299" s="1">
        <v>-5.9178000000000001E-2</v>
      </c>
      <c r="N299" s="1">
        <v>0.99821099999999996</v>
      </c>
      <c r="O299">
        <v>1</v>
      </c>
      <c r="P299">
        <v>0</v>
      </c>
      <c r="Q299">
        <v>1</v>
      </c>
      <c r="R299">
        <v>1</v>
      </c>
      <c r="S299">
        <v>1</v>
      </c>
      <c r="T299" s="1">
        <f>SQRT(POWER(Breakout[[#This Row],[angvel_X]],2) + POWER(Breakout[[#This Row],[angvel_Y]],2) + POWER(Breakout[[#This Row],[angvel_Z]],2))</f>
        <v>2.0525000000000002</v>
      </c>
      <c r="U299" s="1">
        <f>DEGREES(ASIN(MAX(-1,MIN(1,2 * (Breakout[[#This Row],[quart_W]]*Breakout[[#This Row],[quart_Y]] - Breakout[[#This Row],[quart_Z]]*Breakout[[#This Row],[quart_X]])))))</f>
        <v>0.97765571031069221</v>
      </c>
      <c r="V29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96.785501018482037</v>
      </c>
      <c r="W29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89.998840300161362</v>
      </c>
      <c r="X299" s="1">
        <f>IF(Breakout[[#This Row],[Yaw]]&gt;V298,(360-ABS(Breakout[[#This Row],[Yaw]])-ABS(V298)),ABS(Breakout[[#This Row],[Yaw]]-V298))</f>
        <v>0.98005181716783341</v>
      </c>
      <c r="Y299" s="1">
        <f>Breakout[[#This Row],[Degree change]]+Y298</f>
        <v>232.36703185989461</v>
      </c>
    </row>
    <row r="300" spans="1:25">
      <c r="A300">
        <v>299</v>
      </c>
      <c r="B300" s="1">
        <v>-955.60998500000005</v>
      </c>
      <c r="C300" s="1">
        <v>432.83999599999999</v>
      </c>
      <c r="D300" s="1">
        <v>18.34</v>
      </c>
      <c r="E300" s="1">
        <v>2267.3598630000001</v>
      </c>
      <c r="F300" s="1">
        <v>-385.959991</v>
      </c>
      <c r="G300" s="1">
        <v>7.92</v>
      </c>
      <c r="H300" s="1">
        <v>-1E-4</v>
      </c>
      <c r="I300" s="1">
        <v>0</v>
      </c>
      <c r="J300" s="1">
        <v>2.0525000000000002</v>
      </c>
      <c r="K300" s="1">
        <v>4.4499999999999997E-4</v>
      </c>
      <c r="L300" s="1">
        <v>8.5210000000000008E-3</v>
      </c>
      <c r="M300" s="1">
        <v>-5.0638000000000002E-2</v>
      </c>
      <c r="N300" s="1">
        <v>0.99868100000000004</v>
      </c>
      <c r="O300">
        <v>1</v>
      </c>
      <c r="P300">
        <v>0</v>
      </c>
      <c r="Q300">
        <v>1</v>
      </c>
      <c r="R300">
        <v>1</v>
      </c>
      <c r="S300">
        <v>1</v>
      </c>
      <c r="T300" s="1">
        <f>SQRT(POWER(Breakout[[#This Row],[angvel_X]],2) + POWER(Breakout[[#This Row],[angvel_Y]],2) + POWER(Breakout[[#This Row],[angvel_Z]],2))</f>
        <v>2.0525000024360538</v>
      </c>
      <c r="U300" s="1">
        <f>DEGREES(ASIN(MAX(-1,MIN(1,2 * (Breakout[[#This Row],[quart_W]]*Breakout[[#This Row],[quart_Y]] - Breakout[[#This Row],[quart_Z]]*Breakout[[#This Row],[quart_X]])))))</f>
        <v>0.97777641170319973</v>
      </c>
      <c r="V30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95.805371163652794</v>
      </c>
      <c r="W30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89.998518499644987</v>
      </c>
      <c r="X300" s="1">
        <f>IF(Breakout[[#This Row],[Yaw]]&gt;V299,(360-ABS(Breakout[[#This Row],[Yaw]])-ABS(V299)),ABS(Breakout[[#This Row],[Yaw]]-V299))</f>
        <v>0.98012985482924364</v>
      </c>
      <c r="Y300" s="1">
        <f>Breakout[[#This Row],[Degree change]]+Y299</f>
        <v>233.34716171472385</v>
      </c>
    </row>
    <row r="301" spans="1:25">
      <c r="A301">
        <v>300</v>
      </c>
      <c r="B301" s="1">
        <v>-936.64996299999996</v>
      </c>
      <c r="C301" s="1">
        <v>429.61999500000002</v>
      </c>
      <c r="D301" s="1">
        <v>18.34</v>
      </c>
      <c r="E301" s="1">
        <v>2273.639893</v>
      </c>
      <c r="F301" s="1">
        <v>-347.11999500000002</v>
      </c>
      <c r="G301" s="1">
        <v>7.92</v>
      </c>
      <c r="H301" s="1">
        <v>-2.0000000000000001E-4</v>
      </c>
      <c r="I301" s="1">
        <v>0</v>
      </c>
      <c r="J301" s="1">
        <v>2.0525000000000002</v>
      </c>
      <c r="K301" s="1">
        <v>3.6999999999999999E-4</v>
      </c>
      <c r="L301" s="1">
        <v>8.5269999999999999E-3</v>
      </c>
      <c r="M301" s="1">
        <v>-4.2097999999999997E-2</v>
      </c>
      <c r="N301" s="1">
        <v>0.99907699999999999</v>
      </c>
      <c r="O301">
        <v>1</v>
      </c>
      <c r="P301">
        <v>0</v>
      </c>
      <c r="Q301">
        <v>1</v>
      </c>
      <c r="R301">
        <v>1</v>
      </c>
      <c r="S301">
        <v>1</v>
      </c>
      <c r="T301" s="1">
        <f>SQRT(POWER(Breakout[[#This Row],[angvel_X]],2) + POWER(Breakout[[#This Row],[angvel_Y]],2) + POWER(Breakout[[#This Row],[angvel_Z]],2))</f>
        <v>2.0525000097442145</v>
      </c>
      <c r="U301" s="1">
        <f>DEGREES(ASIN(MAX(-1,MIN(1,2 * (Breakout[[#This Row],[quart_W]]*Breakout[[#This Row],[quart_Y]] - Breakout[[#This Row],[quart_Z]]*Breakout[[#This Row],[quart_X]])))))</f>
        <v>0.97805274686846277</v>
      </c>
      <c r="V30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94.825666768316708</v>
      </c>
      <c r="W30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89.998774970223465</v>
      </c>
      <c r="X301" s="1">
        <f>IF(Breakout[[#This Row],[Yaw]]&gt;V300,(360-ABS(Breakout[[#This Row],[Yaw]])-ABS(V300)),ABS(Breakout[[#This Row],[Yaw]]-V300))</f>
        <v>0.97970439533608555</v>
      </c>
      <c r="Y301" s="1">
        <f>Breakout[[#This Row],[Degree change]]+Y300</f>
        <v>234.32686611005994</v>
      </c>
    </row>
    <row r="302" spans="1:25">
      <c r="A302">
        <v>301</v>
      </c>
      <c r="B302" s="1">
        <v>-917.63000499999998</v>
      </c>
      <c r="C302" s="1">
        <v>426.72000100000002</v>
      </c>
      <c r="D302" s="1">
        <v>18.34</v>
      </c>
      <c r="E302" s="1">
        <v>2279.23999</v>
      </c>
      <c r="F302" s="1">
        <v>-308.17999300000002</v>
      </c>
      <c r="G302" s="1">
        <v>7.92</v>
      </c>
      <c r="H302" s="1">
        <v>-2.0000000000000001E-4</v>
      </c>
      <c r="I302" s="1">
        <v>0</v>
      </c>
      <c r="J302" s="1">
        <v>2.0525000000000002</v>
      </c>
      <c r="K302" s="1">
        <v>2.9399999999999999E-4</v>
      </c>
      <c r="L302" s="1">
        <v>8.5319999999999997E-3</v>
      </c>
      <c r="M302" s="1">
        <v>-3.3552999999999999E-2</v>
      </c>
      <c r="N302" s="1">
        <v>0.99939999999999996</v>
      </c>
      <c r="O302">
        <v>1</v>
      </c>
      <c r="P302">
        <v>0</v>
      </c>
      <c r="Q302">
        <v>1</v>
      </c>
      <c r="R302">
        <v>1</v>
      </c>
      <c r="S302">
        <v>1</v>
      </c>
      <c r="T302" s="1">
        <f>SQRT(POWER(Breakout[[#This Row],[angvel_X]],2) + POWER(Breakout[[#This Row],[angvel_Y]],2) + POWER(Breakout[[#This Row],[angvel_Z]],2))</f>
        <v>2.0525000097442145</v>
      </c>
      <c r="U302" s="1">
        <f>DEGREES(ASIN(MAX(-1,MIN(1,2 * (Breakout[[#This Row],[quart_W]]*Breakout[[#This Row],[quart_Y]] - Breakout[[#This Row],[quart_Z]]*Breakout[[#This Row],[quart_X]])))))</f>
        <v>0.97828649534419454</v>
      </c>
      <c r="V30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93.845743355505235</v>
      </c>
      <c r="W30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89.999134775908402</v>
      </c>
      <c r="X302" s="1">
        <f>IF(Breakout[[#This Row],[Yaw]]&gt;V301,(360-ABS(Breakout[[#This Row],[Yaw]])-ABS(V301)),ABS(Breakout[[#This Row],[Yaw]]-V301))</f>
        <v>0.97992341281147333</v>
      </c>
      <c r="Y302" s="1">
        <f>Breakout[[#This Row],[Degree change]]+Y301</f>
        <v>235.30678952287141</v>
      </c>
    </row>
    <row r="303" spans="1:25">
      <c r="A303">
        <v>302</v>
      </c>
      <c r="B303" s="1">
        <v>-898.57000700000003</v>
      </c>
      <c r="C303" s="1">
        <v>424.14999399999999</v>
      </c>
      <c r="D303" s="1">
        <v>18.34</v>
      </c>
      <c r="E303" s="1">
        <v>2284.179932</v>
      </c>
      <c r="F303" s="1">
        <v>-269.14999399999999</v>
      </c>
      <c r="G303" s="1">
        <v>7.92</v>
      </c>
      <c r="H303" s="1">
        <v>-2.0000000000000001E-4</v>
      </c>
      <c r="I303" s="1">
        <v>0</v>
      </c>
      <c r="J303" s="1">
        <v>2.0525000000000002</v>
      </c>
      <c r="K303" s="1">
        <v>2.1800000000000001E-4</v>
      </c>
      <c r="L303" s="1">
        <v>8.5319999999999997E-3</v>
      </c>
      <c r="M303" s="1">
        <v>-2.5007999999999999E-2</v>
      </c>
      <c r="N303" s="1">
        <v>0.99965099999999996</v>
      </c>
      <c r="O303">
        <v>1</v>
      </c>
      <c r="P303">
        <v>0</v>
      </c>
      <c r="Q303">
        <v>1</v>
      </c>
      <c r="R303">
        <v>1</v>
      </c>
      <c r="S303">
        <v>1</v>
      </c>
      <c r="T303" s="1">
        <f>SQRT(POWER(Breakout[[#This Row],[angvel_X]],2) + POWER(Breakout[[#This Row],[angvel_Y]],2) + POWER(Breakout[[#This Row],[angvel_Z]],2))</f>
        <v>2.0525000097442145</v>
      </c>
      <c r="U303" s="1">
        <f>DEGREES(ASIN(MAX(-1,MIN(1,2 * (Breakout[[#This Row],[quart_W]]*Breakout[[#This Row],[quart_Y]] - Breakout[[#This Row],[quart_Z]]*Breakout[[#This Row],[quart_X]])))))</f>
        <v>0.97802618491518178</v>
      </c>
      <c r="V30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92.866104970801814</v>
      </c>
      <c r="W30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89.999477883524463</v>
      </c>
      <c r="X303" s="1">
        <f>IF(Breakout[[#This Row],[Yaw]]&gt;V302,(360-ABS(Breakout[[#This Row],[Yaw]])-ABS(V302)),ABS(Breakout[[#This Row],[Yaw]]-V302))</f>
        <v>0.97963838470342068</v>
      </c>
      <c r="Y303" s="1">
        <f>Breakout[[#This Row],[Degree change]]+Y302</f>
        <v>236.28642790757482</v>
      </c>
    </row>
    <row r="304" spans="1:25">
      <c r="A304">
        <v>303</v>
      </c>
      <c r="B304" s="1">
        <v>-879.46997099999999</v>
      </c>
      <c r="C304" s="1">
        <v>421.89999399999999</v>
      </c>
      <c r="D304" s="1">
        <v>18.34</v>
      </c>
      <c r="E304" s="1">
        <v>2288.4499510000001</v>
      </c>
      <c r="F304" s="1">
        <v>-230.04998800000001</v>
      </c>
      <c r="G304" s="1">
        <v>7.92</v>
      </c>
      <c r="H304" s="1">
        <v>-1E-4</v>
      </c>
      <c r="I304" s="1">
        <v>0</v>
      </c>
      <c r="J304" s="1">
        <v>2.0525000000000002</v>
      </c>
      <c r="K304" s="1">
        <v>1.4300000000000001E-4</v>
      </c>
      <c r="L304" s="1">
        <v>8.5319999999999997E-3</v>
      </c>
      <c r="M304" s="1">
        <v>-1.6456999999999999E-2</v>
      </c>
      <c r="N304" s="1">
        <v>0.99982800000000005</v>
      </c>
      <c r="O304">
        <v>1</v>
      </c>
      <c r="P304">
        <v>0</v>
      </c>
      <c r="Q304">
        <v>1</v>
      </c>
      <c r="R304">
        <v>1</v>
      </c>
      <c r="S304">
        <v>1</v>
      </c>
      <c r="T304" s="1">
        <f>SQRT(POWER(Breakout[[#This Row],[angvel_X]],2) + POWER(Breakout[[#This Row],[angvel_Y]],2) + POWER(Breakout[[#This Row],[angvel_Z]],2))</f>
        <v>2.0525000024360538</v>
      </c>
      <c r="U304" s="1">
        <f>DEGREES(ASIN(MAX(-1,MIN(1,2 * (Breakout[[#This Row],[quart_W]]*Breakout[[#This Row],[quart_Y]] - Breakout[[#This Row],[quart_Z]]*Breakout[[#This Row],[quart_X]])))))</f>
        <v>0.9778441607647087</v>
      </c>
      <c r="V30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91.885984281953284</v>
      </c>
      <c r="W30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89.999706112357885</v>
      </c>
      <c r="X304" s="1">
        <f>IF(Breakout[[#This Row],[Yaw]]&gt;V303,(360-ABS(Breakout[[#This Row],[Yaw]])-ABS(V303)),ABS(Breakout[[#This Row],[Yaw]]-V303))</f>
        <v>0.98012068884852965</v>
      </c>
      <c r="Y304" s="1">
        <f>Breakout[[#This Row],[Degree change]]+Y303</f>
        <v>237.26654859642335</v>
      </c>
    </row>
    <row r="305" spans="1:25">
      <c r="A305">
        <v>304</v>
      </c>
      <c r="B305" s="1">
        <v>-860.32995600000004</v>
      </c>
      <c r="C305" s="1">
        <v>419.97998000000001</v>
      </c>
      <c r="D305" s="1">
        <v>18.34</v>
      </c>
      <c r="E305" s="1">
        <v>2292.0500489999999</v>
      </c>
      <c r="F305" s="1">
        <v>-190.87998999999999</v>
      </c>
      <c r="G305" s="1">
        <v>7.92</v>
      </c>
      <c r="H305" s="1">
        <v>0</v>
      </c>
      <c r="I305" s="1">
        <v>0</v>
      </c>
      <c r="J305" s="1">
        <v>2.0525000000000002</v>
      </c>
      <c r="K305" s="1">
        <v>6.7000000000000002E-5</v>
      </c>
      <c r="L305" s="1">
        <v>8.5319999999999997E-3</v>
      </c>
      <c r="M305" s="1">
        <v>-7.9059999999999998E-3</v>
      </c>
      <c r="N305" s="1">
        <v>0.99993200000000004</v>
      </c>
      <c r="O305">
        <v>1</v>
      </c>
      <c r="P305">
        <v>0</v>
      </c>
      <c r="Q305">
        <v>1</v>
      </c>
      <c r="R305">
        <v>1</v>
      </c>
      <c r="S305">
        <v>1</v>
      </c>
      <c r="T305" s="1">
        <f>SQRT(POWER(Breakout[[#This Row],[angvel_X]],2) + POWER(Breakout[[#This Row],[angvel_Y]],2) + POWER(Breakout[[#This Row],[angvel_Z]],2))</f>
        <v>2.0525000000000002</v>
      </c>
      <c r="U305" s="1">
        <f>DEGREES(ASIN(MAX(-1,MIN(1,2 * (Breakout[[#This Row],[quart_W]]*Breakout[[#This Row],[quart_Y]] - Breakout[[#This Row],[quart_Z]]*Breakout[[#This Row],[quart_X]])))))</f>
        <v>0.97773685065561833</v>
      </c>
      <c r="V30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90.906003418678736</v>
      </c>
      <c r="W30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90.00005255338192</v>
      </c>
      <c r="X305" s="1">
        <f>IF(Breakout[[#This Row],[Yaw]]&gt;V304,(360-ABS(Breakout[[#This Row],[Yaw]])-ABS(V304)),ABS(Breakout[[#This Row],[Yaw]]-V304))</f>
        <v>0.97998086327454814</v>
      </c>
      <c r="Y305" s="1">
        <f>Breakout[[#This Row],[Degree change]]+Y304</f>
        <v>238.24652945969791</v>
      </c>
    </row>
    <row r="306" spans="1:25">
      <c r="A306">
        <v>305</v>
      </c>
      <c r="B306" s="1">
        <v>-841.15997300000004</v>
      </c>
      <c r="C306" s="1">
        <v>418.38998400000003</v>
      </c>
      <c r="D306" s="1">
        <v>18.34</v>
      </c>
      <c r="E306" s="1">
        <v>2294.9799800000001</v>
      </c>
      <c r="F306" s="1">
        <v>-151.64999399999999</v>
      </c>
      <c r="G306" s="1">
        <v>7.92</v>
      </c>
      <c r="H306" s="1">
        <v>0</v>
      </c>
      <c r="I306" s="1">
        <v>0</v>
      </c>
      <c r="J306" s="1">
        <v>2.0525000000000002</v>
      </c>
      <c r="K306" s="1">
        <v>-7.9999999999999996E-6</v>
      </c>
      <c r="L306" s="1">
        <v>8.5319999999999997E-3</v>
      </c>
      <c r="M306" s="1">
        <v>6.4499999999999996E-4</v>
      </c>
      <c r="N306" s="1">
        <v>0.99996300000000005</v>
      </c>
      <c r="O306">
        <v>1</v>
      </c>
      <c r="P306">
        <v>0</v>
      </c>
      <c r="Q306">
        <v>1</v>
      </c>
      <c r="R306">
        <v>1</v>
      </c>
      <c r="S306">
        <v>1</v>
      </c>
      <c r="T306" s="1">
        <f>SQRT(POWER(Breakout[[#This Row],[angvel_X]],2) + POWER(Breakout[[#This Row],[angvel_Y]],2) + POWER(Breakout[[#This Row],[angvel_Z]],2))</f>
        <v>2.0525000000000002</v>
      </c>
      <c r="U306" s="1">
        <f>DEGREES(ASIN(MAX(-1,MIN(1,2 * (Breakout[[#This Row],[quart_W]]*Breakout[[#This Row],[quart_Y]] - Breakout[[#This Row],[quart_Z]]*Breakout[[#This Row],[quart_X]])))))</f>
        <v>0.97770704678141362</v>
      </c>
      <c r="V30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89.926088219392284</v>
      </c>
      <c r="W30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90.00028612681821</v>
      </c>
      <c r="X306" s="1">
        <f>IF(Breakout[[#This Row],[Yaw]]&gt;V305,(360-ABS(Breakout[[#This Row],[Yaw]])-ABS(V305)),ABS(Breakout[[#This Row],[Yaw]]-V305))</f>
        <v>0.97991519928645232</v>
      </c>
      <c r="Y306" s="1">
        <f>Breakout[[#This Row],[Degree change]]+Y305</f>
        <v>239.22644465898435</v>
      </c>
    </row>
    <row r="307" spans="1:25">
      <c r="A307">
        <v>306</v>
      </c>
      <c r="B307" s="1">
        <v>-821.96997099999999</v>
      </c>
      <c r="C307" s="1">
        <v>417.13000499999998</v>
      </c>
      <c r="D307" s="1">
        <v>18.34</v>
      </c>
      <c r="E307" s="1">
        <v>2297.2299800000001</v>
      </c>
      <c r="F307" s="1">
        <v>-112.379997</v>
      </c>
      <c r="G307" s="1">
        <v>7.92</v>
      </c>
      <c r="H307" s="1">
        <v>0</v>
      </c>
      <c r="I307" s="1">
        <v>0</v>
      </c>
      <c r="J307" s="1">
        <v>2.0525000000000002</v>
      </c>
      <c r="K307" s="1">
        <v>-8.3999999999999995E-5</v>
      </c>
      <c r="L307" s="1">
        <v>8.5319999999999997E-3</v>
      </c>
      <c r="M307" s="1">
        <v>9.195E-3</v>
      </c>
      <c r="N307" s="1">
        <v>0.99992099999999995</v>
      </c>
      <c r="O307">
        <v>1</v>
      </c>
      <c r="P307">
        <v>0</v>
      </c>
      <c r="Q307">
        <v>1</v>
      </c>
      <c r="R307">
        <v>1</v>
      </c>
      <c r="S307">
        <v>1</v>
      </c>
      <c r="T307" s="1">
        <f>SQRT(POWER(Breakout[[#This Row],[angvel_X]],2) + POWER(Breakout[[#This Row],[angvel_Y]],2) + POWER(Breakout[[#This Row],[angvel_Z]],2))</f>
        <v>2.0525000000000002</v>
      </c>
      <c r="U307" s="1">
        <f>DEGREES(ASIN(MAX(-1,MIN(1,2 * (Breakout[[#This Row],[quart_W]]*Breakout[[#This Row],[quart_Y]] - Breakout[[#This Row],[quart_Z]]*Breakout[[#This Row],[quart_X]])))))</f>
        <v>0.97775390734246026</v>
      </c>
      <c r="V30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88.946283166612417</v>
      </c>
      <c r="W30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90.00063511580916</v>
      </c>
      <c r="X307" s="1">
        <f>IF(Breakout[[#This Row],[Yaw]]&gt;V306,(360-ABS(Breakout[[#This Row],[Yaw]])-ABS(V306)),ABS(Breakout[[#This Row],[Yaw]]-V306))</f>
        <v>0.97980505277986651</v>
      </c>
      <c r="Y307" s="1">
        <f>Breakout[[#This Row],[Degree change]]+Y306</f>
        <v>240.2062497117642</v>
      </c>
    </row>
    <row r="308" spans="1:25">
      <c r="A308">
        <v>307</v>
      </c>
      <c r="B308" s="1">
        <v>-802.76000999999997</v>
      </c>
      <c r="C308" s="1">
        <v>416.19000199999999</v>
      </c>
      <c r="D308" s="1">
        <v>18.34</v>
      </c>
      <c r="E308" s="1">
        <v>2298.820068</v>
      </c>
      <c r="F308" s="1">
        <v>-73.069999999999993</v>
      </c>
      <c r="G308" s="1">
        <v>7.92</v>
      </c>
      <c r="H308" s="1">
        <v>0</v>
      </c>
      <c r="I308" s="1">
        <v>0</v>
      </c>
      <c r="J308" s="1">
        <v>2.0525000000000002</v>
      </c>
      <c r="K308" s="1">
        <v>-1.5899999999999999E-4</v>
      </c>
      <c r="L308" s="1">
        <v>8.5319999999999997E-3</v>
      </c>
      <c r="M308" s="1">
        <v>1.7746000000000001E-2</v>
      </c>
      <c r="N308" s="1">
        <v>0.99980599999999997</v>
      </c>
      <c r="O308">
        <v>1</v>
      </c>
      <c r="P308">
        <v>0</v>
      </c>
      <c r="Q308">
        <v>1</v>
      </c>
      <c r="R308">
        <v>1</v>
      </c>
      <c r="S308">
        <v>1</v>
      </c>
      <c r="T308" s="1">
        <f>SQRT(POWER(Breakout[[#This Row],[angvel_X]],2) + POWER(Breakout[[#This Row],[angvel_Y]],2) + POWER(Breakout[[#This Row],[angvel_Z]],2))</f>
        <v>2.0525000000000002</v>
      </c>
      <c r="U308" s="1">
        <f>DEGREES(ASIN(MAX(-1,MIN(1,2 * (Breakout[[#This Row],[quart_W]]*Breakout[[#This Row],[quart_Y]] - Breakout[[#This Row],[quart_Z]]*Breakout[[#This Row],[quart_X]])))))</f>
        <v>0.97787631514074147</v>
      </c>
      <c r="V30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87.966285006601709</v>
      </c>
      <c r="W30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90.000866470694305</v>
      </c>
      <c r="X308" s="1">
        <f>IF(Breakout[[#This Row],[Yaw]]&gt;V307,(360-ABS(Breakout[[#This Row],[Yaw]])-ABS(V307)),ABS(Breakout[[#This Row],[Yaw]]-V307))</f>
        <v>0.97999816001070883</v>
      </c>
      <c r="Y308" s="1">
        <f>Breakout[[#This Row],[Degree change]]+Y307</f>
        <v>241.18624787177492</v>
      </c>
    </row>
    <row r="309" spans="1:25">
      <c r="A309">
        <v>308</v>
      </c>
      <c r="B309" s="1">
        <v>-783.52996800000005</v>
      </c>
      <c r="C309" s="1">
        <v>415.57998700000002</v>
      </c>
      <c r="D309" s="1">
        <v>18.34</v>
      </c>
      <c r="E309" s="1">
        <v>2299.7299800000001</v>
      </c>
      <c r="F309" s="1">
        <v>-33.739998</v>
      </c>
      <c r="G309" s="1">
        <v>7.92</v>
      </c>
      <c r="H309" s="1">
        <v>0</v>
      </c>
      <c r="I309" s="1">
        <v>0</v>
      </c>
      <c r="J309" s="1">
        <v>2.0525000000000002</v>
      </c>
      <c r="K309" s="1">
        <v>-2.3499999999999999E-4</v>
      </c>
      <c r="L309" s="1">
        <v>8.5319999999999997E-3</v>
      </c>
      <c r="M309" s="1">
        <v>2.6297000000000001E-2</v>
      </c>
      <c r="N309" s="1">
        <v>0.99961800000000001</v>
      </c>
      <c r="O309">
        <v>1</v>
      </c>
      <c r="P309">
        <v>0</v>
      </c>
      <c r="Q309">
        <v>1</v>
      </c>
      <c r="R309">
        <v>1</v>
      </c>
      <c r="S309">
        <v>1</v>
      </c>
      <c r="T309" s="1">
        <f>SQRT(POWER(Breakout[[#This Row],[angvel_X]],2) + POWER(Breakout[[#This Row],[angvel_Y]],2) + POWER(Breakout[[#This Row],[angvel_Z]],2))</f>
        <v>2.0525000000000002</v>
      </c>
      <c r="U309" s="1">
        <f>DEGREES(ASIN(MAX(-1,MIN(1,2 * (Breakout[[#This Row],[quart_W]]*Breakout[[#This Row],[quart_Y]] - Breakout[[#This Row],[quart_Z]]*Breakout[[#This Row],[quart_X]])))))</f>
        <v>0.97807735692871955</v>
      </c>
      <c r="V30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86.986138063359405</v>
      </c>
      <c r="W30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90.001208455368428</v>
      </c>
      <c r="X309" s="1">
        <f>IF(Breakout[[#This Row],[Yaw]]&gt;V308,(360-ABS(Breakout[[#This Row],[Yaw]])-ABS(V308)),ABS(Breakout[[#This Row],[Yaw]]-V308))</f>
        <v>0.98014694324230334</v>
      </c>
      <c r="Y309" s="1">
        <f>Breakout[[#This Row],[Degree change]]+Y308</f>
        <v>242.16639481501721</v>
      </c>
    </row>
    <row r="310" spans="1:25">
      <c r="A310">
        <v>309</v>
      </c>
      <c r="B310" s="1">
        <v>-764.29998799999998</v>
      </c>
      <c r="C310" s="1">
        <v>415.29998799999998</v>
      </c>
      <c r="D310" s="1">
        <v>18.34</v>
      </c>
      <c r="E310" s="1">
        <v>2299.969971</v>
      </c>
      <c r="F310" s="1">
        <v>5.59</v>
      </c>
      <c r="G310" s="1">
        <v>7.92</v>
      </c>
      <c r="H310" s="1">
        <v>1E-4</v>
      </c>
      <c r="I310" s="1">
        <v>0</v>
      </c>
      <c r="J310" s="1">
        <v>2.0525000000000002</v>
      </c>
      <c r="K310" s="1">
        <v>-3.1E-4</v>
      </c>
      <c r="L310" s="1">
        <v>8.5319999999999997E-3</v>
      </c>
      <c r="M310" s="1">
        <v>3.4841999999999998E-2</v>
      </c>
      <c r="N310" s="1">
        <v>0.99935600000000002</v>
      </c>
      <c r="O310">
        <v>1</v>
      </c>
      <c r="P310">
        <v>0</v>
      </c>
      <c r="Q310">
        <v>1</v>
      </c>
      <c r="R310">
        <v>1</v>
      </c>
      <c r="S310">
        <v>1</v>
      </c>
      <c r="T310" s="1">
        <f>SQRT(POWER(Breakout[[#This Row],[angvel_X]],2) + POWER(Breakout[[#This Row],[angvel_Y]],2) + POWER(Breakout[[#This Row],[angvel_Z]],2))</f>
        <v>2.0525000024360538</v>
      </c>
      <c r="U310" s="1">
        <f>DEGREES(ASIN(MAX(-1,MIN(1,2 * (Breakout[[#This Row],[quart_W]]*Breakout[[#This Row],[quart_Y]] - Breakout[[#This Row],[quart_Z]]*Breakout[[#This Row],[quart_X]])))))</f>
        <v>0.97835079401951752</v>
      </c>
      <c r="V31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86.00646074999257</v>
      </c>
      <c r="W31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90.001435860044168</v>
      </c>
      <c r="X310" s="1">
        <f>IF(Breakout[[#This Row],[Yaw]]&gt;V309,(360-ABS(Breakout[[#This Row],[Yaw]])-ABS(V309)),ABS(Breakout[[#This Row],[Yaw]]-V309))</f>
        <v>0.97967731336683528</v>
      </c>
      <c r="Y310" s="1">
        <f>Breakout[[#This Row],[Degree change]]+Y309</f>
        <v>243.14607212838405</v>
      </c>
    </row>
    <row r="311" spans="1:25">
      <c r="A311">
        <v>310</v>
      </c>
      <c r="B311" s="1">
        <v>-745.05999799999995</v>
      </c>
      <c r="C311" s="1">
        <v>415.34997600000003</v>
      </c>
      <c r="D311" s="1">
        <v>18.34</v>
      </c>
      <c r="E311" s="1">
        <v>2299.540039</v>
      </c>
      <c r="F311" s="1">
        <v>44.91</v>
      </c>
      <c r="G311" s="1">
        <v>7.92</v>
      </c>
      <c r="H311" s="1">
        <v>2.0000000000000001E-4</v>
      </c>
      <c r="I311" s="1">
        <v>0</v>
      </c>
      <c r="J311" s="1">
        <v>2.0525000000000002</v>
      </c>
      <c r="K311" s="1">
        <v>-3.8000000000000002E-4</v>
      </c>
      <c r="L311" s="1">
        <v>8.5269999999999999E-3</v>
      </c>
      <c r="M311" s="1">
        <v>4.3388000000000003E-2</v>
      </c>
      <c r="N311" s="1">
        <v>0.99902199999999997</v>
      </c>
      <c r="O311">
        <v>1</v>
      </c>
      <c r="P311">
        <v>0</v>
      </c>
      <c r="Q311">
        <v>1</v>
      </c>
      <c r="R311">
        <v>1</v>
      </c>
      <c r="S311">
        <v>1</v>
      </c>
      <c r="T311" s="1">
        <f>SQRT(POWER(Breakout[[#This Row],[angvel_X]],2) + POWER(Breakout[[#This Row],[angvel_Y]],2) + POWER(Breakout[[#This Row],[angvel_Z]],2))</f>
        <v>2.0525000097442145</v>
      </c>
      <c r="U311" s="1">
        <f>DEGREES(ASIN(MAX(-1,MIN(1,2 * (Breakout[[#This Row],[quart_W]]*Breakout[[#This Row],[quart_Y]] - Breakout[[#This Row],[quart_Z]]*Breakout[[#This Row],[quart_X]])))))</f>
        <v>0.97810342606689449</v>
      </c>
      <c r="V31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85.026367505996447</v>
      </c>
      <c r="W31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90.001106987873143</v>
      </c>
      <c r="X311" s="1">
        <f>IF(Breakout[[#This Row],[Yaw]]&gt;V310,(360-ABS(Breakout[[#This Row],[Yaw]])-ABS(V310)),ABS(Breakout[[#This Row],[Yaw]]-V310))</f>
        <v>0.98009324399612296</v>
      </c>
      <c r="Y311" s="1">
        <f>Breakout[[#This Row],[Degree change]]+Y310</f>
        <v>244.12616537238017</v>
      </c>
    </row>
    <row r="312" spans="1:25">
      <c r="A312">
        <v>311</v>
      </c>
      <c r="B312" s="1">
        <v>-725.82995600000004</v>
      </c>
      <c r="C312" s="1">
        <v>415.72998000000001</v>
      </c>
      <c r="D312" s="1">
        <v>18.34</v>
      </c>
      <c r="E312" s="1">
        <v>2298.4399410000001</v>
      </c>
      <c r="F312" s="1">
        <v>84.220000999999996</v>
      </c>
      <c r="G312" s="1">
        <v>7.92</v>
      </c>
      <c r="H312" s="1">
        <v>2.0000000000000001E-4</v>
      </c>
      <c r="I312" s="1">
        <v>0</v>
      </c>
      <c r="J312" s="1">
        <v>2.0525000000000002</v>
      </c>
      <c r="K312" s="1">
        <v>-4.4999999999999999E-4</v>
      </c>
      <c r="L312" s="1">
        <v>8.5210000000000008E-3</v>
      </c>
      <c r="M312" s="1">
        <v>5.1928000000000002E-2</v>
      </c>
      <c r="N312" s="1">
        <v>0.998614</v>
      </c>
      <c r="O312">
        <v>1</v>
      </c>
      <c r="P312">
        <v>0</v>
      </c>
      <c r="Q312">
        <v>1</v>
      </c>
      <c r="R312">
        <v>1</v>
      </c>
      <c r="S312">
        <v>1</v>
      </c>
      <c r="T312" s="1">
        <f>SQRT(POWER(Breakout[[#This Row],[angvel_X]],2) + POWER(Breakout[[#This Row],[angvel_Y]],2) + POWER(Breakout[[#This Row],[angvel_Z]],2))</f>
        <v>2.0525000097442145</v>
      </c>
      <c r="U312" s="1">
        <f>DEGREES(ASIN(MAX(-1,MIN(1,2 * (Breakout[[#This Row],[quart_W]]*Breakout[[#This Row],[quart_Y]] - Breakout[[#This Row],[quart_Z]]*Breakout[[#This Row],[quart_X]])))))</f>
        <v>0.97780652880236241</v>
      </c>
      <c r="V31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84.04660403873244</v>
      </c>
      <c r="W31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90.000790546150142</v>
      </c>
      <c r="X312" s="1">
        <f>IF(Breakout[[#This Row],[Yaw]]&gt;V311,(360-ABS(Breakout[[#This Row],[Yaw]])-ABS(V311)),ABS(Breakout[[#This Row],[Yaw]]-V311))</f>
        <v>0.9797634672640072</v>
      </c>
      <c r="Y312" s="1">
        <f>Breakout[[#This Row],[Degree change]]+Y311</f>
        <v>245.10592883964418</v>
      </c>
    </row>
    <row r="313" spans="1:25">
      <c r="A313">
        <v>312</v>
      </c>
      <c r="B313" s="1">
        <v>-706.60998500000005</v>
      </c>
      <c r="C313" s="1">
        <v>416.44000199999999</v>
      </c>
      <c r="D313" s="1">
        <v>18.34</v>
      </c>
      <c r="E313" s="1">
        <v>2296.6599120000001</v>
      </c>
      <c r="F313" s="1">
        <v>123.509995</v>
      </c>
      <c r="G313" s="1">
        <v>7.92</v>
      </c>
      <c r="H313" s="1">
        <v>2.0000000000000001E-4</v>
      </c>
      <c r="I313" s="1">
        <v>0</v>
      </c>
      <c r="J313" s="1">
        <v>2.0525000000000002</v>
      </c>
      <c r="K313" s="1">
        <v>-5.2099999999999998E-4</v>
      </c>
      <c r="L313" s="1">
        <v>8.5159999999999993E-3</v>
      </c>
      <c r="M313" s="1">
        <v>6.0468000000000001E-2</v>
      </c>
      <c r="N313" s="1">
        <v>0.99813399999999997</v>
      </c>
      <c r="O313">
        <v>1</v>
      </c>
      <c r="P313">
        <v>0</v>
      </c>
      <c r="Q313">
        <v>1</v>
      </c>
      <c r="R313">
        <v>1</v>
      </c>
      <c r="S313">
        <v>1</v>
      </c>
      <c r="T313" s="1">
        <f>SQRT(POWER(Breakout[[#This Row],[angvel_X]],2) + POWER(Breakout[[#This Row],[angvel_Y]],2) + POWER(Breakout[[#This Row],[angvel_Z]],2))</f>
        <v>2.0525000097442145</v>
      </c>
      <c r="U313" s="1">
        <f>DEGREES(ASIN(MAX(-1,MIN(1,2 * (Breakout[[#This Row],[quart_W]]*Breakout[[#This Row],[quart_Y]] - Breakout[[#This Row],[quart_Z]]*Breakout[[#This Row],[quart_X]])))))</f>
        <v>0.97769827879226134</v>
      </c>
      <c r="V31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83.066398102146181</v>
      </c>
      <c r="W31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90.00058247646102</v>
      </c>
      <c r="X313" s="1">
        <f>IF(Breakout[[#This Row],[Yaw]]&gt;V312,(360-ABS(Breakout[[#This Row],[Yaw]])-ABS(V312)),ABS(Breakout[[#This Row],[Yaw]]-V312))</f>
        <v>0.98020593658625899</v>
      </c>
      <c r="Y313" s="1">
        <f>Breakout[[#This Row],[Degree change]]+Y312</f>
        <v>246.08613477623044</v>
      </c>
    </row>
    <row r="314" spans="1:25">
      <c r="A314">
        <v>313</v>
      </c>
      <c r="B314" s="1">
        <v>-687.39996299999996</v>
      </c>
      <c r="C314" s="1">
        <v>417.47998000000001</v>
      </c>
      <c r="D314" s="1">
        <v>18.34</v>
      </c>
      <c r="E314" s="1">
        <v>2294.209961</v>
      </c>
      <c r="F314" s="1">
        <v>162.76998900000001</v>
      </c>
      <c r="G314" s="1">
        <v>7.92</v>
      </c>
      <c r="H314" s="1">
        <v>1E-4</v>
      </c>
      <c r="I314" s="1">
        <v>0</v>
      </c>
      <c r="J314" s="1">
        <v>2.0525000000000002</v>
      </c>
      <c r="K314" s="1">
        <v>-5.9100000000000005E-4</v>
      </c>
      <c r="L314" s="1">
        <v>8.5100000000000002E-3</v>
      </c>
      <c r="M314" s="1">
        <v>6.9001999999999994E-2</v>
      </c>
      <c r="N314" s="1">
        <v>0.99758000000000002</v>
      </c>
      <c r="O314">
        <v>1</v>
      </c>
      <c r="P314">
        <v>0</v>
      </c>
      <c r="Q314">
        <v>1</v>
      </c>
      <c r="R314">
        <v>1</v>
      </c>
      <c r="S314">
        <v>1</v>
      </c>
      <c r="T314" s="1">
        <f>SQRT(POWER(Breakout[[#This Row],[angvel_X]],2) + POWER(Breakout[[#This Row],[angvel_Y]],2) + POWER(Breakout[[#This Row],[angvel_Z]],2))</f>
        <v>2.0525000024360538</v>
      </c>
      <c r="U314" s="1">
        <f>DEGREES(ASIN(MAX(-1,MIN(1,2 * (Breakout[[#This Row],[quart_W]]*Breakout[[#This Row],[quart_Y]] - Breakout[[#This Row],[quart_Z]]*Breakout[[#This Row],[quart_X]])))))</f>
        <v>0.97753473397735868</v>
      </c>
      <c r="V31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82.086379453832947</v>
      </c>
      <c r="W31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90.000270791762702</v>
      </c>
      <c r="X314" s="1">
        <f>IF(Breakout[[#This Row],[Yaw]]&gt;V313,(360-ABS(Breakout[[#This Row],[Yaw]])-ABS(V313)),ABS(Breakout[[#This Row],[Yaw]]-V313))</f>
        <v>0.9800186483132336</v>
      </c>
      <c r="Y314" s="1">
        <f>Breakout[[#This Row],[Degree change]]+Y313</f>
        <v>247.06615342454367</v>
      </c>
    </row>
    <row r="315" spans="1:25">
      <c r="A315">
        <v>314</v>
      </c>
      <c r="B315" s="1">
        <v>-668.20996100000002</v>
      </c>
      <c r="C315" s="1">
        <v>418.84997600000003</v>
      </c>
      <c r="D315" s="1">
        <v>18.34</v>
      </c>
      <c r="E315" s="1">
        <v>2291.0898440000001</v>
      </c>
      <c r="F315" s="1">
        <v>201.979996</v>
      </c>
      <c r="G315" s="1">
        <v>7.92</v>
      </c>
      <c r="H315" s="1">
        <v>0</v>
      </c>
      <c r="I315" s="1">
        <v>0</v>
      </c>
      <c r="J315" s="1">
        <v>2.0525000000000002</v>
      </c>
      <c r="K315" s="1">
        <v>-6.6100000000000002E-4</v>
      </c>
      <c r="L315" s="1">
        <v>8.5050000000000004E-3</v>
      </c>
      <c r="M315" s="1">
        <v>7.7532000000000004E-2</v>
      </c>
      <c r="N315" s="1">
        <v>0.99695299999999998</v>
      </c>
      <c r="O315">
        <v>1</v>
      </c>
      <c r="P315">
        <v>0</v>
      </c>
      <c r="Q315">
        <v>1</v>
      </c>
      <c r="R315">
        <v>1</v>
      </c>
      <c r="S315">
        <v>1</v>
      </c>
      <c r="T315" s="1">
        <f>SQRT(POWER(Breakout[[#This Row],[angvel_X]],2) + POWER(Breakout[[#This Row],[angvel_Y]],2) + POWER(Breakout[[#This Row],[angvel_Z]],2))</f>
        <v>2.0525000000000002</v>
      </c>
      <c r="U315" s="1">
        <f>DEGREES(ASIN(MAX(-1,MIN(1,2 * (Breakout[[#This Row],[quart_W]]*Breakout[[#This Row],[quart_Y]] - Breakout[[#This Row],[quart_Z]]*Breakout[[#This Row],[quart_X]])))))</f>
        <v>0.97755168854723262</v>
      </c>
      <c r="V31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81.106240514746503</v>
      </c>
      <c r="W31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89.999951437394486</v>
      </c>
      <c r="X315" s="1">
        <f>IF(Breakout[[#This Row],[Yaw]]&gt;V314,(360-ABS(Breakout[[#This Row],[Yaw]])-ABS(V314)),ABS(Breakout[[#This Row],[Yaw]]-V314))</f>
        <v>0.98013893908644434</v>
      </c>
      <c r="Y315" s="1">
        <f>Breakout[[#This Row],[Degree change]]+Y314</f>
        <v>248.04629236363013</v>
      </c>
    </row>
    <row r="316" spans="1:25">
      <c r="A316">
        <v>315</v>
      </c>
      <c r="B316" s="1">
        <v>-649.04998799999998</v>
      </c>
      <c r="C316" s="1">
        <v>420.53997800000002</v>
      </c>
      <c r="D316" s="1">
        <v>18.34</v>
      </c>
      <c r="E316" s="1">
        <v>2287.3100589999999</v>
      </c>
      <c r="F316" s="1">
        <v>241.12998999999999</v>
      </c>
      <c r="G316" s="1">
        <v>7.92</v>
      </c>
      <c r="H316" s="1">
        <v>0</v>
      </c>
      <c r="I316" s="1">
        <v>0</v>
      </c>
      <c r="J316" s="1">
        <v>2.0525000000000002</v>
      </c>
      <c r="K316" s="1">
        <v>-7.3099999999999999E-4</v>
      </c>
      <c r="L316" s="1">
        <v>8.5000000000000006E-3</v>
      </c>
      <c r="M316" s="1">
        <v>8.6055000000000006E-2</v>
      </c>
      <c r="N316" s="1">
        <v>0.99625399999999997</v>
      </c>
      <c r="O316">
        <v>1</v>
      </c>
      <c r="P316">
        <v>0</v>
      </c>
      <c r="Q316">
        <v>1</v>
      </c>
      <c r="R316">
        <v>1</v>
      </c>
      <c r="S316">
        <v>1</v>
      </c>
      <c r="T316" s="1">
        <f>SQRT(POWER(Breakout[[#This Row],[angvel_X]],2) + POWER(Breakout[[#This Row],[angvel_Y]],2) + POWER(Breakout[[#This Row],[angvel_Z]],2))</f>
        <v>2.0525000000000002</v>
      </c>
      <c r="U316" s="1">
        <f>DEGREES(ASIN(MAX(-1,MIN(1,2 * (Breakout[[#This Row],[quart_W]]*Breakout[[#This Row],[quart_Y]] - Breakout[[#This Row],[quart_Z]]*Breakout[[#This Row],[quart_X]])))))</f>
        <v>0.97763550017855783</v>
      </c>
      <c r="V31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80.126246826804604</v>
      </c>
      <c r="W31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89.9996325859167</v>
      </c>
      <c r="X316" s="1">
        <f>IF(Breakout[[#This Row],[Yaw]]&gt;V315,(360-ABS(Breakout[[#This Row],[Yaw]])-ABS(V315)),ABS(Breakout[[#This Row],[Yaw]]-V315))</f>
        <v>0.97999368794189934</v>
      </c>
      <c r="Y316" s="1">
        <f>Breakout[[#This Row],[Degree change]]+Y315</f>
        <v>249.02628605157201</v>
      </c>
    </row>
    <row r="317" spans="1:25">
      <c r="A317">
        <v>316</v>
      </c>
      <c r="B317" s="1">
        <v>-629.919983</v>
      </c>
      <c r="C317" s="1">
        <v>422.55999800000001</v>
      </c>
      <c r="D317" s="1">
        <v>18.34</v>
      </c>
      <c r="E317" s="1">
        <v>2282.8498540000001</v>
      </c>
      <c r="F317" s="1">
        <v>280.209991</v>
      </c>
      <c r="G317" s="1">
        <v>7.92</v>
      </c>
      <c r="H317" s="1">
        <v>0</v>
      </c>
      <c r="I317" s="1">
        <v>0</v>
      </c>
      <c r="J317" s="1">
        <v>2.0525000000000002</v>
      </c>
      <c r="K317" s="1">
        <v>-8.0099999999999995E-4</v>
      </c>
      <c r="L317" s="1">
        <v>8.4939999999999998E-3</v>
      </c>
      <c r="M317" s="1">
        <v>9.4574000000000005E-2</v>
      </c>
      <c r="N317" s="1">
        <v>0.99548099999999995</v>
      </c>
      <c r="O317">
        <v>1</v>
      </c>
      <c r="P317">
        <v>0</v>
      </c>
      <c r="Q317">
        <v>1</v>
      </c>
      <c r="R317">
        <v>1</v>
      </c>
      <c r="S317">
        <v>1</v>
      </c>
      <c r="T317" s="1">
        <f>SQRT(POWER(Breakout[[#This Row],[angvel_X]],2) + POWER(Breakout[[#This Row],[angvel_Y]],2) + POWER(Breakout[[#This Row],[angvel_Z]],2))</f>
        <v>2.0525000000000002</v>
      </c>
      <c r="U317" s="1">
        <f>DEGREES(ASIN(MAX(-1,MIN(1,2 * (Breakout[[#This Row],[quart_W]]*Breakout[[#This Row],[quart_Y]] - Breakout[[#This Row],[quart_Z]]*Breakout[[#This Row],[quart_X]])))))</f>
        <v>0.97767036205773761</v>
      </c>
      <c r="V31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79.14599806984873</v>
      </c>
      <c r="W31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89.999320226989909</v>
      </c>
      <c r="X317" s="1">
        <f>IF(Breakout[[#This Row],[Yaw]]&gt;V316,(360-ABS(Breakout[[#This Row],[Yaw]])-ABS(V316)),ABS(Breakout[[#This Row],[Yaw]]-V316))</f>
        <v>0.98024875695587355</v>
      </c>
      <c r="Y317" s="1">
        <f>Breakout[[#This Row],[Degree change]]+Y316</f>
        <v>250.00653480852787</v>
      </c>
    </row>
    <row r="318" spans="1:25">
      <c r="A318">
        <v>317</v>
      </c>
      <c r="B318" s="1">
        <v>-610.82995600000004</v>
      </c>
      <c r="C318" s="1">
        <v>424.91000400000001</v>
      </c>
      <c r="D318" s="1">
        <v>18.34</v>
      </c>
      <c r="E318" s="1">
        <v>2277.719971</v>
      </c>
      <c r="F318" s="1">
        <v>319.209991</v>
      </c>
      <c r="G318" s="1">
        <v>7.92</v>
      </c>
      <c r="H318" s="1">
        <v>0</v>
      </c>
      <c r="I318" s="1">
        <v>0</v>
      </c>
      <c r="J318" s="1">
        <v>2.0525000000000002</v>
      </c>
      <c r="K318" s="1">
        <v>-8.7100000000000003E-4</v>
      </c>
      <c r="L318" s="1">
        <v>8.489E-3</v>
      </c>
      <c r="M318" s="1">
        <v>0.10308100000000001</v>
      </c>
      <c r="N318" s="1">
        <v>0.99463599999999996</v>
      </c>
      <c r="O318">
        <v>1</v>
      </c>
      <c r="P318">
        <v>0</v>
      </c>
      <c r="Q318">
        <v>1</v>
      </c>
      <c r="R318">
        <v>1</v>
      </c>
      <c r="S318">
        <v>1</v>
      </c>
      <c r="T318" s="1">
        <f>SQRT(POWER(Breakout[[#This Row],[angvel_X]],2) + POWER(Breakout[[#This Row],[angvel_Y]],2) + POWER(Breakout[[#This Row],[angvel_Z]],2))</f>
        <v>2.0525000000000002</v>
      </c>
      <c r="U318" s="1">
        <f>DEGREES(ASIN(MAX(-1,MIN(1,2 * (Breakout[[#This Row],[quart_W]]*Breakout[[#This Row],[quart_Y]] - Breakout[[#This Row],[quart_Z]]*Breakout[[#This Row],[quart_X]])))))</f>
        <v>0.9778857300939352</v>
      </c>
      <c r="V31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78.166331209523506</v>
      </c>
      <c r="W31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89.998999853562907</v>
      </c>
      <c r="X318" s="1">
        <f>IF(Breakout[[#This Row],[Yaw]]&gt;V317,(360-ABS(Breakout[[#This Row],[Yaw]])-ABS(V317)),ABS(Breakout[[#This Row],[Yaw]]-V317))</f>
        <v>0.97966686032522432</v>
      </c>
      <c r="Y318" s="1">
        <f>Breakout[[#This Row],[Degree change]]+Y317</f>
        <v>250.98620166885308</v>
      </c>
    </row>
    <row r="319" spans="1:25">
      <c r="A319">
        <v>318</v>
      </c>
      <c r="B319" s="1">
        <v>-591.77996800000005</v>
      </c>
      <c r="C319" s="1">
        <v>427.57998700000002</v>
      </c>
      <c r="D319" s="1">
        <v>18.34</v>
      </c>
      <c r="E319" s="1">
        <v>2271.929932</v>
      </c>
      <c r="F319" s="1">
        <v>358.11999500000002</v>
      </c>
      <c r="G319" s="1">
        <v>7.92</v>
      </c>
      <c r="H319" s="1">
        <v>-1E-4</v>
      </c>
      <c r="I319" s="1">
        <v>0</v>
      </c>
      <c r="J319" s="1">
        <v>2.0525000000000002</v>
      </c>
      <c r="K319" s="1">
        <v>-9.41E-4</v>
      </c>
      <c r="L319" s="1">
        <v>8.4829999999999992E-3</v>
      </c>
      <c r="M319" s="1">
        <v>0.111584</v>
      </c>
      <c r="N319" s="1">
        <v>0.99371799999999999</v>
      </c>
      <c r="O319">
        <v>1</v>
      </c>
      <c r="P319">
        <v>0</v>
      </c>
      <c r="Q319">
        <v>1</v>
      </c>
      <c r="R319">
        <v>1</v>
      </c>
      <c r="S319">
        <v>1</v>
      </c>
      <c r="T319" s="1">
        <f>SQRT(POWER(Breakout[[#This Row],[angvel_X]],2) + POWER(Breakout[[#This Row],[angvel_Y]],2) + POWER(Breakout[[#This Row],[angvel_Z]],2))</f>
        <v>2.0525000024360538</v>
      </c>
      <c r="U319" s="1">
        <f>DEGREES(ASIN(MAX(-1,MIN(1,2 * (Breakout[[#This Row],[quart_W]]*Breakout[[#This Row],[quart_Y]] - Breakout[[#This Row],[quart_Z]]*Breakout[[#This Row],[quart_X]])))))</f>
        <v>0.97805326249100943</v>
      </c>
      <c r="V31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77.186255910523585</v>
      </c>
      <c r="W31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89.998684476689746</v>
      </c>
      <c r="X319" s="1">
        <f>IF(Breakout[[#This Row],[Yaw]]&gt;V318,(360-ABS(Breakout[[#This Row],[Yaw]])-ABS(V318)),ABS(Breakout[[#This Row],[Yaw]]-V318))</f>
        <v>0.98007529899992107</v>
      </c>
      <c r="Y319" s="1">
        <f>Breakout[[#This Row],[Degree change]]+Y318</f>
        <v>251.96627696785299</v>
      </c>
    </row>
    <row r="320" spans="1:25">
      <c r="A320">
        <v>319</v>
      </c>
      <c r="B320" s="1">
        <v>-572.77996800000005</v>
      </c>
      <c r="C320" s="1">
        <v>430.57998700000002</v>
      </c>
      <c r="D320" s="1">
        <v>18.34</v>
      </c>
      <c r="E320" s="1">
        <v>2265.469971</v>
      </c>
      <c r="F320" s="1">
        <v>396.919983</v>
      </c>
      <c r="G320" s="1">
        <v>7.92</v>
      </c>
      <c r="H320" s="1">
        <v>-1E-4</v>
      </c>
      <c r="I320" s="1">
        <v>0</v>
      </c>
      <c r="J320" s="1">
        <v>2.0525000000000002</v>
      </c>
      <c r="K320" s="1">
        <v>-1.0169999999999999E-3</v>
      </c>
      <c r="L320" s="1">
        <v>8.4729999999999996E-3</v>
      </c>
      <c r="M320" s="1">
        <v>0.12008099999999999</v>
      </c>
      <c r="N320" s="1">
        <v>0.99272700000000003</v>
      </c>
      <c r="O320">
        <v>1</v>
      </c>
      <c r="P320">
        <v>0</v>
      </c>
      <c r="Q320">
        <v>1</v>
      </c>
      <c r="R320">
        <v>1</v>
      </c>
      <c r="S320">
        <v>1</v>
      </c>
      <c r="T320" s="1">
        <f>SQRT(POWER(Breakout[[#This Row],[angvel_X]],2) + POWER(Breakout[[#This Row],[angvel_Y]],2) + POWER(Breakout[[#This Row],[angvel_Z]],2))</f>
        <v>2.0525000024360538</v>
      </c>
      <c r="U320" s="1">
        <f>DEGREES(ASIN(MAX(-1,MIN(1,2 * (Breakout[[#This Row],[quart_W]]*Breakout[[#This Row],[quart_Y]] - Breakout[[#This Row],[quart_Z]]*Breakout[[#This Row],[quart_X]])))))</f>
        <v>0.97791434697206092</v>
      </c>
      <c r="V32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76.205938508720365</v>
      </c>
      <c r="W32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89.999101132752003</v>
      </c>
      <c r="X320" s="1">
        <f>IF(Breakout[[#This Row],[Yaw]]&gt;V319,(360-ABS(Breakout[[#This Row],[Yaw]])-ABS(V319)),ABS(Breakout[[#This Row],[Yaw]]-V319))</f>
        <v>0.98031740180321947</v>
      </c>
      <c r="Y320" s="1">
        <f>Breakout[[#This Row],[Degree change]]+Y319</f>
        <v>252.94659436965622</v>
      </c>
    </row>
    <row r="321" spans="1:25">
      <c r="A321">
        <v>320</v>
      </c>
      <c r="B321" s="1">
        <v>-553.830017</v>
      </c>
      <c r="C321" s="1">
        <v>433.89999399999999</v>
      </c>
      <c r="D321" s="1">
        <v>18.34</v>
      </c>
      <c r="E321" s="1">
        <v>2258.3498540000001</v>
      </c>
      <c r="F321" s="1">
        <v>435.60998499999999</v>
      </c>
      <c r="G321" s="1">
        <v>7.92</v>
      </c>
      <c r="H321" s="1">
        <v>-1E-4</v>
      </c>
      <c r="I321" s="1">
        <v>0</v>
      </c>
      <c r="J321" s="1">
        <v>2.0525000000000002</v>
      </c>
      <c r="K321" s="1">
        <v>-1.0870000000000001E-3</v>
      </c>
      <c r="L321" s="1">
        <v>8.4620000000000008E-3</v>
      </c>
      <c r="M321" s="1">
        <v>0.12856699999999999</v>
      </c>
      <c r="N321" s="1">
        <v>0.99166399999999999</v>
      </c>
      <c r="O321">
        <v>1</v>
      </c>
      <c r="P321">
        <v>0</v>
      </c>
      <c r="Q321">
        <v>1</v>
      </c>
      <c r="R321">
        <v>1</v>
      </c>
      <c r="S321">
        <v>1</v>
      </c>
      <c r="T321" s="1">
        <f>SQRT(POWER(Breakout[[#This Row],[angvel_X]],2) + POWER(Breakout[[#This Row],[angvel_Y]],2) + POWER(Breakout[[#This Row],[angvel_Z]],2))</f>
        <v>2.0525000024360538</v>
      </c>
      <c r="U321" s="1">
        <f>DEGREES(ASIN(MAX(-1,MIN(1,2 * (Breakout[[#This Row],[quart_W]]*Breakout[[#This Row],[quart_Y]] - Breakout[[#This Row],[quart_Z]]*Breakout[[#This Row],[quart_X]])))))</f>
        <v>0.97765244982078603</v>
      </c>
      <c r="V32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75.225866187162339</v>
      </c>
      <c r="W32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89.998854469294145</v>
      </c>
      <c r="X321" s="1">
        <f>IF(Breakout[[#This Row],[Yaw]]&gt;V320,(360-ABS(Breakout[[#This Row],[Yaw]])-ABS(V320)),ABS(Breakout[[#This Row],[Yaw]]-V320))</f>
        <v>0.98007232155802626</v>
      </c>
      <c r="Y321" s="1">
        <f>Breakout[[#This Row],[Degree change]]+Y320</f>
        <v>253.92666669121425</v>
      </c>
    </row>
    <row r="322" spans="1:25">
      <c r="A322">
        <v>321</v>
      </c>
      <c r="B322" s="1">
        <v>-534.94000200000005</v>
      </c>
      <c r="C322" s="1">
        <v>437.54998799999998</v>
      </c>
      <c r="D322" s="1">
        <v>18.34</v>
      </c>
      <c r="E322" s="1">
        <v>2250.570068</v>
      </c>
      <c r="F322" s="1">
        <v>474.169983</v>
      </c>
      <c r="G322" s="1">
        <v>7.92</v>
      </c>
      <c r="H322" s="1">
        <v>-1E-4</v>
      </c>
      <c r="I322" s="1">
        <v>0</v>
      </c>
      <c r="J322" s="1">
        <v>2.0525000000000002</v>
      </c>
      <c r="K322" s="1">
        <v>-1.157E-3</v>
      </c>
      <c r="L322" s="1">
        <v>8.4510000000000002E-3</v>
      </c>
      <c r="M322" s="1">
        <v>0.137042</v>
      </c>
      <c r="N322" s="1">
        <v>0.99052799999999996</v>
      </c>
      <c r="O322">
        <v>1</v>
      </c>
      <c r="P322">
        <v>0</v>
      </c>
      <c r="Q322">
        <v>1</v>
      </c>
      <c r="R322">
        <v>1</v>
      </c>
      <c r="S322">
        <v>1</v>
      </c>
      <c r="T322" s="1">
        <f>SQRT(POWER(Breakout[[#This Row],[angvel_X]],2) + POWER(Breakout[[#This Row],[angvel_Y]],2) + POWER(Breakout[[#This Row],[angvel_Z]],2))</f>
        <v>2.0525000024360538</v>
      </c>
      <c r="U322" s="1">
        <f>DEGREES(ASIN(MAX(-1,MIN(1,2 * (Breakout[[#This Row],[quart_W]]*Breakout[[#This Row],[quart_Y]] - Breakout[[#This Row],[quart_Z]]*Breakout[[#This Row],[quart_X]])))))</f>
        <v>0.97745722901057119</v>
      </c>
      <c r="V32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74.245988182813576</v>
      </c>
      <c r="W32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89.998613120459979</v>
      </c>
      <c r="X322" s="1">
        <f>IF(Breakout[[#This Row],[Yaw]]&gt;V321,(360-ABS(Breakout[[#This Row],[Yaw]])-ABS(V321)),ABS(Breakout[[#This Row],[Yaw]]-V321))</f>
        <v>0.97987800434876249</v>
      </c>
      <c r="Y322" s="1">
        <f>Breakout[[#This Row],[Degree change]]+Y321</f>
        <v>254.90654469556301</v>
      </c>
    </row>
    <row r="323" spans="1:25">
      <c r="A323">
        <v>322</v>
      </c>
      <c r="B323" s="1">
        <v>-516.11999500000002</v>
      </c>
      <c r="C323" s="1">
        <v>441.51998900000001</v>
      </c>
      <c r="D323" s="1">
        <v>18.34</v>
      </c>
      <c r="E323" s="1">
        <v>2242.1298830000001</v>
      </c>
      <c r="F323" s="1">
        <v>512.59997599999997</v>
      </c>
      <c r="G323" s="1">
        <v>7.92</v>
      </c>
      <c r="H323" s="1">
        <v>-2.0000000000000001E-4</v>
      </c>
      <c r="I323" s="1">
        <v>0</v>
      </c>
      <c r="J323" s="1">
        <v>2.0525000000000002</v>
      </c>
      <c r="K323" s="1">
        <v>-1.227E-3</v>
      </c>
      <c r="L323" s="1">
        <v>8.4399999999999996E-3</v>
      </c>
      <c r="M323" s="1">
        <v>0.145506</v>
      </c>
      <c r="N323" s="1">
        <v>0.98932100000000001</v>
      </c>
      <c r="O323">
        <v>1</v>
      </c>
      <c r="P323">
        <v>0</v>
      </c>
      <c r="Q323">
        <v>1</v>
      </c>
      <c r="R323">
        <v>1</v>
      </c>
      <c r="S323">
        <v>1</v>
      </c>
      <c r="T323" s="1">
        <f>SQRT(POWER(Breakout[[#This Row],[angvel_X]],2) + POWER(Breakout[[#This Row],[angvel_Y]],2) + POWER(Breakout[[#This Row],[angvel_Z]],2))</f>
        <v>2.0525000097442145</v>
      </c>
      <c r="U323" s="1">
        <f>DEGREES(ASIN(MAX(-1,MIN(1,2 * (Breakout[[#This Row],[quart_W]]*Breakout[[#This Row],[quart_Y]] - Breakout[[#This Row],[quart_Z]]*Breakout[[#This Row],[quart_X]])))))</f>
        <v>0.97733063046295399</v>
      </c>
      <c r="V32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73.266203666907401</v>
      </c>
      <c r="W32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89.998375568935685</v>
      </c>
      <c r="X323" s="1">
        <f>IF(Breakout[[#This Row],[Yaw]]&gt;V322,(360-ABS(Breakout[[#This Row],[Yaw]])-ABS(V322)),ABS(Breakout[[#This Row],[Yaw]]-V322))</f>
        <v>0.9797845159061751</v>
      </c>
      <c r="Y323" s="1">
        <f>Breakout[[#This Row],[Degree change]]+Y322</f>
        <v>255.88632921146919</v>
      </c>
    </row>
    <row r="324" spans="1:25">
      <c r="A324">
        <v>323</v>
      </c>
      <c r="B324" s="1">
        <v>-497.36999500000002</v>
      </c>
      <c r="C324" s="1">
        <v>445.80999800000001</v>
      </c>
      <c r="D324" s="1">
        <v>18.34</v>
      </c>
      <c r="E324" s="1">
        <v>2233.040039</v>
      </c>
      <c r="F324" s="1">
        <v>550.86999500000002</v>
      </c>
      <c r="G324" s="1">
        <v>7.92</v>
      </c>
      <c r="H324" s="1">
        <v>-2.9999999999999997E-4</v>
      </c>
      <c r="I324" s="1">
        <v>0</v>
      </c>
      <c r="J324" s="1">
        <v>2.0525000000000002</v>
      </c>
      <c r="K324" s="1">
        <v>-1.3029999999999999E-3</v>
      </c>
      <c r="L324" s="1">
        <v>8.4290000000000007E-3</v>
      </c>
      <c r="M324" s="1">
        <v>0.15396000000000001</v>
      </c>
      <c r="N324" s="1">
        <v>0.98804000000000003</v>
      </c>
      <c r="O324">
        <v>1</v>
      </c>
      <c r="P324">
        <v>0</v>
      </c>
      <c r="Q324">
        <v>1</v>
      </c>
      <c r="R324">
        <v>1</v>
      </c>
      <c r="S324">
        <v>1</v>
      </c>
      <c r="T324" s="1">
        <f>SQRT(POWER(Breakout[[#This Row],[angvel_X]],2) + POWER(Breakout[[#This Row],[angvel_Y]],2) + POWER(Breakout[[#This Row],[angvel_Z]],2))</f>
        <v>2.0525000219244824</v>
      </c>
      <c r="U324" s="1">
        <f>DEGREES(ASIN(MAX(-1,MIN(1,2 * (Breakout[[#This Row],[quart_W]]*Breakout[[#This Row],[quart_Y]] - Breakout[[#This Row],[quart_Z]]*Breakout[[#This Row],[quart_X]])))))</f>
        <v>0.97737577900095507</v>
      </c>
      <c r="V32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72.286375638793928</v>
      </c>
      <c r="W32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89.998818077377635</v>
      </c>
      <c r="X324" s="1">
        <f>IF(Breakout[[#This Row],[Yaw]]&gt;V323,(360-ABS(Breakout[[#This Row],[Yaw]])-ABS(V323)),ABS(Breakout[[#This Row],[Yaw]]-V323))</f>
        <v>0.97982802811347369</v>
      </c>
      <c r="Y324" s="1">
        <f>Breakout[[#This Row],[Degree change]]+Y323</f>
        <v>256.86615723958266</v>
      </c>
    </row>
    <row r="325" spans="1:25">
      <c r="A325">
        <v>324</v>
      </c>
      <c r="B325" s="1">
        <v>-478.69998199999998</v>
      </c>
      <c r="C325" s="1">
        <v>450.419983</v>
      </c>
      <c r="D325" s="1">
        <v>18.34</v>
      </c>
      <c r="E325" s="1">
        <v>2223.290039</v>
      </c>
      <c r="F325" s="1">
        <v>588.97997999999995</v>
      </c>
      <c r="G325" s="1">
        <v>7.92</v>
      </c>
      <c r="H325" s="1">
        <v>-2.9999999999999997E-4</v>
      </c>
      <c r="I325" s="1">
        <v>0</v>
      </c>
      <c r="J325" s="1">
        <v>2.0525000000000002</v>
      </c>
      <c r="K325" s="1">
        <v>-1.3780000000000001E-3</v>
      </c>
      <c r="L325" s="1">
        <v>8.4189999999999994E-3</v>
      </c>
      <c r="M325" s="1">
        <v>0.16240299999999999</v>
      </c>
      <c r="N325" s="1">
        <v>0.98668800000000001</v>
      </c>
      <c r="O325">
        <v>1</v>
      </c>
      <c r="P325">
        <v>0</v>
      </c>
      <c r="Q325">
        <v>1</v>
      </c>
      <c r="R325">
        <v>1</v>
      </c>
      <c r="S325">
        <v>1</v>
      </c>
      <c r="T325" s="1">
        <f>SQRT(POWER(Breakout[[#This Row],[angvel_X]],2) + POWER(Breakout[[#This Row],[angvel_Y]],2) + POWER(Breakout[[#This Row],[angvel_Z]],2))</f>
        <v>2.0525000219244824</v>
      </c>
      <c r="U325" s="1">
        <f>DEGREES(ASIN(MAX(-1,MIN(1,2 * (Breakout[[#This Row],[quart_W]]*Breakout[[#This Row],[quart_Y]] - Breakout[[#This Row],[quart_Z]]*Breakout[[#This Row],[quart_X]])))))</f>
        <v>0.97759566246834273</v>
      </c>
      <c r="V32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71.306494653471319</v>
      </c>
      <c r="W32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89.999127281968413</v>
      </c>
      <c r="X325" s="1">
        <f>IF(Breakout[[#This Row],[Yaw]]&gt;V324,(360-ABS(Breakout[[#This Row],[Yaw]])-ABS(V324)),ABS(Breakout[[#This Row],[Yaw]]-V324))</f>
        <v>0.97988098532260892</v>
      </c>
      <c r="Y325" s="1">
        <f>Breakout[[#This Row],[Degree change]]+Y324</f>
        <v>257.84603822490527</v>
      </c>
    </row>
    <row r="326" spans="1:25">
      <c r="A326">
        <v>325</v>
      </c>
      <c r="B326" s="1">
        <v>-460.10998499999999</v>
      </c>
      <c r="C326" s="1">
        <v>455.34997600000003</v>
      </c>
      <c r="D326" s="1">
        <v>18.34</v>
      </c>
      <c r="E326" s="1">
        <v>2212.889893</v>
      </c>
      <c r="F326" s="1">
        <v>626.919983</v>
      </c>
      <c r="G326" s="1">
        <v>7.92</v>
      </c>
      <c r="H326" s="1">
        <v>-2.0000000000000001E-4</v>
      </c>
      <c r="I326" s="1">
        <v>0</v>
      </c>
      <c r="J326" s="1">
        <v>2.0525000000000002</v>
      </c>
      <c r="K326" s="1">
        <v>-1.454E-3</v>
      </c>
      <c r="L326" s="1">
        <v>8.4080000000000005E-3</v>
      </c>
      <c r="M326" s="1">
        <v>0.17083499999999999</v>
      </c>
      <c r="N326" s="1">
        <v>0.985263</v>
      </c>
      <c r="O326">
        <v>1</v>
      </c>
      <c r="P326">
        <v>0</v>
      </c>
      <c r="Q326">
        <v>1</v>
      </c>
      <c r="R326">
        <v>1</v>
      </c>
      <c r="S326">
        <v>1</v>
      </c>
      <c r="T326" s="1">
        <f>SQRT(POWER(Breakout[[#This Row],[angvel_X]],2) + POWER(Breakout[[#This Row],[angvel_Y]],2) + POWER(Breakout[[#This Row],[angvel_Z]],2))</f>
        <v>2.0525000097442145</v>
      </c>
      <c r="U326" s="1">
        <f>DEGREES(ASIN(MAX(-1,MIN(1,2 * (Breakout[[#This Row],[quart_W]]*Breakout[[#This Row],[quart_Y]] - Breakout[[#This Row],[quart_Z]]*Breakout[[#This Row],[quart_X]])))))</f>
        <v>0.97779826554767457</v>
      </c>
      <c r="V32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70.32652495362359</v>
      </c>
      <c r="W32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89.999563539930705</v>
      </c>
      <c r="X326" s="1">
        <f>IF(Breakout[[#This Row],[Yaw]]&gt;V325,(360-ABS(Breakout[[#This Row],[Yaw]])-ABS(V325)),ABS(Breakout[[#This Row],[Yaw]]-V325))</f>
        <v>0.97996969984772875</v>
      </c>
      <c r="Y326" s="1">
        <f>Breakout[[#This Row],[Degree change]]+Y325</f>
        <v>258.82600792475301</v>
      </c>
    </row>
    <row r="327" spans="1:25">
      <c r="A327">
        <v>326</v>
      </c>
      <c r="B327" s="1">
        <v>-441.59997600000003</v>
      </c>
      <c r="C327" s="1">
        <v>460.59997600000003</v>
      </c>
      <c r="D327" s="1">
        <v>18.34</v>
      </c>
      <c r="E327" s="1">
        <v>2201.8398440000001</v>
      </c>
      <c r="F327" s="1">
        <v>664.67999299999997</v>
      </c>
      <c r="G327" s="1">
        <v>7.92</v>
      </c>
      <c r="H327" s="1">
        <v>-1E-4</v>
      </c>
      <c r="I327" s="1">
        <v>0</v>
      </c>
      <c r="J327" s="1">
        <v>2.0525000000000002</v>
      </c>
      <c r="K327" s="1">
        <v>-1.524E-3</v>
      </c>
      <c r="L327" s="1">
        <v>8.397E-3</v>
      </c>
      <c r="M327" s="1">
        <v>0.179256</v>
      </c>
      <c r="N327" s="1">
        <v>0.983765</v>
      </c>
      <c r="O327">
        <v>1</v>
      </c>
      <c r="P327">
        <v>0</v>
      </c>
      <c r="Q327">
        <v>1</v>
      </c>
      <c r="R327">
        <v>1</v>
      </c>
      <c r="S327">
        <v>1</v>
      </c>
      <c r="T327" s="1">
        <f>SQRT(POWER(Breakout[[#This Row],[angvel_X]],2) + POWER(Breakout[[#This Row],[angvel_Y]],2) + POWER(Breakout[[#This Row],[angvel_Z]],2))</f>
        <v>2.0525000024360538</v>
      </c>
      <c r="U327" s="1">
        <f>DEGREES(ASIN(MAX(-1,MIN(1,2 * (Breakout[[#This Row],[quart_W]]*Breakout[[#This Row],[quart_Y]] - Breakout[[#This Row],[quart_Z]]*Breakout[[#This Row],[quart_X]])))))</f>
        <v>0.97795590403907384</v>
      </c>
      <c r="V32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69.346388540009471</v>
      </c>
      <c r="W32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89.999317533981923</v>
      </c>
      <c r="X327" s="1">
        <f>IF(Breakout[[#This Row],[Yaw]]&gt;V326,(360-ABS(Breakout[[#This Row],[Yaw]])-ABS(V326)),ABS(Breakout[[#This Row],[Yaw]]-V326))</f>
        <v>0.98013641361411885</v>
      </c>
      <c r="Y327" s="1">
        <f>Breakout[[#This Row],[Degree change]]+Y326</f>
        <v>259.80614433836712</v>
      </c>
    </row>
    <row r="328" spans="1:25">
      <c r="A328">
        <v>327</v>
      </c>
      <c r="B328" s="1">
        <v>-423.19000199999999</v>
      </c>
      <c r="C328" s="1">
        <v>466.16000400000001</v>
      </c>
      <c r="D328" s="1">
        <v>18.34</v>
      </c>
      <c r="E328" s="1">
        <v>2190.1499020000001</v>
      </c>
      <c r="F328" s="1">
        <v>702.23999000000003</v>
      </c>
      <c r="G328" s="1">
        <v>7.92</v>
      </c>
      <c r="H328" s="1">
        <v>-1E-4</v>
      </c>
      <c r="I328" s="1">
        <v>0</v>
      </c>
      <c r="J328" s="1">
        <v>2.0525000000000002</v>
      </c>
      <c r="K328" s="1">
        <v>-1.5939999999999999E-3</v>
      </c>
      <c r="L328" s="1">
        <v>8.3859999999999994E-3</v>
      </c>
      <c r="M328" s="1">
        <v>0.18766099999999999</v>
      </c>
      <c r="N328" s="1">
        <v>0.98219699999999999</v>
      </c>
      <c r="O328">
        <v>1</v>
      </c>
      <c r="P328">
        <v>0</v>
      </c>
      <c r="Q328">
        <v>1</v>
      </c>
      <c r="R328">
        <v>1</v>
      </c>
      <c r="S328">
        <v>1</v>
      </c>
      <c r="T328" s="1">
        <f>SQRT(POWER(Breakout[[#This Row],[angvel_X]],2) + POWER(Breakout[[#This Row],[angvel_Y]],2) + POWER(Breakout[[#This Row],[angvel_Z]],2))</f>
        <v>2.0525000024360538</v>
      </c>
      <c r="U328" s="1">
        <f>DEGREES(ASIN(MAX(-1,MIN(1,2 * (Breakout[[#This Row],[quart_W]]*Breakout[[#This Row],[quart_Y]] - Breakout[[#This Row],[quart_Z]]*Breakout[[#This Row],[quart_X]])))))</f>
        <v>0.97818223551982864</v>
      </c>
      <c r="V32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68.366561275072897</v>
      </c>
      <c r="W32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89.999071314590708</v>
      </c>
      <c r="X328" s="1">
        <f>IF(Breakout[[#This Row],[Yaw]]&gt;V327,(360-ABS(Breakout[[#This Row],[Yaw]])-ABS(V327)),ABS(Breakout[[#This Row],[Yaw]]-V327))</f>
        <v>0.97982726493657424</v>
      </c>
      <c r="Y328" s="1">
        <f>Breakout[[#This Row],[Degree change]]+Y327</f>
        <v>260.78597160330366</v>
      </c>
    </row>
    <row r="329" spans="1:25">
      <c r="A329">
        <v>328</v>
      </c>
      <c r="B329" s="1">
        <v>-404.86999500000002</v>
      </c>
      <c r="C329" s="1">
        <v>472.03997800000002</v>
      </c>
      <c r="D329" s="1">
        <v>18.34</v>
      </c>
      <c r="E329" s="1">
        <v>2177.820068</v>
      </c>
      <c r="F329" s="1">
        <v>739.59997599999997</v>
      </c>
      <c r="G329" s="1">
        <v>7.92</v>
      </c>
      <c r="H329" s="1">
        <v>-1E-4</v>
      </c>
      <c r="I329" s="1">
        <v>0</v>
      </c>
      <c r="J329" s="1">
        <v>2.0525000000000002</v>
      </c>
      <c r="K329" s="1">
        <v>-1.6639999999999999E-3</v>
      </c>
      <c r="L329" s="1">
        <v>8.3700000000000007E-3</v>
      </c>
      <c r="M329" s="1">
        <v>0.19605600000000001</v>
      </c>
      <c r="N329" s="1">
        <v>0.98055499999999995</v>
      </c>
      <c r="O329">
        <v>1</v>
      </c>
      <c r="P329">
        <v>0</v>
      </c>
      <c r="Q329">
        <v>1</v>
      </c>
      <c r="R329">
        <v>1</v>
      </c>
      <c r="S329">
        <v>1</v>
      </c>
      <c r="T329" s="1">
        <f>SQRT(POWER(Breakout[[#This Row],[angvel_X]],2) + POWER(Breakout[[#This Row],[angvel_Y]],2) + POWER(Breakout[[#This Row],[angvel_Z]],2))</f>
        <v>2.0525000024360538</v>
      </c>
      <c r="U329" s="1">
        <f>DEGREES(ASIN(MAX(-1,MIN(1,2 * (Breakout[[#This Row],[quart_W]]*Breakout[[#This Row],[quart_Y]] - Breakout[[#This Row],[quart_Z]]*Breakout[[#This Row],[quart_X]])))))</f>
        <v>0.9779125460179906</v>
      </c>
      <c r="V32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67.386330765957922</v>
      </c>
      <c r="W32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89.99892896296447</v>
      </c>
      <c r="X329" s="1">
        <f>IF(Breakout[[#This Row],[Yaw]]&gt;V328,(360-ABS(Breakout[[#This Row],[Yaw]])-ABS(V328)),ABS(Breakout[[#This Row],[Yaw]]-V328))</f>
        <v>0.98023050911497478</v>
      </c>
      <c r="Y329" s="1">
        <f>Breakout[[#This Row],[Degree change]]+Y328</f>
        <v>261.76620211241863</v>
      </c>
    </row>
    <row r="330" spans="1:25">
      <c r="A330">
        <v>329</v>
      </c>
      <c r="B330" s="1">
        <v>-386.66000400000001</v>
      </c>
      <c r="C330" s="1">
        <v>478.22998000000001</v>
      </c>
      <c r="D330" s="1">
        <v>18.34</v>
      </c>
      <c r="E330" s="1">
        <v>2164.8498540000001</v>
      </c>
      <c r="F330" s="1">
        <v>776.73999000000003</v>
      </c>
      <c r="G330" s="1">
        <v>7.92</v>
      </c>
      <c r="H330" s="1">
        <v>-1E-4</v>
      </c>
      <c r="I330" s="1">
        <v>0</v>
      </c>
      <c r="J330" s="1">
        <v>2.0525000000000002</v>
      </c>
      <c r="K330" s="1">
        <v>-1.7340000000000001E-3</v>
      </c>
      <c r="L330" s="1">
        <v>8.3540000000000003E-3</v>
      </c>
      <c r="M330" s="1">
        <v>0.204434</v>
      </c>
      <c r="N330" s="1">
        <v>0.97884300000000002</v>
      </c>
      <c r="O330">
        <v>1</v>
      </c>
      <c r="P330">
        <v>0</v>
      </c>
      <c r="Q330">
        <v>1</v>
      </c>
      <c r="R330">
        <v>1</v>
      </c>
      <c r="S330">
        <v>1</v>
      </c>
      <c r="T330" s="1">
        <f>SQRT(POWER(Breakout[[#This Row],[angvel_X]],2) + POWER(Breakout[[#This Row],[angvel_Y]],2) + POWER(Breakout[[#This Row],[angvel_Z]],2))</f>
        <v>2.0525000024360538</v>
      </c>
      <c r="U330" s="1">
        <f>DEGREES(ASIN(MAX(-1,MIN(1,2 * (Breakout[[#This Row],[quart_W]]*Breakout[[#This Row],[quart_Y]] - Breakout[[#This Row],[quart_Z]]*Breakout[[#This Row],[quart_X]])))))</f>
        <v>0.9777131785517349</v>
      </c>
      <c r="V33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66.406386227780615</v>
      </c>
      <c r="W33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89.998793418836556</v>
      </c>
      <c r="X330" s="1">
        <f>IF(Breakout[[#This Row],[Yaw]]&gt;V329,(360-ABS(Breakout[[#This Row],[Yaw]])-ABS(V329)),ABS(Breakout[[#This Row],[Yaw]]-V329))</f>
        <v>0.97994453817730687</v>
      </c>
      <c r="Y330" s="1">
        <f>Breakout[[#This Row],[Degree change]]+Y329</f>
        <v>262.74614665059596</v>
      </c>
    </row>
    <row r="331" spans="1:25">
      <c r="A331">
        <v>330</v>
      </c>
      <c r="B331" s="1">
        <v>-368.55999800000001</v>
      </c>
      <c r="C331" s="1">
        <v>484.72998000000001</v>
      </c>
      <c r="D331" s="1">
        <v>18.34</v>
      </c>
      <c r="E331" s="1">
        <v>2151.25</v>
      </c>
      <c r="F331" s="1">
        <v>813.64996299999996</v>
      </c>
      <c r="G331" s="1">
        <v>7.92</v>
      </c>
      <c r="H331" s="1">
        <v>-1E-4</v>
      </c>
      <c r="I331" s="1">
        <v>0</v>
      </c>
      <c r="J331" s="1">
        <v>2.0525000000000002</v>
      </c>
      <c r="K331" s="1">
        <v>-1.805E-3</v>
      </c>
      <c r="L331" s="1">
        <v>8.3379999999999999E-3</v>
      </c>
      <c r="M331" s="1">
        <v>0.21279600000000001</v>
      </c>
      <c r="N331" s="1">
        <v>0.97705900000000001</v>
      </c>
      <c r="O331">
        <v>1</v>
      </c>
      <c r="P331">
        <v>0</v>
      </c>
      <c r="Q331">
        <v>1</v>
      </c>
      <c r="R331">
        <v>1</v>
      </c>
      <c r="S331">
        <v>1</v>
      </c>
      <c r="T331" s="1">
        <f>SQRT(POWER(Breakout[[#This Row],[angvel_X]],2) + POWER(Breakout[[#This Row],[angvel_Y]],2) + POWER(Breakout[[#This Row],[angvel_Z]],2))</f>
        <v>2.0525000024360538</v>
      </c>
      <c r="U331" s="1">
        <f>DEGREES(ASIN(MAX(-1,MIN(1,2 * (Breakout[[#This Row],[quart_W]]*Breakout[[#This Row],[quart_Y]] - Breakout[[#This Row],[quart_Z]]*Breakout[[#This Row],[quart_X]])))))</f>
        <v>0.97760679276229856</v>
      </c>
      <c r="V33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65.426579303679532</v>
      </c>
      <c r="W33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89.998773513829931</v>
      </c>
      <c r="X331" s="1">
        <f>IF(Breakout[[#This Row],[Yaw]]&gt;V330,(360-ABS(Breakout[[#This Row],[Yaw]])-ABS(V330)),ABS(Breakout[[#This Row],[Yaw]]-V330))</f>
        <v>0.97980692410108361</v>
      </c>
      <c r="Y331" s="1">
        <f>Breakout[[#This Row],[Degree change]]+Y330</f>
        <v>263.72595357469703</v>
      </c>
    </row>
    <row r="332" spans="1:25">
      <c r="A332">
        <v>331</v>
      </c>
      <c r="B332" s="1">
        <v>-350.57000699999998</v>
      </c>
      <c r="C332" s="1">
        <v>491.53997800000002</v>
      </c>
      <c r="D332" s="1">
        <v>18.34</v>
      </c>
      <c r="E332" s="1">
        <v>2137.0200199999999</v>
      </c>
      <c r="F332" s="1">
        <v>850.32000700000003</v>
      </c>
      <c r="G332" s="1">
        <v>7.92</v>
      </c>
      <c r="H332" s="1">
        <v>-2.0000000000000001E-4</v>
      </c>
      <c r="I332" s="1">
        <v>0</v>
      </c>
      <c r="J332" s="1">
        <v>2.0525000000000002</v>
      </c>
      <c r="K332" s="1">
        <v>-1.8749999999999999E-3</v>
      </c>
      <c r="L332" s="1">
        <v>8.3219999999999995E-3</v>
      </c>
      <c r="M332" s="1">
        <v>0.22114200000000001</v>
      </c>
      <c r="N332" s="1">
        <v>0.97520399999999996</v>
      </c>
      <c r="O332">
        <v>1</v>
      </c>
      <c r="P332">
        <v>0</v>
      </c>
      <c r="Q332">
        <v>1</v>
      </c>
      <c r="R332">
        <v>1</v>
      </c>
      <c r="S332">
        <v>1</v>
      </c>
      <c r="T332" s="1">
        <f>SQRT(POWER(Breakout[[#This Row],[angvel_X]],2) + POWER(Breakout[[#This Row],[angvel_Y]],2) + POWER(Breakout[[#This Row],[angvel_Z]],2))</f>
        <v>2.0525000097442145</v>
      </c>
      <c r="U332" s="1">
        <f>DEGREES(ASIN(MAX(-1,MIN(1,2 * (Breakout[[#This Row],[quart_W]]*Breakout[[#This Row],[quart_Y]] - Breakout[[#This Row],[quart_Z]]*Breakout[[#This Row],[quart_X]])))))</f>
        <v>0.97754653358323018</v>
      </c>
      <c r="V33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64.446815994635543</v>
      </c>
      <c r="W33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89.998643471206364</v>
      </c>
      <c r="X332" s="1">
        <f>IF(Breakout[[#This Row],[Yaw]]&gt;V331,(360-ABS(Breakout[[#This Row],[Yaw]])-ABS(V331)),ABS(Breakout[[#This Row],[Yaw]]-V331))</f>
        <v>0.97976330904398878</v>
      </c>
      <c r="Y332" s="1">
        <f>Breakout[[#This Row],[Degree change]]+Y331</f>
        <v>264.70571688374105</v>
      </c>
    </row>
    <row r="333" spans="1:25">
      <c r="A333">
        <v>332</v>
      </c>
      <c r="B333" s="1">
        <v>-332.69998199999998</v>
      </c>
      <c r="C333" s="1">
        <v>498.66000400000001</v>
      </c>
      <c r="D333" s="1">
        <v>18.34</v>
      </c>
      <c r="E333" s="1">
        <v>2122.169922</v>
      </c>
      <c r="F333" s="1">
        <v>886.73999000000003</v>
      </c>
      <c r="G333" s="1">
        <v>7.92</v>
      </c>
      <c r="H333" s="1">
        <v>-2.0000000000000001E-4</v>
      </c>
      <c r="I333" s="1">
        <v>0</v>
      </c>
      <c r="J333" s="1">
        <v>2.0525000000000002</v>
      </c>
      <c r="K333" s="1">
        <v>-1.9449999999999999E-3</v>
      </c>
      <c r="L333" s="1">
        <v>8.3049999999999999E-3</v>
      </c>
      <c r="M333" s="1">
        <v>0.22947100000000001</v>
      </c>
      <c r="N333" s="1">
        <v>0.97327799999999998</v>
      </c>
      <c r="O333">
        <v>1</v>
      </c>
      <c r="P333">
        <v>0</v>
      </c>
      <c r="Q333">
        <v>1</v>
      </c>
      <c r="R333">
        <v>1</v>
      </c>
      <c r="S333">
        <v>1</v>
      </c>
      <c r="T333" s="1">
        <f>SQRT(POWER(Breakout[[#This Row],[angvel_X]],2) + POWER(Breakout[[#This Row],[angvel_Y]],2) + POWER(Breakout[[#This Row],[angvel_Z]],2))</f>
        <v>2.0525000097442145</v>
      </c>
      <c r="U333" s="1">
        <f>DEGREES(ASIN(MAX(-1,MIN(1,2 * (Breakout[[#This Row],[quart_W]]*Breakout[[#This Row],[quart_Y]] - Breakout[[#This Row],[quart_Z]]*Breakout[[#This Row],[quart_X]])))))</f>
        <v>0.97744406774456238</v>
      </c>
      <c r="V33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63.467148952874439</v>
      </c>
      <c r="W33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89.998540928852378</v>
      </c>
      <c r="X333" s="1">
        <f>IF(Breakout[[#This Row],[Yaw]]&gt;V332,(360-ABS(Breakout[[#This Row],[Yaw]])-ABS(V332)),ABS(Breakout[[#This Row],[Yaw]]-V332))</f>
        <v>0.97966704176110397</v>
      </c>
      <c r="Y333" s="1">
        <f>Breakout[[#This Row],[Degree change]]+Y332</f>
        <v>265.68538392550215</v>
      </c>
    </row>
    <row r="334" spans="1:25">
      <c r="A334">
        <v>333</v>
      </c>
      <c r="B334" s="1">
        <v>-314.94998199999998</v>
      </c>
      <c r="C334" s="1">
        <v>506.07998700000002</v>
      </c>
      <c r="D334" s="1">
        <v>18.34</v>
      </c>
      <c r="E334" s="1">
        <v>2106.6899410000001</v>
      </c>
      <c r="F334" s="1">
        <v>922.89996299999996</v>
      </c>
      <c r="G334" s="1">
        <v>7.92</v>
      </c>
      <c r="H334" s="1">
        <v>-2.0000000000000001E-4</v>
      </c>
      <c r="I334" s="1">
        <v>0</v>
      </c>
      <c r="J334" s="1">
        <v>2.0525000000000002</v>
      </c>
      <c r="K334" s="1">
        <v>-2.0149999999999999E-3</v>
      </c>
      <c r="L334" s="1">
        <v>8.2889999999999995E-3</v>
      </c>
      <c r="M334" s="1">
        <v>0.237785</v>
      </c>
      <c r="N334" s="1">
        <v>0.97128000000000003</v>
      </c>
      <c r="O334">
        <v>1</v>
      </c>
      <c r="P334">
        <v>0</v>
      </c>
      <c r="Q334">
        <v>1</v>
      </c>
      <c r="R334">
        <v>1</v>
      </c>
      <c r="S334">
        <v>1</v>
      </c>
      <c r="T334" s="1">
        <f>SQRT(POWER(Breakout[[#This Row],[angvel_X]],2) + POWER(Breakout[[#This Row],[angvel_Y]],2) + POWER(Breakout[[#This Row],[angvel_Z]],2))</f>
        <v>2.0525000097442145</v>
      </c>
      <c r="U334" s="1">
        <f>DEGREES(ASIN(MAX(-1,MIN(1,2 * (Breakout[[#This Row],[quart_W]]*Breakout[[#This Row],[quart_Y]] - Breakout[[#This Row],[quart_Z]]*Breakout[[#This Row],[quart_X]])))))</f>
        <v>0.97752220878677032</v>
      </c>
      <c r="V33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62.487282153566895</v>
      </c>
      <c r="W33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89.998410307516664</v>
      </c>
      <c r="X334" s="1">
        <f>IF(Breakout[[#This Row],[Yaw]]&gt;V333,(360-ABS(Breakout[[#This Row],[Yaw]])-ABS(V333)),ABS(Breakout[[#This Row],[Yaw]]-V333))</f>
        <v>0.97986679930754406</v>
      </c>
      <c r="Y334" s="1">
        <f>Breakout[[#This Row],[Degree change]]+Y333</f>
        <v>266.66525072480971</v>
      </c>
    </row>
    <row r="335" spans="1:25">
      <c r="A335">
        <v>334</v>
      </c>
      <c r="B335" s="1">
        <v>-297.32998700000002</v>
      </c>
      <c r="C335" s="1">
        <v>513.79998799999998</v>
      </c>
      <c r="D335" s="1">
        <v>18.34</v>
      </c>
      <c r="E335" s="1">
        <v>2090.5998540000001</v>
      </c>
      <c r="F335" s="1">
        <v>958.79998799999998</v>
      </c>
      <c r="G335" s="1">
        <v>7.92</v>
      </c>
      <c r="H335" s="1">
        <v>-2.0000000000000001E-4</v>
      </c>
      <c r="I335" s="1">
        <v>0</v>
      </c>
      <c r="J335" s="1">
        <v>2.0525000000000002</v>
      </c>
      <c r="K335" s="1">
        <v>-2.085E-3</v>
      </c>
      <c r="L335" s="1">
        <v>8.2730000000000008E-3</v>
      </c>
      <c r="M335" s="1">
        <v>0.246082</v>
      </c>
      <c r="N335" s="1">
        <v>0.96921100000000004</v>
      </c>
      <c r="O335">
        <v>1</v>
      </c>
      <c r="P335">
        <v>0</v>
      </c>
      <c r="Q335">
        <v>1</v>
      </c>
      <c r="R335">
        <v>1</v>
      </c>
      <c r="S335">
        <v>1</v>
      </c>
      <c r="T335" s="1">
        <f>SQRT(POWER(Breakout[[#This Row],[angvel_X]],2) + POWER(Breakout[[#This Row],[angvel_Y]],2) + POWER(Breakout[[#This Row],[angvel_Z]],2))</f>
        <v>2.0525000097442145</v>
      </c>
      <c r="U335" s="1">
        <f>DEGREES(ASIN(MAX(-1,MIN(1,2 * (Breakout[[#This Row],[quart_W]]*Breakout[[#This Row],[quart_Y]] - Breakout[[#This Row],[quart_Z]]*Breakout[[#This Row],[quart_X]])))))</f>
        <v>0.9776696956108013</v>
      </c>
      <c r="V33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61.507366707737809</v>
      </c>
      <c r="W33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89.998277271802081</v>
      </c>
      <c r="X335" s="1">
        <f>IF(Breakout[[#This Row],[Yaw]]&gt;V334,(360-ABS(Breakout[[#This Row],[Yaw]])-ABS(V334)),ABS(Breakout[[#This Row],[Yaw]]-V334))</f>
        <v>0.97991544582908574</v>
      </c>
      <c r="Y335" s="1">
        <f>Breakout[[#This Row],[Degree change]]+Y334</f>
        <v>267.64516617063879</v>
      </c>
    </row>
    <row r="336" spans="1:25">
      <c r="A336">
        <v>335</v>
      </c>
      <c r="B336" s="1">
        <v>-279.85000600000001</v>
      </c>
      <c r="C336" s="1">
        <v>521.82000700000003</v>
      </c>
      <c r="D336" s="1">
        <v>18.34</v>
      </c>
      <c r="E336" s="1">
        <v>2073.8999020000001</v>
      </c>
      <c r="F336" s="1">
        <v>994.40997300000004</v>
      </c>
      <c r="G336" s="1">
        <v>7.92</v>
      </c>
      <c r="H336" s="1">
        <v>-2.9999999999999997E-4</v>
      </c>
      <c r="I336" s="1">
        <v>0</v>
      </c>
      <c r="J336" s="1">
        <v>2.0525000000000002</v>
      </c>
      <c r="K336" s="1">
        <v>-2.1549999999999998E-3</v>
      </c>
      <c r="L336" s="1">
        <v>8.2570000000000005E-3</v>
      </c>
      <c r="M336" s="1">
        <v>0.25436300000000001</v>
      </c>
      <c r="N336" s="1">
        <v>0.96707100000000001</v>
      </c>
      <c r="O336">
        <v>1</v>
      </c>
      <c r="P336">
        <v>0</v>
      </c>
      <c r="Q336">
        <v>1</v>
      </c>
      <c r="R336">
        <v>1</v>
      </c>
      <c r="S336">
        <v>1</v>
      </c>
      <c r="T336" s="1">
        <f>SQRT(POWER(Breakout[[#This Row],[angvel_X]],2) + POWER(Breakout[[#This Row],[angvel_Y]],2) + POWER(Breakout[[#This Row],[angvel_Z]],2))</f>
        <v>2.0525000219244824</v>
      </c>
      <c r="U336" s="1">
        <f>DEGREES(ASIN(MAX(-1,MIN(1,2 * (Breakout[[#This Row],[quart_W]]*Breakout[[#This Row],[quart_Y]] - Breakout[[#This Row],[quart_Z]]*Breakout[[#This Row],[quart_X]])))))</f>
        <v>0.97788675664003921</v>
      </c>
      <c r="V33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60.527204505093088</v>
      </c>
      <c r="W33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89.998139073050439</v>
      </c>
      <c r="X336" s="1">
        <f>IF(Breakout[[#This Row],[Yaw]]&gt;V335,(360-ABS(Breakout[[#This Row],[Yaw]])-ABS(V335)),ABS(Breakout[[#This Row],[Yaw]]-V335))</f>
        <v>0.98016220264472054</v>
      </c>
      <c r="Y336" s="1">
        <f>Breakout[[#This Row],[Degree change]]+Y335</f>
        <v>268.62532837328354</v>
      </c>
    </row>
    <row r="337" spans="1:25">
      <c r="A337">
        <v>336</v>
      </c>
      <c r="B337" s="1">
        <v>-262.50997899999999</v>
      </c>
      <c r="C337" s="1">
        <v>530.14001499999995</v>
      </c>
      <c r="D337" s="1">
        <v>18.34</v>
      </c>
      <c r="E337" s="1">
        <v>2056.5898440000001</v>
      </c>
      <c r="F337" s="1">
        <v>1029.7299800000001</v>
      </c>
      <c r="G337" s="1">
        <v>7.92</v>
      </c>
      <c r="H337" s="1">
        <v>-2.9999999999999997E-4</v>
      </c>
      <c r="I337" s="1">
        <v>0</v>
      </c>
      <c r="J337" s="1">
        <v>2.0525000000000002</v>
      </c>
      <c r="K337" s="1">
        <v>-2.225E-3</v>
      </c>
      <c r="L337" s="1">
        <v>8.2410000000000001E-3</v>
      </c>
      <c r="M337" s="1">
        <v>0.26262200000000002</v>
      </c>
      <c r="N337" s="1">
        <v>0.96486099999999997</v>
      </c>
      <c r="O337">
        <v>1</v>
      </c>
      <c r="P337">
        <v>0</v>
      </c>
      <c r="Q337">
        <v>1</v>
      </c>
      <c r="R337">
        <v>1</v>
      </c>
      <c r="S337">
        <v>1</v>
      </c>
      <c r="T337" s="1">
        <f>SQRT(POWER(Breakout[[#This Row],[angvel_X]],2) + POWER(Breakout[[#This Row],[angvel_Y]],2) + POWER(Breakout[[#This Row],[angvel_Z]],2))</f>
        <v>2.0525000219244824</v>
      </c>
      <c r="U337" s="1">
        <f>DEGREES(ASIN(MAX(-1,MIN(1,2 * (Breakout[[#This Row],[quart_W]]*Breakout[[#This Row],[quart_Y]] - Breakout[[#This Row],[quart_Z]]*Breakout[[#This Row],[quart_X]])))))</f>
        <v>0.97817281185557525</v>
      </c>
      <c r="V33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59.547448719325487</v>
      </c>
      <c r="W33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89.997999836347319</v>
      </c>
      <c r="X337" s="1">
        <f>IF(Breakout[[#This Row],[Yaw]]&gt;V336,(360-ABS(Breakout[[#This Row],[Yaw]])-ABS(V336)),ABS(Breakout[[#This Row],[Yaw]]-V336))</f>
        <v>0.97975578576760114</v>
      </c>
      <c r="Y337" s="1">
        <f>Breakout[[#This Row],[Degree change]]+Y336</f>
        <v>269.60508415905116</v>
      </c>
    </row>
    <row r="338" spans="1:25">
      <c r="A338">
        <v>337</v>
      </c>
      <c r="B338" s="1">
        <v>-245.30999800000001</v>
      </c>
      <c r="C338" s="1">
        <v>538.76000999999997</v>
      </c>
      <c r="D338" s="1">
        <v>18.34</v>
      </c>
      <c r="E338" s="1">
        <v>2038.679932</v>
      </c>
      <c r="F338" s="1">
        <v>1064.75</v>
      </c>
      <c r="G338" s="1">
        <v>7.92</v>
      </c>
      <c r="H338" s="1">
        <v>-2.9999999999999997E-4</v>
      </c>
      <c r="I338" s="1">
        <v>-1E-4</v>
      </c>
      <c r="J338" s="1">
        <v>2.0525000000000002</v>
      </c>
      <c r="K338" s="1">
        <v>-2.2950000000000002E-3</v>
      </c>
      <c r="L338" s="1">
        <v>8.2190000000000006E-3</v>
      </c>
      <c r="M338" s="1">
        <v>0.270866</v>
      </c>
      <c r="N338" s="1">
        <v>0.96257899999999996</v>
      </c>
      <c r="O338">
        <v>1</v>
      </c>
      <c r="P338">
        <v>0</v>
      </c>
      <c r="Q338">
        <v>1</v>
      </c>
      <c r="R338">
        <v>1</v>
      </c>
      <c r="S338">
        <v>1</v>
      </c>
      <c r="T338" s="1">
        <f>SQRT(POWER(Breakout[[#This Row],[angvel_X]],2) + POWER(Breakout[[#This Row],[angvel_Y]],2) + POWER(Breakout[[#This Row],[angvel_Z]],2))</f>
        <v>2.052500024360536</v>
      </c>
      <c r="U338" s="1">
        <f>DEGREES(ASIN(MAX(-1,MIN(1,2 * (Breakout[[#This Row],[quart_W]]*Breakout[[#This Row],[quart_Y]] - Breakout[[#This Row],[quart_Z]]*Breakout[[#This Row],[quart_X]])))))</f>
        <v>0.97786575570958689</v>
      </c>
      <c r="V33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58.567204735870483</v>
      </c>
      <c r="W33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89.998036892586555</v>
      </c>
      <c r="X338" s="1">
        <f>IF(Breakout[[#This Row],[Yaw]]&gt;V337,(360-ABS(Breakout[[#This Row],[Yaw]])-ABS(V337)),ABS(Breakout[[#This Row],[Yaw]]-V337))</f>
        <v>0.9802439834550043</v>
      </c>
      <c r="Y338" s="1">
        <f>Breakout[[#This Row],[Degree change]]+Y337</f>
        <v>270.58532814250617</v>
      </c>
    </row>
    <row r="339" spans="1:25">
      <c r="A339">
        <v>338</v>
      </c>
      <c r="B339" s="1">
        <v>-228.259995</v>
      </c>
      <c r="C339" s="1">
        <v>547.669983</v>
      </c>
      <c r="D339" s="1">
        <v>18.34</v>
      </c>
      <c r="E339" s="1">
        <v>2020.169922</v>
      </c>
      <c r="F339" s="1">
        <v>1099.459961</v>
      </c>
      <c r="G339" s="1">
        <v>7.92</v>
      </c>
      <c r="H339" s="1">
        <v>-2.9999999999999997E-4</v>
      </c>
      <c r="I339" s="1">
        <v>-1E-4</v>
      </c>
      <c r="J339" s="1">
        <v>2.0525000000000002</v>
      </c>
      <c r="K339" s="1">
        <v>-2.366E-3</v>
      </c>
      <c r="L339" s="1">
        <v>8.1969999999999994E-3</v>
      </c>
      <c r="M339" s="1">
        <v>0.27908699999999997</v>
      </c>
      <c r="N339" s="1">
        <v>0.96022799999999997</v>
      </c>
      <c r="O339">
        <v>1</v>
      </c>
      <c r="P339">
        <v>0</v>
      </c>
      <c r="Q339">
        <v>1</v>
      </c>
      <c r="R339">
        <v>1</v>
      </c>
      <c r="S339">
        <v>1</v>
      </c>
      <c r="T339" s="1">
        <f>SQRT(POWER(Breakout[[#This Row],[angvel_X]],2) + POWER(Breakout[[#This Row],[angvel_Y]],2) + POWER(Breakout[[#This Row],[angvel_Z]],2))</f>
        <v>2.052500024360536</v>
      </c>
      <c r="U339" s="1">
        <f>DEGREES(ASIN(MAX(-1,MIN(1,2 * (Breakout[[#This Row],[quart_W]]*Breakout[[#This Row],[quart_Y]] - Breakout[[#This Row],[quart_Z]]*Breakout[[#This Row],[quart_X]])))))</f>
        <v>0.9776634133599359</v>
      </c>
      <c r="V33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57.587327080627233</v>
      </c>
      <c r="W33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89.998191861158261</v>
      </c>
      <c r="X339" s="1">
        <f>IF(Breakout[[#This Row],[Yaw]]&gt;V338,(360-ABS(Breakout[[#This Row],[Yaw]])-ABS(V338)),ABS(Breakout[[#This Row],[Yaw]]-V338))</f>
        <v>0.97987765524324999</v>
      </c>
      <c r="Y339" s="1">
        <f>Breakout[[#This Row],[Degree change]]+Y338</f>
        <v>271.5652057977494</v>
      </c>
    </row>
    <row r="340" spans="1:25">
      <c r="A340">
        <v>339</v>
      </c>
      <c r="B340" s="1">
        <v>-211.36999499999999</v>
      </c>
      <c r="C340" s="1">
        <v>556.86999500000002</v>
      </c>
      <c r="D340" s="1">
        <v>18.34</v>
      </c>
      <c r="E340" s="1">
        <v>2001.0699460000001</v>
      </c>
      <c r="F340" s="1">
        <v>1133.849976</v>
      </c>
      <c r="G340" s="1">
        <v>7.92</v>
      </c>
      <c r="H340" s="1">
        <v>-2.9999999999999997E-4</v>
      </c>
      <c r="I340" s="1">
        <v>-1E-4</v>
      </c>
      <c r="J340" s="1">
        <v>2.0525000000000002</v>
      </c>
      <c r="K340" s="1">
        <v>-2.4359999999999998E-3</v>
      </c>
      <c r="L340" s="1">
        <v>8.1759999999999992E-3</v>
      </c>
      <c r="M340" s="1">
        <v>0.28728700000000001</v>
      </c>
      <c r="N340" s="1">
        <v>0.95780600000000005</v>
      </c>
      <c r="O340">
        <v>1</v>
      </c>
      <c r="P340">
        <v>0</v>
      </c>
      <c r="Q340">
        <v>1</v>
      </c>
      <c r="R340">
        <v>1</v>
      </c>
      <c r="S340">
        <v>1</v>
      </c>
      <c r="T340" s="1">
        <f>SQRT(POWER(Breakout[[#This Row],[angvel_X]],2) + POWER(Breakout[[#This Row],[angvel_Y]],2) + POWER(Breakout[[#This Row],[angvel_Z]],2))</f>
        <v>2.052500024360536</v>
      </c>
      <c r="U340" s="1">
        <f>DEGREES(ASIN(MAX(-1,MIN(1,2 * (Breakout[[#This Row],[quart_W]]*Breakout[[#This Row],[quart_Y]] - Breakout[[#This Row],[quart_Z]]*Breakout[[#This Row],[quart_X]])))))</f>
        <v>0.97761117836126721</v>
      </c>
      <c r="V34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56.607544827381716</v>
      </c>
      <c r="W34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89.998207172274107</v>
      </c>
      <c r="X340" s="1">
        <f>IF(Breakout[[#This Row],[Yaw]]&gt;V339,(360-ABS(Breakout[[#This Row],[Yaw]])-ABS(V339)),ABS(Breakout[[#This Row],[Yaw]]-V339))</f>
        <v>0.97978225324551715</v>
      </c>
      <c r="Y340" s="1">
        <f>Breakout[[#This Row],[Degree change]]+Y339</f>
        <v>272.5449880509949</v>
      </c>
    </row>
    <row r="341" spans="1:25">
      <c r="A341">
        <v>340</v>
      </c>
      <c r="B341" s="1">
        <v>-194.63999899999999</v>
      </c>
      <c r="C341" s="1">
        <v>566.35998500000005</v>
      </c>
      <c r="D341" s="1">
        <v>18.34</v>
      </c>
      <c r="E341" s="1">
        <v>1981.3900149999999</v>
      </c>
      <c r="F341" s="1">
        <v>1167.910034</v>
      </c>
      <c r="G341" s="1">
        <v>7.92</v>
      </c>
      <c r="H341" s="1">
        <v>-2.9999999999999997E-4</v>
      </c>
      <c r="I341" s="1">
        <v>-1E-4</v>
      </c>
      <c r="J341" s="1">
        <v>2.0525000000000002</v>
      </c>
      <c r="K341" s="1">
        <v>-2.506E-3</v>
      </c>
      <c r="L341" s="1">
        <v>8.1539999999999998E-3</v>
      </c>
      <c r="M341" s="1">
        <v>0.29546600000000001</v>
      </c>
      <c r="N341" s="1">
        <v>0.95531500000000003</v>
      </c>
      <c r="O341">
        <v>1</v>
      </c>
      <c r="P341">
        <v>0</v>
      </c>
      <c r="Q341">
        <v>1</v>
      </c>
      <c r="R341">
        <v>1</v>
      </c>
      <c r="S341">
        <v>1</v>
      </c>
      <c r="T341" s="1">
        <f>SQRT(POWER(Breakout[[#This Row],[angvel_X]],2) + POWER(Breakout[[#This Row],[angvel_Y]],2) + POWER(Breakout[[#This Row],[angvel_Z]],2))</f>
        <v>2.052500024360536</v>
      </c>
      <c r="U341" s="1">
        <f>DEGREES(ASIN(MAX(-1,MIN(1,2 * (Breakout[[#This Row],[quart_W]]*Breakout[[#This Row],[quart_Y]] - Breakout[[#This Row],[quart_Z]]*Breakout[[#This Row],[quart_X]])))))</f>
        <v>0.97752216420416549</v>
      </c>
      <c r="V34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55.627734636358646</v>
      </c>
      <c r="W34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89.998256765828046</v>
      </c>
      <c r="X341" s="1">
        <f>IF(Breakout[[#This Row],[Yaw]]&gt;V340,(360-ABS(Breakout[[#This Row],[Yaw]])-ABS(V340)),ABS(Breakout[[#This Row],[Yaw]]-V340))</f>
        <v>0.97981019102306988</v>
      </c>
      <c r="Y341" s="1">
        <f>Breakout[[#This Row],[Degree change]]+Y340</f>
        <v>273.52479824201799</v>
      </c>
    </row>
    <row r="342" spans="1:25">
      <c r="A342">
        <v>341</v>
      </c>
      <c r="B342" s="1">
        <v>-178.06999200000001</v>
      </c>
      <c r="C342" s="1">
        <v>576.13000499999998</v>
      </c>
      <c r="D342" s="1">
        <v>18.34</v>
      </c>
      <c r="E342" s="1">
        <v>1961.119995</v>
      </c>
      <c r="F342" s="1">
        <v>1201.630005</v>
      </c>
      <c r="G342" s="1">
        <v>7.92</v>
      </c>
      <c r="H342" s="1">
        <v>-2.9999999999999997E-4</v>
      </c>
      <c r="I342" s="1">
        <v>-1E-4</v>
      </c>
      <c r="J342" s="1">
        <v>2.0525000000000002</v>
      </c>
      <c r="K342" s="1">
        <v>-2.5760000000000002E-3</v>
      </c>
      <c r="L342" s="1">
        <v>8.1329999999999996E-3</v>
      </c>
      <c r="M342" s="1">
        <v>0.30362299999999998</v>
      </c>
      <c r="N342" s="1">
        <v>0.95275399999999999</v>
      </c>
      <c r="O342">
        <v>1</v>
      </c>
      <c r="P342">
        <v>0</v>
      </c>
      <c r="Q342">
        <v>1</v>
      </c>
      <c r="R342">
        <v>1</v>
      </c>
      <c r="S342">
        <v>1</v>
      </c>
      <c r="T342" s="1">
        <f>SQRT(POWER(Breakout[[#This Row],[angvel_X]],2) + POWER(Breakout[[#This Row],[angvel_Y]],2) + POWER(Breakout[[#This Row],[angvel_Z]],2))</f>
        <v>2.052500024360536</v>
      </c>
      <c r="U342" s="1">
        <f>DEGREES(ASIN(MAX(-1,MIN(1,2 * (Breakout[[#This Row],[quart_W]]*Breakout[[#This Row],[quart_Y]] - Breakout[[#This Row],[quart_Z]]*Breakout[[#This Row],[quart_X]])))))</f>
        <v>0.9776144036664034</v>
      </c>
      <c r="V34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54.647979015588234</v>
      </c>
      <c r="W34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89.998272675581717</v>
      </c>
      <c r="X342" s="1">
        <f>IF(Breakout[[#This Row],[Yaw]]&gt;V341,(360-ABS(Breakout[[#This Row],[Yaw]])-ABS(V341)),ABS(Breakout[[#This Row],[Yaw]]-V341))</f>
        <v>0.97975562077041189</v>
      </c>
      <c r="Y342" s="1">
        <f>Breakout[[#This Row],[Degree change]]+Y341</f>
        <v>274.50455386278838</v>
      </c>
    </row>
    <row r="343" spans="1:25">
      <c r="A343">
        <v>342</v>
      </c>
      <c r="B343" s="1">
        <v>-161.66999799999999</v>
      </c>
      <c r="C343" s="1">
        <v>586.17999299999997</v>
      </c>
      <c r="D343" s="1">
        <v>18.34</v>
      </c>
      <c r="E343" s="1">
        <v>1940.2799070000001</v>
      </c>
      <c r="F343" s="1">
        <v>1234.98999</v>
      </c>
      <c r="G343" s="1">
        <v>7.92</v>
      </c>
      <c r="H343" s="1">
        <v>-2.9999999999999997E-4</v>
      </c>
      <c r="I343" s="1">
        <v>-1E-4</v>
      </c>
      <c r="J343" s="1">
        <v>2.0525000000000002</v>
      </c>
      <c r="K343" s="1">
        <v>-2.6459999999999999E-3</v>
      </c>
      <c r="L343" s="1">
        <v>8.1110000000000002E-3</v>
      </c>
      <c r="M343" s="1">
        <v>0.31175799999999998</v>
      </c>
      <c r="N343" s="1">
        <v>0.95012300000000005</v>
      </c>
      <c r="O343">
        <v>1</v>
      </c>
      <c r="P343">
        <v>0</v>
      </c>
      <c r="Q343">
        <v>1</v>
      </c>
      <c r="R343">
        <v>1</v>
      </c>
      <c r="S343">
        <v>1</v>
      </c>
      <c r="T343" s="1">
        <f>SQRT(POWER(Breakout[[#This Row],[angvel_X]],2) + POWER(Breakout[[#This Row],[angvel_Y]],2) + POWER(Breakout[[#This Row],[angvel_Z]],2))</f>
        <v>2.052500024360536</v>
      </c>
      <c r="U343" s="1">
        <f>DEGREES(ASIN(MAX(-1,MIN(1,2 * (Breakout[[#This Row],[quart_W]]*Breakout[[#This Row],[quart_Y]] - Breakout[[#This Row],[quart_Z]]*Breakout[[#This Row],[quart_X]])))))</f>
        <v>0.97766920829654969</v>
      </c>
      <c r="V34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53.668208512368238</v>
      </c>
      <c r="W34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89.998321713555683</v>
      </c>
      <c r="X343" s="1">
        <f>IF(Breakout[[#This Row],[Yaw]]&gt;V342,(360-ABS(Breakout[[#This Row],[Yaw]])-ABS(V342)),ABS(Breakout[[#This Row],[Yaw]]-V342))</f>
        <v>0.9797705032199957</v>
      </c>
      <c r="Y343" s="1">
        <f>Breakout[[#This Row],[Degree change]]+Y342</f>
        <v>275.48432436600837</v>
      </c>
    </row>
    <row r="344" spans="1:25">
      <c r="A344">
        <v>343</v>
      </c>
      <c r="B344" s="1">
        <v>-145.449997</v>
      </c>
      <c r="C344" s="1">
        <v>596.51000999999997</v>
      </c>
      <c r="D344" s="1">
        <v>18.34</v>
      </c>
      <c r="E344" s="1">
        <v>1918.880005</v>
      </c>
      <c r="F344" s="1">
        <v>1267.98999</v>
      </c>
      <c r="G344" s="1">
        <v>7.92</v>
      </c>
      <c r="H344" s="1">
        <v>-2.9999999999999997E-4</v>
      </c>
      <c r="I344" s="1">
        <v>-1E-4</v>
      </c>
      <c r="J344" s="1">
        <v>2.0525000000000002</v>
      </c>
      <c r="K344" s="1">
        <v>-2.7160000000000001E-3</v>
      </c>
      <c r="L344" s="1">
        <v>8.09E-3</v>
      </c>
      <c r="M344" s="1">
        <v>0.31987199999999999</v>
      </c>
      <c r="N344" s="1">
        <v>0.94742199999999999</v>
      </c>
      <c r="O344">
        <v>1</v>
      </c>
      <c r="P344">
        <v>0</v>
      </c>
      <c r="Q344">
        <v>1</v>
      </c>
      <c r="R344">
        <v>1</v>
      </c>
      <c r="S344">
        <v>1</v>
      </c>
      <c r="T344" s="1">
        <f>SQRT(POWER(Breakout[[#This Row],[angvel_X]],2) + POWER(Breakout[[#This Row],[angvel_Y]],2) + POWER(Breakout[[#This Row],[angvel_Z]],2))</f>
        <v>2.052500024360536</v>
      </c>
      <c r="U344" s="1">
        <f>DEGREES(ASIN(MAX(-1,MIN(1,2 * (Breakout[[#This Row],[quart_W]]*Breakout[[#This Row],[quart_Y]] - Breakout[[#This Row],[quart_Z]]*Breakout[[#This Row],[quart_X]])))))</f>
        <v>0.97790495872250971</v>
      </c>
      <c r="V34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52.688218384208696</v>
      </c>
      <c r="W34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89.998330578615253</v>
      </c>
      <c r="X344" s="1">
        <f>IF(Breakout[[#This Row],[Yaw]]&gt;V343,(360-ABS(Breakout[[#This Row],[Yaw]])-ABS(V343)),ABS(Breakout[[#This Row],[Yaw]]-V343))</f>
        <v>0.97999012815954245</v>
      </c>
      <c r="Y344" s="1">
        <f>Breakout[[#This Row],[Degree change]]+Y343</f>
        <v>276.46431449416792</v>
      </c>
    </row>
    <row r="345" spans="1:25">
      <c r="A345">
        <v>344</v>
      </c>
      <c r="B345" s="1">
        <v>-129.39999399999999</v>
      </c>
      <c r="C345" s="1">
        <v>607.11999500000002</v>
      </c>
      <c r="D345" s="1">
        <v>18.34</v>
      </c>
      <c r="E345" s="1">
        <v>1896.9099120000001</v>
      </c>
      <c r="F345" s="1">
        <v>1300.619995</v>
      </c>
      <c r="G345" s="1">
        <v>7.92</v>
      </c>
      <c r="H345" s="1">
        <v>-2.9999999999999997E-4</v>
      </c>
      <c r="I345" s="1">
        <v>-1E-4</v>
      </c>
      <c r="J345" s="1">
        <v>2.0525000000000002</v>
      </c>
      <c r="K345" s="1">
        <v>-2.7859999999999998E-3</v>
      </c>
      <c r="L345" s="1">
        <v>8.0680000000000005E-3</v>
      </c>
      <c r="M345" s="1">
        <v>0.32796399999999998</v>
      </c>
      <c r="N345" s="1">
        <v>0.94465100000000002</v>
      </c>
      <c r="O345">
        <v>1</v>
      </c>
      <c r="P345">
        <v>0</v>
      </c>
      <c r="Q345">
        <v>1</v>
      </c>
      <c r="R345">
        <v>1</v>
      </c>
      <c r="S345">
        <v>1</v>
      </c>
      <c r="T345" s="1">
        <f>SQRT(POWER(Breakout[[#This Row],[angvel_X]],2) + POWER(Breakout[[#This Row],[angvel_Y]],2) + POWER(Breakout[[#This Row],[angvel_Z]],2))</f>
        <v>2.052500024360536</v>
      </c>
      <c r="U345" s="1">
        <f>DEGREES(ASIN(MAX(-1,MIN(1,2 * (Breakout[[#This Row],[quart_W]]*Breakout[[#This Row],[quart_Y]] - Breakout[[#This Row],[quart_Z]]*Breakout[[#This Row],[quart_X]])))))</f>
        <v>0.978103877394216</v>
      </c>
      <c r="V34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51.708066189679883</v>
      </c>
      <c r="W34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89.998370744355654</v>
      </c>
      <c r="X345" s="1">
        <f>IF(Breakout[[#This Row],[Yaw]]&gt;V344,(360-ABS(Breakout[[#This Row],[Yaw]])-ABS(V344)),ABS(Breakout[[#This Row],[Yaw]]-V344))</f>
        <v>0.98015219452881297</v>
      </c>
      <c r="Y345" s="1">
        <f>Breakout[[#This Row],[Degree change]]+Y344</f>
        <v>277.44446668869671</v>
      </c>
    </row>
    <row r="346" spans="1:25">
      <c r="A346">
        <v>345</v>
      </c>
      <c r="B346" s="1">
        <v>-113.540001</v>
      </c>
      <c r="C346" s="1">
        <v>618</v>
      </c>
      <c r="D346" s="1">
        <v>18.34</v>
      </c>
      <c r="E346" s="1">
        <v>1874.3900149999999</v>
      </c>
      <c r="F346" s="1">
        <v>1332.880005</v>
      </c>
      <c r="G346" s="1">
        <v>7.92</v>
      </c>
      <c r="H346" s="1">
        <v>-2.9999999999999997E-4</v>
      </c>
      <c r="I346" s="1">
        <v>-1E-4</v>
      </c>
      <c r="J346" s="1">
        <v>2.0525000000000002</v>
      </c>
      <c r="K346" s="1">
        <v>-2.8570000000000002E-3</v>
      </c>
      <c r="L346" s="1">
        <v>8.0459999999999993E-3</v>
      </c>
      <c r="M346" s="1">
        <v>0.33603</v>
      </c>
      <c r="N346" s="1">
        <v>0.94181300000000001</v>
      </c>
      <c r="O346">
        <v>1</v>
      </c>
      <c r="P346">
        <v>0</v>
      </c>
      <c r="Q346">
        <v>1</v>
      </c>
      <c r="R346">
        <v>1</v>
      </c>
      <c r="S346">
        <v>1</v>
      </c>
      <c r="T346" s="1">
        <f>SQRT(POWER(Breakout[[#This Row],[angvel_X]],2) + POWER(Breakout[[#This Row],[angvel_Y]],2) + POWER(Breakout[[#This Row],[angvel_Z]],2))</f>
        <v>2.052500024360536</v>
      </c>
      <c r="U346" s="1">
        <f>DEGREES(ASIN(MAX(-1,MIN(1,2 * (Breakout[[#This Row],[quart_W]]*Breakout[[#This Row],[quart_Y]] - Breakout[[#This Row],[quart_Z]]*Breakout[[#This Row],[quart_X]])))))</f>
        <v>0.97841482520037282</v>
      </c>
      <c r="V34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50.728116794649424</v>
      </c>
      <c r="W34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89.998517239589063</v>
      </c>
      <c r="X346" s="1">
        <f>IF(Breakout[[#This Row],[Yaw]]&gt;V345,(360-ABS(Breakout[[#This Row],[Yaw]])-ABS(V345)),ABS(Breakout[[#This Row],[Yaw]]-V345))</f>
        <v>0.97994939503045941</v>
      </c>
      <c r="Y346" s="1">
        <f>Breakout[[#This Row],[Degree change]]+Y345</f>
        <v>278.42441608372718</v>
      </c>
    </row>
    <row r="347" spans="1:25">
      <c r="A347">
        <v>346</v>
      </c>
      <c r="B347" s="1">
        <v>-97.869995000000003</v>
      </c>
      <c r="C347" s="1">
        <v>629.14996299999996</v>
      </c>
      <c r="D347" s="1">
        <v>18.34</v>
      </c>
      <c r="E347" s="1">
        <v>1851.3199460000001</v>
      </c>
      <c r="F347" s="1">
        <v>1364.73999</v>
      </c>
      <c r="G347" s="1">
        <v>7.92</v>
      </c>
      <c r="H347" s="1">
        <v>-2.0000000000000001E-4</v>
      </c>
      <c r="I347" s="1">
        <v>-1E-4</v>
      </c>
      <c r="J347" s="1">
        <v>2.0525000000000002</v>
      </c>
      <c r="K347" s="1">
        <v>-2.9269999999999999E-3</v>
      </c>
      <c r="L347" s="1">
        <v>8.0190000000000001E-3</v>
      </c>
      <c r="M347" s="1">
        <v>0.34407300000000002</v>
      </c>
      <c r="N347" s="1">
        <v>0.93890399999999996</v>
      </c>
      <c r="O347">
        <v>1</v>
      </c>
      <c r="P347">
        <v>0</v>
      </c>
      <c r="Q347">
        <v>1</v>
      </c>
      <c r="R347">
        <v>1</v>
      </c>
      <c r="S347">
        <v>1</v>
      </c>
      <c r="T347" s="1">
        <f>SQRT(POWER(Breakout[[#This Row],[angvel_X]],2) + POWER(Breakout[[#This Row],[angvel_Y]],2) + POWER(Breakout[[#This Row],[angvel_Z]],2))</f>
        <v>2.0525000121802681</v>
      </c>
      <c r="U347" s="1">
        <f>DEGREES(ASIN(MAX(-1,MIN(1,2 * (Breakout[[#This Row],[quart_W]]*Breakout[[#This Row],[quart_Y]] - Breakout[[#This Row],[quart_Z]]*Breakout[[#This Row],[quart_X]])))))</f>
        <v>0.97822087810204483</v>
      </c>
      <c r="V34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49.748025011024716</v>
      </c>
      <c r="W34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89.998745110698422</v>
      </c>
      <c r="X347" s="1">
        <f>IF(Breakout[[#This Row],[Yaw]]&gt;V346,(360-ABS(Breakout[[#This Row],[Yaw]])-ABS(V346)),ABS(Breakout[[#This Row],[Yaw]]-V346))</f>
        <v>0.98009178362470806</v>
      </c>
      <c r="Y347" s="1">
        <f>Breakout[[#This Row],[Degree change]]+Y346</f>
        <v>279.40450786735187</v>
      </c>
    </row>
    <row r="348" spans="1:25">
      <c r="A348">
        <v>347</v>
      </c>
      <c r="B348" s="1">
        <v>-82.389999000000003</v>
      </c>
      <c r="C348" s="1">
        <v>640.57000700000003</v>
      </c>
      <c r="D348" s="1">
        <v>18.34</v>
      </c>
      <c r="E348" s="1">
        <v>1827.709961</v>
      </c>
      <c r="F348" s="1">
        <v>1396.1999510000001</v>
      </c>
      <c r="G348" s="1">
        <v>7.92</v>
      </c>
      <c r="H348" s="1">
        <v>-2.0000000000000001E-4</v>
      </c>
      <c r="I348" s="1">
        <v>-1E-4</v>
      </c>
      <c r="J348" s="1">
        <v>2.0525000000000002</v>
      </c>
      <c r="K348" s="1">
        <v>-2.9970000000000001E-3</v>
      </c>
      <c r="L348" s="1">
        <v>7.9920000000000008E-3</v>
      </c>
      <c r="M348" s="1">
        <v>0.35209000000000001</v>
      </c>
      <c r="N348" s="1">
        <v>0.93592699999999995</v>
      </c>
      <c r="O348">
        <v>1</v>
      </c>
      <c r="P348">
        <v>0</v>
      </c>
      <c r="Q348">
        <v>1</v>
      </c>
      <c r="R348">
        <v>1</v>
      </c>
      <c r="S348">
        <v>1</v>
      </c>
      <c r="T348" s="1">
        <f>SQRT(POWER(Breakout[[#This Row],[angvel_X]],2) + POWER(Breakout[[#This Row],[angvel_Y]],2) + POWER(Breakout[[#This Row],[angvel_Z]],2))</f>
        <v>2.0525000121802681</v>
      </c>
      <c r="U348" s="1">
        <f>DEGREES(ASIN(MAX(-1,MIN(1,2 * (Breakout[[#This Row],[quart_W]]*Breakout[[#This Row],[quart_Y]] - Breakout[[#This Row],[quart_Z]]*Breakout[[#This Row],[quart_X]])))))</f>
        <v>0.97810277050765648</v>
      </c>
      <c r="V34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48.768023373885455</v>
      </c>
      <c r="W34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89.998976541261655</v>
      </c>
      <c r="X348" s="1">
        <f>IF(Breakout[[#This Row],[Yaw]]&gt;V347,(360-ABS(Breakout[[#This Row],[Yaw]])-ABS(V347)),ABS(Breakout[[#This Row],[Yaw]]-V347))</f>
        <v>0.98000163713926014</v>
      </c>
      <c r="Y348" s="1">
        <f>Breakout[[#This Row],[Degree change]]+Y347</f>
        <v>280.38450950449112</v>
      </c>
    </row>
    <row r="349" spans="1:25">
      <c r="A349">
        <v>348</v>
      </c>
      <c r="B349" s="1">
        <v>-67.110000999999997</v>
      </c>
      <c r="C349" s="1">
        <v>652.25</v>
      </c>
      <c r="D349" s="1">
        <v>18.34</v>
      </c>
      <c r="E349" s="1">
        <v>1803.559937</v>
      </c>
      <c r="F349" s="1">
        <v>1427.26001</v>
      </c>
      <c r="G349" s="1">
        <v>7.92</v>
      </c>
      <c r="H349" s="1">
        <v>-2.0000000000000001E-4</v>
      </c>
      <c r="I349" s="1">
        <v>-1E-4</v>
      </c>
      <c r="J349" s="1">
        <v>2.0525000000000002</v>
      </c>
      <c r="K349" s="1">
        <v>-3.0669999999999998E-3</v>
      </c>
      <c r="L349" s="1">
        <v>7.9649999999999999E-3</v>
      </c>
      <c r="M349" s="1">
        <v>0.36008000000000001</v>
      </c>
      <c r="N349" s="1">
        <v>0.93288199999999999</v>
      </c>
      <c r="O349">
        <v>1</v>
      </c>
      <c r="P349">
        <v>0</v>
      </c>
      <c r="Q349">
        <v>1</v>
      </c>
      <c r="R349">
        <v>1</v>
      </c>
      <c r="S349">
        <v>1</v>
      </c>
      <c r="T349" s="1">
        <f>SQRT(POWER(Breakout[[#This Row],[angvel_X]],2) + POWER(Breakout[[#This Row],[angvel_Y]],2) + POWER(Breakout[[#This Row],[angvel_Z]],2))</f>
        <v>2.0525000121802681</v>
      </c>
      <c r="U349" s="1">
        <f>DEGREES(ASIN(MAX(-1,MIN(1,2 * (Breakout[[#This Row],[quart_W]]*Breakout[[#This Row],[quart_Y]] - Breakout[[#This Row],[quart_Z]]*Breakout[[#This Row],[quart_X]])))))</f>
        <v>0.97806015640687138</v>
      </c>
      <c r="V34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47.788175620841102</v>
      </c>
      <c r="W34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89.999210566177879</v>
      </c>
      <c r="X349" s="1">
        <f>IF(Breakout[[#This Row],[Yaw]]&gt;V348,(360-ABS(Breakout[[#This Row],[Yaw]])-ABS(V348)),ABS(Breakout[[#This Row],[Yaw]]-V348))</f>
        <v>0.97984775304435345</v>
      </c>
      <c r="Y349" s="1">
        <f>Breakout[[#This Row],[Degree change]]+Y348</f>
        <v>281.36435725753546</v>
      </c>
    </row>
    <row r="350" spans="1:25">
      <c r="A350">
        <v>349</v>
      </c>
      <c r="B350" s="1">
        <v>-52.029998999999997</v>
      </c>
      <c r="C350" s="1">
        <v>664.19000200000005</v>
      </c>
      <c r="D350" s="1">
        <v>18.34</v>
      </c>
      <c r="E350" s="1">
        <v>1778.8900149999999</v>
      </c>
      <c r="F350" s="1">
        <v>1457.900024</v>
      </c>
      <c r="G350" s="1">
        <v>7.92</v>
      </c>
      <c r="H350" s="1">
        <v>-1E-4</v>
      </c>
      <c r="I350" s="1">
        <v>-1E-4</v>
      </c>
      <c r="J350" s="1">
        <v>2.0525000000000002</v>
      </c>
      <c r="K350" s="1">
        <v>-3.137E-3</v>
      </c>
      <c r="L350" s="1">
        <v>7.9380000000000006E-3</v>
      </c>
      <c r="M350" s="1">
        <v>0.36804199999999998</v>
      </c>
      <c r="N350" s="1">
        <v>0.92976999999999999</v>
      </c>
      <c r="O350">
        <v>1</v>
      </c>
      <c r="P350">
        <v>0</v>
      </c>
      <c r="Q350">
        <v>1</v>
      </c>
      <c r="R350">
        <v>1</v>
      </c>
      <c r="S350">
        <v>1</v>
      </c>
      <c r="T350" s="1">
        <f>SQRT(POWER(Breakout[[#This Row],[angvel_X]],2) + POWER(Breakout[[#This Row],[angvel_Y]],2) + POWER(Breakout[[#This Row],[angvel_Z]],2))</f>
        <v>2.0525000048721074</v>
      </c>
      <c r="U350" s="1">
        <f>DEGREES(ASIN(MAX(-1,MIN(1,2 * (Breakout[[#This Row],[quart_W]]*Breakout[[#This Row],[quart_Y]] - Breakout[[#This Row],[quart_Z]]*Breakout[[#This Row],[quart_X]])))))</f>
        <v>0.97809356746452292</v>
      </c>
      <c r="V35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46.808516767454513</v>
      </c>
      <c r="W35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89.999446567495085</v>
      </c>
      <c r="X350" s="1">
        <f>IF(Breakout[[#This Row],[Yaw]]&gt;V349,(360-ABS(Breakout[[#This Row],[Yaw]])-ABS(V349)),ABS(Breakout[[#This Row],[Yaw]]-V349))</f>
        <v>0.97965885338658865</v>
      </c>
      <c r="Y350" s="1">
        <f>Breakout[[#This Row],[Degree change]]+Y349</f>
        <v>282.34401611092204</v>
      </c>
    </row>
    <row r="351" spans="1:25">
      <c r="A351">
        <v>350</v>
      </c>
      <c r="B351" s="1">
        <v>-37.159999999999997</v>
      </c>
      <c r="C351" s="1">
        <v>676.39001499999995</v>
      </c>
      <c r="D351" s="1">
        <v>18.34</v>
      </c>
      <c r="E351" s="1">
        <v>1753.6899410000001</v>
      </c>
      <c r="F351" s="1">
        <v>1488.1099850000001</v>
      </c>
      <c r="G351" s="1">
        <v>7.92</v>
      </c>
      <c r="H351" s="1">
        <v>0</v>
      </c>
      <c r="I351" s="1">
        <v>-1E-4</v>
      </c>
      <c r="J351" s="1">
        <v>2.0525000000000002</v>
      </c>
      <c r="K351" s="1">
        <v>-3.2070000000000002E-3</v>
      </c>
      <c r="L351" s="1">
        <v>7.9109999999999996E-3</v>
      </c>
      <c r="M351" s="1">
        <v>0.37597799999999998</v>
      </c>
      <c r="N351" s="1">
        <v>0.926589</v>
      </c>
      <c r="O351">
        <v>1</v>
      </c>
      <c r="P351">
        <v>0</v>
      </c>
      <c r="Q351">
        <v>1</v>
      </c>
      <c r="R351">
        <v>1</v>
      </c>
      <c r="S351">
        <v>1</v>
      </c>
      <c r="T351" s="1">
        <f>SQRT(POWER(Breakout[[#This Row],[angvel_X]],2) + POWER(Breakout[[#This Row],[angvel_Y]],2) + POWER(Breakout[[#This Row],[angvel_Z]],2))</f>
        <v>2.0525000024360538</v>
      </c>
      <c r="U351" s="1">
        <f>DEGREES(ASIN(MAX(-1,MIN(1,2 * (Breakout[[#This Row],[quart_W]]*Breakout[[#This Row],[quart_Y]] - Breakout[[#This Row],[quart_Z]]*Breakout[[#This Row],[quart_X]])))))</f>
        <v>0.97820187353081256</v>
      </c>
      <c r="V35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45.828767262410423</v>
      </c>
      <c r="W35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89.999680124330169</v>
      </c>
      <c r="X351" s="1">
        <f>IF(Breakout[[#This Row],[Yaw]]&gt;V350,(360-ABS(Breakout[[#This Row],[Yaw]])-ABS(V350)),ABS(Breakout[[#This Row],[Yaw]]-V350))</f>
        <v>0.97974950504409009</v>
      </c>
      <c r="Y351" s="1">
        <f>Breakout[[#This Row],[Degree change]]+Y350</f>
        <v>283.32376561596612</v>
      </c>
    </row>
    <row r="352" spans="1:25">
      <c r="A352">
        <v>351</v>
      </c>
      <c r="B352" s="1">
        <v>-22.5</v>
      </c>
      <c r="C352" s="1">
        <v>688.839966</v>
      </c>
      <c r="D352" s="1">
        <v>18.34</v>
      </c>
      <c r="E352" s="1">
        <v>1727.98999</v>
      </c>
      <c r="F352" s="1">
        <v>1517.880005</v>
      </c>
      <c r="G352" s="1">
        <v>7.92</v>
      </c>
      <c r="H352" s="1">
        <v>0</v>
      </c>
      <c r="I352" s="1">
        <v>-1E-4</v>
      </c>
      <c r="J352" s="1">
        <v>2.0525000000000002</v>
      </c>
      <c r="K352" s="1">
        <v>-3.277E-3</v>
      </c>
      <c r="L352" s="1">
        <v>7.8849999999999996E-3</v>
      </c>
      <c r="M352" s="1">
        <v>0.38388699999999998</v>
      </c>
      <c r="N352" s="1">
        <v>0.92334000000000005</v>
      </c>
      <c r="O352">
        <v>1</v>
      </c>
      <c r="P352">
        <v>0</v>
      </c>
      <c r="Q352">
        <v>1</v>
      </c>
      <c r="R352">
        <v>1</v>
      </c>
      <c r="S352">
        <v>1</v>
      </c>
      <c r="T352" s="1">
        <f>SQRT(POWER(Breakout[[#This Row],[angvel_X]],2) + POWER(Breakout[[#This Row],[angvel_Y]],2) + POWER(Breakout[[#This Row],[angvel_Z]],2))</f>
        <v>2.0525000024360538</v>
      </c>
      <c r="U352" s="1">
        <f>DEGREES(ASIN(MAX(-1,MIN(1,2 * (Breakout[[#This Row],[quart_W]]*Breakout[[#This Row],[quart_Y]] - Breakout[[#This Row],[quart_Z]]*Breakout[[#This Row],[quart_X]])))))</f>
        <v>0.97849143979761022</v>
      </c>
      <c r="V35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44.848958071583034</v>
      </c>
      <c r="W35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89.99986661717432</v>
      </c>
      <c r="X352" s="1">
        <f>IF(Breakout[[#This Row],[Yaw]]&gt;V351,(360-ABS(Breakout[[#This Row],[Yaw]])-ABS(V351)),ABS(Breakout[[#This Row],[Yaw]]-V351))</f>
        <v>0.97980919082738893</v>
      </c>
      <c r="Y352" s="1">
        <f>Breakout[[#This Row],[Degree change]]+Y351</f>
        <v>284.30357480679351</v>
      </c>
    </row>
    <row r="353" spans="1:25">
      <c r="A353">
        <v>352</v>
      </c>
      <c r="B353" s="1">
        <v>-8.0500000000000007</v>
      </c>
      <c r="C353" s="1">
        <v>701.53997800000002</v>
      </c>
      <c r="D353" s="1">
        <v>18.34</v>
      </c>
      <c r="E353" s="1">
        <v>1701.7799070000001</v>
      </c>
      <c r="F353" s="1">
        <v>1547.209961</v>
      </c>
      <c r="G353" s="1">
        <v>7.92</v>
      </c>
      <c r="H353" s="1">
        <v>0</v>
      </c>
      <c r="I353" s="1">
        <v>0</v>
      </c>
      <c r="J353" s="1">
        <v>2.0525000000000002</v>
      </c>
      <c r="K353" s="1">
        <v>-3.3470000000000001E-3</v>
      </c>
      <c r="L353" s="1">
        <v>7.8580000000000004E-3</v>
      </c>
      <c r="M353" s="1">
        <v>0.39176899999999998</v>
      </c>
      <c r="N353" s="1">
        <v>0.92002399999999995</v>
      </c>
      <c r="O353">
        <v>1</v>
      </c>
      <c r="P353">
        <v>0</v>
      </c>
      <c r="Q353">
        <v>1</v>
      </c>
      <c r="R353">
        <v>1</v>
      </c>
      <c r="S353">
        <v>1</v>
      </c>
      <c r="T353" s="1">
        <f>SQRT(POWER(Breakout[[#This Row],[angvel_X]],2) + POWER(Breakout[[#This Row],[angvel_Y]],2) + POWER(Breakout[[#This Row],[angvel_Z]],2))</f>
        <v>2.0525000000000002</v>
      </c>
      <c r="U353" s="1">
        <f>DEGREES(ASIN(MAX(-1,MIN(1,2 * (Breakout[[#This Row],[quart_W]]*Breakout[[#This Row],[quart_Y]] - Breakout[[#This Row],[quart_Z]]*Breakout[[#This Row],[quart_X]])))))</f>
        <v>0.97875112335542724</v>
      </c>
      <c r="V35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43.868986659617882</v>
      </c>
      <c r="W35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90.000091632300069</v>
      </c>
      <c r="X353" s="1">
        <f>IF(Breakout[[#This Row],[Yaw]]&gt;V352,(360-ABS(Breakout[[#This Row],[Yaw]])-ABS(V352)),ABS(Breakout[[#This Row],[Yaw]]-V352))</f>
        <v>0.97997141196515258</v>
      </c>
      <c r="Y353" s="1">
        <f>Breakout[[#This Row],[Degree change]]+Y352</f>
        <v>285.28354621875866</v>
      </c>
    </row>
    <row r="354" spans="1:25">
      <c r="A354">
        <v>353</v>
      </c>
      <c r="B354" s="1">
        <v>6.18</v>
      </c>
      <c r="C354" s="1">
        <v>714.47997999999995</v>
      </c>
      <c r="D354" s="1">
        <v>18.34</v>
      </c>
      <c r="E354" s="1">
        <v>1675.0699460000001</v>
      </c>
      <c r="F354" s="1">
        <v>1576.089966</v>
      </c>
      <c r="G354" s="1">
        <v>7.92</v>
      </c>
      <c r="H354" s="1">
        <v>0</v>
      </c>
      <c r="I354" s="1">
        <v>0</v>
      </c>
      <c r="J354" s="1">
        <v>2.0525000000000002</v>
      </c>
      <c r="K354" s="1">
        <v>-3.4120000000000001E-3</v>
      </c>
      <c r="L354" s="1">
        <v>7.8309999999999994E-3</v>
      </c>
      <c r="M354" s="1">
        <v>0.39962399999999998</v>
      </c>
      <c r="N354" s="1">
        <v>0.91663899999999998</v>
      </c>
      <c r="O354">
        <v>1</v>
      </c>
      <c r="P354">
        <v>0</v>
      </c>
      <c r="Q354">
        <v>1</v>
      </c>
      <c r="R354">
        <v>1</v>
      </c>
      <c r="S354">
        <v>1</v>
      </c>
      <c r="T354" s="1">
        <f>SQRT(POWER(Breakout[[#This Row],[angvel_X]],2) + POWER(Breakout[[#This Row],[angvel_Y]],2) + POWER(Breakout[[#This Row],[angvel_Z]],2))</f>
        <v>2.0525000000000002</v>
      </c>
      <c r="U354" s="1">
        <f>DEGREES(ASIN(MAX(-1,MIN(1,2 * (Breakout[[#This Row],[quart_W]]*Breakout[[#This Row],[quart_Y]] - Breakout[[#This Row],[quart_Z]]*Breakout[[#This Row],[quart_X]])))))</f>
        <v>0.97885629502098237</v>
      </c>
      <c r="V35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42.888836298216724</v>
      </c>
      <c r="W35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89.999784160969128</v>
      </c>
      <c r="X354" s="1">
        <f>IF(Breakout[[#This Row],[Yaw]]&gt;V353,(360-ABS(Breakout[[#This Row],[Yaw]])-ABS(V353)),ABS(Breakout[[#This Row],[Yaw]]-V353))</f>
        <v>0.98015036140115797</v>
      </c>
      <c r="Y354" s="1">
        <f>Breakout[[#This Row],[Degree change]]+Y353</f>
        <v>286.26369658015983</v>
      </c>
    </row>
    <row r="355" spans="1:25">
      <c r="A355">
        <v>354</v>
      </c>
      <c r="B355" s="1">
        <v>20.189999</v>
      </c>
      <c r="C355" s="1">
        <v>727.65997300000004</v>
      </c>
      <c r="D355" s="1">
        <v>18.34</v>
      </c>
      <c r="E355" s="1">
        <v>1647.869995</v>
      </c>
      <c r="F355" s="1">
        <v>1604.5</v>
      </c>
      <c r="G355" s="1">
        <v>7.92</v>
      </c>
      <c r="H355" s="1">
        <v>0</v>
      </c>
      <c r="I355" s="1">
        <v>0</v>
      </c>
      <c r="J355" s="1">
        <v>2.0525000000000002</v>
      </c>
      <c r="K355" s="1">
        <v>-3.4770000000000001E-3</v>
      </c>
      <c r="L355" s="1">
        <v>7.8040000000000002E-3</v>
      </c>
      <c r="M355" s="1">
        <v>0.40744599999999997</v>
      </c>
      <c r="N355" s="1">
        <v>0.91318900000000003</v>
      </c>
      <c r="O355">
        <v>1</v>
      </c>
      <c r="P355">
        <v>0</v>
      </c>
      <c r="Q355">
        <v>1</v>
      </c>
      <c r="R355">
        <v>1</v>
      </c>
      <c r="S355">
        <v>1</v>
      </c>
      <c r="T355" s="1">
        <f>SQRT(POWER(Breakout[[#This Row],[angvel_X]],2) + POWER(Breakout[[#This Row],[angvel_Y]],2) + POWER(Breakout[[#This Row],[angvel_Z]],2))</f>
        <v>2.0525000000000002</v>
      </c>
      <c r="U355" s="1">
        <f>DEGREES(ASIN(MAX(-1,MIN(1,2 * (Breakout[[#This Row],[quart_W]]*Breakout[[#This Row],[quart_Y]] - Breakout[[#This Row],[quart_Z]]*Breakout[[#This Row],[quart_X]])))))</f>
        <v>0.9790281617228328</v>
      </c>
      <c r="V35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41.909145703904159</v>
      </c>
      <c r="W35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89.999478482884385</v>
      </c>
      <c r="X355" s="1">
        <f>IF(Breakout[[#This Row],[Yaw]]&gt;V354,(360-ABS(Breakout[[#This Row],[Yaw]])-ABS(V354)),ABS(Breakout[[#This Row],[Yaw]]-V354))</f>
        <v>0.97969059431256511</v>
      </c>
      <c r="Y355" s="1">
        <f>Breakout[[#This Row],[Degree change]]+Y354</f>
        <v>287.24338717447239</v>
      </c>
    </row>
    <row r="356" spans="1:25">
      <c r="A356">
        <v>355</v>
      </c>
      <c r="B356" s="1">
        <v>33.969996999999999</v>
      </c>
      <c r="C356" s="1">
        <v>741.07995600000004</v>
      </c>
      <c r="D356" s="1">
        <v>18.34</v>
      </c>
      <c r="E356" s="1">
        <v>1620.1899410000001</v>
      </c>
      <c r="F356" s="1">
        <v>1632.4499510000001</v>
      </c>
      <c r="G356" s="1">
        <v>7.92</v>
      </c>
      <c r="H356" s="1">
        <v>0</v>
      </c>
      <c r="I356" s="1">
        <v>0</v>
      </c>
      <c r="J356" s="1">
        <v>2.0525000000000002</v>
      </c>
      <c r="K356" s="1">
        <v>-3.542E-3</v>
      </c>
      <c r="L356" s="1">
        <v>7.7710000000000001E-3</v>
      </c>
      <c r="M356" s="1">
        <v>0.415242</v>
      </c>
      <c r="N356" s="1">
        <v>0.90967100000000001</v>
      </c>
      <c r="O356">
        <v>1</v>
      </c>
      <c r="P356">
        <v>0</v>
      </c>
      <c r="Q356">
        <v>1</v>
      </c>
      <c r="R356">
        <v>1</v>
      </c>
      <c r="S356">
        <v>1</v>
      </c>
      <c r="T356" s="1">
        <f>SQRT(POWER(Breakout[[#This Row],[angvel_X]],2) + POWER(Breakout[[#This Row],[angvel_Y]],2) + POWER(Breakout[[#This Row],[angvel_Z]],2))</f>
        <v>2.0525000000000002</v>
      </c>
      <c r="U356" s="1">
        <f>DEGREES(ASIN(MAX(-1,MIN(1,2 * (Breakout[[#This Row],[quart_W]]*Breakout[[#This Row],[quart_Y]] - Breakout[[#This Row],[quart_Z]]*Breakout[[#This Row],[quart_X]])))))</f>
        <v>0.97864122203880188</v>
      </c>
      <c r="V35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40.928970055880079</v>
      </c>
      <c r="W35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89.999450923206922</v>
      </c>
      <c r="X356" s="1">
        <f>IF(Breakout[[#This Row],[Yaw]]&gt;V355,(360-ABS(Breakout[[#This Row],[Yaw]])-ABS(V355)),ABS(Breakout[[#This Row],[Yaw]]-V355))</f>
        <v>0.98017564802407975</v>
      </c>
      <c r="Y356" s="1">
        <f>Breakout[[#This Row],[Degree change]]+Y355</f>
        <v>288.22356282249649</v>
      </c>
    </row>
    <row r="357" spans="1:25">
      <c r="A357">
        <v>356</v>
      </c>
      <c r="B357" s="1">
        <v>47.52</v>
      </c>
      <c r="C357" s="1">
        <v>754.73999000000003</v>
      </c>
      <c r="D357" s="1">
        <v>18.34</v>
      </c>
      <c r="E357" s="1">
        <v>1592.0299070000001</v>
      </c>
      <c r="F357" s="1">
        <v>1659.919922</v>
      </c>
      <c r="G357" s="1">
        <v>7.92</v>
      </c>
      <c r="H357" s="1">
        <v>0</v>
      </c>
      <c r="I357" s="1">
        <v>0</v>
      </c>
      <c r="J357" s="1">
        <v>2.0525000000000002</v>
      </c>
      <c r="K357" s="1">
        <v>-3.6059999999999998E-3</v>
      </c>
      <c r="L357" s="1">
        <v>7.7390000000000002E-3</v>
      </c>
      <c r="M357" s="1">
        <v>0.42300500000000002</v>
      </c>
      <c r="N357" s="1">
        <v>0.90608699999999998</v>
      </c>
      <c r="O357">
        <v>1</v>
      </c>
      <c r="P357">
        <v>0</v>
      </c>
      <c r="Q357">
        <v>1</v>
      </c>
      <c r="R357">
        <v>1</v>
      </c>
      <c r="S357">
        <v>1</v>
      </c>
      <c r="T357" s="1">
        <f>SQRT(POWER(Breakout[[#This Row],[angvel_X]],2) + POWER(Breakout[[#This Row],[angvel_Y]],2) + POWER(Breakout[[#This Row],[angvel_Z]],2))</f>
        <v>2.0525000000000002</v>
      </c>
      <c r="U357" s="1">
        <f>DEGREES(ASIN(MAX(-1,MIN(1,2 * (Breakout[[#This Row],[quart_W]]*Breakout[[#This Row],[quart_Y]] - Breakout[[#This Row],[quart_Z]]*Breakout[[#This Row],[quart_X]])))))</f>
        <v>0.97838023814408603</v>
      </c>
      <c r="V35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39.949144616715714</v>
      </c>
      <c r="W35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89.999279575522777</v>
      </c>
      <c r="X357" s="1">
        <f>IF(Breakout[[#This Row],[Yaw]]&gt;V356,(360-ABS(Breakout[[#This Row],[Yaw]])-ABS(V356)),ABS(Breakout[[#This Row],[Yaw]]-V356))</f>
        <v>0.97982543916436526</v>
      </c>
      <c r="Y357" s="1">
        <f>Breakout[[#This Row],[Degree change]]+Y356</f>
        <v>289.20338826166085</v>
      </c>
    </row>
    <row r="358" spans="1:25">
      <c r="A358">
        <v>357</v>
      </c>
      <c r="B358" s="1">
        <v>60.829998000000003</v>
      </c>
      <c r="C358" s="1">
        <v>768.63000499999998</v>
      </c>
      <c r="D358" s="1">
        <v>18.34</v>
      </c>
      <c r="E358" s="1">
        <v>1563.4099120000001</v>
      </c>
      <c r="F358" s="1">
        <v>1686.9099120000001</v>
      </c>
      <c r="G358" s="1">
        <v>7.92</v>
      </c>
      <c r="H358" s="1">
        <v>0</v>
      </c>
      <c r="I358" s="1">
        <v>0</v>
      </c>
      <c r="J358" s="1">
        <v>2.0525000000000002</v>
      </c>
      <c r="K358" s="1">
        <v>-3.6709999999999998E-3</v>
      </c>
      <c r="L358" s="1">
        <v>7.7060000000000002E-3</v>
      </c>
      <c r="M358" s="1">
        <v>0.43073600000000001</v>
      </c>
      <c r="N358" s="1">
        <v>0.90243799999999996</v>
      </c>
      <c r="O358">
        <v>1</v>
      </c>
      <c r="P358">
        <v>0</v>
      </c>
      <c r="Q358">
        <v>1</v>
      </c>
      <c r="R358">
        <v>1</v>
      </c>
      <c r="S358">
        <v>1</v>
      </c>
      <c r="T358" s="1">
        <f>SQRT(POWER(Breakout[[#This Row],[angvel_X]],2) + POWER(Breakout[[#This Row],[angvel_Y]],2) + POWER(Breakout[[#This Row],[angvel_Z]],2))</f>
        <v>2.0525000000000002</v>
      </c>
      <c r="U358" s="1">
        <f>DEGREES(ASIN(MAX(-1,MIN(1,2 * (Breakout[[#This Row],[quart_W]]*Breakout[[#This Row],[quart_Y]] - Breakout[[#This Row],[quart_Z]]*Breakout[[#This Row],[quart_X]])))))</f>
        <v>0.9781344906354722</v>
      </c>
      <c r="V35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38.969433856283921</v>
      </c>
      <c r="W35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89.999266310242646</v>
      </c>
      <c r="X358" s="1">
        <f>IF(Breakout[[#This Row],[Yaw]]&gt;V357,(360-ABS(Breakout[[#This Row],[Yaw]])-ABS(V357)),ABS(Breakout[[#This Row],[Yaw]]-V357))</f>
        <v>0.97971076043179295</v>
      </c>
      <c r="Y358" s="1">
        <f>Breakout[[#This Row],[Degree change]]+Y357</f>
        <v>290.18309902209262</v>
      </c>
    </row>
    <row r="359" spans="1:25">
      <c r="A359">
        <v>358</v>
      </c>
      <c r="B359" s="1">
        <v>73.900002000000001</v>
      </c>
      <c r="C359" s="1">
        <v>782.73999000000003</v>
      </c>
      <c r="D359" s="1">
        <v>18.34</v>
      </c>
      <c r="E359" s="1">
        <v>1534.329956</v>
      </c>
      <c r="F359" s="1">
        <v>1713.3999020000001</v>
      </c>
      <c r="G359" s="1">
        <v>7.92</v>
      </c>
      <c r="H359" s="1">
        <v>0</v>
      </c>
      <c r="I359" s="1">
        <v>0</v>
      </c>
      <c r="J359" s="1">
        <v>2.0525000000000002</v>
      </c>
      <c r="K359" s="1">
        <v>-3.7360000000000002E-3</v>
      </c>
      <c r="L359" s="1">
        <v>7.6740000000000003E-3</v>
      </c>
      <c r="M359" s="1">
        <v>0.43843900000000002</v>
      </c>
      <c r="N359" s="1">
        <v>0.89871999999999996</v>
      </c>
      <c r="O359">
        <v>1</v>
      </c>
      <c r="P359">
        <v>0</v>
      </c>
      <c r="Q359">
        <v>1</v>
      </c>
      <c r="R359">
        <v>1</v>
      </c>
      <c r="S359">
        <v>1</v>
      </c>
      <c r="T359" s="1">
        <f>SQRT(POWER(Breakout[[#This Row],[angvel_X]],2) + POWER(Breakout[[#This Row],[angvel_Y]],2) + POWER(Breakout[[#This Row],[angvel_Z]],2))</f>
        <v>2.0525000000000002</v>
      </c>
      <c r="U359" s="1">
        <f>DEGREES(ASIN(MAX(-1,MIN(1,2 * (Breakout[[#This Row],[quart_W]]*Breakout[[#This Row],[quart_Y]] - Breakout[[#This Row],[quart_Z]]*Breakout[[#This Row],[quart_X]])))))</f>
        <v>0.97806186338225021</v>
      </c>
      <c r="V35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37.989318876047321</v>
      </c>
      <c r="W35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89.999201986603353</v>
      </c>
      <c r="X359" s="1">
        <f>IF(Breakout[[#This Row],[Yaw]]&gt;V358,(360-ABS(Breakout[[#This Row],[Yaw]])-ABS(V358)),ABS(Breakout[[#This Row],[Yaw]]-V358))</f>
        <v>0.98011498023659982</v>
      </c>
      <c r="Y359" s="1">
        <f>Breakout[[#This Row],[Degree change]]+Y358</f>
        <v>291.1632140023292</v>
      </c>
    </row>
    <row r="360" spans="1:25">
      <c r="A360">
        <v>359</v>
      </c>
      <c r="B360" s="1">
        <v>86.729996</v>
      </c>
      <c r="C360" s="1">
        <v>797.07000700000003</v>
      </c>
      <c r="D360" s="1">
        <v>18.34</v>
      </c>
      <c r="E360" s="1">
        <v>1504.799927</v>
      </c>
      <c r="F360" s="1">
        <v>1739.3900149999999</v>
      </c>
      <c r="G360" s="1">
        <v>7.92</v>
      </c>
      <c r="H360" s="1">
        <v>0</v>
      </c>
      <c r="I360" s="1">
        <v>0</v>
      </c>
      <c r="J360" s="1">
        <v>2.0525000000000002</v>
      </c>
      <c r="K360" s="1">
        <v>-3.8010000000000001E-3</v>
      </c>
      <c r="L360" s="1">
        <v>7.6420000000000004E-3</v>
      </c>
      <c r="M360" s="1">
        <v>0.44611099999999998</v>
      </c>
      <c r="N360" s="1">
        <v>0.89493699999999998</v>
      </c>
      <c r="O360">
        <v>1</v>
      </c>
      <c r="P360">
        <v>0</v>
      </c>
      <c r="Q360">
        <v>1</v>
      </c>
      <c r="R360">
        <v>1</v>
      </c>
      <c r="S360">
        <v>1</v>
      </c>
      <c r="T360" s="1">
        <f>SQRT(POWER(Breakout[[#This Row],[angvel_X]],2) + POWER(Breakout[[#This Row],[angvel_Y]],2) + POWER(Breakout[[#This Row],[angvel_Z]],2))</f>
        <v>2.0525000000000002</v>
      </c>
      <c r="U360" s="1">
        <f>DEGREES(ASIN(MAX(-1,MIN(1,2 * (Breakout[[#This Row],[quart_W]]*Breakout[[#This Row],[quart_Y]] - Breakout[[#This Row],[quart_Z]]*Breakout[[#This Row],[quart_X]])))))</f>
        <v>0.97806084119120673</v>
      </c>
      <c r="V36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37.009025868838343</v>
      </c>
      <c r="W36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89.999137604383876</v>
      </c>
      <c r="X360" s="1">
        <f>IF(Breakout[[#This Row],[Yaw]]&gt;V359,(360-ABS(Breakout[[#This Row],[Yaw]])-ABS(V359)),ABS(Breakout[[#This Row],[Yaw]]-V359))</f>
        <v>0.98029300720897794</v>
      </c>
      <c r="Y360" s="1">
        <f>Breakout[[#This Row],[Degree change]]+Y359</f>
        <v>292.14350700953815</v>
      </c>
    </row>
    <row r="361" spans="1:25">
      <c r="A361">
        <v>360</v>
      </c>
      <c r="B361" s="1">
        <v>99.309997999999993</v>
      </c>
      <c r="C361" s="1">
        <v>811.61999500000002</v>
      </c>
      <c r="D361" s="1">
        <v>18.34</v>
      </c>
      <c r="E361" s="1">
        <v>1474.829956</v>
      </c>
      <c r="F361" s="1">
        <v>1764.869995</v>
      </c>
      <c r="G361" s="1">
        <v>7.92</v>
      </c>
      <c r="H361" s="1">
        <v>0</v>
      </c>
      <c r="I361" s="1">
        <v>0</v>
      </c>
      <c r="J361" s="1">
        <v>2.0525000000000002</v>
      </c>
      <c r="K361" s="1">
        <v>-3.8649999999999999E-3</v>
      </c>
      <c r="L361" s="1">
        <v>7.6090000000000003E-3</v>
      </c>
      <c r="M361" s="1">
        <v>0.45374999999999999</v>
      </c>
      <c r="N361" s="1">
        <v>0.89108799999999999</v>
      </c>
      <c r="O361">
        <v>1</v>
      </c>
      <c r="P361">
        <v>0</v>
      </c>
      <c r="Q361">
        <v>1</v>
      </c>
      <c r="R361">
        <v>1</v>
      </c>
      <c r="S361">
        <v>1</v>
      </c>
      <c r="T361" s="1">
        <f>SQRT(POWER(Breakout[[#This Row],[angvel_X]],2) + POWER(Breakout[[#This Row],[angvel_Y]],2) + POWER(Breakout[[#This Row],[angvel_Z]],2))</f>
        <v>2.0525000000000002</v>
      </c>
      <c r="U361" s="1">
        <f>DEGREES(ASIN(MAX(-1,MIN(1,2 * (Breakout[[#This Row],[quart_W]]*Breakout[[#This Row],[quart_Y]] - Breakout[[#This Row],[quart_Z]]*Breakout[[#This Row],[quart_X]])))))</f>
        <v>0.97797555855232188</v>
      </c>
      <c r="V36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36.028799742189904</v>
      </c>
      <c r="W36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89.99902254860649</v>
      </c>
      <c r="X361" s="1">
        <f>IF(Breakout[[#This Row],[Yaw]]&gt;V360,(360-ABS(Breakout[[#This Row],[Yaw]])-ABS(V360)),ABS(Breakout[[#This Row],[Yaw]]-V360))</f>
        <v>0.98022612664843933</v>
      </c>
      <c r="Y361" s="1">
        <f>Breakout[[#This Row],[Degree change]]+Y360</f>
        <v>293.12373313618662</v>
      </c>
    </row>
    <row r="362" spans="1:25">
      <c r="A362">
        <v>361</v>
      </c>
      <c r="B362" s="1">
        <v>111.639999</v>
      </c>
      <c r="C362" s="1">
        <v>826.38000499999998</v>
      </c>
      <c r="D362" s="1">
        <v>18.34</v>
      </c>
      <c r="E362" s="1">
        <v>1444.429932</v>
      </c>
      <c r="F362" s="1">
        <v>1789.839966</v>
      </c>
      <c r="G362" s="1">
        <v>7.92</v>
      </c>
      <c r="H362" s="1">
        <v>0</v>
      </c>
      <c r="I362" s="1">
        <v>0</v>
      </c>
      <c r="J362" s="1">
        <v>2.0525000000000002</v>
      </c>
      <c r="K362" s="1">
        <v>-3.9300000000000003E-3</v>
      </c>
      <c r="L362" s="1">
        <v>7.5770000000000004E-3</v>
      </c>
      <c r="M362" s="1">
        <v>0.46135100000000001</v>
      </c>
      <c r="N362" s="1">
        <v>0.88717599999999996</v>
      </c>
      <c r="O362">
        <v>1</v>
      </c>
      <c r="P362">
        <v>0</v>
      </c>
      <c r="Q362">
        <v>1</v>
      </c>
      <c r="R362">
        <v>1</v>
      </c>
      <c r="S362">
        <v>1</v>
      </c>
      <c r="T362" s="1">
        <f>SQRT(POWER(Breakout[[#This Row],[angvel_X]],2) + POWER(Breakout[[#This Row],[angvel_Y]],2) + POWER(Breakout[[#This Row],[angvel_Z]],2))</f>
        <v>2.0525000000000002</v>
      </c>
      <c r="U362" s="1">
        <f>DEGREES(ASIN(MAX(-1,MIN(1,2 * (Breakout[[#This Row],[quart_W]]*Breakout[[#This Row],[quart_Y]] - Breakout[[#This Row],[quart_Z]]*Breakout[[#This Row],[quart_X]])))))</f>
        <v>0.9781141932835703</v>
      </c>
      <c r="V36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35.04920099970407</v>
      </c>
      <c r="W36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89.99896223975189</v>
      </c>
      <c r="X362" s="1">
        <f>IF(Breakout[[#This Row],[Yaw]]&gt;V361,(360-ABS(Breakout[[#This Row],[Yaw]])-ABS(V361)),ABS(Breakout[[#This Row],[Yaw]]-V361))</f>
        <v>0.9795987424858339</v>
      </c>
      <c r="Y362" s="1">
        <f>Breakout[[#This Row],[Degree change]]+Y361</f>
        <v>294.10333187867246</v>
      </c>
    </row>
    <row r="363" spans="1:25">
      <c r="A363">
        <v>362</v>
      </c>
      <c r="B363" s="1">
        <v>123.719994</v>
      </c>
      <c r="C363" s="1">
        <v>841.34997599999997</v>
      </c>
      <c r="D363" s="1">
        <v>18.34</v>
      </c>
      <c r="E363" s="1">
        <v>1413.6099850000001</v>
      </c>
      <c r="F363" s="1">
        <v>1814.2799070000001</v>
      </c>
      <c r="G363" s="1">
        <v>7.92</v>
      </c>
      <c r="H363" s="1">
        <v>0</v>
      </c>
      <c r="I363" s="1">
        <v>0</v>
      </c>
      <c r="J363" s="1">
        <v>2.0525000000000002</v>
      </c>
      <c r="K363" s="1">
        <v>-3.9950000000000003E-3</v>
      </c>
      <c r="L363" s="1">
        <v>7.5449999999999996E-3</v>
      </c>
      <c r="M363" s="1">
        <v>0.46892</v>
      </c>
      <c r="N363" s="1">
        <v>0.88319899999999996</v>
      </c>
      <c r="O363">
        <v>1</v>
      </c>
      <c r="P363">
        <v>0</v>
      </c>
      <c r="Q363">
        <v>1</v>
      </c>
      <c r="R363">
        <v>1</v>
      </c>
      <c r="S363">
        <v>1</v>
      </c>
      <c r="T363" s="1">
        <f>SQRT(POWER(Breakout[[#This Row],[angvel_X]],2) + POWER(Breakout[[#This Row],[angvel_Y]],2) + POWER(Breakout[[#This Row],[angvel_Z]],2))</f>
        <v>2.0525000000000002</v>
      </c>
      <c r="U363" s="1">
        <f>DEGREES(ASIN(MAX(-1,MIN(1,2 * (Breakout[[#This Row],[quart_W]]*Breakout[[#This Row],[quart_Y]] - Breakout[[#This Row],[quart_Z]]*Breakout[[#This Row],[quart_X]])))))</f>
        <v>0.97832391184838263</v>
      </c>
      <c r="V36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34.069356361754089</v>
      </c>
      <c r="W36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89.998897308603233</v>
      </c>
      <c r="X363" s="1">
        <f>IF(Breakout[[#This Row],[Yaw]]&gt;V362,(360-ABS(Breakout[[#This Row],[Yaw]])-ABS(V362)),ABS(Breakout[[#This Row],[Yaw]]-V362))</f>
        <v>0.97984463794998078</v>
      </c>
      <c r="Y363" s="1">
        <f>Breakout[[#This Row],[Degree change]]+Y362</f>
        <v>295.08317651662242</v>
      </c>
    </row>
    <row r="364" spans="1:25">
      <c r="A364">
        <v>363</v>
      </c>
      <c r="B364" s="1">
        <v>135.53999300000001</v>
      </c>
      <c r="C364" s="1">
        <v>856.52996800000005</v>
      </c>
      <c r="D364" s="1">
        <v>18.34</v>
      </c>
      <c r="E364" s="1">
        <v>1382.369995</v>
      </c>
      <c r="F364" s="1">
        <v>1838.1899410000001</v>
      </c>
      <c r="G364" s="1">
        <v>7.92</v>
      </c>
      <c r="H364" s="1">
        <v>0</v>
      </c>
      <c r="I364" s="1">
        <v>-1E-4</v>
      </c>
      <c r="J364" s="1">
        <v>2.0525000000000002</v>
      </c>
      <c r="K364" s="1">
        <v>-4.0600000000000002E-3</v>
      </c>
      <c r="L364" s="1">
        <v>7.5119999999999996E-3</v>
      </c>
      <c r="M364" s="1">
        <v>0.47645700000000002</v>
      </c>
      <c r="N364" s="1">
        <v>0.87915600000000005</v>
      </c>
      <c r="O364">
        <v>1</v>
      </c>
      <c r="P364">
        <v>0</v>
      </c>
      <c r="Q364">
        <v>1</v>
      </c>
      <c r="R364">
        <v>1</v>
      </c>
      <c r="S364">
        <v>1</v>
      </c>
      <c r="T364" s="1">
        <f>SQRT(POWER(Breakout[[#This Row],[angvel_X]],2) + POWER(Breakout[[#This Row],[angvel_Y]],2) + POWER(Breakout[[#This Row],[angvel_Z]],2))</f>
        <v>2.0525000024360538</v>
      </c>
      <c r="U364" s="1">
        <f>DEGREES(ASIN(MAX(-1,MIN(1,2 * (Breakout[[#This Row],[quart_W]]*Breakout[[#This Row],[quart_Y]] - Breakout[[#This Row],[quart_Z]]*Breakout[[#This Row],[quart_X]])))))</f>
        <v>0.97850309465659779</v>
      </c>
      <c r="V36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33.089220288365588</v>
      </c>
      <c r="W36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89.998880091058268</v>
      </c>
      <c r="X364" s="1">
        <f>IF(Breakout[[#This Row],[Yaw]]&gt;V363,(360-ABS(Breakout[[#This Row],[Yaw]])-ABS(V363)),ABS(Breakout[[#This Row],[Yaw]]-V363))</f>
        <v>0.98013607338850051</v>
      </c>
      <c r="Y364" s="1">
        <f>Breakout[[#This Row],[Degree change]]+Y363</f>
        <v>296.06331259001092</v>
      </c>
    </row>
    <row r="365" spans="1:25">
      <c r="A365">
        <v>364</v>
      </c>
      <c r="B365" s="1">
        <v>147.09999099999999</v>
      </c>
      <c r="C365" s="1">
        <v>871.90997300000004</v>
      </c>
      <c r="D365" s="1">
        <v>18.34</v>
      </c>
      <c r="E365" s="1">
        <v>1350.7299800000001</v>
      </c>
      <c r="F365" s="1">
        <v>1861.5699460000001</v>
      </c>
      <c r="G365" s="1">
        <v>7.92</v>
      </c>
      <c r="H365" s="1">
        <v>0</v>
      </c>
      <c r="I365" s="1">
        <v>-1E-4</v>
      </c>
      <c r="J365" s="1">
        <v>2.0525000000000002</v>
      </c>
      <c r="K365" s="1">
        <v>-4.1240000000000001E-3</v>
      </c>
      <c r="L365" s="1">
        <v>7.4749999999999999E-3</v>
      </c>
      <c r="M365" s="1">
        <v>0.483956</v>
      </c>
      <c r="N365" s="1">
        <v>0.87505100000000002</v>
      </c>
      <c r="O365">
        <v>1</v>
      </c>
      <c r="P365">
        <v>0</v>
      </c>
      <c r="Q365">
        <v>1</v>
      </c>
      <c r="R365">
        <v>1</v>
      </c>
      <c r="S365">
        <v>1</v>
      </c>
      <c r="T365" s="1">
        <f>SQRT(POWER(Breakout[[#This Row],[angvel_X]],2) + POWER(Breakout[[#This Row],[angvel_Y]],2) + POWER(Breakout[[#This Row],[angvel_Z]],2))</f>
        <v>2.0525000024360538</v>
      </c>
      <c r="U365" s="1">
        <f>DEGREES(ASIN(MAX(-1,MIN(1,2 * (Breakout[[#This Row],[quart_W]]*Breakout[[#This Row],[quart_Y]] - Breakout[[#This Row],[quart_Z]]*Breakout[[#This Row],[quart_X]])))))</f>
        <v>0.97829742748275095</v>
      </c>
      <c r="V36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32.109482608220489</v>
      </c>
      <c r="W36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89.998984481836061</v>
      </c>
      <c r="X365" s="1">
        <f>IF(Breakout[[#This Row],[Yaw]]&gt;V364,(360-ABS(Breakout[[#This Row],[Yaw]])-ABS(V364)),ABS(Breakout[[#This Row],[Yaw]]-V364))</f>
        <v>0.97973768014509943</v>
      </c>
      <c r="Y365" s="1">
        <f>Breakout[[#This Row],[Degree change]]+Y364</f>
        <v>297.04305027015602</v>
      </c>
    </row>
    <row r="366" spans="1:25">
      <c r="A366">
        <v>365</v>
      </c>
      <c r="B366" s="1">
        <v>158.38999899999999</v>
      </c>
      <c r="C366" s="1">
        <v>887.47997999999995</v>
      </c>
      <c r="D366" s="1">
        <v>18.34</v>
      </c>
      <c r="E366" s="1">
        <v>1318.6999510000001</v>
      </c>
      <c r="F366" s="1">
        <v>1884.3999020000001</v>
      </c>
      <c r="G366" s="1">
        <v>7.92</v>
      </c>
      <c r="H366" s="1">
        <v>0</v>
      </c>
      <c r="I366" s="1">
        <v>-1E-4</v>
      </c>
      <c r="J366" s="1">
        <v>2.0525000000000002</v>
      </c>
      <c r="K366" s="1">
        <v>-4.189E-3</v>
      </c>
      <c r="L366" s="1">
        <v>7.437E-3</v>
      </c>
      <c r="M366" s="1">
        <v>0.49142200000000003</v>
      </c>
      <c r="N366" s="1">
        <v>0.87087999999999999</v>
      </c>
      <c r="O366">
        <v>1</v>
      </c>
      <c r="P366">
        <v>0</v>
      </c>
      <c r="Q366">
        <v>1</v>
      </c>
      <c r="R366">
        <v>1</v>
      </c>
      <c r="S366">
        <v>1</v>
      </c>
      <c r="T366" s="1">
        <f>SQRT(POWER(Breakout[[#This Row],[angvel_X]],2) + POWER(Breakout[[#This Row],[angvel_Y]],2) + POWER(Breakout[[#This Row],[angvel_Z]],2))</f>
        <v>2.0525000024360538</v>
      </c>
      <c r="U366" s="1">
        <f>DEGREES(ASIN(MAX(-1,MIN(1,2 * (Breakout[[#This Row],[quart_W]]*Breakout[[#This Row],[quart_Y]] - Breakout[[#This Row],[quart_Z]]*Breakout[[#This Row],[quart_X]])))))</f>
        <v>0.97812099367921801</v>
      </c>
      <c r="V36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31.129454229246985</v>
      </c>
      <c r="W36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89.999244835408433</v>
      </c>
      <c r="X366" s="1">
        <f>IF(Breakout[[#This Row],[Yaw]]&gt;V365,(360-ABS(Breakout[[#This Row],[Yaw]])-ABS(V365)),ABS(Breakout[[#This Row],[Yaw]]-V365))</f>
        <v>0.98002837897350403</v>
      </c>
      <c r="Y366" s="1">
        <f>Breakout[[#This Row],[Degree change]]+Y365</f>
        <v>298.0230786491295</v>
      </c>
    </row>
    <row r="367" spans="1:25">
      <c r="A367">
        <v>366</v>
      </c>
      <c r="B367" s="1">
        <v>169.41000399999999</v>
      </c>
      <c r="C367" s="1">
        <v>903.23999000000003</v>
      </c>
      <c r="D367" s="1">
        <v>18.34</v>
      </c>
      <c r="E367" s="1">
        <v>1286.280029</v>
      </c>
      <c r="F367" s="1">
        <v>1906.669922</v>
      </c>
      <c r="G367" s="1">
        <v>7.92</v>
      </c>
      <c r="H367" s="1">
        <v>0</v>
      </c>
      <c r="I367" s="1">
        <v>-1E-4</v>
      </c>
      <c r="J367" s="1">
        <v>2.0525000000000002</v>
      </c>
      <c r="K367" s="1">
        <v>-4.254E-3</v>
      </c>
      <c r="L367" s="1">
        <v>7.3990000000000002E-3</v>
      </c>
      <c r="M367" s="1">
        <v>0.49885099999999999</v>
      </c>
      <c r="N367" s="1">
        <v>0.86664600000000003</v>
      </c>
      <c r="O367">
        <v>1</v>
      </c>
      <c r="P367">
        <v>0</v>
      </c>
      <c r="Q367">
        <v>1</v>
      </c>
      <c r="R367">
        <v>1</v>
      </c>
      <c r="S367">
        <v>1</v>
      </c>
      <c r="T367" s="1">
        <f>SQRT(POWER(Breakout[[#This Row],[angvel_X]],2) + POWER(Breakout[[#This Row],[angvel_Y]],2) + POWER(Breakout[[#This Row],[angvel_Z]],2))</f>
        <v>2.0525000024360538</v>
      </c>
      <c r="U367" s="1">
        <f>DEGREES(ASIN(MAX(-1,MIN(1,2 * (Breakout[[#This Row],[quart_W]]*Breakout[[#This Row],[quart_Y]] - Breakout[[#This Row],[quart_Z]]*Breakout[[#This Row],[quart_X]])))))</f>
        <v>0.97802066446472402</v>
      </c>
      <c r="V36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30.149562290632549</v>
      </c>
      <c r="W36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89.999508735723893</v>
      </c>
      <c r="X367" s="1">
        <f>IF(Breakout[[#This Row],[Yaw]]&gt;V366,(360-ABS(Breakout[[#This Row],[Yaw]])-ABS(V366)),ABS(Breakout[[#This Row],[Yaw]]-V366))</f>
        <v>0.97989193861443624</v>
      </c>
      <c r="Y367" s="1">
        <f>Breakout[[#This Row],[Degree change]]+Y366</f>
        <v>299.00297058774396</v>
      </c>
    </row>
    <row r="368" spans="1:25">
      <c r="A368">
        <v>367</v>
      </c>
      <c r="B368" s="1">
        <v>180.159988</v>
      </c>
      <c r="C368" s="1">
        <v>919.19000200000005</v>
      </c>
      <c r="D368" s="1">
        <v>18.34</v>
      </c>
      <c r="E368" s="1">
        <v>1253.4799800000001</v>
      </c>
      <c r="F368" s="1">
        <v>1928.3900149999999</v>
      </c>
      <c r="G368" s="1">
        <v>7.92</v>
      </c>
      <c r="H368" s="1">
        <v>0</v>
      </c>
      <c r="I368" s="1">
        <v>-1E-4</v>
      </c>
      <c r="J368" s="1">
        <v>2.0525000000000002</v>
      </c>
      <c r="K368" s="1">
        <v>-4.3189999999999999E-3</v>
      </c>
      <c r="L368" s="1">
        <v>7.3610000000000004E-3</v>
      </c>
      <c r="M368" s="1">
        <v>0.50624199999999997</v>
      </c>
      <c r="N368" s="1">
        <v>0.86234900000000003</v>
      </c>
      <c r="O368">
        <v>1</v>
      </c>
      <c r="P368">
        <v>0</v>
      </c>
      <c r="Q368">
        <v>1</v>
      </c>
      <c r="R368">
        <v>1</v>
      </c>
      <c r="S368">
        <v>1</v>
      </c>
      <c r="T368" s="1">
        <f>SQRT(POWER(Breakout[[#This Row],[angvel_X]],2) + POWER(Breakout[[#This Row],[angvel_Y]],2) + POWER(Breakout[[#This Row],[angvel_Z]],2))</f>
        <v>2.0525000024360538</v>
      </c>
      <c r="U368" s="1">
        <f>DEGREES(ASIN(MAX(-1,MIN(1,2 * (Breakout[[#This Row],[quart_W]]*Breakout[[#This Row],[quart_Y]] - Breakout[[#This Row],[quart_Z]]*Breakout[[#This Row],[quart_X]])))))</f>
        <v>0.97799594105731902</v>
      </c>
      <c r="V36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29.169886998534029</v>
      </c>
      <c r="W36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89.999775135051394</v>
      </c>
      <c r="X368" s="1">
        <f>IF(Breakout[[#This Row],[Yaw]]&gt;V367,(360-ABS(Breakout[[#This Row],[Yaw]])-ABS(V367)),ABS(Breakout[[#This Row],[Yaw]]-V367))</f>
        <v>0.97967529209851989</v>
      </c>
      <c r="Y368" s="1">
        <f>Breakout[[#This Row],[Degree change]]+Y367</f>
        <v>299.98264587984249</v>
      </c>
    </row>
    <row r="369" spans="1:25">
      <c r="A369">
        <v>368</v>
      </c>
      <c r="B369" s="1">
        <v>190.63999899999999</v>
      </c>
      <c r="C369" s="1">
        <v>935.32000700000003</v>
      </c>
      <c r="D369" s="1">
        <v>18.34</v>
      </c>
      <c r="E369" s="1">
        <v>1220.3199460000001</v>
      </c>
      <c r="F369" s="1">
        <v>1949.549927</v>
      </c>
      <c r="G369" s="1">
        <v>7.92</v>
      </c>
      <c r="H369" s="1">
        <v>0</v>
      </c>
      <c r="I369" s="1">
        <v>0</v>
      </c>
      <c r="J369" s="1">
        <v>2.0525000000000002</v>
      </c>
      <c r="K369" s="1">
        <v>-4.3829999999999997E-3</v>
      </c>
      <c r="L369" s="1">
        <v>7.3229999999999996E-3</v>
      </c>
      <c r="M369" s="1">
        <v>0.51359999999999995</v>
      </c>
      <c r="N369" s="1">
        <v>0.85798700000000006</v>
      </c>
      <c r="O369">
        <v>1</v>
      </c>
      <c r="P369">
        <v>0</v>
      </c>
      <c r="Q369">
        <v>1</v>
      </c>
      <c r="R369">
        <v>1</v>
      </c>
      <c r="S369">
        <v>1</v>
      </c>
      <c r="T369" s="1">
        <f>SQRT(POWER(Breakout[[#This Row],[angvel_X]],2) + POWER(Breakout[[#This Row],[angvel_Y]],2) + POWER(Breakout[[#This Row],[angvel_Z]],2))</f>
        <v>2.0525000000000002</v>
      </c>
      <c r="U369" s="1">
        <f>DEGREES(ASIN(MAX(-1,MIN(1,2 * (Breakout[[#This Row],[quart_W]]*Breakout[[#This Row],[quart_Y]] - Breakout[[#This Row],[quart_Z]]*Breakout[[#This Row],[quart_X]])))))</f>
        <v>0.97798876818509728</v>
      </c>
      <c r="V36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28.189663830558018</v>
      </c>
      <c r="W36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89.99993859530403</v>
      </c>
      <c r="X369" s="1">
        <f>IF(Breakout[[#This Row],[Yaw]]&gt;V368,(360-ABS(Breakout[[#This Row],[Yaw]])-ABS(V368)),ABS(Breakout[[#This Row],[Yaw]]-V368))</f>
        <v>0.9802231679760105</v>
      </c>
      <c r="Y369" s="1">
        <f>Breakout[[#This Row],[Degree change]]+Y368</f>
        <v>300.96286904781851</v>
      </c>
    </row>
    <row r="370" spans="1:25">
      <c r="A370">
        <v>369</v>
      </c>
      <c r="B370" s="1">
        <v>200.83999600000001</v>
      </c>
      <c r="C370" s="1">
        <v>951.63000499999998</v>
      </c>
      <c r="D370" s="1">
        <v>18.34</v>
      </c>
      <c r="E370" s="1">
        <v>1186.799927</v>
      </c>
      <c r="F370" s="1">
        <v>1970.130005</v>
      </c>
      <c r="G370" s="1">
        <v>7.92</v>
      </c>
      <c r="H370" s="1">
        <v>0</v>
      </c>
      <c r="I370" s="1">
        <v>0</v>
      </c>
      <c r="J370" s="1">
        <v>2.0525000000000002</v>
      </c>
      <c r="K370" s="1">
        <v>-4.4479999999999997E-3</v>
      </c>
      <c r="L370" s="1">
        <v>7.2859999999999999E-3</v>
      </c>
      <c r="M370" s="1">
        <v>0.52092099999999997</v>
      </c>
      <c r="N370" s="1">
        <v>0.85356200000000004</v>
      </c>
      <c r="O370">
        <v>1</v>
      </c>
      <c r="P370">
        <v>0</v>
      </c>
      <c r="Q370">
        <v>1</v>
      </c>
      <c r="R370">
        <v>1</v>
      </c>
      <c r="S370">
        <v>1</v>
      </c>
      <c r="T370" s="1">
        <f>SQRT(POWER(Breakout[[#This Row],[angvel_X]],2) + POWER(Breakout[[#This Row],[angvel_Y]],2) + POWER(Breakout[[#This Row],[angvel_Z]],2))</f>
        <v>2.0525000000000002</v>
      </c>
      <c r="U370" s="1">
        <f>DEGREES(ASIN(MAX(-1,MIN(1,2 * (Breakout[[#This Row],[quart_W]]*Breakout[[#This Row],[quart_Y]] - Breakout[[#This Row],[quart_Z]]*Breakout[[#This Row],[quart_X]])))))</f>
        <v>0.97821359967513311</v>
      </c>
      <c r="V37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27.209357435028757</v>
      </c>
      <c r="W37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90.000139062227049</v>
      </c>
      <c r="X370" s="1">
        <f>IF(Breakout[[#This Row],[Yaw]]&gt;V369,(360-ABS(Breakout[[#This Row],[Yaw]])-ABS(V369)),ABS(Breakout[[#This Row],[Yaw]]-V369))</f>
        <v>0.98030639552926147</v>
      </c>
      <c r="Y370" s="1">
        <f>Breakout[[#This Row],[Degree change]]+Y369</f>
        <v>301.9431754433478</v>
      </c>
    </row>
    <row r="371" spans="1:25">
      <c r="A371">
        <v>370</v>
      </c>
      <c r="B371" s="1">
        <v>210.759995</v>
      </c>
      <c r="C371" s="1">
        <v>968.10998500000005</v>
      </c>
      <c r="D371" s="1">
        <v>18.34</v>
      </c>
      <c r="E371" s="1">
        <v>1152.929932</v>
      </c>
      <c r="F371" s="1">
        <v>1990.1400149999999</v>
      </c>
      <c r="G371" s="1">
        <v>7.92</v>
      </c>
      <c r="H371" s="1">
        <v>0</v>
      </c>
      <c r="I371" s="1">
        <v>0</v>
      </c>
      <c r="J371" s="1">
        <v>2.0525000000000002</v>
      </c>
      <c r="K371" s="1">
        <v>-4.5129999999999997E-3</v>
      </c>
      <c r="L371" s="1">
        <v>7.2480000000000001E-3</v>
      </c>
      <c r="M371" s="1">
        <v>0.52820400000000001</v>
      </c>
      <c r="N371" s="1">
        <v>0.84907500000000002</v>
      </c>
      <c r="O371">
        <v>1</v>
      </c>
      <c r="P371">
        <v>0</v>
      </c>
      <c r="Q371">
        <v>1</v>
      </c>
      <c r="R371">
        <v>1</v>
      </c>
      <c r="S371">
        <v>1</v>
      </c>
      <c r="T371" s="1">
        <f>SQRT(POWER(Breakout[[#This Row],[angvel_X]],2) + POWER(Breakout[[#This Row],[angvel_Y]],2) + POWER(Breakout[[#This Row],[angvel_Z]],2))</f>
        <v>2.0525000000000002</v>
      </c>
      <c r="U371" s="1">
        <f>DEGREES(ASIN(MAX(-1,MIN(1,2 * (Breakout[[#This Row],[quart_W]]*Breakout[[#This Row],[quart_Y]] - Breakout[[#This Row],[quart_Z]]*Breakout[[#This Row],[quart_X]])))))</f>
        <v>0.97841656082799922</v>
      </c>
      <c r="V37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26.229020606129573</v>
      </c>
      <c r="W37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90.0003957289439</v>
      </c>
      <c r="X371" s="1">
        <f>IF(Breakout[[#This Row],[Yaw]]&gt;V370,(360-ABS(Breakout[[#This Row],[Yaw]])-ABS(V370)),ABS(Breakout[[#This Row],[Yaw]]-V370))</f>
        <v>0.98033682889918339</v>
      </c>
      <c r="Y371" s="1">
        <f>Breakout[[#This Row],[Degree change]]+Y370</f>
        <v>302.92351227224697</v>
      </c>
    </row>
    <row r="372" spans="1:25">
      <c r="A372">
        <v>371</v>
      </c>
      <c r="B372" s="1">
        <v>220.39999399999999</v>
      </c>
      <c r="C372" s="1">
        <v>984.75994900000001</v>
      </c>
      <c r="D372" s="1">
        <v>18.34</v>
      </c>
      <c r="E372" s="1">
        <v>1118.719971</v>
      </c>
      <c r="F372" s="1">
        <v>2009.5699460000001</v>
      </c>
      <c r="G372" s="1">
        <v>7.92</v>
      </c>
      <c r="H372" s="1">
        <v>0</v>
      </c>
      <c r="I372" s="1">
        <v>0</v>
      </c>
      <c r="J372" s="1">
        <v>2.0525000000000002</v>
      </c>
      <c r="K372" s="1">
        <v>-4.5719999999999997E-3</v>
      </c>
      <c r="L372" s="1">
        <v>7.2100000000000003E-3</v>
      </c>
      <c r="M372" s="1">
        <v>0.53544400000000003</v>
      </c>
      <c r="N372" s="1">
        <v>0.84452799999999995</v>
      </c>
      <c r="O372">
        <v>1</v>
      </c>
      <c r="P372">
        <v>0</v>
      </c>
      <c r="Q372">
        <v>1</v>
      </c>
      <c r="R372">
        <v>1</v>
      </c>
      <c r="S372">
        <v>1</v>
      </c>
      <c r="T372" s="1">
        <f>SQRT(POWER(Breakout[[#This Row],[angvel_X]],2) + POWER(Breakout[[#This Row],[angvel_Y]],2) + POWER(Breakout[[#This Row],[angvel_Z]],2))</f>
        <v>2.0525000000000002</v>
      </c>
      <c r="U372" s="1">
        <f>DEGREES(ASIN(MAX(-1,MIN(1,2 * (Breakout[[#This Row],[quart_W]]*Breakout[[#This Row],[quart_Y]] - Breakout[[#This Row],[quart_Z]]*Breakout[[#This Row],[quart_X]])))))</f>
        <v>0.97832677625277364</v>
      </c>
      <c r="V37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25.249287071239479</v>
      </c>
      <c r="W37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90.000072292143585</v>
      </c>
      <c r="X372" s="1">
        <f>IF(Breakout[[#This Row],[Yaw]]&gt;V371,(360-ABS(Breakout[[#This Row],[Yaw]])-ABS(V371)),ABS(Breakout[[#This Row],[Yaw]]-V371))</f>
        <v>0.9797335348900944</v>
      </c>
      <c r="Y372" s="1">
        <f>Breakout[[#This Row],[Degree change]]+Y371</f>
        <v>303.90324580713707</v>
      </c>
    </row>
    <row r="373" spans="1:25">
      <c r="A373">
        <v>372</v>
      </c>
      <c r="B373" s="1">
        <v>229.75</v>
      </c>
      <c r="C373" s="1">
        <v>1001.570007</v>
      </c>
      <c r="D373" s="1">
        <v>18.34</v>
      </c>
      <c r="E373" s="1">
        <v>1084.1899410000001</v>
      </c>
      <c r="F373" s="1">
        <v>2028.4099120000001</v>
      </c>
      <c r="G373" s="1">
        <v>7.92</v>
      </c>
      <c r="H373" s="1">
        <v>0</v>
      </c>
      <c r="I373" s="1">
        <v>0</v>
      </c>
      <c r="J373" s="1">
        <v>2.0525000000000002</v>
      </c>
      <c r="K373" s="1">
        <v>-4.6309999999999997E-3</v>
      </c>
      <c r="L373" s="1">
        <v>7.1720000000000004E-3</v>
      </c>
      <c r="M373" s="1">
        <v>0.54264599999999996</v>
      </c>
      <c r="N373" s="1">
        <v>0.83991800000000005</v>
      </c>
      <c r="O373">
        <v>1</v>
      </c>
      <c r="P373">
        <v>0</v>
      </c>
      <c r="Q373">
        <v>1</v>
      </c>
      <c r="R373">
        <v>1</v>
      </c>
      <c r="S373">
        <v>1</v>
      </c>
      <c r="T373" s="1">
        <f>SQRT(POWER(Breakout[[#This Row],[angvel_X]],2) + POWER(Breakout[[#This Row],[angvel_Y]],2) + POWER(Breakout[[#This Row],[angvel_Z]],2))</f>
        <v>2.0525000000000002</v>
      </c>
      <c r="U373" s="1">
        <f>DEGREES(ASIN(MAX(-1,MIN(1,2 * (Breakout[[#This Row],[quart_W]]*Breakout[[#This Row],[quart_Y]] - Breakout[[#This Row],[quart_Z]]*Breakout[[#This Row],[quart_X]])))))</f>
        <v>0.9783025565464385</v>
      </c>
      <c r="V37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24.269411069948454</v>
      </c>
      <c r="W37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89.999748222374194</v>
      </c>
      <c r="X373" s="1">
        <f>IF(Breakout[[#This Row],[Yaw]]&gt;V372,(360-ABS(Breakout[[#This Row],[Yaw]])-ABS(V372)),ABS(Breakout[[#This Row],[Yaw]]-V372))</f>
        <v>0.97987600129102503</v>
      </c>
      <c r="Y373" s="1">
        <f>Breakout[[#This Row],[Degree change]]+Y372</f>
        <v>304.88312180842809</v>
      </c>
    </row>
    <row r="374" spans="1:25">
      <c r="A374">
        <v>373</v>
      </c>
      <c r="B374" s="1">
        <v>238.80999800000001</v>
      </c>
      <c r="C374" s="1">
        <v>1018.539978</v>
      </c>
      <c r="D374" s="1">
        <v>18.34</v>
      </c>
      <c r="E374" s="1">
        <v>1049.339966</v>
      </c>
      <c r="F374" s="1">
        <v>2046.6599120000001</v>
      </c>
      <c r="G374" s="1">
        <v>7.92</v>
      </c>
      <c r="H374" s="1">
        <v>0</v>
      </c>
      <c r="I374" s="1">
        <v>0</v>
      </c>
      <c r="J374" s="1">
        <v>2.0525000000000002</v>
      </c>
      <c r="K374" s="1">
        <v>-4.6909999999999999E-3</v>
      </c>
      <c r="L374" s="1">
        <v>7.1349999999999998E-3</v>
      </c>
      <c r="M374" s="1">
        <v>0.54981000000000002</v>
      </c>
      <c r="N374" s="1">
        <v>0.83524600000000004</v>
      </c>
      <c r="O374">
        <v>1</v>
      </c>
      <c r="P374">
        <v>0</v>
      </c>
      <c r="Q374">
        <v>1</v>
      </c>
      <c r="R374">
        <v>1</v>
      </c>
      <c r="S374">
        <v>1</v>
      </c>
      <c r="T374" s="1">
        <f>SQRT(POWER(Breakout[[#This Row],[angvel_X]],2) + POWER(Breakout[[#This Row],[angvel_Y]],2) + POWER(Breakout[[#This Row],[angvel_Z]],2))</f>
        <v>2.0525000000000002</v>
      </c>
      <c r="U374" s="1">
        <f>DEGREES(ASIN(MAX(-1,MIN(1,2 * (Breakout[[#This Row],[quart_W]]*Breakout[[#This Row],[quart_Y]] - Breakout[[#This Row],[quart_Z]]*Breakout[[#This Row],[quart_X]])))))</f>
        <v>0.97850351045540895</v>
      </c>
      <c r="V37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23.289289560350479</v>
      </c>
      <c r="W37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89.999454995948994</v>
      </c>
      <c r="X374" s="1">
        <f>IF(Breakout[[#This Row],[Yaw]]&gt;V373,(360-ABS(Breakout[[#This Row],[Yaw]])-ABS(V373)),ABS(Breakout[[#This Row],[Yaw]]-V373))</f>
        <v>0.98012150959797495</v>
      </c>
      <c r="Y374" s="1">
        <f>Breakout[[#This Row],[Degree change]]+Y373</f>
        <v>305.86324331802604</v>
      </c>
    </row>
    <row r="375" spans="1:25">
      <c r="A375">
        <v>374</v>
      </c>
      <c r="B375" s="1">
        <v>247.58000200000001</v>
      </c>
      <c r="C375" s="1">
        <v>1035.660034</v>
      </c>
      <c r="D375" s="1">
        <v>18.34</v>
      </c>
      <c r="E375" s="1">
        <v>1014.179993</v>
      </c>
      <c r="F375" s="1">
        <v>2064.3000489999999</v>
      </c>
      <c r="G375" s="1">
        <v>7.92</v>
      </c>
      <c r="H375" s="1">
        <v>0</v>
      </c>
      <c r="I375" s="1">
        <v>0</v>
      </c>
      <c r="J375" s="1">
        <v>2.0525000000000002</v>
      </c>
      <c r="K375" s="1">
        <v>-4.7499999999999999E-3</v>
      </c>
      <c r="L375" s="1">
        <v>7.097E-3</v>
      </c>
      <c r="M375" s="1">
        <v>0.55693099999999995</v>
      </c>
      <c r="N375" s="1">
        <v>0.830515</v>
      </c>
      <c r="O375">
        <v>1</v>
      </c>
      <c r="P375">
        <v>0</v>
      </c>
      <c r="Q375">
        <v>1</v>
      </c>
      <c r="R375">
        <v>1</v>
      </c>
      <c r="S375">
        <v>1</v>
      </c>
      <c r="T375" s="1">
        <f>SQRT(POWER(Breakout[[#This Row],[angvel_X]],2) + POWER(Breakout[[#This Row],[angvel_Y]],2) + POWER(Breakout[[#This Row],[angvel_Z]],2))</f>
        <v>2.0525000000000002</v>
      </c>
      <c r="U375" s="1">
        <f>DEGREES(ASIN(MAX(-1,MIN(1,2 * (Breakout[[#This Row],[quart_W]]*Breakout[[#This Row],[quart_Y]] - Breakout[[#This Row],[quart_Z]]*Breakout[[#This Row],[quart_X]])))))</f>
        <v>0.97861219176242642</v>
      </c>
      <c r="V37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22.309545985989974</v>
      </c>
      <c r="W37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89.999129772829491</v>
      </c>
      <c r="X375" s="1">
        <f>IF(Breakout[[#This Row],[Yaw]]&gt;V374,(360-ABS(Breakout[[#This Row],[Yaw]])-ABS(V374)),ABS(Breakout[[#This Row],[Yaw]]-V374))</f>
        <v>0.97974357436050497</v>
      </c>
      <c r="Y375" s="1">
        <f>Breakout[[#This Row],[Degree change]]+Y374</f>
        <v>306.84298689238653</v>
      </c>
    </row>
    <row r="376" spans="1:25">
      <c r="A376">
        <v>375</v>
      </c>
      <c r="B376" s="1">
        <v>256.05999800000001</v>
      </c>
      <c r="C376" s="1">
        <v>1052.929932</v>
      </c>
      <c r="D376" s="1">
        <v>18.34</v>
      </c>
      <c r="E376" s="1">
        <v>978.72997999999995</v>
      </c>
      <c r="F376" s="1">
        <v>2081.3498540000001</v>
      </c>
      <c r="G376" s="1">
        <v>7.92</v>
      </c>
      <c r="H376" s="1">
        <v>0</v>
      </c>
      <c r="I376" s="1">
        <v>-1E-4</v>
      </c>
      <c r="J376" s="1">
        <v>2.0525000000000002</v>
      </c>
      <c r="K376" s="1">
        <v>-4.8089999999999999E-3</v>
      </c>
      <c r="L376" s="1">
        <v>7.0540000000000004E-3</v>
      </c>
      <c r="M376" s="1">
        <v>0.56401500000000004</v>
      </c>
      <c r="N376" s="1">
        <v>0.82572100000000004</v>
      </c>
      <c r="O376">
        <v>1</v>
      </c>
      <c r="P376">
        <v>0</v>
      </c>
      <c r="Q376">
        <v>1</v>
      </c>
      <c r="R376">
        <v>1</v>
      </c>
      <c r="S376">
        <v>1</v>
      </c>
      <c r="T376" s="1">
        <f>SQRT(POWER(Breakout[[#This Row],[angvel_X]],2) + POWER(Breakout[[#This Row],[angvel_Y]],2) + POWER(Breakout[[#This Row],[angvel_Z]],2))</f>
        <v>2.0525000024360538</v>
      </c>
      <c r="U376" s="1">
        <f>DEGREES(ASIN(MAX(-1,MIN(1,2 * (Breakout[[#This Row],[quart_W]]*Breakout[[#This Row],[quart_Y]] - Breakout[[#This Row],[quart_Z]]*Breakout[[#This Row],[quart_X]])))))</f>
        <v>0.97831385084716649</v>
      </c>
      <c r="V37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21.329287955098835</v>
      </c>
      <c r="W37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89.999121009500556</v>
      </c>
      <c r="X376" s="1">
        <f>IF(Breakout[[#This Row],[Yaw]]&gt;V375,(360-ABS(Breakout[[#This Row],[Yaw]])-ABS(V375)),ABS(Breakout[[#This Row],[Yaw]]-V375))</f>
        <v>0.9802580308911395</v>
      </c>
      <c r="Y376" s="1">
        <f>Breakout[[#This Row],[Degree change]]+Y375</f>
        <v>307.82324492327768</v>
      </c>
    </row>
    <row r="377" spans="1:25">
      <c r="A377">
        <v>376</v>
      </c>
      <c r="B377" s="1">
        <v>264.23998999999998</v>
      </c>
      <c r="C377" s="1">
        <v>1070.339966</v>
      </c>
      <c r="D377" s="1">
        <v>18.34</v>
      </c>
      <c r="E377" s="1">
        <v>942.97997999999995</v>
      </c>
      <c r="F377" s="1">
        <v>2097.780029</v>
      </c>
      <c r="G377" s="1">
        <v>7.92</v>
      </c>
      <c r="H377" s="1">
        <v>0</v>
      </c>
      <c r="I377" s="1">
        <v>-1E-4</v>
      </c>
      <c r="J377" s="1">
        <v>2.0525000000000002</v>
      </c>
      <c r="K377" s="1">
        <v>-4.8690000000000001E-3</v>
      </c>
      <c r="L377" s="1">
        <v>7.0109999999999999E-3</v>
      </c>
      <c r="M377" s="1">
        <v>0.57105499999999998</v>
      </c>
      <c r="N377" s="1">
        <v>0.82086700000000001</v>
      </c>
      <c r="O377">
        <v>1</v>
      </c>
      <c r="P377">
        <v>0</v>
      </c>
      <c r="Q377">
        <v>1</v>
      </c>
      <c r="R377">
        <v>1</v>
      </c>
      <c r="S377">
        <v>1</v>
      </c>
      <c r="T377" s="1">
        <f>SQRT(POWER(Breakout[[#This Row],[angvel_X]],2) + POWER(Breakout[[#This Row],[angvel_Y]],2) + POWER(Breakout[[#This Row],[angvel_Z]],2))</f>
        <v>2.0525000024360538</v>
      </c>
      <c r="U377" s="1">
        <f>DEGREES(ASIN(MAX(-1,MIN(1,2 * (Breakout[[#This Row],[quart_W]]*Breakout[[#This Row],[quart_Y]] - Breakout[[#This Row],[quart_Z]]*Breakout[[#This Row],[quart_X]])))))</f>
        <v>0.97815125186424079</v>
      </c>
      <c r="V37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20.349444848305087</v>
      </c>
      <c r="W37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89.999213193436205</v>
      </c>
      <c r="X377" s="1">
        <f>IF(Breakout[[#This Row],[Yaw]]&gt;V376,(360-ABS(Breakout[[#This Row],[Yaw]])-ABS(V376)),ABS(Breakout[[#This Row],[Yaw]]-V376))</f>
        <v>0.97984310679374786</v>
      </c>
      <c r="Y377" s="1">
        <f>Breakout[[#This Row],[Degree change]]+Y376</f>
        <v>308.80308803007142</v>
      </c>
    </row>
    <row r="378" spans="1:25">
      <c r="A378">
        <v>377</v>
      </c>
      <c r="B378" s="1">
        <v>272.11999500000002</v>
      </c>
      <c r="C378" s="1">
        <v>1087.8900149999999</v>
      </c>
      <c r="D378" s="1">
        <v>18.34</v>
      </c>
      <c r="E378" s="1">
        <v>906.95996100000002</v>
      </c>
      <c r="F378" s="1">
        <v>2113.5998540000001</v>
      </c>
      <c r="G378" s="1">
        <v>7.92</v>
      </c>
      <c r="H378" s="1">
        <v>0</v>
      </c>
      <c r="I378" s="1">
        <v>-1E-4</v>
      </c>
      <c r="J378" s="1">
        <v>2.0525000000000002</v>
      </c>
      <c r="K378" s="1">
        <v>-4.9280000000000001E-3</v>
      </c>
      <c r="L378" s="1">
        <v>6.9670000000000001E-3</v>
      </c>
      <c r="M378" s="1">
        <v>0.57805200000000001</v>
      </c>
      <c r="N378" s="1">
        <v>0.81595499999999999</v>
      </c>
      <c r="O378">
        <v>1</v>
      </c>
      <c r="P378">
        <v>0</v>
      </c>
      <c r="Q378">
        <v>1</v>
      </c>
      <c r="R378">
        <v>1</v>
      </c>
      <c r="S378">
        <v>1</v>
      </c>
      <c r="T378" s="1">
        <f>SQRT(POWER(Breakout[[#This Row],[angvel_X]],2) + POWER(Breakout[[#This Row],[angvel_Y]],2) + POWER(Breakout[[#This Row],[angvel_Z]],2))</f>
        <v>2.0525000024360538</v>
      </c>
      <c r="U378" s="1">
        <f>DEGREES(ASIN(MAX(-1,MIN(1,2 * (Breakout[[#This Row],[quart_W]]*Breakout[[#This Row],[quart_Y]] - Breakout[[#This Row],[quart_Z]]*Breakout[[#This Row],[quart_X]])))))</f>
        <v>0.97790294264875621</v>
      </c>
      <c r="V37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19.369750573813061</v>
      </c>
      <c r="W37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89.99928231808606</v>
      </c>
      <c r="X378" s="1">
        <f>IF(Breakout[[#This Row],[Yaw]]&gt;V377,(360-ABS(Breakout[[#This Row],[Yaw]])-ABS(V377)),ABS(Breakout[[#This Row],[Yaw]]-V377))</f>
        <v>0.97969427449202584</v>
      </c>
      <c r="Y378" s="1">
        <f>Breakout[[#This Row],[Degree change]]+Y377</f>
        <v>309.78278230456345</v>
      </c>
    </row>
    <row r="379" spans="1:25">
      <c r="A379">
        <v>378</v>
      </c>
      <c r="B379" s="1">
        <v>279.69998199999998</v>
      </c>
      <c r="C379" s="1">
        <v>1105.5699460000001</v>
      </c>
      <c r="D379" s="1">
        <v>18.34</v>
      </c>
      <c r="E379" s="1">
        <v>870.67999299999997</v>
      </c>
      <c r="F379" s="1">
        <v>2128.8100589999999</v>
      </c>
      <c r="G379" s="1">
        <v>7.92</v>
      </c>
      <c r="H379" s="1">
        <v>0</v>
      </c>
      <c r="I379" s="1">
        <v>-1E-4</v>
      </c>
      <c r="J379" s="1">
        <v>2.0525000000000002</v>
      </c>
      <c r="K379" s="1">
        <v>-4.9880000000000002E-3</v>
      </c>
      <c r="L379" s="1">
        <v>6.9239999999999996E-3</v>
      </c>
      <c r="M379" s="1">
        <v>0.58501099999999995</v>
      </c>
      <c r="N379" s="1">
        <v>0.81098000000000003</v>
      </c>
      <c r="O379">
        <v>1</v>
      </c>
      <c r="P379">
        <v>0</v>
      </c>
      <c r="Q379">
        <v>1</v>
      </c>
      <c r="R379">
        <v>1</v>
      </c>
      <c r="S379">
        <v>1</v>
      </c>
      <c r="T379" s="1">
        <f>SQRT(POWER(Breakout[[#This Row],[angvel_X]],2) + POWER(Breakout[[#This Row],[angvel_Y]],2) + POWER(Breakout[[#This Row],[angvel_Z]],2))</f>
        <v>2.0525000024360538</v>
      </c>
      <c r="U379" s="1">
        <f>DEGREES(ASIN(MAX(-1,MIN(1,2 * (Breakout[[#This Row],[quart_W]]*Breakout[[#This Row],[quart_Y]] - Breakout[[#This Row],[quart_Z]]*Breakout[[#This Row],[quart_X]])))))</f>
        <v>0.97788708625336918</v>
      </c>
      <c r="V37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18.38946036123399</v>
      </c>
      <c r="W37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89.999375622958738</v>
      </c>
      <c r="X379" s="1">
        <f>IF(Breakout[[#This Row],[Yaw]]&gt;V378,(360-ABS(Breakout[[#This Row],[Yaw]])-ABS(V378)),ABS(Breakout[[#This Row],[Yaw]]-V378))</f>
        <v>0.9802902125790709</v>
      </c>
      <c r="Y379" s="1">
        <f>Breakout[[#This Row],[Degree change]]+Y378</f>
        <v>310.76307251714252</v>
      </c>
    </row>
    <row r="380" spans="1:25">
      <c r="A380">
        <v>379</v>
      </c>
      <c r="B380" s="1">
        <v>286.97998000000001</v>
      </c>
      <c r="C380" s="1">
        <v>1123.380005</v>
      </c>
      <c r="D380" s="1">
        <v>18.34</v>
      </c>
      <c r="E380" s="1">
        <v>834.13995399999999</v>
      </c>
      <c r="F380" s="1">
        <v>2143.389893</v>
      </c>
      <c r="G380" s="1">
        <v>7.92</v>
      </c>
      <c r="H380" s="1">
        <v>0</v>
      </c>
      <c r="I380" s="1">
        <v>-1E-4</v>
      </c>
      <c r="J380" s="1">
        <v>2.0525000000000002</v>
      </c>
      <c r="K380" s="1">
        <v>-5.0470000000000003E-3</v>
      </c>
      <c r="L380" s="1">
        <v>6.881E-3</v>
      </c>
      <c r="M380" s="1">
        <v>0.59192699999999998</v>
      </c>
      <c r="N380" s="1">
        <v>0.80594600000000005</v>
      </c>
      <c r="O380">
        <v>1</v>
      </c>
      <c r="P380">
        <v>0</v>
      </c>
      <c r="Q380">
        <v>1</v>
      </c>
      <c r="R380">
        <v>1</v>
      </c>
      <c r="S380">
        <v>1</v>
      </c>
      <c r="T380" s="1">
        <f>SQRT(POWER(Breakout[[#This Row],[angvel_X]],2) + POWER(Breakout[[#This Row],[angvel_Y]],2) + POWER(Breakout[[#This Row],[angvel_Z]],2))</f>
        <v>2.0525000024360538</v>
      </c>
      <c r="U380" s="1">
        <f>DEGREES(ASIN(MAX(-1,MIN(1,2 * (Breakout[[#This Row],[quart_W]]*Breakout[[#This Row],[quart_Y]] - Breakout[[#This Row],[quart_Z]]*Breakout[[#This Row],[quart_X]])))))</f>
        <v>0.97787672646975299</v>
      </c>
      <c r="V38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17.409191434467132</v>
      </c>
      <c r="W38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89.999376505329593</v>
      </c>
      <c r="X380" s="1">
        <f>IF(Breakout[[#This Row],[Yaw]]&gt;V379,(360-ABS(Breakout[[#This Row],[Yaw]])-ABS(V379)),ABS(Breakout[[#This Row],[Yaw]]-V379))</f>
        <v>0.98026892676685762</v>
      </c>
      <c r="Y380" s="1">
        <f>Breakout[[#This Row],[Degree change]]+Y379</f>
        <v>311.7433414439094</v>
      </c>
    </row>
    <row r="381" spans="1:25">
      <c r="A381">
        <v>380</v>
      </c>
      <c r="B381" s="1">
        <v>293.94998199999998</v>
      </c>
      <c r="C381" s="1">
        <v>1141.309937</v>
      </c>
      <c r="D381" s="1">
        <v>18.34</v>
      </c>
      <c r="E381" s="1">
        <v>797.35998500000005</v>
      </c>
      <c r="F381" s="1">
        <v>2157.3398440000001</v>
      </c>
      <c r="G381" s="1">
        <v>7.92</v>
      </c>
      <c r="H381" s="1">
        <v>0</v>
      </c>
      <c r="I381" s="1">
        <v>-1E-4</v>
      </c>
      <c r="J381" s="1">
        <v>2.0525000000000002</v>
      </c>
      <c r="K381" s="1">
        <v>-5.1060000000000003E-3</v>
      </c>
      <c r="L381" s="1">
        <v>6.8380000000000003E-3</v>
      </c>
      <c r="M381" s="1">
        <v>0.5988</v>
      </c>
      <c r="N381" s="1">
        <v>0.80085300000000004</v>
      </c>
      <c r="O381">
        <v>1</v>
      </c>
      <c r="P381">
        <v>0</v>
      </c>
      <c r="Q381">
        <v>1</v>
      </c>
      <c r="R381">
        <v>1</v>
      </c>
      <c r="S381">
        <v>1</v>
      </c>
      <c r="T381" s="1">
        <f>SQRT(POWER(Breakout[[#This Row],[angvel_X]],2) + POWER(Breakout[[#This Row],[angvel_Y]],2) + POWER(Breakout[[#This Row],[angvel_Z]],2))</f>
        <v>2.0525000024360538</v>
      </c>
      <c r="U381" s="1">
        <f>DEGREES(ASIN(MAX(-1,MIN(1,2 * (Breakout[[#This Row],[quart_W]]*Breakout[[#This Row],[quart_Y]] - Breakout[[#This Row],[quart_Z]]*Breakout[[#This Row],[quart_X]])))))</f>
        <v>0.97793811282691356</v>
      </c>
      <c r="V38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16.428872617798973</v>
      </c>
      <c r="W38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89.999376647776302</v>
      </c>
      <c r="X381" s="1">
        <f>IF(Breakout[[#This Row],[Yaw]]&gt;V380,(360-ABS(Breakout[[#This Row],[Yaw]])-ABS(V380)),ABS(Breakout[[#This Row],[Yaw]]-V380))</f>
        <v>0.98031881666815934</v>
      </c>
      <c r="Y381" s="1">
        <f>Breakout[[#This Row],[Degree change]]+Y380</f>
        <v>312.72366026057756</v>
      </c>
    </row>
    <row r="382" spans="1:25">
      <c r="A382">
        <v>381</v>
      </c>
      <c r="B382" s="1">
        <v>300.60998499999999</v>
      </c>
      <c r="C382" s="1">
        <v>1159.349976</v>
      </c>
      <c r="D382" s="1">
        <v>18.34</v>
      </c>
      <c r="E382" s="1">
        <v>760.339966</v>
      </c>
      <c r="F382" s="1">
        <v>2170.669922</v>
      </c>
      <c r="G382" s="1">
        <v>7.92</v>
      </c>
      <c r="H382" s="1">
        <v>0</v>
      </c>
      <c r="I382" s="1">
        <v>-1E-4</v>
      </c>
      <c r="J382" s="1">
        <v>2.0525000000000002</v>
      </c>
      <c r="K382" s="1">
        <v>-5.1659999999999996E-3</v>
      </c>
      <c r="L382" s="1">
        <v>6.7949999999999998E-3</v>
      </c>
      <c r="M382" s="1">
        <v>0.60562499999999997</v>
      </c>
      <c r="N382" s="1">
        <v>0.79570399999999997</v>
      </c>
      <c r="O382">
        <v>1</v>
      </c>
      <c r="P382">
        <v>0</v>
      </c>
      <c r="Q382">
        <v>1</v>
      </c>
      <c r="R382">
        <v>1</v>
      </c>
      <c r="S382">
        <v>1</v>
      </c>
      <c r="T382" s="1">
        <f>SQRT(POWER(Breakout[[#This Row],[angvel_X]],2) + POWER(Breakout[[#This Row],[angvel_Y]],2) + POWER(Breakout[[#This Row],[angvel_Z]],2))</f>
        <v>2.0525000024360538</v>
      </c>
      <c r="U382" s="1">
        <f>DEGREES(ASIN(MAX(-1,MIN(1,2 * (Breakout[[#This Row],[quart_W]]*Breakout[[#This Row],[quart_Y]] - Breakout[[#This Row],[quart_Z]]*Breakout[[#This Row],[quart_X]])))))</f>
        <v>0.9781400314863874</v>
      </c>
      <c r="V38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15.449165974880666</v>
      </c>
      <c r="W38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89.999471081621067</v>
      </c>
      <c r="X382" s="1">
        <f>IF(Breakout[[#This Row],[Yaw]]&gt;V381,(360-ABS(Breakout[[#This Row],[Yaw]])-ABS(V381)),ABS(Breakout[[#This Row],[Yaw]]-V381))</f>
        <v>0.97970664291830722</v>
      </c>
      <c r="Y382" s="1">
        <f>Breakout[[#This Row],[Degree change]]+Y381</f>
        <v>313.70336690349586</v>
      </c>
    </row>
    <row r="383" spans="1:25">
      <c r="A383">
        <v>382</v>
      </c>
      <c r="B383" s="1">
        <v>306.959991</v>
      </c>
      <c r="C383" s="1">
        <v>1177.51001</v>
      </c>
      <c r="D383" s="1">
        <v>18.34</v>
      </c>
      <c r="E383" s="1">
        <v>723.09997599999997</v>
      </c>
      <c r="F383" s="1">
        <v>2183.3498540000001</v>
      </c>
      <c r="G383" s="1">
        <v>7.92</v>
      </c>
      <c r="H383" s="1">
        <v>0</v>
      </c>
      <c r="I383" s="1">
        <v>-1E-4</v>
      </c>
      <c r="J383" s="1">
        <v>2.0525000000000002</v>
      </c>
      <c r="K383" s="1">
        <v>-5.2249999999999996E-3</v>
      </c>
      <c r="L383" s="1">
        <v>6.7520000000000002E-3</v>
      </c>
      <c r="M383" s="1">
        <v>0.61240600000000001</v>
      </c>
      <c r="N383" s="1">
        <v>0.79049700000000001</v>
      </c>
      <c r="O383">
        <v>1</v>
      </c>
      <c r="P383">
        <v>0</v>
      </c>
      <c r="Q383">
        <v>1</v>
      </c>
      <c r="R383">
        <v>1</v>
      </c>
      <c r="S383">
        <v>1</v>
      </c>
      <c r="T383" s="1">
        <f>SQRT(POWER(Breakout[[#This Row],[angvel_X]],2) + POWER(Breakout[[#This Row],[angvel_Y]],2) + POWER(Breakout[[#This Row],[angvel_Z]],2))</f>
        <v>2.0525000024360538</v>
      </c>
      <c r="U383" s="1">
        <f>DEGREES(ASIN(MAX(-1,MIN(1,2 * (Breakout[[#This Row],[quart_W]]*Breakout[[#This Row],[quart_Y]] - Breakout[[#This Row],[quart_Z]]*Breakout[[#This Row],[quart_X]])))))</f>
        <v>0.97834514176901888</v>
      </c>
      <c r="V38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14.469412543555952</v>
      </c>
      <c r="W38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89.999470683210419</v>
      </c>
      <c r="X383" s="1">
        <f>IF(Breakout[[#This Row],[Yaw]]&gt;V382,(360-ABS(Breakout[[#This Row],[Yaw]])-ABS(V382)),ABS(Breakout[[#This Row],[Yaw]]-V382))</f>
        <v>0.97975343132471338</v>
      </c>
      <c r="Y383" s="1">
        <f>Breakout[[#This Row],[Degree change]]+Y382</f>
        <v>314.68312033482056</v>
      </c>
    </row>
    <row r="384" spans="1:25">
      <c r="A384">
        <v>383</v>
      </c>
      <c r="B384" s="1">
        <v>313</v>
      </c>
      <c r="C384" s="1">
        <v>1195.7700199999999</v>
      </c>
      <c r="D384" s="1">
        <v>18.34</v>
      </c>
      <c r="E384" s="1">
        <v>685.64996299999996</v>
      </c>
      <c r="F384" s="1">
        <v>2195.3999020000001</v>
      </c>
      <c r="G384" s="1">
        <v>7.92</v>
      </c>
      <c r="H384" s="1">
        <v>0</v>
      </c>
      <c r="I384" s="1">
        <v>-1E-4</v>
      </c>
      <c r="J384" s="1">
        <v>2.0525000000000002</v>
      </c>
      <c r="K384" s="1">
        <v>-5.2839999999999996E-3</v>
      </c>
      <c r="L384" s="1">
        <v>6.7080000000000004E-3</v>
      </c>
      <c r="M384" s="1">
        <v>0.61914400000000003</v>
      </c>
      <c r="N384" s="1">
        <v>0.78523100000000001</v>
      </c>
      <c r="O384">
        <v>1</v>
      </c>
      <c r="P384">
        <v>0</v>
      </c>
      <c r="Q384">
        <v>1</v>
      </c>
      <c r="R384">
        <v>1</v>
      </c>
      <c r="S384">
        <v>1</v>
      </c>
      <c r="T384" s="1">
        <f>SQRT(POWER(Breakout[[#This Row],[angvel_X]],2) + POWER(Breakout[[#This Row],[angvel_Y]],2) + POWER(Breakout[[#This Row],[angvel_Z]],2))</f>
        <v>2.0525000024360538</v>
      </c>
      <c r="U384" s="1">
        <f>DEGREES(ASIN(MAX(-1,MIN(1,2 * (Breakout[[#This Row],[quart_W]]*Breakout[[#This Row],[quart_Y]] - Breakout[[#This Row],[quart_Z]]*Breakout[[#This Row],[quart_X]])))))</f>
        <v>0.97853187875345871</v>
      </c>
      <c r="V38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13.489399033404728</v>
      </c>
      <c r="W38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89.999534994352686</v>
      </c>
      <c r="X384" s="1">
        <f>IF(Breakout[[#This Row],[Yaw]]&gt;V383,(360-ABS(Breakout[[#This Row],[Yaw]])-ABS(V383)),ABS(Breakout[[#This Row],[Yaw]]-V383))</f>
        <v>0.98001351015122395</v>
      </c>
      <c r="Y384" s="1">
        <f>Breakout[[#This Row],[Degree change]]+Y383</f>
        <v>315.66313384497175</v>
      </c>
    </row>
    <row r="385" spans="1:25">
      <c r="A385">
        <v>384</v>
      </c>
      <c r="B385" s="1">
        <v>318.72998000000001</v>
      </c>
      <c r="C385" s="1">
        <v>1214.130005</v>
      </c>
      <c r="D385" s="1">
        <v>18.34</v>
      </c>
      <c r="E385" s="1">
        <v>648</v>
      </c>
      <c r="F385" s="1">
        <v>2206.8100589999999</v>
      </c>
      <c r="G385" s="1">
        <v>7.92</v>
      </c>
      <c r="H385" s="1">
        <v>0</v>
      </c>
      <c r="I385" s="1">
        <v>-1E-4</v>
      </c>
      <c r="J385" s="1">
        <v>2.0525000000000002</v>
      </c>
      <c r="K385" s="1">
        <v>-5.3439999999999998E-3</v>
      </c>
      <c r="L385" s="1">
        <v>6.6649999999999999E-3</v>
      </c>
      <c r="M385" s="1">
        <v>0.62583900000000003</v>
      </c>
      <c r="N385" s="1">
        <v>0.77990499999999996</v>
      </c>
      <c r="O385">
        <v>1</v>
      </c>
      <c r="P385">
        <v>0</v>
      </c>
      <c r="Q385">
        <v>1</v>
      </c>
      <c r="R385">
        <v>1</v>
      </c>
      <c r="S385">
        <v>1</v>
      </c>
      <c r="T385" s="1">
        <f>SQRT(POWER(Breakout[[#This Row],[angvel_X]],2) + POWER(Breakout[[#This Row],[angvel_Y]],2) + POWER(Breakout[[#This Row],[angvel_Z]],2))</f>
        <v>2.0525000024360538</v>
      </c>
      <c r="U385" s="1">
        <f>DEGREES(ASIN(MAX(-1,MIN(1,2 * (Breakout[[#This Row],[quart_W]]*Breakout[[#This Row],[quart_Y]] - Breakout[[#This Row],[quart_Z]]*Breakout[[#This Row],[quart_X]])))))</f>
        <v>0.97895180314824826</v>
      </c>
      <c r="V38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12.509060031862802</v>
      </c>
      <c r="W38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89.999609802905667</v>
      </c>
      <c r="X385" s="1">
        <f>IF(Breakout[[#This Row],[Yaw]]&gt;V384,(360-ABS(Breakout[[#This Row],[Yaw]])-ABS(V384)),ABS(Breakout[[#This Row],[Yaw]]-V384))</f>
        <v>0.98033900154192644</v>
      </c>
      <c r="Y385" s="1">
        <f>Breakout[[#This Row],[Degree change]]+Y384</f>
        <v>316.6434728465137</v>
      </c>
    </row>
    <row r="386" spans="1:25">
      <c r="A386">
        <v>385</v>
      </c>
      <c r="B386" s="1">
        <v>324.13998400000003</v>
      </c>
      <c r="C386" s="1">
        <v>1232.589966</v>
      </c>
      <c r="D386" s="1">
        <v>18.34</v>
      </c>
      <c r="E386" s="1">
        <v>610.15997300000004</v>
      </c>
      <c r="F386" s="1">
        <v>2217.570068</v>
      </c>
      <c r="G386" s="1">
        <v>7.92</v>
      </c>
      <c r="H386" s="1">
        <v>0</v>
      </c>
      <c r="I386" s="1">
        <v>-1E-4</v>
      </c>
      <c r="J386" s="1">
        <v>2.0525000000000002</v>
      </c>
      <c r="K386" s="1">
        <v>-5.4029999999999998E-3</v>
      </c>
      <c r="L386" s="1">
        <v>6.6169999999999996E-3</v>
      </c>
      <c r="M386" s="1">
        <v>0.63248599999999999</v>
      </c>
      <c r="N386" s="1">
        <v>0.77452500000000002</v>
      </c>
      <c r="O386">
        <v>1</v>
      </c>
      <c r="P386">
        <v>0</v>
      </c>
      <c r="Q386">
        <v>1</v>
      </c>
      <c r="R386">
        <v>1</v>
      </c>
      <c r="S386">
        <v>1</v>
      </c>
      <c r="T386" s="1">
        <f>SQRT(POWER(Breakout[[#This Row],[angvel_X]],2) + POWER(Breakout[[#This Row],[angvel_Y]],2) + POWER(Breakout[[#This Row],[angvel_Z]],2))</f>
        <v>2.0525000024360538</v>
      </c>
      <c r="U386" s="1">
        <f>DEGREES(ASIN(MAX(-1,MIN(1,2 * (Breakout[[#This Row],[quart_W]]*Breakout[[#This Row],[quart_Y]] - Breakout[[#This Row],[quart_Z]]*Breakout[[#This Row],[quart_X]])))))</f>
        <v>0.97892926451174733</v>
      </c>
      <c r="V38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11.529032111023403</v>
      </c>
      <c r="W38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89.999954009184506</v>
      </c>
      <c r="X386" s="1">
        <f>IF(Breakout[[#This Row],[Yaw]]&gt;V385,(360-ABS(Breakout[[#This Row],[Yaw]])-ABS(V385)),ABS(Breakout[[#This Row],[Yaw]]-V385))</f>
        <v>0.98002792083939916</v>
      </c>
      <c r="Y386" s="1">
        <f>Breakout[[#This Row],[Degree change]]+Y385</f>
        <v>317.62350076735311</v>
      </c>
    </row>
    <row r="387" spans="1:25">
      <c r="A387">
        <v>386</v>
      </c>
      <c r="B387" s="1">
        <v>329.23998999999998</v>
      </c>
      <c r="C387" s="1">
        <v>1251.1400149999999</v>
      </c>
      <c r="D387" s="1">
        <v>18.34</v>
      </c>
      <c r="E387" s="1">
        <v>572.14001499999995</v>
      </c>
      <c r="F387" s="1">
        <v>2227.679932</v>
      </c>
      <c r="G387" s="1">
        <v>7.92</v>
      </c>
      <c r="H387" s="1">
        <v>0</v>
      </c>
      <c r="I387" s="1">
        <v>0</v>
      </c>
      <c r="J387" s="1">
        <v>2.0525000000000002</v>
      </c>
      <c r="K387" s="1">
        <v>-5.4619999999999998E-3</v>
      </c>
      <c r="L387" s="1">
        <v>6.5680000000000001E-3</v>
      </c>
      <c r="M387" s="1">
        <v>0.63908900000000002</v>
      </c>
      <c r="N387" s="1">
        <v>0.76908500000000002</v>
      </c>
      <c r="O387">
        <v>1</v>
      </c>
      <c r="P387">
        <v>0</v>
      </c>
      <c r="Q387">
        <v>1</v>
      </c>
      <c r="R387">
        <v>1</v>
      </c>
      <c r="S387">
        <v>1</v>
      </c>
      <c r="T387" s="1">
        <f>SQRT(POWER(Breakout[[#This Row],[angvel_X]],2) + POWER(Breakout[[#This Row],[angvel_Y]],2) + POWER(Breakout[[#This Row],[angvel_Z]],2))</f>
        <v>2.0525000000000002</v>
      </c>
      <c r="U387" s="1">
        <f>DEGREES(ASIN(MAX(-1,MIN(1,2 * (Breakout[[#This Row],[quart_W]]*Breakout[[#This Row],[quart_Y]] - Breakout[[#This Row],[quart_Z]]*Breakout[[#This Row],[quart_X]])))))</f>
        <v>0.97889495251004077</v>
      </c>
      <c r="V38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10.548689505587278</v>
      </c>
      <c r="W38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90.000367401843562</v>
      </c>
      <c r="X387" s="1">
        <f>IF(Breakout[[#This Row],[Yaw]]&gt;V386,(360-ABS(Breakout[[#This Row],[Yaw]])-ABS(V386)),ABS(Breakout[[#This Row],[Yaw]]-V386))</f>
        <v>0.98034260543612461</v>
      </c>
      <c r="Y387" s="1">
        <f>Breakout[[#This Row],[Degree change]]+Y386</f>
        <v>318.60384337278924</v>
      </c>
    </row>
    <row r="388" spans="1:25">
      <c r="A388">
        <v>387</v>
      </c>
      <c r="B388" s="1">
        <v>334.01998900000001</v>
      </c>
      <c r="C388" s="1">
        <v>1269.7700199999999</v>
      </c>
      <c r="D388" s="1">
        <v>18.34</v>
      </c>
      <c r="E388" s="1">
        <v>533.95001200000002</v>
      </c>
      <c r="F388" s="1">
        <v>2237.139893</v>
      </c>
      <c r="G388" s="1">
        <v>7.92</v>
      </c>
      <c r="H388" s="1">
        <v>0</v>
      </c>
      <c r="I388" s="1">
        <v>0</v>
      </c>
      <c r="J388" s="1">
        <v>2.0525000000000002</v>
      </c>
      <c r="K388" s="1">
        <v>-5.5160000000000001E-3</v>
      </c>
      <c r="L388" s="1">
        <v>6.5199999999999998E-3</v>
      </c>
      <c r="M388" s="1">
        <v>0.645644</v>
      </c>
      <c r="N388" s="1">
        <v>0.76359100000000002</v>
      </c>
      <c r="O388">
        <v>1</v>
      </c>
      <c r="P388">
        <v>0</v>
      </c>
      <c r="Q388">
        <v>1</v>
      </c>
      <c r="R388">
        <v>1</v>
      </c>
      <c r="S388">
        <v>1</v>
      </c>
      <c r="T388" s="1">
        <f>SQRT(POWER(Breakout[[#This Row],[angvel_X]],2) + POWER(Breakout[[#This Row],[angvel_Y]],2) + POWER(Breakout[[#This Row],[angvel_Z]],2))</f>
        <v>2.0525000000000002</v>
      </c>
      <c r="U388" s="1">
        <f>DEGREES(ASIN(MAX(-1,MIN(1,2 * (Breakout[[#This Row],[quart_W]]*Breakout[[#This Row],[quart_Y]] - Breakout[[#This Row],[quart_Z]]*Breakout[[#This Row],[quart_X]])))))</f>
        <v>0.97865785387735693</v>
      </c>
      <c r="V38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9.5685110748286419</v>
      </c>
      <c r="W38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90.000271515719177</v>
      </c>
      <c r="X388" s="1">
        <f>IF(Breakout[[#This Row],[Yaw]]&gt;V387,(360-ABS(Breakout[[#This Row],[Yaw]])-ABS(V387)),ABS(Breakout[[#This Row],[Yaw]]-V387))</f>
        <v>0.98017843075863631</v>
      </c>
      <c r="Y388" s="1">
        <f>Breakout[[#This Row],[Degree change]]+Y387</f>
        <v>319.5840218035479</v>
      </c>
    </row>
    <row r="389" spans="1:25">
      <c r="A389">
        <v>388</v>
      </c>
      <c r="B389" s="1">
        <v>338.47998000000001</v>
      </c>
      <c r="C389" s="1">
        <v>1288.4799800000001</v>
      </c>
      <c r="D389" s="1">
        <v>18.34</v>
      </c>
      <c r="E389" s="1">
        <v>495.60998499999999</v>
      </c>
      <c r="F389" s="1">
        <v>2245.9499510000001</v>
      </c>
      <c r="G389" s="1">
        <v>7.92</v>
      </c>
      <c r="H389" s="1">
        <v>0</v>
      </c>
      <c r="I389" s="1">
        <v>0</v>
      </c>
      <c r="J389" s="1">
        <v>2.0525000000000002</v>
      </c>
      <c r="K389" s="1">
        <v>-5.5700000000000003E-3</v>
      </c>
      <c r="L389" s="1">
        <v>6.4710000000000002E-3</v>
      </c>
      <c r="M389" s="1">
        <v>0.65215000000000001</v>
      </c>
      <c r="N389" s="1">
        <v>0.75804199999999999</v>
      </c>
      <c r="O389">
        <v>1</v>
      </c>
      <c r="P389">
        <v>0</v>
      </c>
      <c r="Q389">
        <v>1</v>
      </c>
      <c r="R389">
        <v>1</v>
      </c>
      <c r="S389">
        <v>1</v>
      </c>
      <c r="T389" s="1">
        <f>SQRT(POWER(Breakout[[#This Row],[angvel_X]],2) + POWER(Breakout[[#This Row],[angvel_Y]],2) + POWER(Breakout[[#This Row],[angvel_Z]],2))</f>
        <v>2.0525000000000002</v>
      </c>
      <c r="U389" s="1">
        <f>DEGREES(ASIN(MAX(-1,MIN(1,2 * (Breakout[[#This Row],[quart_W]]*Breakout[[#This Row],[quart_Y]] - Breakout[[#This Row],[quart_Z]]*Breakout[[#This Row],[quart_X]])))))</f>
        <v>0.97840338431532947</v>
      </c>
      <c r="V38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8.5886084422510027</v>
      </c>
      <c r="W38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90.00025572428369</v>
      </c>
      <c r="X389" s="1">
        <f>IF(Breakout[[#This Row],[Yaw]]&gt;V388,(360-ABS(Breakout[[#This Row],[Yaw]])-ABS(V388)),ABS(Breakout[[#This Row],[Yaw]]-V388))</f>
        <v>0.97990263257763921</v>
      </c>
      <c r="Y389" s="1">
        <f>Breakout[[#This Row],[Degree change]]+Y388</f>
        <v>320.56392443612555</v>
      </c>
    </row>
    <row r="390" spans="1:25">
      <c r="A390">
        <v>389</v>
      </c>
      <c r="B390" s="1">
        <v>342.61999500000002</v>
      </c>
      <c r="C390" s="1">
        <v>1307.26001</v>
      </c>
      <c r="D390" s="1">
        <v>18.34</v>
      </c>
      <c r="E390" s="1">
        <v>457.11999500000002</v>
      </c>
      <c r="F390" s="1">
        <v>2254.0998540000001</v>
      </c>
      <c r="G390" s="1">
        <v>7.92</v>
      </c>
      <c r="H390" s="1">
        <v>0</v>
      </c>
      <c r="I390" s="1">
        <v>0</v>
      </c>
      <c r="J390" s="1">
        <v>2.0525000000000002</v>
      </c>
      <c r="K390" s="1">
        <v>-5.6239999999999997E-3</v>
      </c>
      <c r="L390" s="1">
        <v>6.4229999999999999E-3</v>
      </c>
      <c r="M390" s="1">
        <v>0.65860700000000005</v>
      </c>
      <c r="N390" s="1">
        <v>0.75243800000000005</v>
      </c>
      <c r="O390">
        <v>1</v>
      </c>
      <c r="P390">
        <v>0</v>
      </c>
      <c r="Q390">
        <v>1</v>
      </c>
      <c r="R390">
        <v>1</v>
      </c>
      <c r="S390">
        <v>1</v>
      </c>
      <c r="T390" s="1">
        <f>SQRT(POWER(Breakout[[#This Row],[angvel_X]],2) + POWER(Breakout[[#This Row],[angvel_Y]],2) + POWER(Breakout[[#This Row],[angvel_Z]],2))</f>
        <v>2.0525000000000002</v>
      </c>
      <c r="U390" s="1">
        <f>DEGREES(ASIN(MAX(-1,MIN(1,2 * (Breakout[[#This Row],[quart_W]]*Breakout[[#This Row],[quart_Y]] - Breakout[[#This Row],[quart_Z]]*Breakout[[#This Row],[quart_X]])))))</f>
        <v>0.97830593978242841</v>
      </c>
      <c r="V39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7.6089107515892547</v>
      </c>
      <c r="W39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90.000169454165288</v>
      </c>
      <c r="X390" s="1">
        <f>IF(Breakout[[#This Row],[Yaw]]&gt;V389,(360-ABS(Breakout[[#This Row],[Yaw]])-ABS(V389)),ABS(Breakout[[#This Row],[Yaw]]-V389))</f>
        <v>0.97969769066174806</v>
      </c>
      <c r="Y390" s="1">
        <f>Breakout[[#This Row],[Degree change]]+Y389</f>
        <v>321.54362212678728</v>
      </c>
    </row>
    <row r="391" spans="1:25">
      <c r="A391">
        <v>390</v>
      </c>
      <c r="B391" s="1">
        <v>346.44000199999999</v>
      </c>
      <c r="C391" s="1">
        <v>1326.1099850000001</v>
      </c>
      <c r="D391" s="1">
        <v>18.34</v>
      </c>
      <c r="E391" s="1">
        <v>418.5</v>
      </c>
      <c r="F391" s="1">
        <v>2261.5898440000001</v>
      </c>
      <c r="G391" s="1">
        <v>7.92</v>
      </c>
      <c r="H391" s="1">
        <v>0</v>
      </c>
      <c r="I391" s="1">
        <v>0</v>
      </c>
      <c r="J391" s="1">
        <v>2.0525000000000002</v>
      </c>
      <c r="K391" s="1">
        <v>-5.6779999999999999E-3</v>
      </c>
      <c r="L391" s="1">
        <v>6.3740000000000003E-3</v>
      </c>
      <c r="M391" s="1">
        <v>0.66501600000000005</v>
      </c>
      <c r="N391" s="1">
        <v>0.74678</v>
      </c>
      <c r="O391">
        <v>1</v>
      </c>
      <c r="P391">
        <v>0</v>
      </c>
      <c r="Q391">
        <v>1</v>
      </c>
      <c r="R391">
        <v>1</v>
      </c>
      <c r="S391">
        <v>1</v>
      </c>
      <c r="T391" s="1">
        <f>SQRT(POWER(Breakout[[#This Row],[angvel_X]],2) + POWER(Breakout[[#This Row],[angvel_Y]],2) + POWER(Breakout[[#This Row],[angvel_Z]],2))</f>
        <v>2.0525000000000002</v>
      </c>
      <c r="U391" s="1">
        <f>DEGREES(ASIN(MAX(-1,MIN(1,2 * (Breakout[[#This Row],[quart_W]]*Breakout[[#This Row],[quart_Y]] - Breakout[[#This Row],[quart_Z]]*Breakout[[#This Row],[quart_X]])))))</f>
        <v>0.97819379857652466</v>
      </c>
      <c r="V39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6.6291805635094612</v>
      </c>
      <c r="W39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90.000161008103774</v>
      </c>
      <c r="X391" s="1">
        <f>IF(Breakout[[#This Row],[Yaw]]&gt;V390,(360-ABS(Breakout[[#This Row],[Yaw]])-ABS(V390)),ABS(Breakout[[#This Row],[Yaw]]-V390))</f>
        <v>0.97973018807979351</v>
      </c>
      <c r="Y391" s="1">
        <f>Breakout[[#This Row],[Degree change]]+Y390</f>
        <v>322.52335231486705</v>
      </c>
    </row>
    <row r="392" spans="1:25">
      <c r="A392">
        <v>391</v>
      </c>
      <c r="B392" s="1">
        <v>349.94000199999999</v>
      </c>
      <c r="C392" s="1">
        <v>1345.030029</v>
      </c>
      <c r="D392" s="1">
        <v>18.34</v>
      </c>
      <c r="E392" s="1">
        <v>379.75997899999999</v>
      </c>
      <c r="F392" s="1">
        <v>2268.4099120000001</v>
      </c>
      <c r="G392" s="1">
        <v>7.92</v>
      </c>
      <c r="H392" s="1">
        <v>0</v>
      </c>
      <c r="I392" s="1">
        <v>0</v>
      </c>
      <c r="J392" s="1">
        <v>2.0525000000000002</v>
      </c>
      <c r="K392" s="1">
        <v>-5.7320000000000001E-3</v>
      </c>
      <c r="L392" s="1">
        <v>6.3249999999999999E-3</v>
      </c>
      <c r="M392" s="1">
        <v>0.671377</v>
      </c>
      <c r="N392" s="1">
        <v>0.74106700000000003</v>
      </c>
      <c r="O392">
        <v>1</v>
      </c>
      <c r="P392">
        <v>0</v>
      </c>
      <c r="Q392">
        <v>1</v>
      </c>
      <c r="R392">
        <v>1</v>
      </c>
      <c r="S392">
        <v>1</v>
      </c>
      <c r="T392" s="1">
        <f>SQRT(POWER(Breakout[[#This Row],[angvel_X]],2) + POWER(Breakout[[#This Row],[angvel_Y]],2) + POWER(Breakout[[#This Row],[angvel_Z]],2))</f>
        <v>2.0525000000000002</v>
      </c>
      <c r="U392" s="1">
        <f>DEGREES(ASIN(MAX(-1,MIN(1,2 * (Breakout[[#This Row],[quart_W]]*Breakout[[#This Row],[quart_Y]] - Breakout[[#This Row],[quart_Z]]*Breakout[[#This Row],[quart_X]])))))</f>
        <v>0.97815313224196321</v>
      </c>
      <c r="V39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5.6493550562751542</v>
      </c>
      <c r="W39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90.000153176117138</v>
      </c>
      <c r="X392" s="1">
        <f>IF(Breakout[[#This Row],[Yaw]]&gt;V391,(360-ABS(Breakout[[#This Row],[Yaw]])-ABS(V391)),ABS(Breakout[[#This Row],[Yaw]]-V391))</f>
        <v>0.97982550723430695</v>
      </c>
      <c r="Y392" s="1">
        <f>Breakout[[#This Row],[Degree change]]+Y391</f>
        <v>323.50317782210135</v>
      </c>
    </row>
    <row r="393" spans="1:25">
      <c r="A393">
        <v>392</v>
      </c>
      <c r="B393" s="1">
        <v>353.10998499999999</v>
      </c>
      <c r="C393" s="1">
        <v>1364</v>
      </c>
      <c r="D393" s="1">
        <v>18.34</v>
      </c>
      <c r="E393" s="1">
        <v>340.91000400000001</v>
      </c>
      <c r="F393" s="1">
        <v>2274.5798340000001</v>
      </c>
      <c r="G393" s="1">
        <v>7.92</v>
      </c>
      <c r="H393" s="1">
        <v>0</v>
      </c>
      <c r="I393" s="1">
        <v>0</v>
      </c>
      <c r="J393" s="1">
        <v>2.0525000000000002</v>
      </c>
      <c r="K393" s="1">
        <v>-5.7860000000000003E-3</v>
      </c>
      <c r="L393" s="1">
        <v>6.2769999999999996E-3</v>
      </c>
      <c r="M393" s="1">
        <v>0.67768899999999999</v>
      </c>
      <c r="N393" s="1">
        <v>0.73529900000000004</v>
      </c>
      <c r="O393">
        <v>1</v>
      </c>
      <c r="P393">
        <v>0</v>
      </c>
      <c r="Q393">
        <v>1</v>
      </c>
      <c r="R393">
        <v>1</v>
      </c>
      <c r="S393">
        <v>1</v>
      </c>
      <c r="T393" s="1">
        <f>SQRT(POWER(Breakout[[#This Row],[angvel_X]],2) + POWER(Breakout[[#This Row],[angvel_Y]],2) + POWER(Breakout[[#This Row],[angvel_Z]],2))</f>
        <v>2.0525000000000002</v>
      </c>
      <c r="U393" s="1">
        <f>DEGREES(ASIN(MAX(-1,MIN(1,2 * (Breakout[[#This Row],[quart_W]]*Breakout[[#This Row],[quart_Y]] - Breakout[[#This Row],[quart_Z]]*Breakout[[#This Row],[quart_X]])))))</f>
        <v>0.97826758440754213</v>
      </c>
      <c r="V39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4.6695201422650028</v>
      </c>
      <c r="W39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90.000067178894625</v>
      </c>
      <c r="X393" s="1">
        <f>IF(Breakout[[#This Row],[Yaw]]&gt;V392,(360-ABS(Breakout[[#This Row],[Yaw]])-ABS(V392)),ABS(Breakout[[#This Row],[Yaw]]-V392))</f>
        <v>0.97983491401015144</v>
      </c>
      <c r="Y393" s="1">
        <f>Breakout[[#This Row],[Degree change]]+Y392</f>
        <v>324.4830127361115</v>
      </c>
    </row>
    <row r="394" spans="1:25">
      <c r="A394">
        <v>393</v>
      </c>
      <c r="B394" s="1">
        <v>355.959991</v>
      </c>
      <c r="C394" s="1">
        <v>1383.0200199999999</v>
      </c>
      <c r="D394" s="1">
        <v>18.34</v>
      </c>
      <c r="E394" s="1">
        <v>301.959991</v>
      </c>
      <c r="F394" s="1">
        <v>2280.070068</v>
      </c>
      <c r="G394" s="1">
        <v>7.92</v>
      </c>
      <c r="H394" s="1">
        <v>0</v>
      </c>
      <c r="I394" s="1">
        <v>0</v>
      </c>
      <c r="J394" s="1">
        <v>2.0525000000000002</v>
      </c>
      <c r="K394" s="1">
        <v>-5.8399999999999997E-3</v>
      </c>
      <c r="L394" s="1">
        <v>6.228E-3</v>
      </c>
      <c r="M394" s="1">
        <v>0.683952</v>
      </c>
      <c r="N394" s="1">
        <v>0.72947700000000004</v>
      </c>
      <c r="O394">
        <v>1</v>
      </c>
      <c r="P394">
        <v>0</v>
      </c>
      <c r="Q394">
        <v>1</v>
      </c>
      <c r="R394">
        <v>1</v>
      </c>
      <c r="S394">
        <v>1</v>
      </c>
      <c r="T394" s="1">
        <f>SQRT(POWER(Breakout[[#This Row],[angvel_X]],2) + POWER(Breakout[[#This Row],[angvel_Y]],2) + POWER(Breakout[[#This Row],[angvel_Z]],2))</f>
        <v>2.0525000000000002</v>
      </c>
      <c r="U394" s="1">
        <f>DEGREES(ASIN(MAX(-1,MIN(1,2 * (Breakout[[#This Row],[quart_W]]*Breakout[[#This Row],[quart_Y]] - Breakout[[#This Row],[quart_Z]]*Breakout[[#This Row],[quart_X]])))))</f>
        <v>0.97836867565978891</v>
      </c>
      <c r="V39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3.6895978291755633</v>
      </c>
      <c r="W39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90.000056458783135</v>
      </c>
      <c r="X394" s="1">
        <f>IF(Breakout[[#This Row],[Yaw]]&gt;V393,(360-ABS(Breakout[[#This Row],[Yaw]])-ABS(V393)),ABS(Breakout[[#This Row],[Yaw]]-V393))</f>
        <v>0.97992231308943945</v>
      </c>
      <c r="Y394" s="1">
        <f>Breakout[[#This Row],[Degree change]]+Y393</f>
        <v>325.46293504920095</v>
      </c>
    </row>
    <row r="395" spans="1:25">
      <c r="A395">
        <v>394</v>
      </c>
      <c r="B395" s="1">
        <v>358.47998000000001</v>
      </c>
      <c r="C395" s="1">
        <v>1402.089966</v>
      </c>
      <c r="D395" s="1">
        <v>18.34</v>
      </c>
      <c r="E395" s="1">
        <v>262.919983</v>
      </c>
      <c r="F395" s="1">
        <v>2284.8999020000001</v>
      </c>
      <c r="G395" s="1">
        <v>7.92</v>
      </c>
      <c r="H395" s="1">
        <v>0</v>
      </c>
      <c r="I395" s="1">
        <v>0</v>
      </c>
      <c r="J395" s="1">
        <v>2.0525000000000002</v>
      </c>
      <c r="K395" s="1">
        <v>-5.8939999999999999E-3</v>
      </c>
      <c r="L395" s="1">
        <v>6.1799999999999997E-3</v>
      </c>
      <c r="M395" s="1">
        <v>0.69016699999999997</v>
      </c>
      <c r="N395" s="1">
        <v>0.72360000000000002</v>
      </c>
      <c r="O395">
        <v>1</v>
      </c>
      <c r="P395">
        <v>0</v>
      </c>
      <c r="Q395">
        <v>1</v>
      </c>
      <c r="R395">
        <v>1</v>
      </c>
      <c r="S395">
        <v>1</v>
      </c>
      <c r="T395" s="1">
        <f>SQRT(POWER(Breakout[[#This Row],[angvel_X]],2) + POWER(Breakout[[#This Row],[angvel_Y]],2) + POWER(Breakout[[#This Row],[angvel_Z]],2))</f>
        <v>2.0525000000000002</v>
      </c>
      <c r="U395" s="1">
        <f>DEGREES(ASIN(MAX(-1,MIN(1,2 * (Breakout[[#This Row],[quart_W]]*Breakout[[#This Row],[quart_Y]] - Breakout[[#This Row],[quart_Z]]*Breakout[[#This Row],[quart_X]])))))</f>
        <v>0.97862423628997219</v>
      </c>
      <c r="V39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2.7093534421182945</v>
      </c>
      <c r="W39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89.999961759802574</v>
      </c>
      <c r="X395" s="1">
        <f>IF(Breakout[[#This Row],[Yaw]]&gt;V394,(360-ABS(Breakout[[#This Row],[Yaw]])-ABS(V394)),ABS(Breakout[[#This Row],[Yaw]]-V394))</f>
        <v>0.9802443870572688</v>
      </c>
      <c r="Y395" s="1">
        <f>Breakout[[#This Row],[Degree change]]+Y394</f>
        <v>326.44317943625822</v>
      </c>
    </row>
    <row r="396" spans="1:25">
      <c r="A396">
        <v>395</v>
      </c>
      <c r="B396" s="1">
        <v>360.669983</v>
      </c>
      <c r="C396" s="1">
        <v>1421.1999510000001</v>
      </c>
      <c r="D396" s="1">
        <v>18.34</v>
      </c>
      <c r="E396" s="1">
        <v>223.79998800000001</v>
      </c>
      <c r="F396" s="1">
        <v>2289.070068</v>
      </c>
      <c r="G396" s="1">
        <v>7.92</v>
      </c>
      <c r="H396" s="1">
        <v>0</v>
      </c>
      <c r="I396" s="1">
        <v>0</v>
      </c>
      <c r="J396" s="1">
        <v>2.0525000000000002</v>
      </c>
      <c r="K396" s="1">
        <v>-5.9480000000000002E-3</v>
      </c>
      <c r="L396" s="1">
        <v>6.1310000000000002E-3</v>
      </c>
      <c r="M396" s="1">
        <v>0.69632799999999995</v>
      </c>
      <c r="N396" s="1">
        <v>0.71767300000000001</v>
      </c>
      <c r="O396">
        <v>1</v>
      </c>
      <c r="P396">
        <v>0</v>
      </c>
      <c r="Q396">
        <v>1</v>
      </c>
      <c r="R396">
        <v>1</v>
      </c>
      <c r="S396">
        <v>1</v>
      </c>
      <c r="T396" s="1">
        <f>SQRT(POWER(Breakout[[#This Row],[angvel_X]],2) + POWER(Breakout[[#This Row],[angvel_Y]],2) + POWER(Breakout[[#This Row],[angvel_Z]],2))</f>
        <v>2.0525000000000002</v>
      </c>
      <c r="U396" s="1">
        <f>DEGREES(ASIN(MAX(-1,MIN(1,2 * (Breakout[[#This Row],[quart_W]]*Breakout[[#This Row],[quart_Y]] - Breakout[[#This Row],[quart_Z]]*Breakout[[#This Row],[quart_X]])))))</f>
        <v>0.97886718395407224</v>
      </c>
      <c r="V39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1.7296701493345303</v>
      </c>
      <c r="W39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89.999946367448771</v>
      </c>
      <c r="X396" s="1">
        <f>IF(Breakout[[#This Row],[Yaw]]&gt;V395,(360-ABS(Breakout[[#This Row],[Yaw]])-ABS(V395)),ABS(Breakout[[#This Row],[Yaw]]-V395))</f>
        <v>0.9796832927837642</v>
      </c>
      <c r="Y396" s="1">
        <f>Breakout[[#This Row],[Degree change]]+Y395</f>
        <v>327.42286272904198</v>
      </c>
    </row>
    <row r="397" spans="1:25">
      <c r="A397">
        <v>396</v>
      </c>
      <c r="B397" s="1">
        <v>362.53997800000002</v>
      </c>
      <c r="C397" s="1">
        <v>1440.339966</v>
      </c>
      <c r="D397" s="1">
        <v>18.34</v>
      </c>
      <c r="E397" s="1">
        <v>184.61999499999999</v>
      </c>
      <c r="F397" s="1">
        <v>2292.5600589999999</v>
      </c>
      <c r="G397" s="1">
        <v>7.92</v>
      </c>
      <c r="H397" s="1">
        <v>0</v>
      </c>
      <c r="I397" s="1">
        <v>0</v>
      </c>
      <c r="J397" s="1">
        <v>2.0525000000000002</v>
      </c>
      <c r="K397" s="1">
        <v>-6.0020000000000004E-3</v>
      </c>
      <c r="L397" s="1">
        <v>6.0829999999999999E-3</v>
      </c>
      <c r="M397" s="1">
        <v>0.70243999999999995</v>
      </c>
      <c r="N397" s="1">
        <v>0.71169099999999996</v>
      </c>
      <c r="O397">
        <v>1</v>
      </c>
      <c r="P397">
        <v>0</v>
      </c>
      <c r="Q397">
        <v>1</v>
      </c>
      <c r="R397">
        <v>1</v>
      </c>
      <c r="S397">
        <v>1</v>
      </c>
      <c r="T397" s="1">
        <f>SQRT(POWER(Breakout[[#This Row],[angvel_X]],2) + POWER(Breakout[[#This Row],[angvel_Y]],2) + POWER(Breakout[[#This Row],[angvel_Z]],2))</f>
        <v>2.0525000000000002</v>
      </c>
      <c r="U397" s="1">
        <f>DEGREES(ASIN(MAX(-1,MIN(1,2 * (Breakout[[#This Row],[quart_W]]*Breakout[[#This Row],[quart_Y]] - Breakout[[#This Row],[quart_Z]]*Breakout[[#This Row],[quart_X]])))))</f>
        <v>0.97926248239116565</v>
      </c>
      <c r="V39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0.7496799503511633</v>
      </c>
      <c r="W39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89.999842626990898</v>
      </c>
      <c r="X397" s="1">
        <f>IF(Breakout[[#This Row],[Yaw]]&gt;V396,(360-ABS(Breakout[[#This Row],[Yaw]])-ABS(V396)),ABS(Breakout[[#This Row],[Yaw]]-V396))</f>
        <v>0.97999019898336703</v>
      </c>
      <c r="Y397" s="1">
        <f>Breakout[[#This Row],[Degree change]]+Y396</f>
        <v>328.40285292802537</v>
      </c>
    </row>
    <row r="398" spans="1:25">
      <c r="A398">
        <v>397</v>
      </c>
      <c r="B398" s="1">
        <v>364.07998700000002</v>
      </c>
      <c r="C398" s="1">
        <v>1459.51001</v>
      </c>
      <c r="D398" s="1">
        <v>18.34</v>
      </c>
      <c r="E398" s="1">
        <v>145.37998999999999</v>
      </c>
      <c r="F398" s="1">
        <v>2295.3798830000001</v>
      </c>
      <c r="G398" s="1">
        <v>7.92</v>
      </c>
      <c r="H398" s="1">
        <v>1E-4</v>
      </c>
      <c r="I398" s="1">
        <v>0</v>
      </c>
      <c r="J398" s="1">
        <v>2.0525000000000002</v>
      </c>
      <c r="K398" s="1">
        <v>-6.0559999999999998E-3</v>
      </c>
      <c r="L398" s="1">
        <v>6.0289999999999996E-3</v>
      </c>
      <c r="M398" s="1">
        <v>0.70850299999999999</v>
      </c>
      <c r="N398" s="1">
        <v>0.70565599999999995</v>
      </c>
      <c r="O398">
        <v>1</v>
      </c>
      <c r="P398">
        <v>0</v>
      </c>
      <c r="Q398">
        <v>1</v>
      </c>
      <c r="R398">
        <v>1</v>
      </c>
      <c r="S398">
        <v>1</v>
      </c>
      <c r="T398" s="1">
        <f>SQRT(POWER(Breakout[[#This Row],[angvel_X]],2) + POWER(Breakout[[#This Row],[angvel_Y]],2) + POWER(Breakout[[#This Row],[angvel_Z]],2))</f>
        <v>2.0525000024360538</v>
      </c>
      <c r="U398" s="1">
        <f>DEGREES(ASIN(MAX(-1,MIN(1,2 * (Breakout[[#This Row],[quart_W]]*Breakout[[#This Row],[quart_Y]] - Breakout[[#This Row],[quart_Z]]*Breakout[[#This Row],[quart_X]])))))</f>
        <v>0.97924333810651654</v>
      </c>
      <c r="V39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-0.23068993699913812</v>
      </c>
      <c r="W39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90.00021639754199</v>
      </c>
      <c r="X398" s="1">
        <f>IF(Breakout[[#This Row],[Yaw]]&gt;V397,(360-ABS(Breakout[[#This Row],[Yaw]])-ABS(V397)),ABS(Breakout[[#This Row],[Yaw]]-V397))</f>
        <v>0.98036988735030139</v>
      </c>
      <c r="Y398" s="1">
        <f>Breakout[[#This Row],[Degree change]]+Y397</f>
        <v>329.38322281537569</v>
      </c>
    </row>
    <row r="399" spans="1:25">
      <c r="A399">
        <v>398</v>
      </c>
      <c r="B399" s="1">
        <v>365.28997800000002</v>
      </c>
      <c r="C399" s="1">
        <v>1478.709961</v>
      </c>
      <c r="D399" s="1">
        <v>18.34</v>
      </c>
      <c r="E399" s="1">
        <v>106.099998</v>
      </c>
      <c r="F399" s="1">
        <v>2297.530029</v>
      </c>
      <c r="G399" s="1">
        <v>7.92</v>
      </c>
      <c r="H399" s="1">
        <v>1E-4</v>
      </c>
      <c r="I399" s="1">
        <v>0</v>
      </c>
      <c r="J399" s="1">
        <v>2.0525000000000002</v>
      </c>
      <c r="K399" s="1">
        <v>-6.1040000000000001E-3</v>
      </c>
      <c r="L399" s="1">
        <v>5.9750000000000003E-3</v>
      </c>
      <c r="M399" s="1">
        <v>0.71451299999999995</v>
      </c>
      <c r="N399" s="1">
        <v>0.69957000000000003</v>
      </c>
      <c r="O399">
        <v>1</v>
      </c>
      <c r="P399">
        <v>0</v>
      </c>
      <c r="Q399">
        <v>1</v>
      </c>
      <c r="R399">
        <v>1</v>
      </c>
      <c r="S399">
        <v>1</v>
      </c>
      <c r="T399" s="1">
        <f>SQRT(POWER(Breakout[[#This Row],[angvel_X]],2) + POWER(Breakout[[#This Row],[angvel_Y]],2) + POWER(Breakout[[#This Row],[angvel_Z]],2))</f>
        <v>2.0525000024360538</v>
      </c>
      <c r="U399" s="1">
        <f>DEGREES(ASIN(MAX(-1,MIN(1,2 * (Breakout[[#This Row],[quart_W]]*Breakout[[#This Row],[quart_Y]] - Breakout[[#This Row],[quart_Z]]*Breakout[[#This Row],[quart_X]])))))</f>
        <v>0.97881056688897972</v>
      </c>
      <c r="V39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-1.2108725556222268</v>
      </c>
      <c r="W39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90.000110035985102</v>
      </c>
      <c r="X399" s="1">
        <f>IF(Breakout[[#This Row],[Yaw]]&gt;V398,(360-ABS(Breakout[[#This Row],[Yaw]])-ABS(V398)),ABS(Breakout[[#This Row],[Yaw]]-V398))</f>
        <v>0.98018261862308875</v>
      </c>
      <c r="Y399" s="1">
        <f>Breakout[[#This Row],[Degree change]]+Y398</f>
        <v>330.36340543399876</v>
      </c>
    </row>
    <row r="400" spans="1:25">
      <c r="A400">
        <v>399</v>
      </c>
      <c r="B400" s="1">
        <v>366.169983</v>
      </c>
      <c r="C400" s="1">
        <v>1497.919922</v>
      </c>
      <c r="D400" s="1">
        <v>18.34</v>
      </c>
      <c r="E400" s="1">
        <v>66.790001000000004</v>
      </c>
      <c r="F400" s="1">
        <v>2299.01001</v>
      </c>
      <c r="G400" s="1">
        <v>7.92</v>
      </c>
      <c r="H400" s="1">
        <v>1E-4</v>
      </c>
      <c r="I400" s="1">
        <v>0</v>
      </c>
      <c r="J400" s="1">
        <v>2.0525000000000002</v>
      </c>
      <c r="K400" s="1">
        <v>-6.1529999999999996E-3</v>
      </c>
      <c r="L400" s="1">
        <v>5.921E-3</v>
      </c>
      <c r="M400" s="1">
        <v>0.72046699999999997</v>
      </c>
      <c r="N400" s="1">
        <v>0.69343600000000005</v>
      </c>
      <c r="O400">
        <v>1</v>
      </c>
      <c r="P400">
        <v>0</v>
      </c>
      <c r="Q400">
        <v>1</v>
      </c>
      <c r="R400">
        <v>1</v>
      </c>
      <c r="S400">
        <v>1</v>
      </c>
      <c r="T400" s="1">
        <f>SQRT(POWER(Breakout[[#This Row],[angvel_X]],2) + POWER(Breakout[[#This Row],[angvel_Y]],2) + POWER(Breakout[[#This Row],[angvel_Z]],2))</f>
        <v>2.0525000024360538</v>
      </c>
      <c r="U400" s="1">
        <f>DEGREES(ASIN(MAX(-1,MIN(1,2 * (Breakout[[#This Row],[quart_W]]*Breakout[[#This Row],[quart_Y]] - Breakout[[#This Row],[quart_Z]]*Breakout[[#This Row],[quart_X]])))))</f>
        <v>0.97852976572072958</v>
      </c>
      <c r="V40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-2.1904425358939443</v>
      </c>
      <c r="W40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90.000094735313041</v>
      </c>
      <c r="X400" s="1">
        <f>IF(Breakout[[#This Row],[Yaw]]&gt;V399,(360-ABS(Breakout[[#This Row],[Yaw]])-ABS(V399)),ABS(Breakout[[#This Row],[Yaw]]-V399))</f>
        <v>0.97956998027171749</v>
      </c>
      <c r="Y400" s="1">
        <f>Breakout[[#This Row],[Degree change]]+Y399</f>
        <v>331.34297541427048</v>
      </c>
    </row>
    <row r="401" spans="1:25">
      <c r="A401">
        <v>400</v>
      </c>
      <c r="B401" s="1">
        <v>366.72000100000002</v>
      </c>
      <c r="C401" s="1">
        <v>1517.150024</v>
      </c>
      <c r="D401" s="1">
        <v>18.34</v>
      </c>
      <c r="E401" s="1">
        <v>27.459999</v>
      </c>
      <c r="F401" s="1">
        <v>2299.820068</v>
      </c>
      <c r="G401" s="1">
        <v>7.92</v>
      </c>
      <c r="H401" s="1">
        <v>1E-4</v>
      </c>
      <c r="I401" s="1">
        <v>0</v>
      </c>
      <c r="J401" s="1">
        <v>2.0525000000000002</v>
      </c>
      <c r="K401" s="1">
        <v>-6.2009999999999999E-3</v>
      </c>
      <c r="L401" s="1">
        <v>5.8669999999999998E-3</v>
      </c>
      <c r="M401" s="1">
        <v>0.72637200000000002</v>
      </c>
      <c r="N401" s="1">
        <v>0.68724799999999997</v>
      </c>
      <c r="O401">
        <v>1</v>
      </c>
      <c r="P401">
        <v>0</v>
      </c>
      <c r="Q401">
        <v>1</v>
      </c>
      <c r="R401">
        <v>1</v>
      </c>
      <c r="S401">
        <v>1</v>
      </c>
      <c r="T401" s="1">
        <f>SQRT(POWER(Breakout[[#This Row],[angvel_X]],2) + POWER(Breakout[[#This Row],[angvel_Y]],2) + POWER(Breakout[[#This Row],[angvel_Z]],2))</f>
        <v>2.0525000024360538</v>
      </c>
      <c r="U401" s="1">
        <f>DEGREES(ASIN(MAX(-1,MIN(1,2 * (Breakout[[#This Row],[quart_W]]*Breakout[[#This Row],[quart_Y]] - Breakout[[#This Row],[quart_Z]]*Breakout[[#This Row],[quart_X]])))))</f>
        <v>0.97823737492998231</v>
      </c>
      <c r="V40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-3.170620576499922</v>
      </c>
      <c r="W40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90.000000037133077</v>
      </c>
      <c r="X401" s="1">
        <f>IF(Breakout[[#This Row],[Yaw]]&gt;V400,(360-ABS(Breakout[[#This Row],[Yaw]])-ABS(V400)),ABS(Breakout[[#This Row],[Yaw]]-V400))</f>
        <v>0.98017804060597769</v>
      </c>
      <c r="Y401" s="1">
        <f>Breakout[[#This Row],[Degree change]]+Y400</f>
        <v>332.32315345487643</v>
      </c>
    </row>
    <row r="402" spans="1:25">
      <c r="A402">
        <v>401</v>
      </c>
      <c r="B402" s="1">
        <v>366.94998199999998</v>
      </c>
      <c r="C402" s="1">
        <v>1536.380005</v>
      </c>
      <c r="D402" s="1">
        <v>18.34</v>
      </c>
      <c r="E402" s="1">
        <v>-11.87</v>
      </c>
      <c r="F402" s="1">
        <v>2299.9499510000001</v>
      </c>
      <c r="G402" s="1">
        <v>7.92</v>
      </c>
      <c r="H402" s="1">
        <v>0</v>
      </c>
      <c r="I402" s="1">
        <v>0</v>
      </c>
      <c r="J402" s="1">
        <v>2.0525000000000002</v>
      </c>
      <c r="K402" s="1">
        <v>-6.2500000000000003E-3</v>
      </c>
      <c r="L402" s="1">
        <v>5.8129999999999996E-3</v>
      </c>
      <c r="M402" s="1">
        <v>0.73222200000000004</v>
      </c>
      <c r="N402" s="1">
        <v>0.68101199999999995</v>
      </c>
      <c r="O402">
        <v>1</v>
      </c>
      <c r="P402">
        <v>0</v>
      </c>
      <c r="Q402">
        <v>1</v>
      </c>
      <c r="R402">
        <v>1</v>
      </c>
      <c r="S402">
        <v>1</v>
      </c>
      <c r="T402" s="1">
        <f>SQRT(POWER(Breakout[[#This Row],[angvel_X]],2) + POWER(Breakout[[#This Row],[angvel_Y]],2) + POWER(Breakout[[#This Row],[angvel_Z]],2))</f>
        <v>2.0525000000000002</v>
      </c>
      <c r="U402" s="1">
        <f>DEGREES(ASIN(MAX(-1,MIN(1,2 * (Breakout[[#This Row],[quart_W]]*Breakout[[#This Row],[quart_Y]] - Breakout[[#This Row],[quart_Z]]*Breakout[[#This Row],[quart_X]])))))</f>
        <v>0.97809909639611192</v>
      </c>
      <c r="V40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-4.1504855245235053</v>
      </c>
      <c r="W40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89.999990661031475</v>
      </c>
      <c r="X402" s="1">
        <f>IF(Breakout[[#This Row],[Yaw]]&gt;V401,(360-ABS(Breakout[[#This Row],[Yaw]])-ABS(V401)),ABS(Breakout[[#This Row],[Yaw]]-V401))</f>
        <v>0.97986494802358326</v>
      </c>
      <c r="Y402" s="1">
        <f>Breakout[[#This Row],[Degree change]]+Y401</f>
        <v>333.30301840290002</v>
      </c>
    </row>
    <row r="403" spans="1:25">
      <c r="A403">
        <v>402</v>
      </c>
      <c r="B403" s="1">
        <v>366.85000600000001</v>
      </c>
      <c r="C403" s="1">
        <v>1555.619995</v>
      </c>
      <c r="D403" s="1">
        <v>18.34</v>
      </c>
      <c r="E403" s="1">
        <v>-51.199997000000003</v>
      </c>
      <c r="F403" s="1">
        <v>2299.4099120000001</v>
      </c>
      <c r="G403" s="1">
        <v>7.92</v>
      </c>
      <c r="H403" s="1">
        <v>0</v>
      </c>
      <c r="I403" s="1">
        <v>0</v>
      </c>
      <c r="J403" s="1">
        <v>2.0525000000000002</v>
      </c>
      <c r="K403" s="1">
        <v>-6.2979999999999998E-3</v>
      </c>
      <c r="L403" s="1">
        <v>5.7590000000000002E-3</v>
      </c>
      <c r="M403" s="1">
        <v>0.73801799999999995</v>
      </c>
      <c r="N403" s="1">
        <v>0.67472699999999997</v>
      </c>
      <c r="O403">
        <v>1</v>
      </c>
      <c r="P403">
        <v>0</v>
      </c>
      <c r="Q403">
        <v>1</v>
      </c>
      <c r="R403">
        <v>1</v>
      </c>
      <c r="S403">
        <v>1</v>
      </c>
      <c r="T403" s="1">
        <f>SQRT(POWER(Breakout[[#This Row],[angvel_X]],2) + POWER(Breakout[[#This Row],[angvel_Y]],2) + POWER(Breakout[[#This Row],[angvel_Z]],2))</f>
        <v>2.0525000000000002</v>
      </c>
      <c r="U403" s="1">
        <f>DEGREES(ASIN(MAX(-1,MIN(1,2 * (Breakout[[#This Row],[quart_W]]*Breakout[[#This Row],[quart_Y]] - Breakout[[#This Row],[quart_Z]]*Breakout[[#This Row],[quart_X]])))))</f>
        <v>0.97794780215243837</v>
      </c>
      <c r="V40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-5.1302698467577095</v>
      </c>
      <c r="W40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89.999906592440027</v>
      </c>
      <c r="X403" s="1">
        <f>IF(Breakout[[#This Row],[Yaw]]&gt;V402,(360-ABS(Breakout[[#This Row],[Yaw]])-ABS(V402)),ABS(Breakout[[#This Row],[Yaw]]-V402))</f>
        <v>0.9797843222342042</v>
      </c>
      <c r="Y403" s="1">
        <f>Breakout[[#This Row],[Degree change]]+Y402</f>
        <v>334.28280272513422</v>
      </c>
    </row>
    <row r="404" spans="1:25">
      <c r="A404">
        <v>403</v>
      </c>
      <c r="B404" s="1">
        <v>366.419983</v>
      </c>
      <c r="C404" s="1">
        <v>1574.849976</v>
      </c>
      <c r="D404" s="1">
        <v>18.34</v>
      </c>
      <c r="E404" s="1">
        <v>-90.509995000000004</v>
      </c>
      <c r="F404" s="1">
        <v>2298.1999510000001</v>
      </c>
      <c r="G404" s="1">
        <v>7.92</v>
      </c>
      <c r="H404" s="1">
        <v>0</v>
      </c>
      <c r="I404" s="1">
        <v>0</v>
      </c>
      <c r="J404" s="1">
        <v>2.0525000000000002</v>
      </c>
      <c r="K404" s="1">
        <v>-6.3470000000000002E-3</v>
      </c>
      <c r="L404" s="1">
        <v>5.705E-3</v>
      </c>
      <c r="M404" s="1">
        <v>0.74375899999999995</v>
      </c>
      <c r="N404" s="1">
        <v>0.66839300000000001</v>
      </c>
      <c r="O404">
        <v>1</v>
      </c>
      <c r="P404">
        <v>0</v>
      </c>
      <c r="Q404">
        <v>1</v>
      </c>
      <c r="R404">
        <v>1</v>
      </c>
      <c r="S404">
        <v>1</v>
      </c>
      <c r="T404" s="1">
        <f>SQRT(POWER(Breakout[[#This Row],[angvel_X]],2) + POWER(Breakout[[#This Row],[angvel_Y]],2) + POWER(Breakout[[#This Row],[angvel_Z]],2))</f>
        <v>2.0525000000000002</v>
      </c>
      <c r="U404" s="1">
        <f>DEGREES(ASIN(MAX(-1,MIN(1,2 * (Breakout[[#This Row],[quart_W]]*Breakout[[#This Row],[quart_Y]] - Breakout[[#This Row],[quart_Z]]*Breakout[[#This Row],[quart_X]])))))</f>
        <v>0.97795127260495107</v>
      </c>
      <c r="V40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-6.1098815421150254</v>
      </c>
      <c r="W40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89.999902041575396</v>
      </c>
      <c r="X404" s="1">
        <f>IF(Breakout[[#This Row],[Yaw]]&gt;V403,(360-ABS(Breakout[[#This Row],[Yaw]])-ABS(V403)),ABS(Breakout[[#This Row],[Yaw]]-V403))</f>
        <v>0.97961169535731596</v>
      </c>
      <c r="Y404" s="1">
        <f>Breakout[[#This Row],[Degree change]]+Y403</f>
        <v>335.26241442049155</v>
      </c>
    </row>
    <row r="405" spans="1:25">
      <c r="A405">
        <v>404</v>
      </c>
      <c r="B405" s="1">
        <v>365.66000400000001</v>
      </c>
      <c r="C405" s="1">
        <v>1594.0699460000001</v>
      </c>
      <c r="D405" s="1">
        <v>18.34</v>
      </c>
      <c r="E405" s="1">
        <v>-129.78999300000001</v>
      </c>
      <c r="F405" s="1">
        <v>2296.320068</v>
      </c>
      <c r="G405" s="1">
        <v>7.92</v>
      </c>
      <c r="H405" s="1">
        <v>0</v>
      </c>
      <c r="I405" s="1">
        <v>0</v>
      </c>
      <c r="J405" s="1">
        <v>2.0525000000000002</v>
      </c>
      <c r="K405" s="1">
        <v>-6.3959999999999998E-3</v>
      </c>
      <c r="L405" s="1">
        <v>5.6509999999999998E-3</v>
      </c>
      <c r="M405" s="1">
        <v>0.74944999999999995</v>
      </c>
      <c r="N405" s="1">
        <v>0.66200599999999998</v>
      </c>
      <c r="O405">
        <v>1</v>
      </c>
      <c r="P405">
        <v>0</v>
      </c>
      <c r="Q405">
        <v>1</v>
      </c>
      <c r="R405">
        <v>1</v>
      </c>
      <c r="S405">
        <v>1</v>
      </c>
      <c r="T405" s="1">
        <f>SQRT(POWER(Breakout[[#This Row],[angvel_X]],2) + POWER(Breakout[[#This Row],[angvel_Y]],2) + POWER(Breakout[[#This Row],[angvel_Z]],2))</f>
        <v>2.0525000000000002</v>
      </c>
      <c r="U405" s="1">
        <f>DEGREES(ASIN(MAX(-1,MIN(1,2 * (Breakout[[#This Row],[quart_W]]*Breakout[[#This Row],[quart_Y]] - Breakout[[#This Row],[quart_Z]]*Breakout[[#This Row],[quart_X]])))))</f>
        <v>0.97802664678645268</v>
      </c>
      <c r="V40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-7.0902403176091848</v>
      </c>
      <c r="W40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89.999890941763638</v>
      </c>
      <c r="X405" s="1">
        <f>IF(Breakout[[#This Row],[Yaw]]&gt;V404,(360-ABS(Breakout[[#This Row],[Yaw]])-ABS(V404)),ABS(Breakout[[#This Row],[Yaw]]-V404))</f>
        <v>0.9803587754941594</v>
      </c>
      <c r="Y405" s="1">
        <f>Breakout[[#This Row],[Degree change]]+Y404</f>
        <v>336.24277319598571</v>
      </c>
    </row>
    <row r="406" spans="1:25">
      <c r="A406">
        <v>405</v>
      </c>
      <c r="B406" s="1">
        <v>364.56997699999999</v>
      </c>
      <c r="C406" s="1">
        <v>1613.2700199999999</v>
      </c>
      <c r="D406" s="1">
        <v>18.34</v>
      </c>
      <c r="E406" s="1">
        <v>-169.03999300000001</v>
      </c>
      <c r="F406" s="1">
        <v>2293.76001</v>
      </c>
      <c r="G406" s="1">
        <v>7.92</v>
      </c>
      <c r="H406" s="1">
        <v>0</v>
      </c>
      <c r="I406" s="1">
        <v>0</v>
      </c>
      <c r="J406" s="1">
        <v>2.0525000000000002</v>
      </c>
      <c r="K406" s="1">
        <v>-6.4440000000000001E-3</v>
      </c>
      <c r="L406" s="1">
        <v>5.5970000000000004E-3</v>
      </c>
      <c r="M406" s="1">
        <v>0.75508600000000003</v>
      </c>
      <c r="N406" s="1">
        <v>0.65556999999999999</v>
      </c>
      <c r="O406">
        <v>1</v>
      </c>
      <c r="P406">
        <v>0</v>
      </c>
      <c r="Q406">
        <v>1</v>
      </c>
      <c r="R406">
        <v>1</v>
      </c>
      <c r="S406">
        <v>1</v>
      </c>
      <c r="T406" s="1">
        <f>SQRT(POWER(Breakout[[#This Row],[angvel_X]],2) + POWER(Breakout[[#This Row],[angvel_Y]],2) + POWER(Breakout[[#This Row],[angvel_Z]],2))</f>
        <v>2.0525000000000002</v>
      </c>
      <c r="U406" s="1">
        <f>DEGREES(ASIN(MAX(-1,MIN(1,2 * (Breakout[[#This Row],[quart_W]]*Breakout[[#This Row],[quart_Y]] - Breakout[[#This Row],[quart_Z]]*Breakout[[#This Row],[quart_X]])))))</f>
        <v>0.97808639986407264</v>
      </c>
      <c r="V40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-8.0705813985712336</v>
      </c>
      <c r="W40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89.999802499944451</v>
      </c>
      <c r="X406" s="1">
        <f>IF(Breakout[[#This Row],[Yaw]]&gt;V405,(360-ABS(Breakout[[#This Row],[Yaw]])-ABS(V405)),ABS(Breakout[[#This Row],[Yaw]]-V405))</f>
        <v>0.98034108096204875</v>
      </c>
      <c r="Y406" s="1">
        <f>Breakout[[#This Row],[Degree change]]+Y405</f>
        <v>337.22311427694774</v>
      </c>
    </row>
    <row r="407" spans="1:25">
      <c r="A407">
        <v>406</v>
      </c>
      <c r="B407" s="1">
        <v>363.14999399999999</v>
      </c>
      <c r="C407" s="1">
        <v>1632.4499510000001</v>
      </c>
      <c r="D407" s="1">
        <v>18.34</v>
      </c>
      <c r="E407" s="1">
        <v>-208.23999000000001</v>
      </c>
      <c r="F407" s="1">
        <v>2290.530029</v>
      </c>
      <c r="G407" s="1">
        <v>7.92</v>
      </c>
      <c r="H407" s="1">
        <v>0</v>
      </c>
      <c r="I407" s="1">
        <v>0</v>
      </c>
      <c r="J407" s="1">
        <v>2.0525000000000002</v>
      </c>
      <c r="K407" s="1">
        <v>-6.4929999999999996E-3</v>
      </c>
      <c r="L407" s="1">
        <v>5.5430000000000002E-3</v>
      </c>
      <c r="M407" s="1">
        <v>0.76066299999999998</v>
      </c>
      <c r="N407" s="1">
        <v>0.64909099999999997</v>
      </c>
      <c r="O407">
        <v>1</v>
      </c>
      <c r="P407">
        <v>0</v>
      </c>
      <c r="Q407">
        <v>1</v>
      </c>
      <c r="R407">
        <v>1</v>
      </c>
      <c r="S407">
        <v>1</v>
      </c>
      <c r="T407" s="1">
        <f>SQRT(POWER(Breakout[[#This Row],[angvel_X]],2) + POWER(Breakout[[#This Row],[angvel_Y]],2) + POWER(Breakout[[#This Row],[angvel_Z]],2))</f>
        <v>2.0525000000000002</v>
      </c>
      <c r="U407" s="1">
        <f>DEGREES(ASIN(MAX(-1,MIN(1,2 * (Breakout[[#This Row],[quart_W]]*Breakout[[#This Row],[quart_Y]] - Breakout[[#This Row],[quart_Z]]*Breakout[[#This Row],[quart_X]])))))</f>
        <v>0.97830378858528944</v>
      </c>
      <c r="V40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-9.0502560911885332</v>
      </c>
      <c r="W40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89.999792886131942</v>
      </c>
      <c r="X407" s="1">
        <f>IF(Breakout[[#This Row],[Yaw]]&gt;V406,(360-ABS(Breakout[[#This Row],[Yaw]])-ABS(V406)),ABS(Breakout[[#This Row],[Yaw]]-V406))</f>
        <v>0.97967469261729967</v>
      </c>
      <c r="Y407" s="1">
        <f>Breakout[[#This Row],[Degree change]]+Y406</f>
        <v>338.20278896956506</v>
      </c>
    </row>
    <row r="408" spans="1:25">
      <c r="A408">
        <v>407</v>
      </c>
      <c r="B408" s="1">
        <v>361.39999399999999</v>
      </c>
      <c r="C408" s="1">
        <v>1651.6099850000001</v>
      </c>
      <c r="D408" s="1">
        <v>18.34</v>
      </c>
      <c r="E408" s="1">
        <v>-247.37998999999999</v>
      </c>
      <c r="F408" s="1">
        <v>2286.639893</v>
      </c>
      <c r="G408" s="1">
        <v>7.92</v>
      </c>
      <c r="H408" s="1">
        <v>0</v>
      </c>
      <c r="I408" s="1">
        <v>0</v>
      </c>
      <c r="J408" s="1">
        <v>2.0525000000000002</v>
      </c>
      <c r="K408" s="1">
        <v>-6.5409999999999999E-3</v>
      </c>
      <c r="L408" s="1">
        <v>5.489E-3</v>
      </c>
      <c r="M408" s="1">
        <v>0.766185</v>
      </c>
      <c r="N408" s="1">
        <v>0.642563</v>
      </c>
      <c r="O408">
        <v>1</v>
      </c>
      <c r="P408">
        <v>0</v>
      </c>
      <c r="Q408">
        <v>1</v>
      </c>
      <c r="R408">
        <v>1</v>
      </c>
      <c r="S408">
        <v>1</v>
      </c>
      <c r="T408" s="1">
        <f>SQRT(POWER(Breakout[[#This Row],[angvel_X]],2) + POWER(Breakout[[#This Row],[angvel_Y]],2) + POWER(Breakout[[#This Row],[angvel_Z]],2))</f>
        <v>2.0525000000000002</v>
      </c>
      <c r="U408" s="1">
        <f>DEGREES(ASIN(MAX(-1,MIN(1,2 * (Breakout[[#This Row],[quart_W]]*Breakout[[#This Row],[quart_Y]] - Breakout[[#This Row],[quart_Z]]*Breakout[[#This Row],[quart_X]])))))</f>
        <v>0.97850413759187349</v>
      </c>
      <c r="V40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-10.030049645411355</v>
      </c>
      <c r="W40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89.999703751140459</v>
      </c>
      <c r="X408" s="1">
        <f>IF(Breakout[[#This Row],[Yaw]]&gt;V407,(360-ABS(Breakout[[#This Row],[Yaw]])-ABS(V407)),ABS(Breakout[[#This Row],[Yaw]]-V407))</f>
        <v>0.97979355422282133</v>
      </c>
      <c r="Y408" s="1">
        <f>Breakout[[#This Row],[Degree change]]+Y407</f>
        <v>339.18258252378786</v>
      </c>
    </row>
    <row r="409" spans="1:25">
      <c r="A409">
        <v>408</v>
      </c>
      <c r="B409" s="1">
        <v>359.32998700000002</v>
      </c>
      <c r="C409" s="1">
        <v>1670.7299800000001</v>
      </c>
      <c r="D409" s="1">
        <v>18.34</v>
      </c>
      <c r="E409" s="1">
        <v>-286.44998199999998</v>
      </c>
      <c r="F409" s="1">
        <v>2282.070068</v>
      </c>
      <c r="G409" s="1">
        <v>7.92</v>
      </c>
      <c r="H409" s="1">
        <v>0</v>
      </c>
      <c r="I409" s="1">
        <v>0</v>
      </c>
      <c r="J409" s="1">
        <v>2.0525000000000002</v>
      </c>
      <c r="K409" s="1">
        <v>-6.5900000000000004E-3</v>
      </c>
      <c r="L409" s="1">
        <v>5.4349999999999997E-3</v>
      </c>
      <c r="M409" s="1">
        <v>0.77165300000000003</v>
      </c>
      <c r="N409" s="1">
        <v>0.63598699999999997</v>
      </c>
      <c r="O409">
        <v>1</v>
      </c>
      <c r="P409">
        <v>0</v>
      </c>
      <c r="Q409">
        <v>1</v>
      </c>
      <c r="R409">
        <v>1</v>
      </c>
      <c r="S409">
        <v>1</v>
      </c>
      <c r="T409" s="1">
        <f>SQRT(POWER(Breakout[[#This Row],[angvel_X]],2) + POWER(Breakout[[#This Row],[angvel_Y]],2) + POWER(Breakout[[#This Row],[angvel_Z]],2))</f>
        <v>2.0525000000000002</v>
      </c>
      <c r="U409" s="1">
        <f>DEGREES(ASIN(MAX(-1,MIN(1,2 * (Breakout[[#This Row],[quart_W]]*Breakout[[#This Row],[quart_Y]] - Breakout[[#This Row],[quart_Z]]*Breakout[[#This Row],[quart_X]])))))</f>
        <v>0.97886380392654859</v>
      </c>
      <c r="V40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-11.010184294078327</v>
      </c>
      <c r="W40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89.999681420486809</v>
      </c>
      <c r="X409" s="1">
        <f>IF(Breakout[[#This Row],[Yaw]]&gt;V408,(360-ABS(Breakout[[#This Row],[Yaw]])-ABS(V408)),ABS(Breakout[[#This Row],[Yaw]]-V408))</f>
        <v>0.9801346486669722</v>
      </c>
      <c r="Y409" s="1">
        <f>Breakout[[#This Row],[Degree change]]+Y408</f>
        <v>340.16271717245485</v>
      </c>
    </row>
    <row r="410" spans="1:25">
      <c r="A410">
        <v>409</v>
      </c>
      <c r="B410" s="1">
        <v>356.92999300000002</v>
      </c>
      <c r="C410" s="1">
        <v>1689.8199460000001</v>
      </c>
      <c r="D410" s="1">
        <v>18.34</v>
      </c>
      <c r="E410" s="1">
        <v>-325.44000199999999</v>
      </c>
      <c r="F410" s="1">
        <v>2276.8398440000001</v>
      </c>
      <c r="G410" s="1">
        <v>7.92</v>
      </c>
      <c r="H410" s="1">
        <v>0</v>
      </c>
      <c r="I410" s="1">
        <v>0</v>
      </c>
      <c r="J410" s="1">
        <v>2.0526</v>
      </c>
      <c r="K410" s="1">
        <v>-6.6379999999999998E-3</v>
      </c>
      <c r="L410" s="1">
        <v>5.3810000000000004E-3</v>
      </c>
      <c r="M410" s="1">
        <v>0.77706500000000001</v>
      </c>
      <c r="N410" s="1">
        <v>0.62936199999999998</v>
      </c>
      <c r="O410">
        <v>1</v>
      </c>
      <c r="P410">
        <v>0</v>
      </c>
      <c r="Q410">
        <v>1</v>
      </c>
      <c r="R410">
        <v>1</v>
      </c>
      <c r="S410">
        <v>1</v>
      </c>
      <c r="T410" s="1">
        <f>SQRT(POWER(Breakout[[#This Row],[angvel_X]],2) + POWER(Breakout[[#This Row],[angvel_Y]],2) + POWER(Breakout[[#This Row],[angvel_Z]],2))</f>
        <v>2.0526</v>
      </c>
      <c r="U410" s="1">
        <f>DEGREES(ASIN(MAX(-1,MIN(1,2 * (Breakout[[#This Row],[quart_W]]*Breakout[[#This Row],[quart_Y]] - Breakout[[#This Row],[quart_Z]]*Breakout[[#This Row],[quart_X]])))))</f>
        <v>0.97920439420730965</v>
      </c>
      <c r="V41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-11.99043458368179</v>
      </c>
      <c r="W41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89.999578034144278</v>
      </c>
      <c r="X410" s="1">
        <f>IF(Breakout[[#This Row],[Yaw]]&gt;V409,(360-ABS(Breakout[[#This Row],[Yaw]])-ABS(V409)),ABS(Breakout[[#This Row],[Yaw]]-V409))</f>
        <v>0.98025028960346283</v>
      </c>
      <c r="Y410" s="1">
        <f>Breakout[[#This Row],[Degree change]]+Y409</f>
        <v>341.14296746205832</v>
      </c>
    </row>
    <row r="411" spans="1:25">
      <c r="A411">
        <v>410</v>
      </c>
      <c r="B411" s="1">
        <v>354.19998199999998</v>
      </c>
      <c r="C411" s="1">
        <v>1708.8599850000001</v>
      </c>
      <c r="D411" s="1">
        <v>18.34</v>
      </c>
      <c r="E411" s="1">
        <v>-364.32998700000002</v>
      </c>
      <c r="F411" s="1">
        <v>2270.9399410000001</v>
      </c>
      <c r="G411" s="1">
        <v>7.92</v>
      </c>
      <c r="H411" s="1">
        <v>1E-4</v>
      </c>
      <c r="I411" s="1">
        <v>0</v>
      </c>
      <c r="J411" s="1">
        <v>2.0526</v>
      </c>
      <c r="K411" s="1">
        <v>-6.6810000000000003E-3</v>
      </c>
      <c r="L411" s="1">
        <v>5.3220000000000003E-3</v>
      </c>
      <c r="M411" s="1">
        <v>0.78241899999999998</v>
      </c>
      <c r="N411" s="1">
        <v>0.62269399999999997</v>
      </c>
      <c r="O411">
        <v>1</v>
      </c>
      <c r="P411">
        <v>0</v>
      </c>
      <c r="Q411">
        <v>1</v>
      </c>
      <c r="R411">
        <v>1</v>
      </c>
      <c r="S411">
        <v>1</v>
      </c>
      <c r="T411" s="1">
        <f>SQRT(POWER(Breakout[[#This Row],[angvel_X]],2) + POWER(Breakout[[#This Row],[angvel_Y]],2) + POWER(Breakout[[#This Row],[angvel_Z]],2))</f>
        <v>2.052600002435935</v>
      </c>
      <c r="U411" s="1">
        <f>DEGREES(ASIN(MAX(-1,MIN(1,2 * (Breakout[[#This Row],[quart_W]]*Breakout[[#This Row],[quart_Y]] - Breakout[[#This Row],[quart_Z]]*Breakout[[#This Row],[quart_X]])))))</f>
        <v>0.97881064768781878</v>
      </c>
      <c r="V41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-12.970438813587625</v>
      </c>
      <c r="W41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89.999562734561195</v>
      </c>
      <c r="X411" s="1">
        <f>IF(Breakout[[#This Row],[Yaw]]&gt;V410,(360-ABS(Breakout[[#This Row],[Yaw]])-ABS(V410)),ABS(Breakout[[#This Row],[Yaw]]-V410))</f>
        <v>0.9800042299058358</v>
      </c>
      <c r="Y411" s="1">
        <f>Breakout[[#This Row],[Degree change]]+Y410</f>
        <v>342.12297169196415</v>
      </c>
    </row>
    <row r="412" spans="1:25">
      <c r="A412">
        <v>411</v>
      </c>
      <c r="B412" s="1">
        <v>351.14999399999999</v>
      </c>
      <c r="C412" s="1">
        <v>1727.849976</v>
      </c>
      <c r="D412" s="1">
        <v>18.34</v>
      </c>
      <c r="E412" s="1">
        <v>-403.11999500000002</v>
      </c>
      <c r="F412" s="1">
        <v>2264.3798830000001</v>
      </c>
      <c r="G412" s="1">
        <v>7.92</v>
      </c>
      <c r="H412" s="1">
        <v>1E-4</v>
      </c>
      <c r="I412" s="1">
        <v>0</v>
      </c>
      <c r="J412" s="1">
        <v>2.0526</v>
      </c>
      <c r="K412" s="1">
        <v>-6.7250000000000001E-3</v>
      </c>
      <c r="L412" s="1">
        <v>5.2630000000000003E-3</v>
      </c>
      <c r="M412" s="1">
        <v>0.787717</v>
      </c>
      <c r="N412" s="1">
        <v>0.615977</v>
      </c>
      <c r="O412">
        <v>1</v>
      </c>
      <c r="P412">
        <v>0</v>
      </c>
      <c r="Q412">
        <v>1</v>
      </c>
      <c r="R412">
        <v>1</v>
      </c>
      <c r="S412">
        <v>1</v>
      </c>
      <c r="T412" s="1">
        <f>SQRT(POWER(Breakout[[#This Row],[angvel_X]],2) + POWER(Breakout[[#This Row],[angvel_Y]],2) + POWER(Breakout[[#This Row],[angvel_Z]],2))</f>
        <v>2.052600002435935</v>
      </c>
      <c r="U412" s="1">
        <f>DEGREES(ASIN(MAX(-1,MIN(1,2 * (Breakout[[#This Row],[quart_W]]*Breakout[[#This Row],[quart_Y]] - Breakout[[#This Row],[quart_Z]]*Breakout[[#This Row],[quart_X]])))))</f>
        <v>0.97857741628810124</v>
      </c>
      <c r="V41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-13.950711081074001</v>
      </c>
      <c r="W41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89.999620733025736</v>
      </c>
      <c r="X412" s="1">
        <f>IF(Breakout[[#This Row],[Yaw]]&gt;V411,(360-ABS(Breakout[[#This Row],[Yaw]])-ABS(V411)),ABS(Breakout[[#This Row],[Yaw]]-V411))</f>
        <v>0.98027226748637553</v>
      </c>
      <c r="Y412" s="1">
        <f>Breakout[[#This Row],[Degree change]]+Y411</f>
        <v>343.10324395945054</v>
      </c>
    </row>
    <row r="413" spans="1:25">
      <c r="A413">
        <v>412</v>
      </c>
      <c r="B413" s="1">
        <v>347.76998900000001</v>
      </c>
      <c r="C413" s="1">
        <v>1746.7899170000001</v>
      </c>
      <c r="D413" s="1">
        <v>18.34</v>
      </c>
      <c r="E413" s="1">
        <v>-441.78997800000002</v>
      </c>
      <c r="F413" s="1">
        <v>2257.1499020000001</v>
      </c>
      <c r="G413" s="1">
        <v>7.92</v>
      </c>
      <c r="H413" s="1">
        <v>1E-4</v>
      </c>
      <c r="I413" s="1">
        <v>0</v>
      </c>
      <c r="J413" s="1">
        <v>2.0526</v>
      </c>
      <c r="K413" s="1">
        <v>-6.7679999999999997E-3</v>
      </c>
      <c r="L413" s="1">
        <v>5.2030000000000002E-3</v>
      </c>
      <c r="M413" s="1">
        <v>0.79295700000000002</v>
      </c>
      <c r="N413" s="1">
        <v>0.60921800000000004</v>
      </c>
      <c r="O413">
        <v>1</v>
      </c>
      <c r="P413">
        <v>0</v>
      </c>
      <c r="Q413">
        <v>1</v>
      </c>
      <c r="R413">
        <v>1</v>
      </c>
      <c r="S413">
        <v>1</v>
      </c>
      <c r="T413" s="1">
        <f>SQRT(POWER(Breakout[[#This Row],[angvel_X]],2) + POWER(Breakout[[#This Row],[angvel_Y]],2) + POWER(Breakout[[#This Row],[angvel_Z]],2))</f>
        <v>2.052600002435935</v>
      </c>
      <c r="U413" s="1">
        <f>DEGREES(ASIN(MAX(-1,MIN(1,2 * (Breakout[[#This Row],[quart_W]]*Breakout[[#This Row],[quart_Y]] - Breakout[[#This Row],[quart_Z]]*Breakout[[#This Row],[quart_X]])))))</f>
        <v>0.97825771124943894</v>
      </c>
      <c r="V41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-14.930858103747136</v>
      </c>
      <c r="W41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89.999705703514024</v>
      </c>
      <c r="X413" s="1">
        <f>IF(Breakout[[#This Row],[Yaw]]&gt;V412,(360-ABS(Breakout[[#This Row],[Yaw]])-ABS(V412)),ABS(Breakout[[#This Row],[Yaw]]-V412))</f>
        <v>0.98014702267313503</v>
      </c>
      <c r="Y413" s="1">
        <f>Breakout[[#This Row],[Degree change]]+Y412</f>
        <v>344.08339098212366</v>
      </c>
    </row>
    <row r="414" spans="1:25">
      <c r="A414">
        <v>413</v>
      </c>
      <c r="B414" s="1">
        <v>344.07000699999998</v>
      </c>
      <c r="C414" s="1">
        <v>1765.669922</v>
      </c>
      <c r="D414" s="1">
        <v>18.34</v>
      </c>
      <c r="E414" s="1">
        <v>-480.32998700000002</v>
      </c>
      <c r="F414" s="1">
        <v>2249.26001</v>
      </c>
      <c r="G414" s="1">
        <v>7.92</v>
      </c>
      <c r="H414" s="1">
        <v>1E-4</v>
      </c>
      <c r="I414" s="1">
        <v>0</v>
      </c>
      <c r="J414" s="1">
        <v>2.0526</v>
      </c>
      <c r="K414" s="1">
        <v>-6.8110000000000002E-3</v>
      </c>
      <c r="L414" s="1">
        <v>5.1440000000000001E-3</v>
      </c>
      <c r="M414" s="1">
        <v>0.79813699999999999</v>
      </c>
      <c r="N414" s="1">
        <v>0.60241500000000003</v>
      </c>
      <c r="O414">
        <v>1</v>
      </c>
      <c r="P414">
        <v>0</v>
      </c>
      <c r="Q414">
        <v>1</v>
      </c>
      <c r="R414">
        <v>1</v>
      </c>
      <c r="S414">
        <v>1</v>
      </c>
      <c r="T414" s="1">
        <f>SQRT(POWER(Breakout[[#This Row],[angvel_X]],2) + POWER(Breakout[[#This Row],[angvel_Y]],2) + POWER(Breakout[[#This Row],[angvel_Z]],2))</f>
        <v>2.052600002435935</v>
      </c>
      <c r="U414" s="1">
        <f>DEGREES(ASIN(MAX(-1,MIN(1,2 * (Breakout[[#This Row],[quart_W]]*Breakout[[#This Row],[quart_Y]] - Breakout[[#This Row],[quart_Z]]*Breakout[[#This Row],[quart_X]])))))</f>
        <v>0.97807888076011185</v>
      </c>
      <c r="V41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-15.910676867857244</v>
      </c>
      <c r="W41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89.999705667313464</v>
      </c>
      <c r="X414" s="1">
        <f>IF(Breakout[[#This Row],[Yaw]]&gt;V413,(360-ABS(Breakout[[#This Row],[Yaw]])-ABS(V413)),ABS(Breakout[[#This Row],[Yaw]]-V413))</f>
        <v>0.97981876411010838</v>
      </c>
      <c r="Y414" s="1">
        <f>Breakout[[#This Row],[Degree change]]+Y413</f>
        <v>345.06320974623378</v>
      </c>
    </row>
    <row r="415" spans="1:25">
      <c r="A415">
        <v>414</v>
      </c>
      <c r="B415" s="1">
        <v>340.04998799999998</v>
      </c>
      <c r="C415" s="1">
        <v>1784.4799800000001</v>
      </c>
      <c r="D415" s="1">
        <v>18.34</v>
      </c>
      <c r="E415" s="1">
        <v>-518.72997999999995</v>
      </c>
      <c r="F415" s="1">
        <v>2240.719971</v>
      </c>
      <c r="G415" s="1">
        <v>7.92</v>
      </c>
      <c r="H415" s="1">
        <v>0</v>
      </c>
      <c r="I415" s="1">
        <v>0</v>
      </c>
      <c r="J415" s="1">
        <v>2.0526</v>
      </c>
      <c r="K415" s="1">
        <v>-6.8539999999999998E-3</v>
      </c>
      <c r="L415" s="1">
        <v>5.0850000000000001E-3</v>
      </c>
      <c r="M415" s="1">
        <v>0.80325899999999995</v>
      </c>
      <c r="N415" s="1">
        <v>0.59556900000000002</v>
      </c>
      <c r="O415">
        <v>1</v>
      </c>
      <c r="P415">
        <v>0</v>
      </c>
      <c r="Q415">
        <v>1</v>
      </c>
      <c r="R415">
        <v>1</v>
      </c>
      <c r="S415">
        <v>1</v>
      </c>
      <c r="T415" s="1">
        <f>SQRT(POWER(Breakout[[#This Row],[angvel_X]],2) + POWER(Breakout[[#This Row],[angvel_Y]],2) + POWER(Breakout[[#This Row],[angvel_Z]],2))</f>
        <v>2.0526</v>
      </c>
      <c r="U415" s="1">
        <f>DEGREES(ASIN(MAX(-1,MIN(1,2 * (Breakout[[#This Row],[quart_W]]*Breakout[[#This Row],[quart_Y]] - Breakout[[#This Row],[quart_Z]]*Breakout[[#This Row],[quart_X]])))))</f>
        <v>0.97797248808258996</v>
      </c>
      <c r="V41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-16.890525596523005</v>
      </c>
      <c r="W41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89.999708655618434</v>
      </c>
      <c r="X415" s="1">
        <f>IF(Breakout[[#This Row],[Yaw]]&gt;V414,(360-ABS(Breakout[[#This Row],[Yaw]])-ABS(V414)),ABS(Breakout[[#This Row],[Yaw]]-V414))</f>
        <v>0.97984872866576112</v>
      </c>
      <c r="Y415" s="1">
        <f>Breakout[[#This Row],[Degree change]]+Y414</f>
        <v>346.04305847489957</v>
      </c>
    </row>
    <row r="416" spans="1:25">
      <c r="A416">
        <v>415</v>
      </c>
      <c r="B416" s="1">
        <v>335.709991</v>
      </c>
      <c r="C416" s="1">
        <v>1803.219971</v>
      </c>
      <c r="D416" s="1">
        <v>18.34</v>
      </c>
      <c r="E416" s="1">
        <v>-556.97997999999995</v>
      </c>
      <c r="F416" s="1">
        <v>2231.5200199999999</v>
      </c>
      <c r="G416" s="1">
        <v>7.92</v>
      </c>
      <c r="H416" s="1">
        <v>0</v>
      </c>
      <c r="I416" s="1">
        <v>0</v>
      </c>
      <c r="J416" s="1">
        <v>2.0526</v>
      </c>
      <c r="K416" s="1">
        <v>-6.8970000000000004E-3</v>
      </c>
      <c r="L416" s="1">
        <v>5.025E-3</v>
      </c>
      <c r="M416" s="1">
        <v>0.80832099999999996</v>
      </c>
      <c r="N416" s="1">
        <v>0.58867999999999998</v>
      </c>
      <c r="O416">
        <v>1</v>
      </c>
      <c r="P416">
        <v>0</v>
      </c>
      <c r="Q416">
        <v>1</v>
      </c>
      <c r="R416">
        <v>1</v>
      </c>
      <c r="S416">
        <v>1</v>
      </c>
      <c r="T416" s="1">
        <f>SQRT(POWER(Breakout[[#This Row],[angvel_X]],2) + POWER(Breakout[[#This Row],[angvel_Y]],2) + POWER(Breakout[[#This Row],[angvel_Z]],2))</f>
        <v>2.0526</v>
      </c>
      <c r="U416" s="1">
        <f>DEGREES(ASIN(MAX(-1,MIN(1,2 * (Breakout[[#This Row],[quart_W]]*Breakout[[#This Row],[quart_Y]] - Breakout[[#This Row],[quart_Z]]*Breakout[[#This Row],[quart_X]])))))</f>
        <v>0.97786949950269197</v>
      </c>
      <c r="V41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-17.870158205815393</v>
      </c>
      <c r="W41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89.999806648432042</v>
      </c>
      <c r="X416" s="1">
        <f>IF(Breakout[[#This Row],[Yaw]]&gt;V415,(360-ABS(Breakout[[#This Row],[Yaw]])-ABS(V415)),ABS(Breakout[[#This Row],[Yaw]]-V415))</f>
        <v>0.97963260929238771</v>
      </c>
      <c r="Y416" s="1">
        <f>Breakout[[#This Row],[Degree change]]+Y415</f>
        <v>347.02269108419193</v>
      </c>
    </row>
    <row r="417" spans="1:25">
      <c r="A417">
        <v>416</v>
      </c>
      <c r="B417" s="1">
        <v>331.04998799999998</v>
      </c>
      <c r="C417" s="1">
        <v>1821.880005</v>
      </c>
      <c r="D417" s="1">
        <v>18.34</v>
      </c>
      <c r="E417" s="1">
        <v>-595.05999799999995</v>
      </c>
      <c r="F417" s="1">
        <v>2221.669922</v>
      </c>
      <c r="G417" s="1">
        <v>7.92</v>
      </c>
      <c r="H417" s="1">
        <v>0</v>
      </c>
      <c r="I417" s="1">
        <v>0</v>
      </c>
      <c r="J417" s="1">
        <v>2.0526</v>
      </c>
      <c r="K417" s="1">
        <v>-6.94E-3</v>
      </c>
      <c r="L417" s="1">
        <v>4.9659999999999999E-3</v>
      </c>
      <c r="M417" s="1">
        <v>0.81332499999999996</v>
      </c>
      <c r="N417" s="1">
        <v>0.58174700000000001</v>
      </c>
      <c r="O417">
        <v>1</v>
      </c>
      <c r="P417">
        <v>0</v>
      </c>
      <c r="Q417">
        <v>1</v>
      </c>
      <c r="R417">
        <v>1</v>
      </c>
      <c r="S417">
        <v>1</v>
      </c>
      <c r="T417" s="1">
        <f>SQRT(POWER(Breakout[[#This Row],[angvel_X]],2) + POWER(Breakout[[#This Row],[angvel_Y]],2) + POWER(Breakout[[#This Row],[angvel_Z]],2))</f>
        <v>2.0526</v>
      </c>
      <c r="U417" s="1">
        <f>DEGREES(ASIN(MAX(-1,MIN(1,2 * (Breakout[[#This Row],[quart_W]]*Breakout[[#This Row],[quart_Y]] - Breakout[[#This Row],[quart_Z]]*Breakout[[#This Row],[quart_X]])))))</f>
        <v>0.977906651486386</v>
      </c>
      <c r="V41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-18.849989846670312</v>
      </c>
      <c r="W41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89.999811151961168</v>
      </c>
      <c r="X417" s="1">
        <f>IF(Breakout[[#This Row],[Yaw]]&gt;V416,(360-ABS(Breakout[[#This Row],[Yaw]])-ABS(V416)),ABS(Breakout[[#This Row],[Yaw]]-V416))</f>
        <v>0.97983164085491836</v>
      </c>
      <c r="Y417" s="1">
        <f>Breakout[[#This Row],[Degree change]]+Y416</f>
        <v>348.00252272504684</v>
      </c>
    </row>
    <row r="418" spans="1:25">
      <c r="A418">
        <v>417</v>
      </c>
      <c r="B418" s="1">
        <v>326.07000699999998</v>
      </c>
      <c r="C418" s="1">
        <v>1840.459961</v>
      </c>
      <c r="D418" s="1">
        <v>18.34</v>
      </c>
      <c r="E418" s="1">
        <v>-632.96997099999999</v>
      </c>
      <c r="F418" s="1">
        <v>2211.169922</v>
      </c>
      <c r="G418" s="1">
        <v>7.92</v>
      </c>
      <c r="H418" s="1">
        <v>0</v>
      </c>
      <c r="I418" s="1">
        <v>0</v>
      </c>
      <c r="J418" s="1">
        <v>2.0526</v>
      </c>
      <c r="K418" s="1">
        <v>-6.9839999999999998E-3</v>
      </c>
      <c r="L418" s="1">
        <v>4.9069999999999999E-3</v>
      </c>
      <c r="M418" s="1">
        <v>0.81826900000000002</v>
      </c>
      <c r="N418" s="1">
        <v>0.57477199999999995</v>
      </c>
      <c r="O418">
        <v>1</v>
      </c>
      <c r="P418">
        <v>0</v>
      </c>
      <c r="Q418">
        <v>1</v>
      </c>
      <c r="R418">
        <v>1</v>
      </c>
      <c r="S418">
        <v>1</v>
      </c>
      <c r="T418" s="1">
        <f>SQRT(POWER(Breakout[[#This Row],[angvel_X]],2) + POWER(Breakout[[#This Row],[angvel_Y]],2) + POWER(Breakout[[#This Row],[angvel_Z]],2))</f>
        <v>2.0526</v>
      </c>
      <c r="U418" s="1">
        <f>DEGREES(ASIN(MAX(-1,MIN(1,2 * (Breakout[[#This Row],[quart_W]]*Breakout[[#This Row],[quart_Y]] - Breakout[[#This Row],[quart_Z]]*Breakout[[#This Row],[quart_X]])))))</f>
        <v>0.97810902651405296</v>
      </c>
      <c r="V41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-19.829722438403497</v>
      </c>
      <c r="W41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89.999880998233834</v>
      </c>
      <c r="X418" s="1">
        <f>IF(Breakout[[#This Row],[Yaw]]&gt;V417,(360-ABS(Breakout[[#This Row],[Yaw]])-ABS(V417)),ABS(Breakout[[#This Row],[Yaw]]-V417))</f>
        <v>0.97973259173318539</v>
      </c>
      <c r="Y418" s="1">
        <f>Breakout[[#This Row],[Degree change]]+Y417</f>
        <v>348.98225531678003</v>
      </c>
    </row>
    <row r="419" spans="1:25">
      <c r="A419">
        <v>418</v>
      </c>
      <c r="B419" s="1">
        <v>320.76998900000001</v>
      </c>
      <c r="C419" s="1">
        <v>1858.9499510000001</v>
      </c>
      <c r="D419" s="1">
        <v>18.34</v>
      </c>
      <c r="E419" s="1">
        <v>-670.69000200000005</v>
      </c>
      <c r="F419" s="1">
        <v>2200.0200199999999</v>
      </c>
      <c r="G419" s="1">
        <v>7.92</v>
      </c>
      <c r="H419" s="1">
        <v>0</v>
      </c>
      <c r="I419" s="1">
        <v>0</v>
      </c>
      <c r="J419" s="1">
        <v>2.0526</v>
      </c>
      <c r="K419" s="1">
        <v>-7.0270000000000003E-3</v>
      </c>
      <c r="L419" s="1">
        <v>4.8469999999999997E-3</v>
      </c>
      <c r="M419" s="1">
        <v>0.82315400000000005</v>
      </c>
      <c r="N419" s="1">
        <v>0.56775299999999995</v>
      </c>
      <c r="O419">
        <v>1</v>
      </c>
      <c r="P419">
        <v>0</v>
      </c>
      <c r="Q419">
        <v>1</v>
      </c>
      <c r="R419">
        <v>1</v>
      </c>
      <c r="S419">
        <v>1</v>
      </c>
      <c r="T419" s="1">
        <f>SQRT(POWER(Breakout[[#This Row],[angvel_X]],2) + POWER(Breakout[[#This Row],[angvel_Y]],2) + POWER(Breakout[[#This Row],[angvel_Z]],2))</f>
        <v>2.0526</v>
      </c>
      <c r="U419" s="1">
        <f>DEGREES(ASIN(MAX(-1,MIN(1,2 * (Breakout[[#This Row],[quart_W]]*Breakout[[#This Row],[quart_Y]] - Breakout[[#This Row],[quart_Z]]*Breakout[[#This Row],[quart_X]])))))</f>
        <v>0.97822421343169863</v>
      </c>
      <c r="V41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-20.809645680832528</v>
      </c>
      <c r="W41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89.999973971661319</v>
      </c>
      <c r="X419" s="1">
        <f>IF(Breakout[[#This Row],[Yaw]]&gt;V418,(360-ABS(Breakout[[#This Row],[Yaw]])-ABS(V418)),ABS(Breakout[[#This Row],[Yaw]]-V418))</f>
        <v>0.97992324242903095</v>
      </c>
      <c r="Y419" s="1">
        <f>Breakout[[#This Row],[Degree change]]+Y418</f>
        <v>349.96217855920906</v>
      </c>
    </row>
    <row r="420" spans="1:25">
      <c r="A420">
        <v>419</v>
      </c>
      <c r="B420" s="1">
        <v>315.16000400000001</v>
      </c>
      <c r="C420" s="1">
        <v>1877.349976</v>
      </c>
      <c r="D420" s="1">
        <v>18.34</v>
      </c>
      <c r="E420" s="1">
        <v>-708.21997099999999</v>
      </c>
      <c r="F420" s="1">
        <v>2188.2299800000001</v>
      </c>
      <c r="G420" s="1">
        <v>7.92</v>
      </c>
      <c r="H420" s="1">
        <v>0</v>
      </c>
      <c r="I420" s="1">
        <v>0</v>
      </c>
      <c r="J420" s="1">
        <v>2.0526</v>
      </c>
      <c r="K420" s="1">
        <v>-7.0699999999999999E-3</v>
      </c>
      <c r="L420" s="1">
        <v>4.7879999999999997E-3</v>
      </c>
      <c r="M420" s="1">
        <v>0.82798099999999997</v>
      </c>
      <c r="N420" s="1">
        <v>0.56069100000000005</v>
      </c>
      <c r="O420">
        <v>1</v>
      </c>
      <c r="P420">
        <v>0</v>
      </c>
      <c r="Q420">
        <v>1</v>
      </c>
      <c r="R420">
        <v>1</v>
      </c>
      <c r="S420">
        <v>1</v>
      </c>
      <c r="T420" s="1">
        <f>SQRT(POWER(Breakout[[#This Row],[angvel_X]],2) + POWER(Breakout[[#This Row],[angvel_Y]],2) + POWER(Breakout[[#This Row],[angvel_Z]],2))</f>
        <v>2.0526</v>
      </c>
      <c r="U420" s="1">
        <f>DEGREES(ASIN(MAX(-1,MIN(1,2 * (Breakout[[#This Row],[quart_W]]*Breakout[[#This Row],[quart_Y]] - Breakout[[#This Row],[quart_Z]]*Breakout[[#This Row],[quart_X]])))))</f>
        <v>0.97847775316323149</v>
      </c>
      <c r="V42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-21.789960055115667</v>
      </c>
      <c r="W42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89.999967032013927</v>
      </c>
      <c r="X420" s="1">
        <f>IF(Breakout[[#This Row],[Yaw]]&gt;V419,(360-ABS(Breakout[[#This Row],[Yaw]])-ABS(V419)),ABS(Breakout[[#This Row],[Yaw]]-V419))</f>
        <v>0.9803143742831395</v>
      </c>
      <c r="Y420" s="1">
        <f>Breakout[[#This Row],[Degree change]]+Y419</f>
        <v>350.94249293349219</v>
      </c>
    </row>
    <row r="421" spans="1:25">
      <c r="A421">
        <v>420</v>
      </c>
      <c r="B421" s="1">
        <v>309.22998000000001</v>
      </c>
      <c r="C421" s="1">
        <v>1895.6499020000001</v>
      </c>
      <c r="D421" s="1">
        <v>18.34</v>
      </c>
      <c r="E421" s="1">
        <v>-745.53997800000002</v>
      </c>
      <c r="F421" s="1">
        <v>2175.790039</v>
      </c>
      <c r="G421" s="1">
        <v>7.92</v>
      </c>
      <c r="H421" s="1">
        <v>0</v>
      </c>
      <c r="I421" s="1">
        <v>0</v>
      </c>
      <c r="J421" s="1">
        <v>2.0526</v>
      </c>
      <c r="K421" s="1">
        <v>-7.1130000000000004E-3</v>
      </c>
      <c r="L421" s="1">
        <v>4.7289999999999997E-3</v>
      </c>
      <c r="M421" s="1">
        <v>0.83274400000000004</v>
      </c>
      <c r="N421" s="1">
        <v>0.55359199999999997</v>
      </c>
      <c r="O421">
        <v>1</v>
      </c>
      <c r="P421">
        <v>0</v>
      </c>
      <c r="Q421">
        <v>1</v>
      </c>
      <c r="R421">
        <v>1</v>
      </c>
      <c r="S421">
        <v>1</v>
      </c>
      <c r="T421" s="1">
        <f>SQRT(POWER(Breakout[[#This Row],[angvel_X]],2) + POWER(Breakout[[#This Row],[angvel_Y]],2) + POWER(Breakout[[#This Row],[angvel_Z]],2))</f>
        <v>2.0526</v>
      </c>
      <c r="U421" s="1">
        <f>DEGREES(ASIN(MAX(-1,MIN(1,2 * (Breakout[[#This Row],[quart_W]]*Breakout[[#This Row],[quart_Y]] - Breakout[[#This Row],[quart_Z]]*Breakout[[#This Row],[quart_X]])))))</f>
        <v>0.97880214753533845</v>
      </c>
      <c r="V42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-22.7696079721626</v>
      </c>
      <c r="W42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89.999960290522367</v>
      </c>
      <c r="X421" s="1">
        <f>IF(Breakout[[#This Row],[Yaw]]&gt;V420,(360-ABS(Breakout[[#This Row],[Yaw]])-ABS(V420)),ABS(Breakout[[#This Row],[Yaw]]-V420))</f>
        <v>0.97964791704693255</v>
      </c>
      <c r="Y421" s="1">
        <f>Breakout[[#This Row],[Degree change]]+Y420</f>
        <v>351.92214085053911</v>
      </c>
    </row>
    <row r="422" spans="1:25">
      <c r="A422">
        <v>421</v>
      </c>
      <c r="B422" s="1">
        <v>302.98998999999998</v>
      </c>
      <c r="C422" s="1">
        <v>1913.849976</v>
      </c>
      <c r="D422" s="1">
        <v>18.34</v>
      </c>
      <c r="E422" s="1">
        <v>-782.63995399999999</v>
      </c>
      <c r="F422" s="1">
        <v>2162.719971</v>
      </c>
      <c r="G422" s="1">
        <v>7.92</v>
      </c>
      <c r="H422" s="1">
        <v>0</v>
      </c>
      <c r="I422" s="1">
        <v>0</v>
      </c>
      <c r="J422" s="1">
        <v>2.0526</v>
      </c>
      <c r="K422" s="1">
        <v>-7.1510000000000002E-3</v>
      </c>
      <c r="L422" s="1">
        <v>4.6690000000000004E-3</v>
      </c>
      <c r="M422" s="1">
        <v>0.837449</v>
      </c>
      <c r="N422" s="1">
        <v>0.54644899999999996</v>
      </c>
      <c r="O422">
        <v>1</v>
      </c>
      <c r="P422">
        <v>0</v>
      </c>
      <c r="Q422">
        <v>1</v>
      </c>
      <c r="R422">
        <v>1</v>
      </c>
      <c r="S422">
        <v>1</v>
      </c>
      <c r="T422" s="1">
        <f>SQRT(POWER(Breakout[[#This Row],[angvel_X]],2) + POWER(Breakout[[#This Row],[angvel_Y]],2) + POWER(Breakout[[#This Row],[angvel_Z]],2))</f>
        <v>2.0526</v>
      </c>
      <c r="U422" s="1">
        <f>DEGREES(ASIN(MAX(-1,MIN(1,2 * (Breakout[[#This Row],[quart_W]]*Breakout[[#This Row],[quart_Y]] - Breakout[[#This Row],[quart_Z]]*Breakout[[#This Row],[quart_X]])))))</f>
        <v>0.9786558546505677</v>
      </c>
      <c r="V42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-23.74982217786043</v>
      </c>
      <c r="W42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89.999725790298811</v>
      </c>
      <c r="X422" s="1">
        <f>IF(Breakout[[#This Row],[Yaw]]&gt;V421,(360-ABS(Breakout[[#This Row],[Yaw]])-ABS(V421)),ABS(Breakout[[#This Row],[Yaw]]-V421))</f>
        <v>0.98021420569783047</v>
      </c>
      <c r="Y422" s="1">
        <f>Breakout[[#This Row],[Degree change]]+Y421</f>
        <v>352.90235505623696</v>
      </c>
    </row>
    <row r="423" spans="1:25">
      <c r="A423">
        <v>422</v>
      </c>
      <c r="B423" s="1">
        <v>296.44000199999999</v>
      </c>
      <c r="C423" s="1">
        <v>1931.9399410000001</v>
      </c>
      <c r="D423" s="1">
        <v>18.34</v>
      </c>
      <c r="E423" s="1">
        <v>-819.51995799999997</v>
      </c>
      <c r="F423" s="1">
        <v>2149.0200199999999</v>
      </c>
      <c r="G423" s="1">
        <v>7.92</v>
      </c>
      <c r="H423" s="1">
        <v>0</v>
      </c>
      <c r="I423" s="1">
        <v>0</v>
      </c>
      <c r="J423" s="1">
        <v>2.0526</v>
      </c>
      <c r="K423" s="1">
        <v>-7.1890000000000001E-3</v>
      </c>
      <c r="L423" s="1">
        <v>4.6100000000000004E-3</v>
      </c>
      <c r="M423" s="1">
        <v>0.84209000000000001</v>
      </c>
      <c r="N423" s="1">
        <v>0.539269</v>
      </c>
      <c r="O423">
        <v>1</v>
      </c>
      <c r="P423">
        <v>0</v>
      </c>
      <c r="Q423">
        <v>1</v>
      </c>
      <c r="R423">
        <v>1</v>
      </c>
      <c r="S423">
        <v>1</v>
      </c>
      <c r="T423" s="1">
        <f>SQRT(POWER(Breakout[[#This Row],[angvel_X]],2) + POWER(Breakout[[#This Row],[angvel_Y]],2) + POWER(Breakout[[#This Row],[angvel_Z]],2))</f>
        <v>2.0526</v>
      </c>
      <c r="U423" s="1">
        <f>DEGREES(ASIN(MAX(-1,MIN(1,2 * (Breakout[[#This Row],[quart_W]]*Breakout[[#This Row],[quart_Y]] - Breakout[[#This Row],[quart_Z]]*Breakout[[#This Row],[quart_X]])))))</f>
        <v>0.97863831041553206</v>
      </c>
      <c r="V42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-24.729508910030031</v>
      </c>
      <c r="W42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89.999400591951186</v>
      </c>
      <c r="X423" s="1">
        <f>IF(Breakout[[#This Row],[Yaw]]&gt;V422,(360-ABS(Breakout[[#This Row],[Yaw]])-ABS(V422)),ABS(Breakout[[#This Row],[Yaw]]-V422))</f>
        <v>0.97968673216960056</v>
      </c>
      <c r="Y423" s="1">
        <f>Breakout[[#This Row],[Degree change]]+Y422</f>
        <v>353.88204178840658</v>
      </c>
    </row>
    <row r="424" spans="1:25">
      <c r="A424">
        <v>423</v>
      </c>
      <c r="B424" s="1">
        <v>289.57998700000002</v>
      </c>
      <c r="C424" s="1">
        <v>1949.9099120000001</v>
      </c>
      <c r="D424" s="1">
        <v>18.34</v>
      </c>
      <c r="E424" s="1">
        <v>-856.14996299999996</v>
      </c>
      <c r="F424" s="1">
        <v>2134.6899410000001</v>
      </c>
      <c r="G424" s="1">
        <v>7.92</v>
      </c>
      <c r="H424" s="1">
        <v>0</v>
      </c>
      <c r="I424" s="1">
        <v>0</v>
      </c>
      <c r="J424" s="1">
        <v>2.0526</v>
      </c>
      <c r="K424" s="1">
        <v>-7.2259999999999998E-3</v>
      </c>
      <c r="L424" s="1">
        <v>4.5510000000000004E-3</v>
      </c>
      <c r="M424" s="1">
        <v>0.84667300000000001</v>
      </c>
      <c r="N424" s="1">
        <v>0.53204499999999999</v>
      </c>
      <c r="O424">
        <v>1</v>
      </c>
      <c r="P424">
        <v>0</v>
      </c>
      <c r="Q424">
        <v>1</v>
      </c>
      <c r="R424">
        <v>1</v>
      </c>
      <c r="S424">
        <v>1</v>
      </c>
      <c r="T424" s="1">
        <f>SQRT(POWER(Breakout[[#This Row],[angvel_X]],2) + POWER(Breakout[[#This Row],[angvel_Y]],2) + POWER(Breakout[[#This Row],[angvel_Z]],2))</f>
        <v>2.0526</v>
      </c>
      <c r="U424" s="1">
        <f>DEGREES(ASIN(MAX(-1,MIN(1,2 * (Breakout[[#This Row],[quart_W]]*Breakout[[#This Row],[quart_Y]] - Breakout[[#This Row],[quart_Z]]*Breakout[[#This Row],[quart_X]])))))</f>
        <v>0.97859026582404596</v>
      </c>
      <c r="V42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-25.709917503034877</v>
      </c>
      <c r="W42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89.99900844897364</v>
      </c>
      <c r="X424" s="1">
        <f>IF(Breakout[[#This Row],[Yaw]]&gt;V423,(360-ABS(Breakout[[#This Row],[Yaw]])-ABS(V423)),ABS(Breakout[[#This Row],[Yaw]]-V423))</f>
        <v>0.98040859300484584</v>
      </c>
      <c r="Y424" s="1">
        <f>Breakout[[#This Row],[Degree change]]+Y423</f>
        <v>354.86245038141141</v>
      </c>
    </row>
    <row r="425" spans="1:25">
      <c r="A425">
        <v>424</v>
      </c>
      <c r="B425" s="1">
        <v>282.419983</v>
      </c>
      <c r="C425" s="1">
        <v>1967.76001</v>
      </c>
      <c r="D425" s="1">
        <v>18.34</v>
      </c>
      <c r="E425" s="1">
        <v>-892.53997800000002</v>
      </c>
      <c r="F425" s="1">
        <v>2119.73999</v>
      </c>
      <c r="G425" s="1">
        <v>7.92</v>
      </c>
      <c r="H425" s="1">
        <v>0</v>
      </c>
      <c r="I425" s="1">
        <v>0</v>
      </c>
      <c r="J425" s="1">
        <v>2.0526</v>
      </c>
      <c r="K425" s="1">
        <v>-7.2639999999999996E-3</v>
      </c>
      <c r="L425" s="1">
        <v>4.4910000000000002E-3</v>
      </c>
      <c r="M425" s="1">
        <v>0.85119299999999998</v>
      </c>
      <c r="N425" s="1">
        <v>0.524783</v>
      </c>
      <c r="O425">
        <v>1</v>
      </c>
      <c r="P425">
        <v>0</v>
      </c>
      <c r="Q425">
        <v>1</v>
      </c>
      <c r="R425">
        <v>1</v>
      </c>
      <c r="S425">
        <v>1</v>
      </c>
      <c r="T425" s="1">
        <f>SQRT(POWER(Breakout[[#This Row],[angvel_X]],2) + POWER(Breakout[[#This Row],[angvel_Y]],2) + POWER(Breakout[[#This Row],[angvel_Z]],2))</f>
        <v>2.0526</v>
      </c>
      <c r="U425" s="1">
        <f>DEGREES(ASIN(MAX(-1,MIN(1,2 * (Breakout[[#This Row],[quart_W]]*Breakout[[#This Row],[quart_Y]] - Breakout[[#This Row],[quart_Z]]*Breakout[[#This Row],[quart_X]])))))</f>
        <v>0.97864419039317074</v>
      </c>
      <c r="V42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-26.690132074018717</v>
      </c>
      <c r="W42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89.998775519324923</v>
      </c>
      <c r="X425" s="1">
        <f>IF(Breakout[[#This Row],[Yaw]]&gt;V424,(360-ABS(Breakout[[#This Row],[Yaw]])-ABS(V424)),ABS(Breakout[[#This Row],[Yaw]]-V424))</f>
        <v>0.98021457098383991</v>
      </c>
      <c r="Y425" s="1">
        <f>Breakout[[#This Row],[Degree change]]+Y424</f>
        <v>355.84266495239524</v>
      </c>
    </row>
    <row r="426" spans="1:25">
      <c r="A426">
        <v>425</v>
      </c>
      <c r="B426" s="1">
        <v>274.94998199999998</v>
      </c>
      <c r="C426" s="1">
        <v>1985.48999</v>
      </c>
      <c r="D426" s="1">
        <v>18.34</v>
      </c>
      <c r="E426" s="1">
        <v>-928.65997300000004</v>
      </c>
      <c r="F426" s="1">
        <v>2104.1599120000001</v>
      </c>
      <c r="G426" s="1">
        <v>7.92</v>
      </c>
      <c r="H426" s="1">
        <v>1E-4</v>
      </c>
      <c r="I426" s="1">
        <v>0</v>
      </c>
      <c r="J426" s="1">
        <v>2.0526</v>
      </c>
      <c r="K426" s="1">
        <v>-7.3020000000000003E-3</v>
      </c>
      <c r="L426" s="1">
        <v>4.4260000000000002E-3</v>
      </c>
      <c r="M426" s="1">
        <v>0.85565000000000002</v>
      </c>
      <c r="N426" s="1">
        <v>0.51748400000000006</v>
      </c>
      <c r="O426">
        <v>1</v>
      </c>
      <c r="P426">
        <v>0</v>
      </c>
      <c r="Q426">
        <v>1</v>
      </c>
      <c r="R426">
        <v>1</v>
      </c>
      <c r="S426">
        <v>1</v>
      </c>
      <c r="T426" s="1">
        <f>SQRT(POWER(Breakout[[#This Row],[angvel_X]],2) + POWER(Breakout[[#This Row],[angvel_Y]],2) + POWER(Breakout[[#This Row],[angvel_Z]],2))</f>
        <v>2.052600002435935</v>
      </c>
      <c r="U426" s="1">
        <f>DEGREES(ASIN(MAX(-1,MIN(1,2 * (Breakout[[#This Row],[quart_W]]*Breakout[[#This Row],[quart_Y]] - Breakout[[#This Row],[quart_Z]]*Breakout[[#This Row],[quart_X]])))))</f>
        <v>0.97846930722130709</v>
      </c>
      <c r="V42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-27.670172937233154</v>
      </c>
      <c r="W42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89.999032851516972</v>
      </c>
      <c r="X426" s="1">
        <f>IF(Breakout[[#This Row],[Yaw]]&gt;V425,(360-ABS(Breakout[[#This Row],[Yaw]])-ABS(V425)),ABS(Breakout[[#This Row],[Yaw]]-V425))</f>
        <v>0.98004086321443751</v>
      </c>
      <c r="Y426" s="1">
        <f>Breakout[[#This Row],[Degree change]]+Y425</f>
        <v>356.82270581560965</v>
      </c>
    </row>
    <row r="427" spans="1:25">
      <c r="A427">
        <v>426</v>
      </c>
      <c r="B427" s="1">
        <v>267.17999300000002</v>
      </c>
      <c r="C427" s="1">
        <v>2003.089966</v>
      </c>
      <c r="D427" s="1">
        <v>18.34</v>
      </c>
      <c r="E427" s="1">
        <v>-964.51995799999997</v>
      </c>
      <c r="F427" s="1">
        <v>2087.969971</v>
      </c>
      <c r="G427" s="1">
        <v>7.92</v>
      </c>
      <c r="H427" s="1">
        <v>1E-4</v>
      </c>
      <c r="I427" s="1">
        <v>0</v>
      </c>
      <c r="J427" s="1">
        <v>2.0526</v>
      </c>
      <c r="K427" s="1">
        <v>-7.3400000000000002E-3</v>
      </c>
      <c r="L427" s="1">
        <v>4.3620000000000004E-3</v>
      </c>
      <c r="M427" s="1">
        <v>0.86004499999999995</v>
      </c>
      <c r="N427" s="1">
        <v>0.51014700000000002</v>
      </c>
      <c r="O427">
        <v>1</v>
      </c>
      <c r="P427">
        <v>0</v>
      </c>
      <c r="Q427">
        <v>1</v>
      </c>
      <c r="R427">
        <v>1</v>
      </c>
      <c r="S427">
        <v>1</v>
      </c>
      <c r="T427" s="1">
        <f>SQRT(POWER(Breakout[[#This Row],[angvel_X]],2) + POWER(Breakout[[#This Row],[angvel_Y]],2) + POWER(Breakout[[#This Row],[angvel_Z]],2))</f>
        <v>2.052600002435935</v>
      </c>
      <c r="U427" s="1">
        <f>DEGREES(ASIN(MAX(-1,MIN(1,2 * (Breakout[[#This Row],[quart_W]]*Breakout[[#This Row],[quart_Y]] - Breakout[[#This Row],[quart_Z]]*Breakout[[#This Row],[quart_X]])))))</f>
        <v>0.97842931237325725</v>
      </c>
      <c r="V42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-28.650307979562179</v>
      </c>
      <c r="W42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89.999193466078893</v>
      </c>
      <c r="X427" s="1">
        <f>IF(Breakout[[#This Row],[Yaw]]&gt;V426,(360-ABS(Breakout[[#This Row],[Yaw]])-ABS(V426)),ABS(Breakout[[#This Row],[Yaw]]-V426))</f>
        <v>0.98013504232902449</v>
      </c>
      <c r="Y427" s="1">
        <f>Breakout[[#This Row],[Degree change]]+Y426</f>
        <v>357.80284085793869</v>
      </c>
    </row>
    <row r="428" spans="1:25">
      <c r="A428">
        <v>427</v>
      </c>
      <c r="B428" s="1">
        <v>259.10998499999999</v>
      </c>
      <c r="C428" s="1">
        <v>2020.549927</v>
      </c>
      <c r="D428" s="1">
        <v>18.34</v>
      </c>
      <c r="E428" s="1">
        <v>-1000.089966</v>
      </c>
      <c r="F428" s="1">
        <v>2071.169922</v>
      </c>
      <c r="G428" s="1">
        <v>7.92</v>
      </c>
      <c r="H428" s="1">
        <v>1E-4</v>
      </c>
      <c r="I428" s="1">
        <v>0</v>
      </c>
      <c r="J428" s="1">
        <v>2.0526</v>
      </c>
      <c r="K428" s="1">
        <v>-7.3769999999999999E-3</v>
      </c>
      <c r="L428" s="1">
        <v>4.2969999999999996E-3</v>
      </c>
      <c r="M428" s="1">
        <v>0.86437600000000003</v>
      </c>
      <c r="N428" s="1">
        <v>0.50277300000000003</v>
      </c>
      <c r="O428">
        <v>1</v>
      </c>
      <c r="P428">
        <v>0</v>
      </c>
      <c r="Q428">
        <v>1</v>
      </c>
      <c r="R428">
        <v>1</v>
      </c>
      <c r="S428">
        <v>1</v>
      </c>
      <c r="T428" s="1">
        <f>SQRT(POWER(Breakout[[#This Row],[angvel_X]],2) + POWER(Breakout[[#This Row],[angvel_Y]],2) + POWER(Breakout[[#This Row],[angvel_Z]],2))</f>
        <v>2.052600002435935</v>
      </c>
      <c r="U428" s="1">
        <f>DEGREES(ASIN(MAX(-1,MIN(1,2 * (Breakout[[#This Row],[quart_W]]*Breakout[[#This Row],[quart_Y]] - Breakout[[#This Row],[quart_Z]]*Breakout[[#This Row],[quart_X]])))))</f>
        <v>0.97830620234996424</v>
      </c>
      <c r="V42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-29.630269023468216</v>
      </c>
      <c r="W42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89.999396329499902</v>
      </c>
      <c r="X428" s="1">
        <f>IF(Breakout[[#This Row],[Yaw]]&gt;V427,(360-ABS(Breakout[[#This Row],[Yaw]])-ABS(V427)),ABS(Breakout[[#This Row],[Yaw]]-V427))</f>
        <v>0.97996104390603733</v>
      </c>
      <c r="Y428" s="1">
        <f>Breakout[[#This Row],[Degree change]]+Y427</f>
        <v>358.78280190184472</v>
      </c>
    </row>
    <row r="429" spans="1:25">
      <c r="A429">
        <v>428</v>
      </c>
      <c r="B429" s="1">
        <v>250.73999000000001</v>
      </c>
      <c r="C429" s="1">
        <v>2037.869995</v>
      </c>
      <c r="D429" s="1">
        <v>18.34</v>
      </c>
      <c r="E429" s="1">
        <v>-1035.369995</v>
      </c>
      <c r="F429" s="1">
        <v>2053.76001</v>
      </c>
      <c r="G429" s="1">
        <v>7.92</v>
      </c>
      <c r="H429" s="1">
        <v>1E-4</v>
      </c>
      <c r="I429" s="1">
        <v>0</v>
      </c>
      <c r="J429" s="1">
        <v>2.0526</v>
      </c>
      <c r="K429" s="1">
        <v>-7.4149999999999997E-3</v>
      </c>
      <c r="L429" s="1">
        <v>4.2319999999999997E-3</v>
      </c>
      <c r="M429" s="1">
        <v>0.86864600000000003</v>
      </c>
      <c r="N429" s="1">
        <v>0.49536000000000002</v>
      </c>
      <c r="O429">
        <v>1</v>
      </c>
      <c r="P429">
        <v>0</v>
      </c>
      <c r="Q429">
        <v>1</v>
      </c>
      <c r="R429">
        <v>1</v>
      </c>
      <c r="S429">
        <v>1</v>
      </c>
      <c r="T429" s="1">
        <f>SQRT(POWER(Breakout[[#This Row],[angvel_X]],2) + POWER(Breakout[[#This Row],[angvel_Y]],2) + POWER(Breakout[[#This Row],[angvel_Z]],2))</f>
        <v>2.052600002435935</v>
      </c>
      <c r="U429" s="1">
        <f>DEGREES(ASIN(MAX(-1,MIN(1,2 * (Breakout[[#This Row],[quart_W]]*Breakout[[#This Row],[quart_Y]] - Breakout[[#This Row],[quart_Z]]*Breakout[[#This Row],[quart_X]])))))</f>
        <v>0.97835849546584053</v>
      </c>
      <c r="V42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-30.610661550248075</v>
      </c>
      <c r="W42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89.99965440197964</v>
      </c>
      <c r="X429" s="1">
        <f>IF(Breakout[[#This Row],[Yaw]]&gt;V428,(360-ABS(Breakout[[#This Row],[Yaw]])-ABS(V428)),ABS(Breakout[[#This Row],[Yaw]]-V428))</f>
        <v>0.980392526779859</v>
      </c>
      <c r="Y429" s="1">
        <f>Breakout[[#This Row],[Degree change]]+Y428</f>
        <v>359.76319442862456</v>
      </c>
    </row>
    <row r="430" spans="1:25">
      <c r="A430">
        <v>429</v>
      </c>
      <c r="B430" s="1">
        <v>242.08000200000001</v>
      </c>
      <c r="C430" s="1">
        <v>2055.040039</v>
      </c>
      <c r="D430" s="1">
        <v>18.34</v>
      </c>
      <c r="E430" s="1">
        <v>-1070.349976</v>
      </c>
      <c r="F430" s="1">
        <v>2035.75</v>
      </c>
      <c r="G430" s="1">
        <v>7.92</v>
      </c>
      <c r="H430" s="1">
        <v>1E-4</v>
      </c>
      <c r="I430" s="1">
        <v>0</v>
      </c>
      <c r="J430" s="1">
        <v>2.0526</v>
      </c>
      <c r="K430" s="1">
        <v>-7.4530000000000004E-3</v>
      </c>
      <c r="L430" s="1">
        <v>4.1669999999999997E-3</v>
      </c>
      <c r="M430" s="1">
        <v>0.87284899999999999</v>
      </c>
      <c r="N430" s="1">
        <v>0.48791499999999999</v>
      </c>
      <c r="O430">
        <v>1</v>
      </c>
      <c r="P430">
        <v>0</v>
      </c>
      <c r="Q430">
        <v>1</v>
      </c>
      <c r="R430">
        <v>1</v>
      </c>
      <c r="S430">
        <v>1</v>
      </c>
      <c r="T430" s="1">
        <f>SQRT(POWER(Breakout[[#This Row],[angvel_X]],2) + POWER(Breakout[[#This Row],[angvel_Y]],2) + POWER(Breakout[[#This Row],[angvel_Z]],2))</f>
        <v>2.052600002435935</v>
      </c>
      <c r="U430" s="1">
        <f>DEGREES(ASIN(MAX(-1,MIN(1,2 * (Breakout[[#This Row],[quart_W]]*Breakout[[#This Row],[quart_Y]] - Breakout[[#This Row],[quart_Z]]*Breakout[[#This Row],[quart_X]])))))</f>
        <v>0.97848591602274682</v>
      </c>
      <c r="V43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-31.590346833165025</v>
      </c>
      <c r="W43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89.99991618834639</v>
      </c>
      <c r="X430" s="1">
        <f>IF(Breakout[[#This Row],[Yaw]]&gt;V429,(360-ABS(Breakout[[#This Row],[Yaw]])-ABS(V429)),ABS(Breakout[[#This Row],[Yaw]]-V429))</f>
        <v>0.97968528291695023</v>
      </c>
      <c r="Y430" s="1">
        <f>Breakout[[#This Row],[Degree change]]+Y429</f>
        <v>360.74287971154149</v>
      </c>
    </row>
    <row r="431" spans="1:25">
      <c r="A431">
        <v>430</v>
      </c>
      <c r="B431" s="1">
        <v>233.11999499999999</v>
      </c>
      <c r="C431" s="1">
        <v>2072.0600589999999</v>
      </c>
      <c r="D431" s="1">
        <v>18.34</v>
      </c>
      <c r="E431" s="1">
        <v>-1105.01001</v>
      </c>
      <c r="F431" s="1">
        <v>2017.1400149999999</v>
      </c>
      <c r="G431" s="1">
        <v>7.92</v>
      </c>
      <c r="H431" s="1">
        <v>1E-4</v>
      </c>
      <c r="I431" s="1">
        <v>0</v>
      </c>
      <c r="J431" s="1">
        <v>2.0526</v>
      </c>
      <c r="K431" s="1">
        <v>-7.4910000000000003E-3</v>
      </c>
      <c r="L431" s="1">
        <v>4.1029999999999999E-3</v>
      </c>
      <c r="M431" s="1">
        <v>0.87699000000000005</v>
      </c>
      <c r="N431" s="1">
        <v>0.480433</v>
      </c>
      <c r="O431">
        <v>1</v>
      </c>
      <c r="P431">
        <v>0</v>
      </c>
      <c r="Q431">
        <v>1</v>
      </c>
      <c r="R431">
        <v>1</v>
      </c>
      <c r="S431">
        <v>1</v>
      </c>
      <c r="T431" s="1">
        <f>SQRT(POWER(Breakout[[#This Row],[angvel_X]],2) + POWER(Breakout[[#This Row],[angvel_Y]],2) + POWER(Breakout[[#This Row],[angvel_Z]],2))</f>
        <v>2.052600002435935</v>
      </c>
      <c r="U431" s="1">
        <f>DEGREES(ASIN(MAX(-1,MIN(1,2 * (Breakout[[#This Row],[quart_W]]*Breakout[[#This Row],[quart_Y]] - Breakout[[#This Row],[quart_Z]]*Breakout[[#This Row],[quart_X]])))))</f>
        <v>0.97874530744362964</v>
      </c>
      <c r="V43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-32.570360227411619</v>
      </c>
      <c r="W43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90.000072619588465</v>
      </c>
      <c r="X431" s="1">
        <f>IF(Breakout[[#This Row],[Yaw]]&gt;V430,(360-ABS(Breakout[[#This Row],[Yaw]])-ABS(V430)),ABS(Breakout[[#This Row],[Yaw]]-V430))</f>
        <v>0.98001339424659406</v>
      </c>
      <c r="Y431" s="1">
        <f>Breakout[[#This Row],[Degree change]]+Y430</f>
        <v>361.7228931057881</v>
      </c>
    </row>
    <row r="432" spans="1:25">
      <c r="A432">
        <v>431</v>
      </c>
      <c r="B432" s="1">
        <v>223.86999499999999</v>
      </c>
      <c r="C432" s="1">
        <v>2088.929932</v>
      </c>
      <c r="D432" s="1">
        <v>18.34</v>
      </c>
      <c r="E432" s="1">
        <v>-1139.349976</v>
      </c>
      <c r="F432" s="1">
        <v>1997.9499510000001</v>
      </c>
      <c r="G432" s="1">
        <v>7.92</v>
      </c>
      <c r="H432" s="1">
        <v>1E-4</v>
      </c>
      <c r="I432" s="1">
        <v>0</v>
      </c>
      <c r="J432" s="1">
        <v>2.0526</v>
      </c>
      <c r="K432" s="1">
        <v>-7.5230000000000002E-3</v>
      </c>
      <c r="L432" s="1">
        <v>4.0379999999999999E-3</v>
      </c>
      <c r="M432" s="1">
        <v>0.88106799999999996</v>
      </c>
      <c r="N432" s="1">
        <v>0.472912</v>
      </c>
      <c r="O432">
        <v>1</v>
      </c>
      <c r="P432">
        <v>0</v>
      </c>
      <c r="Q432">
        <v>1</v>
      </c>
      <c r="R432">
        <v>1</v>
      </c>
      <c r="S432">
        <v>1</v>
      </c>
      <c r="T432" s="1">
        <f>SQRT(POWER(Breakout[[#This Row],[angvel_X]],2) + POWER(Breakout[[#This Row],[angvel_Y]],2) + POWER(Breakout[[#This Row],[angvel_Z]],2))</f>
        <v>2.052600002435935</v>
      </c>
      <c r="U432" s="1">
        <f>DEGREES(ASIN(MAX(-1,MIN(1,2 * (Breakout[[#This Row],[quart_W]]*Breakout[[#This Row],[quart_Y]] - Breakout[[#This Row],[quart_Z]]*Breakout[[#This Row],[quart_X]])))))</f>
        <v>0.97841804706803259</v>
      </c>
      <c r="V43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-33.550742536619026</v>
      </c>
      <c r="W43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89.999995919028763</v>
      </c>
      <c r="X432" s="1">
        <f>IF(Breakout[[#This Row],[Yaw]]&gt;V431,(360-ABS(Breakout[[#This Row],[Yaw]])-ABS(V431)),ABS(Breakout[[#This Row],[Yaw]]-V431))</f>
        <v>0.98038230920740688</v>
      </c>
      <c r="Y432" s="1">
        <f>Breakout[[#This Row],[Degree change]]+Y431</f>
        <v>362.70327541499552</v>
      </c>
    </row>
    <row r="433" spans="1:25">
      <c r="A433">
        <v>432</v>
      </c>
      <c r="B433" s="1">
        <v>214.33999600000001</v>
      </c>
      <c r="C433" s="1">
        <v>2105.639893</v>
      </c>
      <c r="D433" s="1">
        <v>18.34</v>
      </c>
      <c r="E433" s="1">
        <v>-1173.3599850000001</v>
      </c>
      <c r="F433" s="1">
        <v>1978.169922</v>
      </c>
      <c r="G433" s="1">
        <v>7.92</v>
      </c>
      <c r="H433" s="1">
        <v>0</v>
      </c>
      <c r="I433" s="1">
        <v>0</v>
      </c>
      <c r="J433" s="1">
        <v>2.0526</v>
      </c>
      <c r="K433" s="1">
        <v>-7.5550000000000001E-3</v>
      </c>
      <c r="L433" s="1">
        <v>3.973E-3</v>
      </c>
      <c r="M433" s="1">
        <v>0.88507999999999998</v>
      </c>
      <c r="N433" s="1">
        <v>0.46536</v>
      </c>
      <c r="O433">
        <v>1</v>
      </c>
      <c r="P433">
        <v>0</v>
      </c>
      <c r="Q433">
        <v>1</v>
      </c>
      <c r="R433">
        <v>1</v>
      </c>
      <c r="S433">
        <v>1</v>
      </c>
      <c r="T433" s="1">
        <f>SQRT(POWER(Breakout[[#This Row],[angvel_X]],2) + POWER(Breakout[[#This Row],[angvel_Y]],2) + POWER(Breakout[[#This Row],[angvel_Z]],2))</f>
        <v>2.0526</v>
      </c>
      <c r="U433" s="1">
        <f>DEGREES(ASIN(MAX(-1,MIN(1,2 * (Breakout[[#This Row],[quart_W]]*Breakout[[#This Row],[quart_Y]] - Breakout[[#This Row],[quart_Z]]*Breakout[[#This Row],[quart_X]])))))</f>
        <v>0.97816149188307178</v>
      </c>
      <c r="V43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-34.530712852849867</v>
      </c>
      <c r="W43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89.999928021428161</v>
      </c>
      <c r="X433" s="1">
        <f>IF(Breakout[[#This Row],[Yaw]]&gt;V432,(360-ABS(Breakout[[#This Row],[Yaw]])-ABS(V432)),ABS(Breakout[[#This Row],[Yaw]]-V432))</f>
        <v>0.97997031623084041</v>
      </c>
      <c r="Y433" s="1">
        <f>Breakout[[#This Row],[Degree change]]+Y432</f>
        <v>363.68324573122635</v>
      </c>
    </row>
    <row r="434" spans="1:25">
      <c r="A434">
        <v>433</v>
      </c>
      <c r="B434" s="1">
        <v>204.51998900000001</v>
      </c>
      <c r="C434" s="1">
        <v>2122.179932</v>
      </c>
      <c r="D434" s="1">
        <v>18.34</v>
      </c>
      <c r="E434" s="1">
        <v>-1207.0200199999999</v>
      </c>
      <c r="F434" s="1">
        <v>1957.809937</v>
      </c>
      <c r="G434" s="1">
        <v>7.92</v>
      </c>
      <c r="H434" s="1">
        <v>0</v>
      </c>
      <c r="I434" s="1">
        <v>0</v>
      </c>
      <c r="J434" s="1">
        <v>2.0526</v>
      </c>
      <c r="K434" s="1">
        <v>-7.5880000000000001E-3</v>
      </c>
      <c r="L434" s="1">
        <v>3.9090000000000001E-3</v>
      </c>
      <c r="M434" s="1">
        <v>0.88902700000000001</v>
      </c>
      <c r="N434" s="1">
        <v>0.45777400000000001</v>
      </c>
      <c r="O434">
        <v>1</v>
      </c>
      <c r="P434">
        <v>0</v>
      </c>
      <c r="Q434">
        <v>1</v>
      </c>
      <c r="R434">
        <v>1</v>
      </c>
      <c r="S434">
        <v>1</v>
      </c>
      <c r="T434" s="1">
        <f>SQRT(POWER(Breakout[[#This Row],[angvel_X]],2) + POWER(Breakout[[#This Row],[angvel_Y]],2) + POWER(Breakout[[#This Row],[angvel_Z]],2))</f>
        <v>2.0526</v>
      </c>
      <c r="U434" s="1">
        <f>DEGREES(ASIN(MAX(-1,MIN(1,2 * (Breakout[[#This Row],[quart_W]]*Breakout[[#This Row],[quart_Y]] - Breakout[[#This Row],[quart_Z]]*Breakout[[#This Row],[quart_X]])))))</f>
        <v>0.97812948890181728</v>
      </c>
      <c r="V43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-35.510646659288852</v>
      </c>
      <c r="W43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89.999814629048572</v>
      </c>
      <c r="X434" s="1">
        <f>IF(Breakout[[#This Row],[Yaw]]&gt;V433,(360-ABS(Breakout[[#This Row],[Yaw]])-ABS(V433)),ABS(Breakout[[#This Row],[Yaw]]-V433))</f>
        <v>0.97993380643898575</v>
      </c>
      <c r="Y434" s="1">
        <f>Breakout[[#This Row],[Degree change]]+Y433</f>
        <v>364.66317953766531</v>
      </c>
    </row>
    <row r="435" spans="1:25">
      <c r="A435">
        <v>434</v>
      </c>
      <c r="B435" s="1">
        <v>194.41999799999999</v>
      </c>
      <c r="C435" s="1">
        <v>2138.5500489999999</v>
      </c>
      <c r="D435" s="1">
        <v>18.34</v>
      </c>
      <c r="E435" s="1">
        <v>-1240.329956</v>
      </c>
      <c r="F435" s="1">
        <v>1936.880005</v>
      </c>
      <c r="G435" s="1">
        <v>7.92</v>
      </c>
      <c r="H435" s="1">
        <v>0</v>
      </c>
      <c r="I435" s="1">
        <v>0</v>
      </c>
      <c r="J435" s="1">
        <v>2.0526</v>
      </c>
      <c r="K435" s="1">
        <v>-7.62E-3</v>
      </c>
      <c r="L435" s="1">
        <v>3.8440000000000002E-3</v>
      </c>
      <c r="M435" s="1">
        <v>0.89290899999999995</v>
      </c>
      <c r="N435" s="1">
        <v>0.45015699999999997</v>
      </c>
      <c r="O435">
        <v>1</v>
      </c>
      <c r="P435">
        <v>0</v>
      </c>
      <c r="Q435">
        <v>1</v>
      </c>
      <c r="R435">
        <v>1</v>
      </c>
      <c r="S435">
        <v>1</v>
      </c>
      <c r="T435" s="1">
        <f>SQRT(POWER(Breakout[[#This Row],[angvel_X]],2) + POWER(Breakout[[#This Row],[angvel_Y]],2) + POWER(Breakout[[#This Row],[angvel_Z]],2))</f>
        <v>2.0526</v>
      </c>
      <c r="U435" s="1">
        <f>DEGREES(ASIN(MAX(-1,MIN(1,2 * (Breakout[[#This Row],[quart_W]]*Breakout[[#This Row],[quart_Y]] - Breakout[[#This Row],[quart_Z]]*Breakout[[#This Row],[quart_X]])))))</f>
        <v>0.97801426703190486</v>
      </c>
      <c r="V43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-36.490431872712762</v>
      </c>
      <c r="W43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89.999754067187666</v>
      </c>
      <c r="X435" s="1">
        <f>IF(Breakout[[#This Row],[Yaw]]&gt;V434,(360-ABS(Breakout[[#This Row],[Yaw]])-ABS(V434)),ABS(Breakout[[#This Row],[Yaw]]-V434))</f>
        <v>0.97978521342390934</v>
      </c>
      <c r="Y435" s="1">
        <f>Breakout[[#This Row],[Degree change]]+Y434</f>
        <v>365.64296475108921</v>
      </c>
    </row>
    <row r="436" spans="1:25">
      <c r="A436">
        <v>435</v>
      </c>
      <c r="B436" s="1">
        <v>184.03999300000001</v>
      </c>
      <c r="C436" s="1">
        <v>2154.75</v>
      </c>
      <c r="D436" s="1">
        <v>18.34</v>
      </c>
      <c r="E436" s="1">
        <v>-1273.2700199999999</v>
      </c>
      <c r="F436" s="1">
        <v>1915.380005</v>
      </c>
      <c r="G436" s="1">
        <v>7.92</v>
      </c>
      <c r="H436" s="1">
        <v>0</v>
      </c>
      <c r="I436" s="1">
        <v>0</v>
      </c>
      <c r="J436" s="1">
        <v>2.0526</v>
      </c>
      <c r="K436" s="1">
        <v>-7.6530000000000001E-3</v>
      </c>
      <c r="L436" s="1">
        <v>3.7789999999999998E-3</v>
      </c>
      <c r="M436" s="1">
        <v>0.89672700000000005</v>
      </c>
      <c r="N436" s="1">
        <v>0.44250200000000001</v>
      </c>
      <c r="O436">
        <v>1</v>
      </c>
      <c r="P436">
        <v>0</v>
      </c>
      <c r="Q436">
        <v>1</v>
      </c>
      <c r="R436">
        <v>1</v>
      </c>
      <c r="S436">
        <v>1</v>
      </c>
      <c r="T436" s="1">
        <f>SQRT(POWER(Breakout[[#This Row],[angvel_X]],2) + POWER(Breakout[[#This Row],[angvel_Y]],2) + POWER(Breakout[[#This Row],[angvel_Z]],2))</f>
        <v>2.0526</v>
      </c>
      <c r="U436" s="1">
        <f>DEGREES(ASIN(MAX(-1,MIN(1,2 * (Breakout[[#This Row],[quart_W]]*Breakout[[#This Row],[quart_Y]] - Breakout[[#This Row],[quart_Z]]*Breakout[[#This Row],[quart_X]])))))</f>
        <v>0.97807119306742119</v>
      </c>
      <c r="V43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-37.470700154730636</v>
      </c>
      <c r="W43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89.999740581115233</v>
      </c>
      <c r="X436" s="1">
        <f>IF(Breakout[[#This Row],[Yaw]]&gt;V435,(360-ABS(Breakout[[#This Row],[Yaw]])-ABS(V435)),ABS(Breakout[[#This Row],[Yaw]]-V435))</f>
        <v>0.98026828201787453</v>
      </c>
      <c r="Y436" s="1">
        <f>Breakout[[#This Row],[Degree change]]+Y435</f>
        <v>366.62323303310711</v>
      </c>
    </row>
    <row r="437" spans="1:25">
      <c r="A437">
        <v>436</v>
      </c>
      <c r="B437" s="1">
        <v>173.38999899999999</v>
      </c>
      <c r="C437" s="1">
        <v>2170.7700199999999</v>
      </c>
      <c r="D437" s="1">
        <v>18.34</v>
      </c>
      <c r="E437" s="1">
        <v>-1305.849976</v>
      </c>
      <c r="F437" s="1">
        <v>1893.3199460000001</v>
      </c>
      <c r="G437" s="1">
        <v>7.92</v>
      </c>
      <c r="H437" s="1">
        <v>0</v>
      </c>
      <c r="I437" s="1">
        <v>0</v>
      </c>
      <c r="J437" s="1">
        <v>2.0526</v>
      </c>
      <c r="K437" s="1">
        <v>-7.685E-3</v>
      </c>
      <c r="L437" s="1">
        <v>3.7139999999999999E-3</v>
      </c>
      <c r="M437" s="1">
        <v>0.90047999999999995</v>
      </c>
      <c r="N437" s="1">
        <v>0.43481399999999998</v>
      </c>
      <c r="O437">
        <v>1</v>
      </c>
      <c r="P437">
        <v>0</v>
      </c>
      <c r="Q437">
        <v>1</v>
      </c>
      <c r="R437">
        <v>1</v>
      </c>
      <c r="S437">
        <v>1</v>
      </c>
      <c r="T437" s="1">
        <f>SQRT(POWER(Breakout[[#This Row],[angvel_X]],2) + POWER(Breakout[[#This Row],[angvel_Y]],2) + POWER(Breakout[[#This Row],[angvel_Z]],2))</f>
        <v>2.0526</v>
      </c>
      <c r="U437" s="1">
        <f>DEGREES(ASIN(MAX(-1,MIN(1,2 * (Breakout[[#This Row],[quart_W]]*Breakout[[#This Row],[quart_Y]] - Breakout[[#This Row],[quart_Z]]*Breakout[[#This Row],[quart_X]])))))</f>
        <v>0.97809654521628486</v>
      </c>
      <c r="V43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-38.451090785297666</v>
      </c>
      <c r="W43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89.999674841472583</v>
      </c>
      <c r="X437" s="1">
        <f>IF(Breakout[[#This Row],[Yaw]]&gt;V436,(360-ABS(Breakout[[#This Row],[Yaw]])-ABS(V436)),ABS(Breakout[[#This Row],[Yaw]]-V436))</f>
        <v>0.98039063056702958</v>
      </c>
      <c r="Y437" s="1">
        <f>Breakout[[#This Row],[Degree change]]+Y436</f>
        <v>367.60362366367417</v>
      </c>
    </row>
    <row r="438" spans="1:25">
      <c r="A438">
        <v>437</v>
      </c>
      <c r="B438" s="1">
        <v>162.470001</v>
      </c>
      <c r="C438" s="1">
        <v>2186.5998540000001</v>
      </c>
      <c r="D438" s="1">
        <v>18.34</v>
      </c>
      <c r="E438" s="1">
        <v>-1338.049927</v>
      </c>
      <c r="F438" s="1">
        <v>1870.709961</v>
      </c>
      <c r="G438" s="1">
        <v>7.92</v>
      </c>
      <c r="H438" s="1">
        <v>0</v>
      </c>
      <c r="I438" s="1">
        <v>0</v>
      </c>
      <c r="J438" s="1">
        <v>2.0526</v>
      </c>
      <c r="K438" s="1">
        <v>-7.7169999999999999E-3</v>
      </c>
      <c r="L438" s="1">
        <v>3.65E-3</v>
      </c>
      <c r="M438" s="1">
        <v>0.90416399999999997</v>
      </c>
      <c r="N438" s="1">
        <v>0.42709999999999998</v>
      </c>
      <c r="O438">
        <v>1</v>
      </c>
      <c r="P438">
        <v>0</v>
      </c>
      <c r="Q438">
        <v>1</v>
      </c>
      <c r="R438">
        <v>1</v>
      </c>
      <c r="S438">
        <v>1</v>
      </c>
      <c r="T438" s="1">
        <f>SQRT(POWER(Breakout[[#This Row],[angvel_X]],2) + POWER(Breakout[[#This Row],[angvel_Y]],2) + POWER(Breakout[[#This Row],[angvel_Z]],2))</f>
        <v>2.0526</v>
      </c>
      <c r="U438" s="1">
        <f>DEGREES(ASIN(MAX(-1,MIN(1,2 * (Breakout[[#This Row],[quart_W]]*Breakout[[#This Row],[quart_Y]] - Breakout[[#This Row],[quart_Z]]*Breakout[[#This Row],[quart_X]])))))</f>
        <v>0.97824101947274611</v>
      </c>
      <c r="V43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-39.430700944516104</v>
      </c>
      <c r="W43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89.999510863393994</v>
      </c>
      <c r="X438" s="1">
        <f>IF(Breakout[[#This Row],[Yaw]]&gt;V437,(360-ABS(Breakout[[#This Row],[Yaw]])-ABS(V437)),ABS(Breakout[[#This Row],[Yaw]]-V437))</f>
        <v>0.97961015921843853</v>
      </c>
      <c r="Y438" s="1">
        <f>Breakout[[#This Row],[Degree change]]+Y437</f>
        <v>368.58323382289262</v>
      </c>
    </row>
    <row r="439" spans="1:25">
      <c r="A439">
        <v>438</v>
      </c>
      <c r="B439" s="1">
        <v>151.279999</v>
      </c>
      <c r="C439" s="1">
        <v>2202.23999</v>
      </c>
      <c r="D439" s="1">
        <v>18.34</v>
      </c>
      <c r="E439" s="1">
        <v>-1369.849976</v>
      </c>
      <c r="F439" s="1">
        <v>1847.5399170000001</v>
      </c>
      <c r="G439" s="1">
        <v>7.92</v>
      </c>
      <c r="H439" s="1">
        <v>0</v>
      </c>
      <c r="I439" s="1">
        <v>0</v>
      </c>
      <c r="J439" s="1">
        <v>2.0526</v>
      </c>
      <c r="K439" s="1">
        <v>-7.7499999999999999E-3</v>
      </c>
      <c r="L439" s="1">
        <v>3.5850000000000001E-3</v>
      </c>
      <c r="M439" s="1">
        <v>0.90778300000000001</v>
      </c>
      <c r="N439" s="1">
        <v>0.41935299999999998</v>
      </c>
      <c r="O439">
        <v>1</v>
      </c>
      <c r="P439">
        <v>0</v>
      </c>
      <c r="Q439">
        <v>1</v>
      </c>
      <c r="R439">
        <v>1</v>
      </c>
      <c r="S439">
        <v>1</v>
      </c>
      <c r="T439" s="1">
        <f>SQRT(POWER(Breakout[[#This Row],[angvel_X]],2) + POWER(Breakout[[#This Row],[angvel_Y]],2) + POWER(Breakout[[#This Row],[angvel_Z]],2))</f>
        <v>2.0526</v>
      </c>
      <c r="U439" s="1">
        <f>DEGREES(ASIN(MAX(-1,MIN(1,2 * (Breakout[[#This Row],[quart_W]]*Breakout[[#This Row],[quart_Y]] - Breakout[[#This Row],[quart_Z]]*Breakout[[#This Row],[quart_X]])))))</f>
        <v>0.97851036804137381</v>
      </c>
      <c r="V43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-40.410569531564285</v>
      </c>
      <c r="W43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89.999493854914064</v>
      </c>
      <c r="X439" s="1">
        <f>IF(Breakout[[#This Row],[Yaw]]&gt;V438,(360-ABS(Breakout[[#This Row],[Yaw]])-ABS(V438)),ABS(Breakout[[#This Row],[Yaw]]-V438))</f>
        <v>0.97986858704818047</v>
      </c>
      <c r="Y439" s="1">
        <f>Breakout[[#This Row],[Degree change]]+Y438</f>
        <v>369.56310240994083</v>
      </c>
    </row>
    <row r="440" spans="1:25">
      <c r="A440">
        <v>439</v>
      </c>
      <c r="B440" s="1">
        <v>139.81999200000001</v>
      </c>
      <c r="C440" s="1">
        <v>2217.6899410000001</v>
      </c>
      <c r="D440" s="1">
        <v>18.34</v>
      </c>
      <c r="E440" s="1">
        <v>-1401.25</v>
      </c>
      <c r="F440" s="1">
        <v>1823.839966</v>
      </c>
      <c r="G440" s="1">
        <v>7.92</v>
      </c>
      <c r="H440" s="1">
        <v>0</v>
      </c>
      <c r="I440" s="1">
        <v>0</v>
      </c>
      <c r="J440" s="1">
        <v>2.0526</v>
      </c>
      <c r="K440" s="1">
        <v>-7.7819999999999999E-3</v>
      </c>
      <c r="L440" s="1">
        <v>3.5200000000000001E-3</v>
      </c>
      <c r="M440" s="1">
        <v>0.91133699999999995</v>
      </c>
      <c r="N440" s="1">
        <v>0.41157300000000002</v>
      </c>
      <c r="O440">
        <v>1</v>
      </c>
      <c r="P440">
        <v>0</v>
      </c>
      <c r="Q440">
        <v>1</v>
      </c>
      <c r="R440">
        <v>1</v>
      </c>
      <c r="S440">
        <v>1</v>
      </c>
      <c r="T440" s="1">
        <f>SQRT(POWER(Breakout[[#This Row],[angvel_X]],2) + POWER(Breakout[[#This Row],[angvel_Y]],2) + POWER(Breakout[[#This Row],[angvel_Z]],2))</f>
        <v>2.0526</v>
      </c>
      <c r="U440" s="1">
        <f>DEGREES(ASIN(MAX(-1,MIN(1,2 * (Breakout[[#This Row],[quart_W]]*Breakout[[#This Row],[quart_Y]] - Breakout[[#This Row],[quart_Z]]*Breakout[[#This Row],[quart_X]])))))</f>
        <v>0.97874677500265927</v>
      </c>
      <c r="V44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-41.390772506106849</v>
      </c>
      <c r="W44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89.99942178357594</v>
      </c>
      <c r="X440" s="1">
        <f>IF(Breakout[[#This Row],[Yaw]]&gt;V439,(360-ABS(Breakout[[#This Row],[Yaw]])-ABS(V439)),ABS(Breakout[[#This Row],[Yaw]]-V439))</f>
        <v>0.98020297454256422</v>
      </c>
      <c r="Y440" s="1">
        <f>Breakout[[#This Row],[Degree change]]+Y439</f>
        <v>370.5433053844834</v>
      </c>
    </row>
    <row r="441" spans="1:25">
      <c r="A441">
        <v>440</v>
      </c>
      <c r="B441" s="1">
        <v>128.09999099999999</v>
      </c>
      <c r="C441" s="1">
        <v>2232.9399410000001</v>
      </c>
      <c r="D441" s="1">
        <v>18.34</v>
      </c>
      <c r="E441" s="1">
        <v>-1432.23999</v>
      </c>
      <c r="F441" s="1">
        <v>1799.6099850000001</v>
      </c>
      <c r="G441" s="1">
        <v>7.92</v>
      </c>
      <c r="H441" s="1">
        <v>0</v>
      </c>
      <c r="I441" s="1">
        <v>0</v>
      </c>
      <c r="J441" s="1">
        <v>2.0526</v>
      </c>
      <c r="K441" s="1">
        <v>-7.8139999999999998E-3</v>
      </c>
      <c r="L441" s="1">
        <v>3.4550000000000002E-3</v>
      </c>
      <c r="M441" s="1">
        <v>0.91482399999999997</v>
      </c>
      <c r="N441" s="1">
        <v>0.40376200000000001</v>
      </c>
      <c r="O441">
        <v>1</v>
      </c>
      <c r="P441">
        <v>0</v>
      </c>
      <c r="Q441">
        <v>1</v>
      </c>
      <c r="R441">
        <v>1</v>
      </c>
      <c r="S441">
        <v>1</v>
      </c>
      <c r="T441" s="1">
        <f>SQRT(POWER(Breakout[[#This Row],[angvel_X]],2) + POWER(Breakout[[#This Row],[angvel_Y]],2) + POWER(Breakout[[#This Row],[angvel_Z]],2))</f>
        <v>2.0526</v>
      </c>
      <c r="U441" s="1">
        <f>DEGREES(ASIN(MAX(-1,MIN(1,2 * (Breakout[[#This Row],[quart_W]]*Breakout[[#This Row],[quart_Y]] - Breakout[[#This Row],[quart_Z]]*Breakout[[#This Row],[quart_X]])))))</f>
        <v>0.97905288823226944</v>
      </c>
      <c r="V44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-42.370997480590873</v>
      </c>
      <c r="W44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89.999344365851869</v>
      </c>
      <c r="X441" s="1">
        <f>IF(Breakout[[#This Row],[Yaw]]&gt;V440,(360-ABS(Breakout[[#This Row],[Yaw]])-ABS(V440)),ABS(Breakout[[#This Row],[Yaw]]-V440))</f>
        <v>0.9802249744840239</v>
      </c>
      <c r="Y441" s="1">
        <f>Breakout[[#This Row],[Degree change]]+Y440</f>
        <v>371.52353035896743</v>
      </c>
    </row>
    <row r="442" spans="1:25">
      <c r="A442">
        <v>441</v>
      </c>
      <c r="B442" s="1">
        <v>116.119995</v>
      </c>
      <c r="C442" s="1">
        <v>2247.98999</v>
      </c>
      <c r="D442" s="1">
        <v>18.34</v>
      </c>
      <c r="E442" s="1">
        <v>-1462.809937</v>
      </c>
      <c r="F442" s="1">
        <v>1774.849976</v>
      </c>
      <c r="G442" s="1">
        <v>7.92</v>
      </c>
      <c r="H442" s="1">
        <v>1E-4</v>
      </c>
      <c r="I442" s="1">
        <v>0</v>
      </c>
      <c r="J442" s="1">
        <v>2.0526</v>
      </c>
      <c r="K442" s="1">
        <v>-7.8410000000000007E-3</v>
      </c>
      <c r="L442" s="1">
        <v>3.3909999999999999E-3</v>
      </c>
      <c r="M442" s="1">
        <v>0.91824399999999995</v>
      </c>
      <c r="N442" s="1">
        <v>0.39592300000000002</v>
      </c>
      <c r="O442">
        <v>1</v>
      </c>
      <c r="P442">
        <v>0</v>
      </c>
      <c r="Q442">
        <v>1</v>
      </c>
      <c r="R442">
        <v>1</v>
      </c>
      <c r="S442">
        <v>1</v>
      </c>
      <c r="T442" s="1">
        <f>SQRT(POWER(Breakout[[#This Row],[angvel_X]],2) + POWER(Breakout[[#This Row],[angvel_Y]],2) + POWER(Breakout[[#This Row],[angvel_Z]],2))</f>
        <v>2.052600002435935</v>
      </c>
      <c r="U442" s="1">
        <f>DEGREES(ASIN(MAX(-1,MIN(1,2 * (Breakout[[#This Row],[quart_W]]*Breakout[[#This Row],[quart_Y]] - Breakout[[#This Row],[quart_Z]]*Breakout[[#This Row],[quart_X]])))))</f>
        <v>0.97894901312410187</v>
      </c>
      <c r="V44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-43.351105910415868</v>
      </c>
      <c r="W44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89.998930342402929</v>
      </c>
      <c r="X442" s="1">
        <f>IF(Breakout[[#This Row],[Yaw]]&gt;V441,(360-ABS(Breakout[[#This Row],[Yaw]])-ABS(V441)),ABS(Breakout[[#This Row],[Yaw]]-V441))</f>
        <v>0.98010842982499469</v>
      </c>
      <c r="Y442" s="1">
        <f>Breakout[[#This Row],[Degree change]]+Y441</f>
        <v>372.50363878879244</v>
      </c>
    </row>
    <row r="443" spans="1:25">
      <c r="A443">
        <v>442</v>
      </c>
      <c r="B443" s="1">
        <v>103.879997</v>
      </c>
      <c r="C443" s="1">
        <v>2262.8298340000001</v>
      </c>
      <c r="D443" s="1">
        <v>18.34</v>
      </c>
      <c r="E443" s="1">
        <v>-1492.959961</v>
      </c>
      <c r="F443" s="1">
        <v>1749.5699460000001</v>
      </c>
      <c r="G443" s="1">
        <v>7.92</v>
      </c>
      <c r="H443" s="1">
        <v>1E-4</v>
      </c>
      <c r="I443" s="1">
        <v>0</v>
      </c>
      <c r="J443" s="1">
        <v>2.0526</v>
      </c>
      <c r="K443" s="1">
        <v>-7.868E-3</v>
      </c>
      <c r="L443" s="1">
        <v>3.3210000000000002E-3</v>
      </c>
      <c r="M443" s="1">
        <v>0.92159599999999997</v>
      </c>
      <c r="N443" s="1">
        <v>0.38805699999999999</v>
      </c>
      <c r="O443">
        <v>1</v>
      </c>
      <c r="P443">
        <v>0</v>
      </c>
      <c r="Q443">
        <v>1</v>
      </c>
      <c r="R443">
        <v>1</v>
      </c>
      <c r="S443">
        <v>1</v>
      </c>
      <c r="T443" s="1">
        <f>SQRT(POWER(Breakout[[#This Row],[angvel_X]],2) + POWER(Breakout[[#This Row],[angvel_Y]],2) + POWER(Breakout[[#This Row],[angvel_Z]],2))</f>
        <v>2.052600002435935</v>
      </c>
      <c r="U443" s="1">
        <f>DEGREES(ASIN(MAX(-1,MIN(1,2 * (Breakout[[#This Row],[quart_W]]*Breakout[[#This Row],[quart_Y]] - Breakout[[#This Row],[quart_Z]]*Breakout[[#This Row],[quart_X]])))))</f>
        <v>0.97864284030766979</v>
      </c>
      <c r="V443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-44.330962512916422</v>
      </c>
      <c r="W443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89.9991532923883</v>
      </c>
      <c r="X443" s="1">
        <f>IF(Breakout[[#This Row],[Yaw]]&gt;V442,(360-ABS(Breakout[[#This Row],[Yaw]])-ABS(V442)),ABS(Breakout[[#This Row],[Yaw]]-V442))</f>
        <v>0.97985660250055417</v>
      </c>
      <c r="Y443" s="1">
        <f>Breakout[[#This Row],[Degree change]]+Y442</f>
        <v>373.48349539129299</v>
      </c>
    </row>
    <row r="444" spans="1:25">
      <c r="A444">
        <v>443</v>
      </c>
      <c r="B444" s="1">
        <v>91.389999000000003</v>
      </c>
      <c r="C444" s="1">
        <v>2277.459961</v>
      </c>
      <c r="D444" s="1">
        <v>18.34</v>
      </c>
      <c r="E444" s="1">
        <v>-1522.6599120000001</v>
      </c>
      <c r="F444" s="1">
        <v>1723.7700199999999</v>
      </c>
      <c r="G444" s="1">
        <v>7.92</v>
      </c>
      <c r="H444" s="1">
        <v>1E-4</v>
      </c>
      <c r="I444" s="1">
        <v>0</v>
      </c>
      <c r="J444" s="1">
        <v>2.0526</v>
      </c>
      <c r="K444" s="1">
        <v>-7.8949999999999992E-3</v>
      </c>
      <c r="L444" s="1">
        <v>3.2499999999999999E-3</v>
      </c>
      <c r="M444" s="1">
        <v>0.92488199999999998</v>
      </c>
      <c r="N444" s="1">
        <v>0.38015900000000002</v>
      </c>
      <c r="O444">
        <v>1</v>
      </c>
      <c r="P444">
        <v>0</v>
      </c>
      <c r="Q444">
        <v>1</v>
      </c>
      <c r="R444">
        <v>1</v>
      </c>
      <c r="S444">
        <v>1</v>
      </c>
      <c r="T444" s="1">
        <f>SQRT(POWER(Breakout[[#This Row],[angvel_X]],2) + POWER(Breakout[[#This Row],[angvel_Y]],2) + POWER(Breakout[[#This Row],[angvel_Z]],2))</f>
        <v>2.052600002435935</v>
      </c>
      <c r="U444" s="1">
        <f>DEGREES(ASIN(MAX(-1,MIN(1,2 * (Breakout[[#This Row],[quart_W]]*Breakout[[#This Row],[quart_Y]] - Breakout[[#This Row],[quart_Z]]*Breakout[[#This Row],[quart_X]])))))</f>
        <v>0.9783684125192067</v>
      </c>
      <c r="V444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-45.31125422890846</v>
      </c>
      <c r="W444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89.999482979757047</v>
      </c>
      <c r="X444" s="1">
        <f>IF(Breakout[[#This Row],[Yaw]]&gt;V443,(360-ABS(Breakout[[#This Row],[Yaw]])-ABS(V443)),ABS(Breakout[[#This Row],[Yaw]]-V443))</f>
        <v>0.98029171599203835</v>
      </c>
      <c r="Y444" s="1">
        <f>Breakout[[#This Row],[Degree change]]+Y443</f>
        <v>374.46378710728504</v>
      </c>
    </row>
    <row r="445" spans="1:25">
      <c r="A445">
        <v>444</v>
      </c>
      <c r="B445" s="1">
        <v>78.650002000000001</v>
      </c>
      <c r="C445" s="1">
        <v>2291.8698730000001</v>
      </c>
      <c r="D445" s="1">
        <v>18.34</v>
      </c>
      <c r="E445" s="1">
        <v>-1551.929932</v>
      </c>
      <c r="F445" s="1">
        <v>1697.4799800000001</v>
      </c>
      <c r="G445" s="1">
        <v>7.92</v>
      </c>
      <c r="H445" s="1">
        <v>1E-4</v>
      </c>
      <c r="I445" s="1">
        <v>0</v>
      </c>
      <c r="J445" s="1">
        <v>2.0526</v>
      </c>
      <c r="K445" s="1">
        <v>-7.9220000000000002E-3</v>
      </c>
      <c r="L445" s="1">
        <v>3.1800000000000001E-3</v>
      </c>
      <c r="M445" s="1">
        <v>0.92809900000000001</v>
      </c>
      <c r="N445" s="1">
        <v>0.37223400000000001</v>
      </c>
      <c r="O445">
        <v>1</v>
      </c>
      <c r="P445">
        <v>0</v>
      </c>
      <c r="Q445">
        <v>1</v>
      </c>
      <c r="R445">
        <v>1</v>
      </c>
      <c r="S445">
        <v>1</v>
      </c>
      <c r="T445" s="1">
        <f>SQRT(POWER(Breakout[[#This Row],[angvel_X]],2) + POWER(Breakout[[#This Row],[angvel_Y]],2) + POWER(Breakout[[#This Row],[angvel_Z]],2))</f>
        <v>2.052600002435935</v>
      </c>
      <c r="U445" s="1">
        <f>DEGREES(ASIN(MAX(-1,MIN(1,2 * (Breakout[[#This Row],[quart_W]]*Breakout[[#This Row],[quart_Y]] - Breakout[[#This Row],[quart_Z]]*Breakout[[#This Row],[quart_X]])))))</f>
        <v>0.97821303328110165</v>
      </c>
      <c r="V445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-46.291331274473094</v>
      </c>
      <c r="W445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89.999711522752392</v>
      </c>
      <c r="X445" s="1">
        <f>IF(Breakout[[#This Row],[Yaw]]&gt;V444,(360-ABS(Breakout[[#This Row],[Yaw]])-ABS(V444)),ABS(Breakout[[#This Row],[Yaw]]-V444))</f>
        <v>0.98007704556463437</v>
      </c>
      <c r="Y445" s="1">
        <f>Breakout[[#This Row],[Degree change]]+Y444</f>
        <v>375.4438641528497</v>
      </c>
    </row>
    <row r="446" spans="1:25">
      <c r="A446">
        <v>445</v>
      </c>
      <c r="B446" s="1">
        <v>65.669998000000007</v>
      </c>
      <c r="C446" s="1">
        <v>2306.0600589999999</v>
      </c>
      <c r="D446" s="1">
        <v>18.34</v>
      </c>
      <c r="E446" s="1">
        <v>-1580.73999</v>
      </c>
      <c r="F446" s="1">
        <v>1670.679932</v>
      </c>
      <c r="G446" s="1">
        <v>7.92</v>
      </c>
      <c r="H446" s="1">
        <v>1E-4</v>
      </c>
      <c r="I446" s="1">
        <v>0</v>
      </c>
      <c r="J446" s="1">
        <v>2.0526</v>
      </c>
      <c r="K446" s="1">
        <v>-7.9489999999999995E-3</v>
      </c>
      <c r="L446" s="1">
        <v>3.1099999999999999E-3</v>
      </c>
      <c r="M446" s="1">
        <v>0.93124899999999999</v>
      </c>
      <c r="N446" s="1">
        <v>0.36428199999999999</v>
      </c>
      <c r="O446">
        <v>1</v>
      </c>
      <c r="P446">
        <v>0</v>
      </c>
      <c r="Q446">
        <v>1</v>
      </c>
      <c r="R446">
        <v>1</v>
      </c>
      <c r="S446">
        <v>1</v>
      </c>
      <c r="T446" s="1">
        <f>SQRT(POWER(Breakout[[#This Row],[angvel_X]],2) + POWER(Breakout[[#This Row],[angvel_Y]],2) + POWER(Breakout[[#This Row],[angvel_Z]],2))</f>
        <v>2.052600002435935</v>
      </c>
      <c r="U446" s="1">
        <f>DEGREES(ASIN(MAX(-1,MIN(1,2 * (Breakout[[#This Row],[quart_W]]*Breakout[[#This Row],[quart_Y]] - Breakout[[#This Row],[quart_Z]]*Breakout[[#This Row],[quart_X]])))))</f>
        <v>0.97813405936459175</v>
      </c>
      <c r="V446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-47.27149729887411</v>
      </c>
      <c r="W446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89.999941919743137</v>
      </c>
      <c r="X446" s="1">
        <f>IF(Breakout[[#This Row],[Yaw]]&gt;V445,(360-ABS(Breakout[[#This Row],[Yaw]])-ABS(V445)),ABS(Breakout[[#This Row],[Yaw]]-V445))</f>
        <v>0.98016602440101508</v>
      </c>
      <c r="Y446" s="1">
        <f>Breakout[[#This Row],[Degree change]]+Y445</f>
        <v>376.4240301772507</v>
      </c>
    </row>
    <row r="447" spans="1:25">
      <c r="A447">
        <v>446</v>
      </c>
      <c r="B447" s="1">
        <v>52.449997000000003</v>
      </c>
      <c r="C447" s="1">
        <v>2320.030029</v>
      </c>
      <c r="D447" s="1">
        <v>18.34</v>
      </c>
      <c r="E447" s="1">
        <v>-1609.079956</v>
      </c>
      <c r="F447" s="1">
        <v>1643.3999020000001</v>
      </c>
      <c r="G447" s="1">
        <v>7.92</v>
      </c>
      <c r="H447" s="1">
        <v>0</v>
      </c>
      <c r="I447" s="1">
        <v>0</v>
      </c>
      <c r="J447" s="1">
        <v>2.0526</v>
      </c>
      <c r="K447" s="1">
        <v>-7.9760000000000005E-3</v>
      </c>
      <c r="L447" s="1">
        <v>3.0400000000000002E-3</v>
      </c>
      <c r="M447" s="1">
        <v>0.93433100000000002</v>
      </c>
      <c r="N447" s="1">
        <v>0.35630299999999998</v>
      </c>
      <c r="O447">
        <v>1</v>
      </c>
      <c r="P447">
        <v>0</v>
      </c>
      <c r="Q447">
        <v>1</v>
      </c>
      <c r="R447">
        <v>1</v>
      </c>
      <c r="S447">
        <v>1</v>
      </c>
      <c r="T447" s="1">
        <f>SQRT(POWER(Breakout[[#This Row],[angvel_X]],2) + POWER(Breakout[[#This Row],[angvel_Y]],2) + POWER(Breakout[[#This Row],[angvel_Z]],2))</f>
        <v>2.0526</v>
      </c>
      <c r="U447" s="1">
        <f>DEGREES(ASIN(MAX(-1,MIN(1,2 * (Breakout[[#This Row],[quart_W]]*Breakout[[#This Row],[quart_Y]] - Breakout[[#This Row],[quart_Z]]*Breakout[[#This Row],[quart_X]])))))</f>
        <v>0.97813060449861322</v>
      </c>
      <c r="V447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-48.25170601861678</v>
      </c>
      <c r="W447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90.000172655967376</v>
      </c>
      <c r="X447" s="1">
        <f>IF(Breakout[[#This Row],[Yaw]]&gt;V446,(360-ABS(Breakout[[#This Row],[Yaw]])-ABS(V446)),ABS(Breakout[[#This Row],[Yaw]]-V446))</f>
        <v>0.9802087197426701</v>
      </c>
      <c r="Y447" s="1">
        <f>Breakout[[#This Row],[Degree change]]+Y446</f>
        <v>377.40423889699338</v>
      </c>
    </row>
    <row r="448" spans="1:25">
      <c r="A448">
        <v>447</v>
      </c>
      <c r="B448" s="1">
        <v>38.989998</v>
      </c>
      <c r="C448" s="1">
        <v>2333.7700199999999</v>
      </c>
      <c r="D448" s="1">
        <v>18.34</v>
      </c>
      <c r="E448" s="1">
        <v>-1636.959961</v>
      </c>
      <c r="F448" s="1">
        <v>1615.6400149999999</v>
      </c>
      <c r="G448" s="1">
        <v>7.92</v>
      </c>
      <c r="H448" s="1">
        <v>0</v>
      </c>
      <c r="I448" s="1">
        <v>0</v>
      </c>
      <c r="J448" s="1">
        <v>2.0526</v>
      </c>
      <c r="K448" s="1">
        <v>-8.0029999999999997E-3</v>
      </c>
      <c r="L448" s="1">
        <v>2.97E-3</v>
      </c>
      <c r="M448" s="1">
        <v>0.93734499999999998</v>
      </c>
      <c r="N448" s="1">
        <v>0.34829700000000002</v>
      </c>
      <c r="O448">
        <v>1</v>
      </c>
      <c r="P448">
        <v>0</v>
      </c>
      <c r="Q448">
        <v>1</v>
      </c>
      <c r="R448">
        <v>1</v>
      </c>
      <c r="S448">
        <v>1</v>
      </c>
      <c r="T448" s="1">
        <f>SQRT(POWER(Breakout[[#This Row],[angvel_X]],2) + POWER(Breakout[[#This Row],[angvel_Y]],2) + POWER(Breakout[[#This Row],[angvel_Z]],2))</f>
        <v>2.0526</v>
      </c>
      <c r="U448" s="1">
        <f>DEGREES(ASIN(MAX(-1,MIN(1,2 * (Breakout[[#This Row],[quart_W]]*Breakout[[#This Row],[quart_Y]] - Breakout[[#This Row],[quart_Z]]*Breakout[[#This Row],[quart_X]])))))</f>
        <v>0.9782026872494709</v>
      </c>
      <c r="V448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-49.232030437936807</v>
      </c>
      <c r="W448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90.000401844186399</v>
      </c>
      <c r="X448" s="1">
        <f>IF(Breakout[[#This Row],[Yaw]]&gt;V447,(360-ABS(Breakout[[#This Row],[Yaw]])-ABS(V447)),ABS(Breakout[[#This Row],[Yaw]]-V447))</f>
        <v>0.98032441932002712</v>
      </c>
      <c r="Y448" s="1">
        <f>Breakout[[#This Row],[Degree change]]+Y447</f>
        <v>378.3845633163134</v>
      </c>
    </row>
    <row r="449" spans="1:25">
      <c r="A449">
        <v>448</v>
      </c>
      <c r="B449" s="1">
        <v>25.299999</v>
      </c>
      <c r="C449" s="1">
        <v>2347.280029</v>
      </c>
      <c r="D449" s="1">
        <v>18.34</v>
      </c>
      <c r="E449" s="1">
        <v>-1664.349976</v>
      </c>
      <c r="F449" s="1">
        <v>1587.400024</v>
      </c>
      <c r="G449" s="1">
        <v>7.92</v>
      </c>
      <c r="H449" s="1">
        <v>0</v>
      </c>
      <c r="I449" s="1">
        <v>0</v>
      </c>
      <c r="J449" s="1">
        <v>2.0526</v>
      </c>
      <c r="K449" s="1">
        <v>-8.0300000000000007E-3</v>
      </c>
      <c r="L449" s="1">
        <v>2.8999999999999998E-3</v>
      </c>
      <c r="M449" s="1">
        <v>0.94028900000000004</v>
      </c>
      <c r="N449" s="1">
        <v>0.34027000000000002</v>
      </c>
      <c r="O449">
        <v>1</v>
      </c>
      <c r="P449">
        <v>0</v>
      </c>
      <c r="Q449">
        <v>1</v>
      </c>
      <c r="R449">
        <v>1</v>
      </c>
      <c r="S449">
        <v>1</v>
      </c>
      <c r="T449" s="1">
        <f>SQRT(POWER(Breakout[[#This Row],[angvel_X]],2) + POWER(Breakout[[#This Row],[angvel_Y]],2) + POWER(Breakout[[#This Row],[angvel_Z]],2))</f>
        <v>2.0526</v>
      </c>
      <c r="U449" s="1">
        <f>DEGREES(ASIN(MAX(-1,MIN(1,2 * (Breakout[[#This Row],[quart_W]]*Breakout[[#This Row],[quart_Y]] - Breakout[[#This Row],[quart_Z]]*Breakout[[#This Row],[quart_X]])))))</f>
        <v>0.97835047976364997</v>
      </c>
      <c r="V449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-50.211831807644423</v>
      </c>
      <c r="W449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90.000633783715514</v>
      </c>
      <c r="X449" s="1">
        <f>IF(Breakout[[#This Row],[Yaw]]&gt;V448,(360-ABS(Breakout[[#This Row],[Yaw]])-ABS(V448)),ABS(Breakout[[#This Row],[Yaw]]-V448))</f>
        <v>0.97980136970761578</v>
      </c>
      <c r="Y449" s="1">
        <f>Breakout[[#This Row],[Degree change]]+Y448</f>
        <v>379.36436468602102</v>
      </c>
    </row>
    <row r="450" spans="1:25">
      <c r="A450">
        <v>449</v>
      </c>
      <c r="B450" s="1">
        <v>11.38</v>
      </c>
      <c r="C450" s="1">
        <v>2360.5500489999999</v>
      </c>
      <c r="D450" s="1">
        <v>18.34</v>
      </c>
      <c r="E450" s="1">
        <v>-1691.26001</v>
      </c>
      <c r="F450" s="1">
        <v>1558.6999510000001</v>
      </c>
      <c r="G450" s="1">
        <v>7.92</v>
      </c>
      <c r="H450" s="1">
        <v>0</v>
      </c>
      <c r="I450" s="1">
        <v>0</v>
      </c>
      <c r="J450" s="1">
        <v>2.0526</v>
      </c>
      <c r="K450" s="1">
        <v>-8.0569999999999999E-3</v>
      </c>
      <c r="L450" s="1">
        <v>2.8300000000000001E-3</v>
      </c>
      <c r="M450" s="1">
        <v>0.94316500000000003</v>
      </c>
      <c r="N450" s="1">
        <v>0.33221600000000001</v>
      </c>
      <c r="O450">
        <v>1</v>
      </c>
      <c r="P450">
        <v>0</v>
      </c>
      <c r="Q450">
        <v>1</v>
      </c>
      <c r="R450">
        <v>1</v>
      </c>
      <c r="S450">
        <v>1</v>
      </c>
      <c r="T450" s="1">
        <f>SQRT(POWER(Breakout[[#This Row],[angvel_X]],2) + POWER(Breakout[[#This Row],[angvel_Y]],2) + POWER(Breakout[[#This Row],[angvel_Z]],2))</f>
        <v>2.0526</v>
      </c>
      <c r="U450" s="1">
        <f>DEGREES(ASIN(MAX(-1,MIN(1,2 * (Breakout[[#This Row],[quart_W]]*Breakout[[#This Row],[quart_Y]] - Breakout[[#This Row],[quart_Z]]*Breakout[[#This Row],[quart_X]])))))</f>
        <v>0.97857373839396411</v>
      </c>
      <c r="V450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-51.191889272147847</v>
      </c>
      <c r="W450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90.000860405804403</v>
      </c>
      <c r="X450" s="1">
        <f>IF(Breakout[[#This Row],[Yaw]]&gt;V449,(360-ABS(Breakout[[#This Row],[Yaw]])-ABS(V449)),ABS(Breakout[[#This Row],[Yaw]]-V449))</f>
        <v>0.98005746450342457</v>
      </c>
      <c r="Y450" s="1">
        <f>Breakout[[#This Row],[Degree change]]+Y449</f>
        <v>380.34442215052445</v>
      </c>
    </row>
    <row r="451" spans="1:25">
      <c r="A451">
        <v>450</v>
      </c>
      <c r="B451" s="1">
        <v>-2.77</v>
      </c>
      <c r="C451" s="1">
        <v>2373.5798340000001</v>
      </c>
      <c r="D451" s="1">
        <v>18.34</v>
      </c>
      <c r="E451" s="1">
        <v>-1717.669922</v>
      </c>
      <c r="F451" s="1">
        <v>1529.5399170000001</v>
      </c>
      <c r="G451" s="1">
        <v>7.92</v>
      </c>
      <c r="H451" s="1">
        <v>0</v>
      </c>
      <c r="I451" s="1">
        <v>0</v>
      </c>
      <c r="J451" s="1">
        <v>2.0526</v>
      </c>
      <c r="K451" s="1">
        <v>-8.0789999999999994E-3</v>
      </c>
      <c r="L451" s="1">
        <v>2.7590000000000002E-3</v>
      </c>
      <c r="M451" s="1">
        <v>0.94597100000000001</v>
      </c>
      <c r="N451" s="1">
        <v>0.32413900000000001</v>
      </c>
      <c r="O451">
        <v>1</v>
      </c>
      <c r="P451">
        <v>0</v>
      </c>
      <c r="Q451">
        <v>1</v>
      </c>
      <c r="R451">
        <v>1</v>
      </c>
      <c r="S451">
        <v>1</v>
      </c>
      <c r="T451" s="1">
        <f>SQRT(POWER(Breakout[[#This Row],[angvel_X]],2) + POWER(Breakout[[#This Row],[angvel_Y]],2) + POWER(Breakout[[#This Row],[angvel_Z]],2))</f>
        <v>2.0526</v>
      </c>
      <c r="U451" s="1">
        <f>DEGREES(ASIN(MAX(-1,MIN(1,2 * (Breakout[[#This Row],[quart_W]]*Breakout[[#This Row],[quart_Y]] - Breakout[[#This Row],[quart_Z]]*Breakout[[#This Row],[quart_X]])))))</f>
        <v>0.97829266447786889</v>
      </c>
      <c r="V451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-52.171726887900284</v>
      </c>
      <c r="W451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90.001006832689811</v>
      </c>
      <c r="X451" s="1">
        <f>IF(Breakout[[#This Row],[Yaw]]&gt;V450,(360-ABS(Breakout[[#This Row],[Yaw]])-ABS(V450)),ABS(Breakout[[#This Row],[Yaw]]-V450))</f>
        <v>0.97983761575243733</v>
      </c>
      <c r="Y451" s="1">
        <f>Breakout[[#This Row],[Degree change]]+Y450</f>
        <v>381.3242597662769</v>
      </c>
    </row>
    <row r="452" spans="1:25">
      <c r="A452">
        <v>451</v>
      </c>
      <c r="B452" s="1">
        <v>-17.139999</v>
      </c>
      <c r="C452" s="1">
        <v>2386.3698730000001</v>
      </c>
      <c r="D452" s="1">
        <v>18.34</v>
      </c>
      <c r="E452" s="1">
        <v>-1743.579956</v>
      </c>
      <c r="F452" s="1">
        <v>1499.9399410000001</v>
      </c>
      <c r="G452" s="1">
        <v>7.92</v>
      </c>
      <c r="H452" s="1">
        <v>0</v>
      </c>
      <c r="I452" s="1">
        <v>0</v>
      </c>
      <c r="J452" s="1">
        <v>2.0526</v>
      </c>
      <c r="K452" s="1">
        <v>-8.0999999999999996E-3</v>
      </c>
      <c r="L452" s="1">
        <v>2.689E-3</v>
      </c>
      <c r="M452" s="1">
        <v>0.94870900000000002</v>
      </c>
      <c r="N452" s="1">
        <v>0.31603599999999998</v>
      </c>
      <c r="O452">
        <v>1</v>
      </c>
      <c r="P452">
        <v>0</v>
      </c>
      <c r="Q452">
        <v>1</v>
      </c>
      <c r="R452">
        <v>1</v>
      </c>
      <c r="S452">
        <v>1</v>
      </c>
      <c r="T452" s="1">
        <f>SQRT(POWER(Breakout[[#This Row],[angvel_X]],2) + POWER(Breakout[[#This Row],[angvel_Y]],2) + POWER(Breakout[[#This Row],[angvel_Z]],2))</f>
        <v>2.0526</v>
      </c>
      <c r="U452" s="1">
        <f>DEGREES(ASIN(MAX(-1,MIN(1,2 * (Breakout[[#This Row],[quart_W]]*Breakout[[#This Row],[quart_Y]] - Breakout[[#This Row],[quart_Z]]*Breakout[[#This Row],[quart_X]])))))</f>
        <v>0.97801353537280311</v>
      </c>
      <c r="V452" s="1">
        <f>DEGREES(ATAN2(2*(Breakout[[#This Row],[quart_W]]*Breakout[[#This Row],[quart_Z]]+Breakout[[#This Row],[quart_X]]*Breakout[[#This Row],[quart_Y]]),1 - 2*(Breakout[[#This Row],[quart_Y]]*Breakout[[#This Row],[quart_Y]]+Breakout[[#This Row],[quart_Z]]*Breakout[[#This Row],[quart_Z]])))</f>
        <v>-53.151885374852903</v>
      </c>
      <c r="W452" s="1">
        <f>DEGREES(ATAN2(2 *(Breakout[[#This Row],[quart_W]]*Breakout[[#This Row],[quart_X]]+Breakout[[#This Row],[quart_Y]]*Breakout[[#This Row],[quart_Z]]), 1 - 2*(Breakout[[#This Row],[quart_X]]*Breakout[[#This Row],[quart_X]]+Breakout[[#This Row],[quart_Y]]*Breakout[[#This Row],[quart_Y]])))</f>
        <v>90.001010053900259</v>
      </c>
      <c r="X452" s="1">
        <f>IF(Breakout[[#This Row],[Yaw]]&gt;V451,(360-ABS(Breakout[[#This Row],[Yaw]])-ABS(V451)),ABS(Breakout[[#This Row],[Yaw]]-V451))</f>
        <v>0.98015848695261809</v>
      </c>
      <c r="Y452" s="1">
        <f>Breakout[[#This Row],[Degree change]]+Y451</f>
        <v>382.30441825322953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B374"/>
  <sheetViews>
    <sheetView tabSelected="1" topLeftCell="AL49" zoomScaleNormal="100" workbookViewId="0">
      <selection activeCell="AJ46" sqref="AJ46"/>
    </sheetView>
  </sheetViews>
  <sheetFormatPr defaultRowHeight="14.5"/>
  <cols>
    <col min="1" max="1" width="9.453125" customWidth="1"/>
    <col min="3" max="3" width="11" customWidth="1"/>
    <col min="5" max="5" width="12.26953125" customWidth="1"/>
    <col min="6" max="6" width="11.1796875" customWidth="1"/>
    <col min="8" max="8" width="12" bestFit="1" customWidth="1"/>
    <col min="9" max="9" width="10.81640625" customWidth="1"/>
    <col min="10" max="10" width="12.81640625" customWidth="1"/>
    <col min="11" max="11" width="9.81640625" customWidth="1"/>
    <col min="12" max="12" width="14" customWidth="1"/>
    <col min="13" max="13" width="13.1796875" customWidth="1"/>
    <col min="15" max="15" width="12" bestFit="1" customWidth="1"/>
    <col min="16" max="16" width="9.453125" customWidth="1"/>
    <col min="17" max="17" width="8.7265625" style="4"/>
    <col min="18" max="18" width="11" style="4" customWidth="1"/>
    <col min="19" max="19" width="8.7265625" style="4"/>
    <col min="20" max="20" width="12.26953125" style="4" customWidth="1"/>
    <col min="21" max="21" width="11.1796875" style="4" customWidth="1"/>
    <col min="22" max="22" width="8.7265625" style="4"/>
    <col min="23" max="23" width="9" bestFit="1" customWidth="1"/>
    <col min="24" max="24" width="12" bestFit="1" customWidth="1"/>
    <col min="26" max="26" width="10.1796875" customWidth="1"/>
    <col min="28" max="28" width="12" bestFit="1" customWidth="1"/>
    <col min="30" max="30" width="9.453125" customWidth="1"/>
    <col min="33" max="33" width="11" customWidth="1"/>
    <col min="35" max="35" width="12.26953125" customWidth="1"/>
    <col min="36" max="36" width="11.1796875" customWidth="1"/>
    <col min="41" max="41" width="12" bestFit="1" customWidth="1"/>
    <col min="50" max="54" width="9.1796875" style="2"/>
  </cols>
  <sheetData>
    <row r="1" spans="1:55">
      <c r="A1" t="s">
        <v>57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43</v>
      </c>
      <c r="P1" t="s">
        <v>1</v>
      </c>
      <c r="Q1" s="4" t="s">
        <v>20</v>
      </c>
      <c r="R1" s="4" t="s">
        <v>21</v>
      </c>
      <c r="S1" s="4" t="s">
        <v>22</v>
      </c>
      <c r="T1" s="4" t="s">
        <v>23</v>
      </c>
      <c r="U1" s="4" t="s">
        <v>24</v>
      </c>
      <c r="V1" s="4" t="s">
        <v>25</v>
      </c>
      <c r="W1" t="s">
        <v>47</v>
      </c>
      <c r="AD1" t="s">
        <v>1</v>
      </c>
      <c r="AE1" t="s">
        <v>47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25</v>
      </c>
      <c r="AL1" t="s">
        <v>56</v>
      </c>
      <c r="AW1" t="s">
        <v>20</v>
      </c>
      <c r="AX1" s="2" t="s">
        <v>21</v>
      </c>
      <c r="AY1" s="2" t="s">
        <v>22</v>
      </c>
      <c r="AZ1" s="2" t="s">
        <v>23</v>
      </c>
      <c r="BA1" s="2" t="s">
        <v>24</v>
      </c>
      <c r="BB1" s="2" t="s">
        <v>25</v>
      </c>
      <c r="BC1" t="s">
        <v>47</v>
      </c>
    </row>
    <row r="2" spans="1:55">
      <c r="A2" s="1"/>
      <c r="B2" s="13">
        <f>Octane[[#This Row],[angvel_total]]</f>
        <v>6.9999999999999999E-4</v>
      </c>
      <c r="C2" s="13">
        <f>Hybrid[[#This Row],[angvel_total]]</f>
        <v>7.6157731058639085E-4</v>
      </c>
      <c r="D2" s="13">
        <f>Dominus[[#This Row],[angvel_total]]</f>
        <v>8.2462112512353219E-4</v>
      </c>
      <c r="E2" s="13">
        <f>Plank[[#This Row],[angvel_total]]</f>
        <v>0</v>
      </c>
      <c r="F2" s="13">
        <f>Batmobile[[#This Row],[angvel_total]]</f>
        <v>0</v>
      </c>
      <c r="G2" s="13">
        <f>Breakout[[#This Row],[angvel_total]]</f>
        <v>5.0000000000000001E-4</v>
      </c>
      <c r="I2" s="2">
        <f>Table7[[#This Row],[Hybrid]]/Table7[[#This Row],[Octane]] - 1</f>
        <v>8.7967586551986887E-2</v>
      </c>
      <c r="J2" s="2">
        <f>Table7[[#This Row],[Dominus]]/Table7[[#This Row],[Octane]] - 1</f>
        <v>0.17803017874790306</v>
      </c>
      <c r="K2" s="2">
        <f>Table7[[#This Row],[Plank]]/Table7[[#This Row],[Octane]] - 1</f>
        <v>-1</v>
      </c>
      <c r="L2" s="2">
        <f>Table7[[#This Row],[Batmobile]]/Table7[[#This Row],[Octane]] - 1</f>
        <v>-1</v>
      </c>
      <c r="M2" s="2">
        <f>Table7[[#This Row],[Breakout]]/Table7[[#This Row],[Octane]] - 1</f>
        <v>-0.2857142857142857</v>
      </c>
      <c r="N2" s="2" t="e">
        <f>Table7[[#This Row],[Breakout]]/Table7[[#This Row],[Plank]] - 1</f>
        <v>#DIV/0!</v>
      </c>
      <c r="P2" s="1"/>
      <c r="W2" s="11"/>
      <c r="AD2" s="1"/>
      <c r="AE2" s="6"/>
      <c r="AF2" s="8"/>
      <c r="AG2" s="8"/>
      <c r="AH2" s="8"/>
      <c r="AI2" s="8"/>
      <c r="AJ2" s="8"/>
      <c r="AK2" s="8"/>
      <c r="AL2" s="1"/>
      <c r="AX2" s="2">
        <f>(Table7[[#This Row],[Hybrid]]-Table7[[#This Row],[Octane]])/$B$245</f>
        <v>3.106043405198201E-5</v>
      </c>
      <c r="AY2" s="2">
        <f>(Table7[[#This Row],[Dominus]]-Table7[[#This Row],[Octane]])/$B$245</f>
        <v>6.2860592668344771E-5</v>
      </c>
      <c r="AZ2" s="2">
        <f>(Table7[[#This Row],[Plank]]-Table7[[#This Row],[Octane]])/$B$245</f>
        <v>-3.5308953296821395E-4</v>
      </c>
      <c r="BA2" s="2">
        <f>(Table7[[#This Row],[Batmobile]]-Table7[[#This Row],[Octane]])/$B$245</f>
        <v>-3.5308953296821395E-4</v>
      </c>
      <c r="BB2" s="2">
        <f>(Table7[[#This Row],[Breakout]]-Table7[[#This Row],[Octane]])/$B$245</f>
        <v>-1.0088272370520397E-4</v>
      </c>
      <c r="BC2" s="2"/>
    </row>
    <row r="3" spans="1:55">
      <c r="A3" s="1"/>
      <c r="B3" s="13">
        <f>Octane[[#This Row],[angvel_total]]</f>
        <v>6.9999999999999999E-4</v>
      </c>
      <c r="C3" s="13">
        <f>Hybrid[[#This Row],[angvel_total]]</f>
        <v>7.6157731058639085E-4</v>
      </c>
      <c r="D3" s="13">
        <f>Dominus[[#This Row],[angvel_total]]</f>
        <v>8.2462112512353219E-4</v>
      </c>
      <c r="E3" s="13">
        <f>Plank[[#This Row],[angvel_total]]</f>
        <v>0</v>
      </c>
      <c r="F3" s="13">
        <f>Batmobile[[#This Row],[angvel_total]]</f>
        <v>0</v>
      </c>
      <c r="G3" s="13">
        <f>Breakout[[#This Row],[angvel_total]]</f>
        <v>5.0000000000000001E-4</v>
      </c>
      <c r="I3" s="2">
        <f>Table7[[#This Row],[Hybrid]]/Table7[[#This Row],[Octane]] - 1</f>
        <v>8.7967586551986887E-2</v>
      </c>
      <c r="J3" s="2">
        <f>Table7[[#This Row],[Dominus]]/Table7[[#This Row],[Octane]] - 1</f>
        <v>0.17803017874790306</v>
      </c>
      <c r="K3" s="2">
        <f>Table7[[#This Row],[Plank]]/Table7[[#This Row],[Octane]] - 1</f>
        <v>-1</v>
      </c>
      <c r="L3" s="2">
        <f>Table7[[#This Row],[Batmobile]]/Table7[[#This Row],[Octane]] - 1</f>
        <v>-1</v>
      </c>
      <c r="M3" s="2">
        <f>Table7[[#This Row],[Breakout]]/Table7[[#This Row],[Octane]] - 1</f>
        <v>-0.2857142857142857</v>
      </c>
      <c r="N3" s="2" t="e">
        <f>Table7[[#This Row],[Breakout]]/Table7[[#This Row],[Plank]] - 1</f>
        <v>#DIV/0!</v>
      </c>
      <c r="P3" s="1"/>
      <c r="W3" s="11"/>
      <c r="Y3" t="s">
        <v>53</v>
      </c>
      <c r="AD3" s="1"/>
      <c r="AE3" s="6"/>
      <c r="AF3" s="8"/>
      <c r="AG3" s="8"/>
      <c r="AH3" s="8"/>
      <c r="AI3" s="8"/>
      <c r="AJ3" s="8"/>
      <c r="AK3" s="8"/>
      <c r="AL3" s="1"/>
      <c r="AN3" t="s">
        <v>49</v>
      </c>
      <c r="AO3" s="10">
        <v>0.95312610061698499</v>
      </c>
      <c r="AX3" s="2">
        <f>(Table7[[#This Row],[Hybrid]]-Table7[[#This Row],[Octane]])/$B$245</f>
        <v>3.106043405198201E-5</v>
      </c>
      <c r="AY3" s="2">
        <f>(Table7[[#This Row],[Dominus]]-Table7[[#This Row],[Octane]])/$B$245</f>
        <v>6.2860592668344771E-5</v>
      </c>
      <c r="AZ3" s="2">
        <f>(Table7[[#This Row],[Plank]]-Table7[[#This Row],[Octane]])/$B$245</f>
        <v>-3.5308953296821395E-4</v>
      </c>
      <c r="BA3" s="2">
        <f>(Table7[[#This Row],[Batmobile]]-Table7[[#This Row],[Octane]])/$B$245</f>
        <v>-3.5308953296821395E-4</v>
      </c>
      <c r="BB3" s="2">
        <f>(Table7[[#This Row],[Breakout]]-Table7[[#This Row],[Octane]])/$B$245</f>
        <v>-1.0088272370520397E-4</v>
      </c>
      <c r="BC3" s="2"/>
    </row>
    <row r="4" spans="1:55">
      <c r="A4" s="1"/>
      <c r="B4" s="13">
        <f>Octane[[#This Row],[angvel_total]]</f>
        <v>6.9999999999999999E-4</v>
      </c>
      <c r="C4" s="13">
        <f>Hybrid[[#This Row],[angvel_total]]</f>
        <v>7.6157731058639085E-4</v>
      </c>
      <c r="D4" s="13">
        <f>Dominus[[#This Row],[angvel_total]]</f>
        <v>8.2462112512353219E-4</v>
      </c>
      <c r="E4" s="13">
        <f>Plank[[#This Row],[angvel_total]]</f>
        <v>0</v>
      </c>
      <c r="F4" s="13">
        <f>Batmobile[[#This Row],[angvel_total]]</f>
        <v>0</v>
      </c>
      <c r="G4" s="13">
        <f>Breakout[[#This Row],[angvel_total]]</f>
        <v>5.0000000000000001E-4</v>
      </c>
      <c r="I4" s="2">
        <f>Table7[[#This Row],[Hybrid]]/Table7[[#This Row],[Octane]] - 1</f>
        <v>8.7967586551986887E-2</v>
      </c>
      <c r="J4" s="2">
        <f>Table7[[#This Row],[Dominus]]/Table7[[#This Row],[Octane]] - 1</f>
        <v>0.17803017874790306</v>
      </c>
      <c r="K4" s="2">
        <f>Table7[[#This Row],[Plank]]/Table7[[#This Row],[Octane]] - 1</f>
        <v>-1</v>
      </c>
      <c r="L4" s="2">
        <f>Table7[[#This Row],[Batmobile]]/Table7[[#This Row],[Octane]] - 1</f>
        <v>-1</v>
      </c>
      <c r="M4" s="2">
        <f>Table7[[#This Row],[Breakout]]/Table7[[#This Row],[Octane]] - 1</f>
        <v>-0.2857142857142857</v>
      </c>
      <c r="N4" s="2" t="e">
        <f>Table7[[#This Row],[Breakout]]/Table7[[#This Row],[Plank]] - 1</f>
        <v>#DIV/0!</v>
      </c>
      <c r="P4" s="1"/>
      <c r="W4" s="11"/>
      <c r="Y4" s="11">
        <v>0.16</v>
      </c>
      <c r="AD4" s="1"/>
      <c r="AE4" s="6"/>
      <c r="AF4" s="8"/>
      <c r="AG4" s="8"/>
      <c r="AH4" s="8"/>
      <c r="AI4" s="8"/>
      <c r="AJ4" s="8"/>
      <c r="AK4" s="8"/>
      <c r="AL4" s="1"/>
      <c r="AN4" t="s">
        <v>50</v>
      </c>
      <c r="AO4" s="10">
        <v>72.611056295944493</v>
      </c>
      <c r="AX4" s="2">
        <f>(Table7[[#This Row],[Hybrid]]-Table7[[#This Row],[Octane]])/$B$245</f>
        <v>3.106043405198201E-5</v>
      </c>
      <c r="AY4" s="2">
        <f>(Table7[[#This Row],[Dominus]]-Table7[[#This Row],[Octane]])/$B$245</f>
        <v>6.2860592668344771E-5</v>
      </c>
      <c r="AZ4" s="2">
        <f>(Table7[[#This Row],[Plank]]-Table7[[#This Row],[Octane]])/$B$245</f>
        <v>-3.5308953296821395E-4</v>
      </c>
      <c r="BA4" s="2">
        <f>(Table7[[#This Row],[Batmobile]]-Table7[[#This Row],[Octane]])/$B$245</f>
        <v>-3.5308953296821395E-4</v>
      </c>
      <c r="BB4" s="2">
        <f>(Table7[[#This Row],[Breakout]]-Table7[[#This Row],[Octane]])/$B$245</f>
        <v>-1.0088272370520397E-4</v>
      </c>
      <c r="BC4" s="2"/>
    </row>
    <row r="5" spans="1:55">
      <c r="A5" s="1"/>
      <c r="B5" s="13">
        <f>Octane[[#This Row],[angvel_total]]</f>
        <v>6.9999999999999999E-4</v>
      </c>
      <c r="C5" s="13">
        <f>Hybrid[[#This Row],[angvel_total]]</f>
        <v>7.6157731058639085E-4</v>
      </c>
      <c r="D5" s="13">
        <f>Dominus[[#This Row],[angvel_total]]</f>
        <v>8.2462112512353219E-4</v>
      </c>
      <c r="E5" s="13">
        <f>Plank[[#This Row],[angvel_total]]</f>
        <v>0</v>
      </c>
      <c r="F5" s="13">
        <f>Batmobile[[#This Row],[angvel_total]]</f>
        <v>0</v>
      </c>
      <c r="G5" s="13">
        <f>Breakout[[#This Row],[angvel_total]]</f>
        <v>5.0000000000000001E-4</v>
      </c>
      <c r="I5" s="2">
        <f>Table7[[#This Row],[Hybrid]]/Table7[[#This Row],[Octane]] - 1</f>
        <v>8.7967586551986887E-2</v>
      </c>
      <c r="J5" s="2">
        <f>Table7[[#This Row],[Dominus]]/Table7[[#This Row],[Octane]] - 1</f>
        <v>0.17803017874790306</v>
      </c>
      <c r="K5" s="2">
        <f>Table7[[#This Row],[Plank]]/Table7[[#This Row],[Octane]] - 1</f>
        <v>-1</v>
      </c>
      <c r="L5" s="2">
        <f>Table7[[#This Row],[Batmobile]]/Table7[[#This Row],[Octane]] - 1</f>
        <v>-1</v>
      </c>
      <c r="M5" s="2">
        <f>Table7[[#This Row],[Breakout]]/Table7[[#This Row],[Octane]] - 1</f>
        <v>-0.2857142857142857</v>
      </c>
      <c r="N5" s="2" t="e">
        <f>Table7[[#This Row],[Breakout]]/Table7[[#This Row],[Plank]] - 1</f>
        <v>#DIV/0!</v>
      </c>
      <c r="P5" s="1"/>
      <c r="W5" s="11"/>
      <c r="AD5" s="1"/>
      <c r="AE5" s="6"/>
      <c r="AF5" s="8"/>
      <c r="AG5" s="8"/>
      <c r="AH5" s="8"/>
      <c r="AI5" s="8"/>
      <c r="AJ5" s="8"/>
      <c r="AK5" s="8"/>
      <c r="AL5" s="1"/>
      <c r="AX5" s="2">
        <f>(Table7[[#This Row],[Hybrid]]-Table7[[#This Row],[Octane]])/$B$245</f>
        <v>3.106043405198201E-5</v>
      </c>
      <c r="AY5" s="2">
        <f>(Table7[[#This Row],[Dominus]]-Table7[[#This Row],[Octane]])/$B$245</f>
        <v>6.2860592668344771E-5</v>
      </c>
      <c r="AZ5" s="2">
        <f>(Table7[[#This Row],[Plank]]-Table7[[#This Row],[Octane]])/$B$245</f>
        <v>-3.5308953296821395E-4</v>
      </c>
      <c r="BA5" s="2">
        <f>(Table7[[#This Row],[Batmobile]]-Table7[[#This Row],[Octane]])/$B$245</f>
        <v>-3.5308953296821395E-4</v>
      </c>
      <c r="BB5" s="2">
        <f>(Table7[[#This Row],[Breakout]]-Table7[[#This Row],[Octane]])/$B$245</f>
        <v>-1.0088272370520397E-4</v>
      </c>
      <c r="BC5" s="2"/>
    </row>
    <row r="6" spans="1:55">
      <c r="A6" s="1"/>
      <c r="B6" s="13">
        <f>Octane[[#This Row],[angvel_total]]</f>
        <v>6.9999999999999999E-4</v>
      </c>
      <c r="C6" s="13">
        <f>Hybrid[[#This Row],[angvel_total]]</f>
        <v>7.6157731058639085E-4</v>
      </c>
      <c r="D6" s="13">
        <f>Dominus[[#This Row],[angvel_total]]</f>
        <v>8.2462112512353219E-4</v>
      </c>
      <c r="E6" s="13">
        <f>Plank[[#This Row],[angvel_total]]</f>
        <v>0</v>
      </c>
      <c r="F6" s="13">
        <f>Batmobile[[#This Row],[angvel_total]]</f>
        <v>0</v>
      </c>
      <c r="G6" s="13">
        <f>Breakout[[#This Row],[angvel_total]]</f>
        <v>5.0000000000000001E-4</v>
      </c>
      <c r="I6" s="2">
        <f>Table7[[#This Row],[Hybrid]]/Table7[[#This Row],[Octane]] - 1</f>
        <v>8.7967586551986887E-2</v>
      </c>
      <c r="J6" s="2">
        <f>Table7[[#This Row],[Dominus]]/Table7[[#This Row],[Octane]] - 1</f>
        <v>0.17803017874790306</v>
      </c>
      <c r="K6" s="2">
        <f>Table7[[#This Row],[Plank]]/Table7[[#This Row],[Octane]] - 1</f>
        <v>-1</v>
      </c>
      <c r="L6" s="2">
        <f>Table7[[#This Row],[Batmobile]]/Table7[[#This Row],[Octane]] - 1</f>
        <v>-1</v>
      </c>
      <c r="M6" s="2">
        <f>Table7[[#This Row],[Breakout]]/Table7[[#This Row],[Octane]] - 1</f>
        <v>-0.2857142857142857</v>
      </c>
      <c r="N6" s="2" t="e">
        <f>Table7[[#This Row],[Breakout]]/Table7[[#This Row],[Plank]] - 1</f>
        <v>#DIV/0!</v>
      </c>
      <c r="P6" s="1"/>
      <c r="W6" s="11"/>
      <c r="AD6" s="1"/>
      <c r="AE6" s="6"/>
      <c r="AF6" s="8"/>
      <c r="AG6" s="8"/>
      <c r="AH6" s="8"/>
      <c r="AI6" s="8"/>
      <c r="AJ6" s="8"/>
      <c r="AK6" s="8"/>
      <c r="AL6" s="1"/>
      <c r="AP6" s="10"/>
      <c r="AX6" s="2">
        <f>(Table7[[#This Row],[Hybrid]]-Table7[[#This Row],[Octane]])/$B$245</f>
        <v>3.106043405198201E-5</v>
      </c>
      <c r="AY6" s="2">
        <f>(Table7[[#This Row],[Dominus]]-Table7[[#This Row],[Octane]])/$B$245</f>
        <v>6.2860592668344771E-5</v>
      </c>
      <c r="AZ6" s="2">
        <f>(Table7[[#This Row],[Plank]]-Table7[[#This Row],[Octane]])/$B$245</f>
        <v>-3.5308953296821395E-4</v>
      </c>
      <c r="BA6" s="2">
        <f>(Table7[[#This Row],[Batmobile]]-Table7[[#This Row],[Octane]])/$B$245</f>
        <v>-3.5308953296821395E-4</v>
      </c>
      <c r="BB6" s="2">
        <f>(Table7[[#This Row],[Breakout]]-Table7[[#This Row],[Octane]])/$B$245</f>
        <v>-1.0088272370520397E-4</v>
      </c>
      <c r="BC6" s="2"/>
    </row>
    <row r="7" spans="1:55">
      <c r="A7" s="1"/>
      <c r="B7" s="13">
        <f>Octane[[#This Row],[angvel_total]]</f>
        <v>6.9999999999999999E-4</v>
      </c>
      <c r="C7" s="13">
        <f>Hybrid[[#This Row],[angvel_total]]</f>
        <v>7.6157731058639085E-4</v>
      </c>
      <c r="D7" s="13">
        <f>Dominus[[#This Row],[angvel_total]]</f>
        <v>8.2462112512353219E-4</v>
      </c>
      <c r="E7" s="13">
        <f>Plank[[#This Row],[angvel_total]]</f>
        <v>0</v>
      </c>
      <c r="F7" s="13">
        <f>Batmobile[[#This Row],[angvel_total]]</f>
        <v>0</v>
      </c>
      <c r="G7" s="13">
        <f>Breakout[[#This Row],[angvel_total]]</f>
        <v>5.0000000000000001E-4</v>
      </c>
      <c r="I7" s="2">
        <f>Table7[[#This Row],[Hybrid]]/Table7[[#This Row],[Octane]] - 1</f>
        <v>8.7967586551986887E-2</v>
      </c>
      <c r="J7" s="2">
        <f>Table7[[#This Row],[Dominus]]/Table7[[#This Row],[Octane]] - 1</f>
        <v>0.17803017874790306</v>
      </c>
      <c r="K7" s="2">
        <f>Table7[[#This Row],[Plank]]/Table7[[#This Row],[Octane]] - 1</f>
        <v>-1</v>
      </c>
      <c r="L7" s="2">
        <f>Table7[[#This Row],[Batmobile]]/Table7[[#This Row],[Octane]] - 1</f>
        <v>-1</v>
      </c>
      <c r="M7" s="2">
        <f>Table7[[#This Row],[Breakout]]/Table7[[#This Row],[Octane]] - 1</f>
        <v>-0.2857142857142857</v>
      </c>
      <c r="N7" s="2" t="e">
        <f>Table7[[#This Row],[Breakout]]/Table7[[#This Row],[Plank]] - 1</f>
        <v>#DIV/0!</v>
      </c>
      <c r="P7" s="1"/>
      <c r="W7" s="11"/>
      <c r="AD7" s="1"/>
      <c r="AE7" s="6"/>
      <c r="AF7" s="8"/>
      <c r="AG7" s="8"/>
      <c r="AH7" s="8"/>
      <c r="AI7" s="8"/>
      <c r="AJ7" s="8"/>
      <c r="AK7" s="8"/>
      <c r="AL7" s="1"/>
      <c r="AO7" t="s">
        <v>20</v>
      </c>
      <c r="AP7" t="s">
        <v>21</v>
      </c>
      <c r="AQ7" t="s">
        <v>22</v>
      </c>
      <c r="AR7" t="s">
        <v>23</v>
      </c>
      <c r="AS7" t="s">
        <v>24</v>
      </c>
      <c r="AT7" t="s">
        <v>25</v>
      </c>
      <c r="AX7" s="2">
        <f>(Table7[[#This Row],[Hybrid]]-Table7[[#This Row],[Octane]])/$B$245</f>
        <v>3.106043405198201E-5</v>
      </c>
      <c r="AY7" s="2">
        <f>(Table7[[#This Row],[Dominus]]-Table7[[#This Row],[Octane]])/$B$245</f>
        <v>6.2860592668344771E-5</v>
      </c>
      <c r="AZ7" s="2">
        <f>(Table7[[#This Row],[Plank]]-Table7[[#This Row],[Octane]])/$B$245</f>
        <v>-3.5308953296821395E-4</v>
      </c>
      <c r="BA7" s="2">
        <f>(Table7[[#This Row],[Batmobile]]-Table7[[#This Row],[Octane]])/$B$245</f>
        <v>-3.5308953296821395E-4</v>
      </c>
      <c r="BB7" s="2">
        <f>(Table7[[#This Row],[Breakout]]-Table7[[#This Row],[Octane]])/$B$245</f>
        <v>-1.0088272370520397E-4</v>
      </c>
      <c r="BC7" s="2"/>
    </row>
    <row r="8" spans="1:55">
      <c r="A8" s="1"/>
      <c r="B8" s="13">
        <f>Octane[[#This Row],[angvel_total]]</f>
        <v>6.9999999999999999E-4</v>
      </c>
      <c r="C8" s="13">
        <f>Hybrid[[#This Row],[angvel_total]]</f>
        <v>7.6157731058639085E-4</v>
      </c>
      <c r="D8" s="13">
        <f>Dominus[[#This Row],[angvel_total]]</f>
        <v>8.2462112512353219E-4</v>
      </c>
      <c r="E8" s="13">
        <f>Plank[[#This Row],[angvel_total]]</f>
        <v>0</v>
      </c>
      <c r="F8" s="13">
        <f>Batmobile[[#This Row],[angvel_total]]</f>
        <v>0</v>
      </c>
      <c r="G8" s="13">
        <f>Breakout[[#This Row],[angvel_total]]</f>
        <v>5.0000000000000001E-4</v>
      </c>
      <c r="I8" s="2">
        <f>Table7[[#This Row],[Hybrid]]/Table7[[#This Row],[Octane]] - 1</f>
        <v>8.7967586551986887E-2</v>
      </c>
      <c r="J8" s="2">
        <f>Table7[[#This Row],[Dominus]]/Table7[[#This Row],[Octane]] - 1</f>
        <v>0.17803017874790306</v>
      </c>
      <c r="K8" s="2">
        <f>Table7[[#This Row],[Plank]]/Table7[[#This Row],[Octane]] - 1</f>
        <v>-1</v>
      </c>
      <c r="L8" s="2">
        <f>Table7[[#This Row],[Batmobile]]/Table7[[#This Row],[Octane]] - 1</f>
        <v>-1</v>
      </c>
      <c r="M8" s="2">
        <f>Table7[[#This Row],[Breakout]]/Table7[[#This Row],[Octane]] - 1</f>
        <v>-0.2857142857142857</v>
      </c>
      <c r="N8" s="2" t="e">
        <f>Table7[[#This Row],[Breakout]]/Table7[[#This Row],[Plank]] - 1</f>
        <v>#DIV/0!</v>
      </c>
      <c r="P8" s="1"/>
      <c r="W8" s="11"/>
      <c r="AD8" s="1"/>
      <c r="AE8" s="6"/>
      <c r="AF8" s="8"/>
      <c r="AG8" s="8"/>
      <c r="AH8" s="8"/>
      <c r="AI8" s="8"/>
      <c r="AJ8" s="8"/>
      <c r="AK8" s="8"/>
      <c r="AL8" s="1"/>
      <c r="AN8" t="s">
        <v>51</v>
      </c>
      <c r="AO8" s="10">
        <v>9.6114625307752704</v>
      </c>
      <c r="AP8" s="10">
        <v>8.8342282594952994</v>
      </c>
      <c r="AQ8" s="10">
        <v>8.6376716086149603</v>
      </c>
      <c r="AR8" s="10">
        <v>8.3943211602644503</v>
      </c>
      <c r="AS8" s="10">
        <v>8.5756368184812892</v>
      </c>
      <c r="AT8" s="10">
        <v>8.1481821554413791</v>
      </c>
      <c r="AX8" s="2">
        <f>(Table7[[#This Row],[Hybrid]]-Table7[[#This Row],[Octane]])/$B$245</f>
        <v>3.106043405198201E-5</v>
      </c>
      <c r="AY8" s="2">
        <f>(Table7[[#This Row],[Dominus]]-Table7[[#This Row],[Octane]])/$B$245</f>
        <v>6.2860592668344771E-5</v>
      </c>
      <c r="AZ8" s="2">
        <f>(Table7[[#This Row],[Plank]]-Table7[[#This Row],[Octane]])/$B$245</f>
        <v>-3.5308953296821395E-4</v>
      </c>
      <c r="BA8" s="2">
        <f>(Table7[[#This Row],[Batmobile]]-Table7[[#This Row],[Octane]])/$B$245</f>
        <v>-3.5308953296821395E-4</v>
      </c>
      <c r="BB8" s="2">
        <f>(Table7[[#This Row],[Breakout]]-Table7[[#This Row],[Octane]])/$B$245</f>
        <v>-1.0088272370520397E-4</v>
      </c>
      <c r="BC8" s="2"/>
    </row>
    <row r="9" spans="1:55">
      <c r="A9" s="1"/>
      <c r="B9" s="13">
        <f>Octane[[#This Row],[angvel_total]]</f>
        <v>6.9999999999999999E-4</v>
      </c>
      <c r="C9" s="13">
        <f>Hybrid[[#This Row],[angvel_total]]</f>
        <v>7.6157731058639085E-4</v>
      </c>
      <c r="D9" s="13">
        <f>Dominus[[#This Row],[angvel_total]]</f>
        <v>8.2462112512353219E-4</v>
      </c>
      <c r="E9" s="13">
        <f>Plank[[#This Row],[angvel_total]]</f>
        <v>0</v>
      </c>
      <c r="F9" s="13">
        <f>Batmobile[[#This Row],[angvel_total]]</f>
        <v>0</v>
      </c>
      <c r="G9" s="13">
        <f>Breakout[[#This Row],[angvel_total]]</f>
        <v>5.0000000000000001E-4</v>
      </c>
      <c r="I9" s="2">
        <f>Table7[[#This Row],[Hybrid]]/Table7[[#This Row],[Octane]] - 1</f>
        <v>8.7967586551986887E-2</v>
      </c>
      <c r="J9" s="2">
        <f>Table7[[#This Row],[Dominus]]/Table7[[#This Row],[Octane]] - 1</f>
        <v>0.17803017874790306</v>
      </c>
      <c r="K9" s="2">
        <f>Table7[[#This Row],[Plank]]/Table7[[#This Row],[Octane]] - 1</f>
        <v>-1</v>
      </c>
      <c r="L9" s="2">
        <f>Table7[[#This Row],[Batmobile]]/Table7[[#This Row],[Octane]] - 1</f>
        <v>-1</v>
      </c>
      <c r="M9" s="2">
        <f>Table7[[#This Row],[Breakout]]/Table7[[#This Row],[Octane]] - 1</f>
        <v>-0.2857142857142857</v>
      </c>
      <c r="N9" s="2" t="e">
        <f>Table7[[#This Row],[Breakout]]/Table7[[#This Row],[Plank]] - 1</f>
        <v>#DIV/0!</v>
      </c>
      <c r="P9" s="1"/>
      <c r="W9" s="11"/>
      <c r="AD9" s="1"/>
      <c r="AE9" s="6"/>
      <c r="AF9" s="8"/>
      <c r="AG9" s="8"/>
      <c r="AH9" s="8"/>
      <c r="AI9" s="8"/>
      <c r="AJ9" s="8"/>
      <c r="AK9" s="8"/>
      <c r="AL9" s="1"/>
      <c r="AX9" s="2">
        <f>(Table7[[#This Row],[Hybrid]]-Table7[[#This Row],[Octane]])/$B$245</f>
        <v>3.106043405198201E-5</v>
      </c>
      <c r="AY9" s="2">
        <f>(Table7[[#This Row],[Dominus]]-Table7[[#This Row],[Octane]])/$B$245</f>
        <v>6.2860592668344771E-5</v>
      </c>
      <c r="AZ9" s="2">
        <f>(Table7[[#This Row],[Plank]]-Table7[[#This Row],[Octane]])/$B$245</f>
        <v>-3.5308953296821395E-4</v>
      </c>
      <c r="BA9" s="2">
        <f>(Table7[[#This Row],[Batmobile]]-Table7[[#This Row],[Octane]])/$B$245</f>
        <v>-3.5308953296821395E-4</v>
      </c>
      <c r="BB9" s="2">
        <f>(Table7[[#This Row],[Breakout]]-Table7[[#This Row],[Octane]])/$B$245</f>
        <v>-1.0088272370520397E-4</v>
      </c>
      <c r="BC9" s="2"/>
    </row>
    <row r="10" spans="1:55">
      <c r="A10" s="1"/>
      <c r="B10" s="13">
        <f>Octane[[#This Row],[angvel_total]]</f>
        <v>6.9999999999999999E-4</v>
      </c>
      <c r="C10" s="13">
        <f>Hybrid[[#This Row],[angvel_total]]</f>
        <v>7.6157731058639085E-4</v>
      </c>
      <c r="D10" s="13">
        <f>Dominus[[#This Row],[angvel_total]]</f>
        <v>8.2462112512353219E-4</v>
      </c>
      <c r="E10" s="13">
        <f>Plank[[#This Row],[angvel_total]]</f>
        <v>0</v>
      </c>
      <c r="F10" s="13">
        <f>Batmobile[[#This Row],[angvel_total]]</f>
        <v>0</v>
      </c>
      <c r="G10" s="13">
        <f>Breakout[[#This Row],[angvel_total]]</f>
        <v>5.0000000000000001E-4</v>
      </c>
      <c r="I10" s="2">
        <f>Table7[[#This Row],[Hybrid]]/Table7[[#This Row],[Octane]] - 1</f>
        <v>8.7967586551986887E-2</v>
      </c>
      <c r="J10" s="2">
        <f>Table7[[#This Row],[Dominus]]/Table7[[#This Row],[Octane]] - 1</f>
        <v>0.17803017874790306</v>
      </c>
      <c r="K10" s="2">
        <f>Table7[[#This Row],[Plank]]/Table7[[#This Row],[Octane]] - 1</f>
        <v>-1</v>
      </c>
      <c r="L10" s="2">
        <f>Table7[[#This Row],[Batmobile]]/Table7[[#This Row],[Octane]] - 1</f>
        <v>-1</v>
      </c>
      <c r="M10" s="2">
        <f>Table7[[#This Row],[Breakout]]/Table7[[#This Row],[Octane]] - 1</f>
        <v>-0.2857142857142857</v>
      </c>
      <c r="N10" s="2" t="e">
        <f>Table7[[#This Row],[Breakout]]/Table7[[#This Row],[Plank]] - 1</f>
        <v>#DIV/0!</v>
      </c>
      <c r="P10" s="1"/>
      <c r="W10" s="11"/>
      <c r="AD10" s="1"/>
      <c r="AE10" s="6"/>
      <c r="AF10" s="8"/>
      <c r="AG10" s="8"/>
      <c r="AH10" s="8"/>
      <c r="AI10" s="8"/>
      <c r="AJ10" s="8"/>
      <c r="AK10" s="8"/>
      <c r="AL10" s="1"/>
      <c r="AN10" t="s">
        <v>52</v>
      </c>
      <c r="AO10">
        <f>B214*POWER(LOG(AO8),1.28)</f>
        <v>1.9389322452700379</v>
      </c>
      <c r="AP10">
        <f t="shared" ref="AP10:AT10" si="0">C214*POWER(LOG(AP8),1.28)</f>
        <v>1.8913789578604763</v>
      </c>
      <c r="AQ10">
        <f t="shared" si="0"/>
        <v>1.8820402431953653</v>
      </c>
      <c r="AR10">
        <f t="shared" si="0"/>
        <v>1.8373370345912172</v>
      </c>
      <c r="AS10">
        <f t="shared" si="0"/>
        <v>1.8318828182973612</v>
      </c>
      <c r="AT10">
        <f t="shared" si="0"/>
        <v>1.8218127802457926</v>
      </c>
      <c r="AX10" s="2">
        <f>(Table7[[#This Row],[Hybrid]]-Table7[[#This Row],[Octane]])/$B$245</f>
        <v>3.106043405198201E-5</v>
      </c>
      <c r="AY10" s="2">
        <f>(Table7[[#This Row],[Dominus]]-Table7[[#This Row],[Octane]])/$B$245</f>
        <v>6.2860592668344771E-5</v>
      </c>
      <c r="AZ10" s="2">
        <f>(Table7[[#This Row],[Plank]]-Table7[[#This Row],[Octane]])/$B$245</f>
        <v>-3.5308953296821395E-4</v>
      </c>
      <c r="BA10" s="2">
        <f>(Table7[[#This Row],[Batmobile]]-Table7[[#This Row],[Octane]])/$B$245</f>
        <v>-3.5308953296821395E-4</v>
      </c>
      <c r="BB10" s="2">
        <f>(Table7[[#This Row],[Breakout]]-Table7[[#This Row],[Octane]])/$B$245</f>
        <v>-1.0088272370520397E-4</v>
      </c>
      <c r="BC10" s="2"/>
    </row>
    <row r="11" spans="1:55">
      <c r="A11" s="1"/>
      <c r="B11" s="13">
        <f>Octane[[#This Row],[angvel_total]]</f>
        <v>6.9999999999999999E-4</v>
      </c>
      <c r="C11" s="13">
        <f>Hybrid[[#This Row],[angvel_total]]</f>
        <v>7.6157731058639085E-4</v>
      </c>
      <c r="D11" s="13">
        <f>Dominus[[#This Row],[angvel_total]]</f>
        <v>8.2462112512353219E-4</v>
      </c>
      <c r="E11" s="13">
        <f>Plank[[#This Row],[angvel_total]]</f>
        <v>0</v>
      </c>
      <c r="F11" s="13">
        <f>Batmobile[[#This Row],[angvel_total]]</f>
        <v>0</v>
      </c>
      <c r="G11" s="13">
        <f>Breakout[[#This Row],[angvel_total]]</f>
        <v>5.0000000000000001E-4</v>
      </c>
      <c r="I11" s="2">
        <f>Table7[[#This Row],[Hybrid]]/Table7[[#This Row],[Octane]] - 1</f>
        <v>8.7967586551986887E-2</v>
      </c>
      <c r="J11" s="2">
        <f>Table7[[#This Row],[Dominus]]/Table7[[#This Row],[Octane]] - 1</f>
        <v>0.17803017874790306</v>
      </c>
      <c r="K11" s="2">
        <f>Table7[[#This Row],[Plank]]/Table7[[#This Row],[Octane]] - 1</f>
        <v>-1</v>
      </c>
      <c r="L11" s="2">
        <f>Table7[[#This Row],[Batmobile]]/Table7[[#This Row],[Octane]] - 1</f>
        <v>-1</v>
      </c>
      <c r="M11" s="2">
        <f>Table7[[#This Row],[Breakout]]/Table7[[#This Row],[Octane]] - 1</f>
        <v>-0.2857142857142857</v>
      </c>
      <c r="N11" s="2" t="e">
        <f>Table7[[#This Row],[Breakout]]/Table7[[#This Row],[Plank]] - 1</f>
        <v>#DIV/0!</v>
      </c>
      <c r="P11" s="1"/>
      <c r="W11" s="11"/>
      <c r="AD11" s="1"/>
      <c r="AE11" s="6"/>
      <c r="AF11" s="8"/>
      <c r="AG11" s="8"/>
      <c r="AH11" s="8"/>
      <c r="AI11" s="8"/>
      <c r="AJ11" s="8"/>
      <c r="AK11" s="8"/>
      <c r="AL11" s="1"/>
      <c r="AX11" s="2">
        <f>(Table7[[#This Row],[Hybrid]]-Table7[[#This Row],[Octane]])/$B$245</f>
        <v>3.106043405198201E-5</v>
      </c>
      <c r="AY11" s="2">
        <f>(Table7[[#This Row],[Dominus]]-Table7[[#This Row],[Octane]])/$B$245</f>
        <v>6.2860592668344771E-5</v>
      </c>
      <c r="AZ11" s="2">
        <f>(Table7[[#This Row],[Plank]]-Table7[[#This Row],[Octane]])/$B$245</f>
        <v>-3.5308953296821395E-4</v>
      </c>
      <c r="BA11" s="2">
        <f>(Table7[[#This Row],[Batmobile]]-Table7[[#This Row],[Octane]])/$B$245</f>
        <v>-3.5308953296821395E-4</v>
      </c>
      <c r="BB11" s="2">
        <f>(Table7[[#This Row],[Breakout]]-Table7[[#This Row],[Octane]])/$B$245</f>
        <v>-1.0088272370520397E-4</v>
      </c>
      <c r="BC11" s="2"/>
    </row>
    <row r="12" spans="1:55">
      <c r="A12" s="1"/>
      <c r="B12" s="13">
        <f>Octane[[#This Row],[angvel_total]]</f>
        <v>6.9999999999999999E-4</v>
      </c>
      <c r="C12" s="13">
        <f>Hybrid[[#This Row],[angvel_total]]</f>
        <v>7.6157731058639085E-4</v>
      </c>
      <c r="D12" s="13">
        <f>Dominus[[#This Row],[angvel_total]]</f>
        <v>8.2462112512353219E-4</v>
      </c>
      <c r="E12" s="13">
        <f>Plank[[#This Row],[angvel_total]]</f>
        <v>0</v>
      </c>
      <c r="F12" s="13">
        <f>Batmobile[[#This Row],[angvel_total]]</f>
        <v>0</v>
      </c>
      <c r="G12" s="13">
        <f>Breakout[[#This Row],[angvel_total]]</f>
        <v>5.0000000000000001E-4</v>
      </c>
      <c r="I12" s="2">
        <f>Table7[[#This Row],[Hybrid]]/Table7[[#This Row],[Octane]] - 1</f>
        <v>8.7967586551986887E-2</v>
      </c>
      <c r="J12" s="2">
        <f>Table7[[#This Row],[Dominus]]/Table7[[#This Row],[Octane]] - 1</f>
        <v>0.17803017874790306</v>
      </c>
      <c r="K12" s="2">
        <f>Table7[[#This Row],[Plank]]/Table7[[#This Row],[Octane]] - 1</f>
        <v>-1</v>
      </c>
      <c r="L12" s="2">
        <f>Table7[[#This Row],[Batmobile]]/Table7[[#This Row],[Octane]] - 1</f>
        <v>-1</v>
      </c>
      <c r="M12" s="2">
        <f>Table7[[#This Row],[Breakout]]/Table7[[#This Row],[Octane]] - 1</f>
        <v>-0.2857142857142857</v>
      </c>
      <c r="N12" s="2" t="e">
        <f>Table7[[#This Row],[Breakout]]/Table7[[#This Row],[Plank]] - 1</f>
        <v>#DIV/0!</v>
      </c>
      <c r="P12" s="1"/>
      <c r="W12" s="11"/>
      <c r="AD12" s="1"/>
      <c r="AE12" s="6"/>
      <c r="AF12" s="8"/>
      <c r="AG12" s="8"/>
      <c r="AH12" s="8"/>
      <c r="AI12" s="8"/>
      <c r="AJ12" s="8"/>
      <c r="AK12" s="8"/>
      <c r="AL12" s="1"/>
      <c r="AO12">
        <f>$AO10/AP10</f>
        <v>1.0251421256496127</v>
      </c>
      <c r="AP12">
        <f>$AO10/AQ10</f>
        <v>1.0302288977509217</v>
      </c>
      <c r="AQ12">
        <f>$AO10/AR10</f>
        <v>1.0552948145964001</v>
      </c>
      <c r="AR12">
        <f>$AO10/AS10</f>
        <v>1.0584368311681496</v>
      </c>
      <c r="AS12">
        <f>$AO10/AT10</f>
        <v>1.064287322108062</v>
      </c>
      <c r="AX12" s="2">
        <f>(Table7[[#This Row],[Hybrid]]-Table7[[#This Row],[Octane]])/$B$245</f>
        <v>3.106043405198201E-5</v>
      </c>
      <c r="AY12" s="2">
        <f>(Table7[[#This Row],[Dominus]]-Table7[[#This Row],[Octane]])/$B$245</f>
        <v>6.2860592668344771E-5</v>
      </c>
      <c r="AZ12" s="2">
        <f>(Table7[[#This Row],[Plank]]-Table7[[#This Row],[Octane]])/$B$245</f>
        <v>-3.5308953296821395E-4</v>
      </c>
      <c r="BA12" s="2">
        <f>(Table7[[#This Row],[Batmobile]]-Table7[[#This Row],[Octane]])/$B$245</f>
        <v>-3.5308953296821395E-4</v>
      </c>
      <c r="BB12" s="2">
        <f>(Table7[[#This Row],[Breakout]]-Table7[[#This Row],[Octane]])/$B$245</f>
        <v>-1.0088272370520397E-4</v>
      </c>
      <c r="BC12" s="2"/>
    </row>
    <row r="13" spans="1:55">
      <c r="A13" s="1"/>
      <c r="B13" s="13">
        <f>Octane[[#This Row],[angvel_total]]</f>
        <v>6.9999999999999999E-4</v>
      </c>
      <c r="C13" s="13">
        <f>Hybrid[[#This Row],[angvel_total]]</f>
        <v>7.6157731058639085E-4</v>
      </c>
      <c r="D13" s="13">
        <f>Dominus[[#This Row],[angvel_total]]</f>
        <v>8.2462112512353219E-4</v>
      </c>
      <c r="E13" s="13">
        <f>Plank[[#This Row],[angvel_total]]</f>
        <v>0</v>
      </c>
      <c r="F13" s="13">
        <f>Batmobile[[#This Row],[angvel_total]]</f>
        <v>0</v>
      </c>
      <c r="G13" s="13">
        <f>Breakout[[#This Row],[angvel_total]]</f>
        <v>5.0000000000000001E-4</v>
      </c>
      <c r="I13" s="2">
        <f>Table7[[#This Row],[Hybrid]]/Table7[[#This Row],[Octane]] - 1</f>
        <v>8.7967586551986887E-2</v>
      </c>
      <c r="J13" s="2">
        <f>Table7[[#This Row],[Dominus]]/Table7[[#This Row],[Octane]] - 1</f>
        <v>0.17803017874790306</v>
      </c>
      <c r="K13" s="2">
        <f>Table7[[#This Row],[Plank]]/Table7[[#This Row],[Octane]] - 1</f>
        <v>-1</v>
      </c>
      <c r="L13" s="2">
        <f>Table7[[#This Row],[Batmobile]]/Table7[[#This Row],[Octane]] - 1</f>
        <v>-1</v>
      </c>
      <c r="M13" s="2">
        <f>Table7[[#This Row],[Breakout]]/Table7[[#This Row],[Octane]] - 1</f>
        <v>-0.2857142857142857</v>
      </c>
      <c r="N13" s="2" t="e">
        <f>Table7[[#This Row],[Breakout]]/Table7[[#This Row],[Plank]] - 1</f>
        <v>#DIV/0!</v>
      </c>
      <c r="P13" s="1"/>
      <c r="W13" s="11"/>
      <c r="AD13" s="1"/>
      <c r="AE13" s="6"/>
      <c r="AF13" s="8"/>
      <c r="AG13" s="8"/>
      <c r="AH13" s="8"/>
      <c r="AI13" s="8"/>
      <c r="AJ13" s="8"/>
      <c r="AK13" s="8"/>
      <c r="AL13" s="1"/>
      <c r="AX13" s="2">
        <f>(Table7[[#This Row],[Hybrid]]-Table7[[#This Row],[Octane]])/$B$245</f>
        <v>3.106043405198201E-5</v>
      </c>
      <c r="AY13" s="2">
        <f>(Table7[[#This Row],[Dominus]]-Table7[[#This Row],[Octane]])/$B$245</f>
        <v>6.2860592668344771E-5</v>
      </c>
      <c r="AZ13" s="2">
        <f>(Table7[[#This Row],[Plank]]-Table7[[#This Row],[Octane]])/$B$245</f>
        <v>-3.5308953296821395E-4</v>
      </c>
      <c r="BA13" s="2">
        <f>(Table7[[#This Row],[Batmobile]]-Table7[[#This Row],[Octane]])/$B$245</f>
        <v>-3.5308953296821395E-4</v>
      </c>
      <c r="BB13" s="2">
        <f>(Table7[[#This Row],[Breakout]]-Table7[[#This Row],[Octane]])/$B$245</f>
        <v>-1.0088272370520397E-4</v>
      </c>
      <c r="BC13" s="2"/>
    </row>
    <row r="14" spans="1:55">
      <c r="A14" s="1"/>
      <c r="B14" s="13">
        <f>Octane[[#This Row],[angvel_total]]</f>
        <v>6.9999999999999999E-4</v>
      </c>
      <c r="C14" s="13">
        <f>Hybrid[[#This Row],[angvel_total]]</f>
        <v>7.6157731058639085E-4</v>
      </c>
      <c r="D14" s="13">
        <f>Dominus[[#This Row],[angvel_total]]</f>
        <v>8.2462112512353219E-4</v>
      </c>
      <c r="E14" s="13">
        <f>Plank[[#This Row],[angvel_total]]</f>
        <v>0</v>
      </c>
      <c r="F14" s="13">
        <f>Batmobile[[#This Row],[angvel_total]]</f>
        <v>0</v>
      </c>
      <c r="G14" s="13">
        <f>Breakout[[#This Row],[angvel_total]]</f>
        <v>5.0000000000000001E-4</v>
      </c>
      <c r="I14" s="2">
        <f>Table7[[#This Row],[Hybrid]]/Table7[[#This Row],[Octane]] - 1</f>
        <v>8.7967586551986887E-2</v>
      </c>
      <c r="J14" s="2">
        <f>Table7[[#This Row],[Dominus]]/Table7[[#This Row],[Octane]] - 1</f>
        <v>0.17803017874790306</v>
      </c>
      <c r="K14" s="2">
        <f>Table7[[#This Row],[Plank]]/Table7[[#This Row],[Octane]] - 1</f>
        <v>-1</v>
      </c>
      <c r="L14" s="2">
        <f>Table7[[#This Row],[Batmobile]]/Table7[[#This Row],[Octane]] - 1</f>
        <v>-1</v>
      </c>
      <c r="M14" s="2">
        <f>Table7[[#This Row],[Breakout]]/Table7[[#This Row],[Octane]] - 1</f>
        <v>-0.2857142857142857</v>
      </c>
      <c r="N14" s="2" t="e">
        <f>Table7[[#This Row],[Breakout]]/Table7[[#This Row],[Plank]] - 1</f>
        <v>#DIV/0!</v>
      </c>
      <c r="P14" s="1"/>
      <c r="W14" s="11"/>
      <c r="AD14" s="1"/>
      <c r="AE14" s="6"/>
      <c r="AF14" s="8"/>
      <c r="AG14" s="8"/>
      <c r="AH14" s="8"/>
      <c r="AI14" s="8"/>
      <c r="AJ14" s="8"/>
      <c r="AK14" s="8"/>
      <c r="AL14" s="1"/>
      <c r="AX14" s="2">
        <f>(Table7[[#This Row],[Hybrid]]-Table7[[#This Row],[Octane]])/$B$245</f>
        <v>3.106043405198201E-5</v>
      </c>
      <c r="AY14" s="2">
        <f>(Table7[[#This Row],[Dominus]]-Table7[[#This Row],[Octane]])/$B$245</f>
        <v>6.2860592668344771E-5</v>
      </c>
      <c r="AZ14" s="2">
        <f>(Table7[[#This Row],[Plank]]-Table7[[#This Row],[Octane]])/$B$245</f>
        <v>-3.5308953296821395E-4</v>
      </c>
      <c r="BA14" s="2">
        <f>(Table7[[#This Row],[Batmobile]]-Table7[[#This Row],[Octane]])/$B$245</f>
        <v>-3.5308953296821395E-4</v>
      </c>
      <c r="BB14" s="2">
        <f>(Table7[[#This Row],[Breakout]]-Table7[[#This Row],[Octane]])/$B$245</f>
        <v>-1.0088272370520397E-4</v>
      </c>
      <c r="BC14" s="2"/>
    </row>
    <row r="15" spans="1:55">
      <c r="A15" s="1"/>
      <c r="B15" s="13">
        <f>Octane[[#This Row],[angvel_total]]</f>
        <v>6.9999999999999999E-4</v>
      </c>
      <c r="C15" s="13">
        <f>Hybrid[[#This Row],[angvel_total]]</f>
        <v>7.6157731058639085E-4</v>
      </c>
      <c r="D15" s="13">
        <f>Dominus[[#This Row],[angvel_total]]</f>
        <v>8.2462112512353219E-4</v>
      </c>
      <c r="E15" s="13">
        <f>Plank[[#This Row],[angvel_total]]</f>
        <v>0</v>
      </c>
      <c r="F15" s="13">
        <f>Batmobile[[#This Row],[angvel_total]]</f>
        <v>0</v>
      </c>
      <c r="G15" s="13">
        <f>Breakout[[#This Row],[angvel_total]]</f>
        <v>5.0000000000000001E-4</v>
      </c>
      <c r="I15" s="2">
        <f>Table7[[#This Row],[Hybrid]]/Table7[[#This Row],[Octane]] - 1</f>
        <v>8.7967586551986887E-2</v>
      </c>
      <c r="J15" s="2">
        <f>Table7[[#This Row],[Dominus]]/Table7[[#This Row],[Octane]] - 1</f>
        <v>0.17803017874790306</v>
      </c>
      <c r="K15" s="2">
        <f>Table7[[#This Row],[Plank]]/Table7[[#This Row],[Octane]] - 1</f>
        <v>-1</v>
      </c>
      <c r="L15" s="2">
        <f>Table7[[#This Row],[Batmobile]]/Table7[[#This Row],[Octane]] - 1</f>
        <v>-1</v>
      </c>
      <c r="M15" s="2">
        <f>Table7[[#This Row],[Breakout]]/Table7[[#This Row],[Octane]] - 1</f>
        <v>-0.2857142857142857</v>
      </c>
      <c r="N15" s="2" t="e">
        <f>Table7[[#This Row],[Breakout]]/Table7[[#This Row],[Plank]] - 1</f>
        <v>#DIV/0!</v>
      </c>
      <c r="P15" s="1"/>
      <c r="W15" s="11"/>
      <c r="AD15" s="1"/>
      <c r="AE15" s="6"/>
      <c r="AF15" s="8"/>
      <c r="AG15" s="8"/>
      <c r="AH15" s="8"/>
      <c r="AI15" s="8"/>
      <c r="AJ15" s="8"/>
      <c r="AK15" s="8"/>
      <c r="AL15" s="1"/>
      <c r="AX15" s="2">
        <f>(Table7[[#This Row],[Hybrid]]-Table7[[#This Row],[Octane]])/$B$245</f>
        <v>3.106043405198201E-5</v>
      </c>
      <c r="AY15" s="2">
        <f>(Table7[[#This Row],[Dominus]]-Table7[[#This Row],[Octane]])/$B$245</f>
        <v>6.2860592668344771E-5</v>
      </c>
      <c r="AZ15" s="2">
        <f>(Table7[[#This Row],[Plank]]-Table7[[#This Row],[Octane]])/$B$245</f>
        <v>-3.5308953296821395E-4</v>
      </c>
      <c r="BA15" s="2">
        <f>(Table7[[#This Row],[Batmobile]]-Table7[[#This Row],[Octane]])/$B$245</f>
        <v>-3.5308953296821395E-4</v>
      </c>
      <c r="BB15" s="2">
        <f>(Table7[[#This Row],[Breakout]]-Table7[[#This Row],[Octane]])/$B$245</f>
        <v>-1.0088272370520397E-4</v>
      </c>
      <c r="BC15" s="2"/>
    </row>
    <row r="16" spans="1:55">
      <c r="A16" s="1"/>
      <c r="B16" s="13">
        <f>Octane[[#This Row],[angvel_total]]</f>
        <v>6.9999999999999999E-4</v>
      </c>
      <c r="C16" s="13">
        <f>Hybrid[[#This Row],[angvel_total]]</f>
        <v>7.6157731058639085E-4</v>
      </c>
      <c r="D16" s="13">
        <f>Dominus[[#This Row],[angvel_total]]</f>
        <v>8.2462112512353219E-4</v>
      </c>
      <c r="E16" s="13">
        <f>Plank[[#This Row],[angvel_total]]</f>
        <v>0</v>
      </c>
      <c r="F16" s="13">
        <f>Batmobile[[#This Row],[angvel_total]]</f>
        <v>0</v>
      </c>
      <c r="G16" s="13">
        <f>Breakout[[#This Row],[angvel_total]]</f>
        <v>5.0000000000000001E-4</v>
      </c>
      <c r="I16" s="2">
        <f>Table7[[#This Row],[Hybrid]]/Table7[[#This Row],[Octane]] - 1</f>
        <v>8.7967586551986887E-2</v>
      </c>
      <c r="J16" s="2">
        <f>Table7[[#This Row],[Dominus]]/Table7[[#This Row],[Octane]] - 1</f>
        <v>0.17803017874790306</v>
      </c>
      <c r="K16" s="2">
        <f>Table7[[#This Row],[Plank]]/Table7[[#This Row],[Octane]] - 1</f>
        <v>-1</v>
      </c>
      <c r="L16" s="2">
        <f>Table7[[#This Row],[Batmobile]]/Table7[[#This Row],[Octane]] - 1</f>
        <v>-1</v>
      </c>
      <c r="M16" s="2">
        <f>Table7[[#This Row],[Breakout]]/Table7[[#This Row],[Octane]] - 1</f>
        <v>-0.2857142857142857</v>
      </c>
      <c r="N16" s="2" t="e">
        <f>Table7[[#This Row],[Breakout]]/Table7[[#This Row],[Plank]] - 1</f>
        <v>#DIV/0!</v>
      </c>
      <c r="P16" s="1"/>
      <c r="W16" s="11"/>
      <c r="AD16" s="1"/>
      <c r="AE16" s="6"/>
      <c r="AF16" s="8"/>
      <c r="AG16" s="8"/>
      <c r="AH16" s="8"/>
      <c r="AI16" s="8"/>
      <c r="AJ16" s="8"/>
      <c r="AK16" s="8"/>
      <c r="AL16" s="1"/>
      <c r="AX16" s="2">
        <f>(Table7[[#This Row],[Hybrid]]-Table7[[#This Row],[Octane]])/$B$245</f>
        <v>3.106043405198201E-5</v>
      </c>
      <c r="AY16" s="2">
        <f>(Table7[[#This Row],[Dominus]]-Table7[[#This Row],[Octane]])/$B$245</f>
        <v>6.2860592668344771E-5</v>
      </c>
      <c r="AZ16" s="2">
        <f>(Table7[[#This Row],[Plank]]-Table7[[#This Row],[Octane]])/$B$245</f>
        <v>-3.5308953296821395E-4</v>
      </c>
      <c r="BA16" s="2">
        <f>(Table7[[#This Row],[Batmobile]]-Table7[[#This Row],[Octane]])/$B$245</f>
        <v>-3.5308953296821395E-4</v>
      </c>
      <c r="BB16" s="2">
        <f>(Table7[[#This Row],[Breakout]]-Table7[[#This Row],[Octane]])/$B$245</f>
        <v>-1.0088272370520397E-4</v>
      </c>
      <c r="BC16" s="2"/>
    </row>
    <row r="17" spans="1:55">
      <c r="A17" s="1"/>
      <c r="B17" s="13">
        <f>Octane[[#This Row],[angvel_total]]</f>
        <v>6.9999999999999999E-4</v>
      </c>
      <c r="C17" s="13">
        <f>Hybrid[[#This Row],[angvel_total]]</f>
        <v>7.6157731058639085E-4</v>
      </c>
      <c r="D17" s="13">
        <f>Dominus[[#This Row],[angvel_total]]</f>
        <v>8.2462112512353219E-4</v>
      </c>
      <c r="E17" s="13">
        <f>Plank[[#This Row],[angvel_total]]</f>
        <v>0</v>
      </c>
      <c r="F17" s="13">
        <f>Batmobile[[#This Row],[angvel_total]]</f>
        <v>0</v>
      </c>
      <c r="G17" s="13">
        <f>Breakout[[#This Row],[angvel_total]]</f>
        <v>5.0000000000000001E-4</v>
      </c>
      <c r="I17" s="2">
        <f>Table7[[#This Row],[Hybrid]]/Table7[[#This Row],[Octane]] - 1</f>
        <v>8.7967586551986887E-2</v>
      </c>
      <c r="J17" s="2">
        <f>Table7[[#This Row],[Dominus]]/Table7[[#This Row],[Octane]] - 1</f>
        <v>0.17803017874790306</v>
      </c>
      <c r="K17" s="2">
        <f>Table7[[#This Row],[Plank]]/Table7[[#This Row],[Octane]] - 1</f>
        <v>-1</v>
      </c>
      <c r="L17" s="2">
        <f>Table7[[#This Row],[Batmobile]]/Table7[[#This Row],[Octane]] - 1</f>
        <v>-1</v>
      </c>
      <c r="M17" s="2">
        <f>Table7[[#This Row],[Breakout]]/Table7[[#This Row],[Octane]] - 1</f>
        <v>-0.2857142857142857</v>
      </c>
      <c r="N17" s="2" t="e">
        <f>Table7[[#This Row],[Breakout]]/Table7[[#This Row],[Plank]] - 1</f>
        <v>#DIV/0!</v>
      </c>
      <c r="P17" s="1"/>
      <c r="W17" s="11"/>
      <c r="AC17" s="10"/>
      <c r="AD17" s="1"/>
      <c r="AE17" s="6"/>
      <c r="AF17" s="8"/>
      <c r="AG17" s="8"/>
      <c r="AH17" s="8"/>
      <c r="AI17" s="8"/>
      <c r="AJ17" s="8"/>
      <c r="AK17" s="8"/>
      <c r="AL17" s="1"/>
      <c r="AX17" s="2">
        <f>(Table7[[#This Row],[Hybrid]]-Table7[[#This Row],[Octane]])/$B$245</f>
        <v>3.106043405198201E-5</v>
      </c>
      <c r="AY17" s="2">
        <f>(Table7[[#This Row],[Dominus]]-Table7[[#This Row],[Octane]])/$B$245</f>
        <v>6.2860592668344771E-5</v>
      </c>
      <c r="AZ17" s="2">
        <f>(Table7[[#This Row],[Plank]]-Table7[[#This Row],[Octane]])/$B$245</f>
        <v>-3.5308953296821395E-4</v>
      </c>
      <c r="BA17" s="2">
        <f>(Table7[[#This Row],[Batmobile]]-Table7[[#This Row],[Octane]])/$B$245</f>
        <v>-3.5308953296821395E-4</v>
      </c>
      <c r="BB17" s="2">
        <f>(Table7[[#This Row],[Breakout]]-Table7[[#This Row],[Octane]])/$B$245</f>
        <v>-1.0088272370520397E-4</v>
      </c>
      <c r="BC17" s="2"/>
    </row>
    <row r="18" spans="1:55">
      <c r="A18" s="1"/>
      <c r="B18" s="13">
        <f>Octane[[#This Row],[angvel_total]]</f>
        <v>6.9999999999999999E-4</v>
      </c>
      <c r="C18" s="13">
        <f>Hybrid[[#This Row],[angvel_total]]</f>
        <v>7.6157731058639085E-4</v>
      </c>
      <c r="D18" s="13">
        <f>Dominus[[#This Row],[angvel_total]]</f>
        <v>8.2462112512353219E-4</v>
      </c>
      <c r="E18" s="13">
        <f>Plank[[#This Row],[angvel_total]]</f>
        <v>0</v>
      </c>
      <c r="F18" s="13">
        <f>Batmobile[[#This Row],[angvel_total]]</f>
        <v>0</v>
      </c>
      <c r="G18" s="13">
        <f>Breakout[[#This Row],[angvel_total]]</f>
        <v>5.0000000000000001E-4</v>
      </c>
      <c r="I18" s="2">
        <f>Table7[[#This Row],[Hybrid]]/Table7[[#This Row],[Octane]] - 1</f>
        <v>8.7967586551986887E-2</v>
      </c>
      <c r="J18" s="2">
        <f>Table7[[#This Row],[Dominus]]/Table7[[#This Row],[Octane]] - 1</f>
        <v>0.17803017874790306</v>
      </c>
      <c r="K18" s="2">
        <f>Table7[[#This Row],[Plank]]/Table7[[#This Row],[Octane]] - 1</f>
        <v>-1</v>
      </c>
      <c r="L18" s="2">
        <f>Table7[[#This Row],[Batmobile]]/Table7[[#This Row],[Octane]] - 1</f>
        <v>-1</v>
      </c>
      <c r="M18" s="2">
        <f>Table7[[#This Row],[Breakout]]/Table7[[#This Row],[Octane]] - 1</f>
        <v>-0.2857142857142857</v>
      </c>
      <c r="N18" s="2" t="e">
        <f>Table7[[#This Row],[Breakout]]/Table7[[#This Row],[Plank]] - 1</f>
        <v>#DIV/0!</v>
      </c>
      <c r="P18" s="1"/>
      <c r="W18" s="11"/>
      <c r="AC18" s="10"/>
      <c r="AD18" s="1"/>
      <c r="AE18" s="6"/>
      <c r="AF18" s="8"/>
      <c r="AG18" s="8"/>
      <c r="AH18" s="8"/>
      <c r="AI18" s="8"/>
      <c r="AJ18" s="8"/>
      <c r="AK18" s="8"/>
      <c r="AL18" s="1"/>
      <c r="AX18" s="2">
        <f>(Table7[[#This Row],[Hybrid]]-Table7[[#This Row],[Octane]])/$B$245</f>
        <v>3.106043405198201E-5</v>
      </c>
      <c r="AY18" s="2">
        <f>(Table7[[#This Row],[Dominus]]-Table7[[#This Row],[Octane]])/$B$245</f>
        <v>6.2860592668344771E-5</v>
      </c>
      <c r="AZ18" s="2">
        <f>(Table7[[#This Row],[Plank]]-Table7[[#This Row],[Octane]])/$B$245</f>
        <v>-3.5308953296821395E-4</v>
      </c>
      <c r="BA18" s="2">
        <f>(Table7[[#This Row],[Batmobile]]-Table7[[#This Row],[Octane]])/$B$245</f>
        <v>-3.5308953296821395E-4</v>
      </c>
      <c r="BB18" s="2">
        <f>(Table7[[#This Row],[Breakout]]-Table7[[#This Row],[Octane]])/$B$245</f>
        <v>-1.0088272370520397E-4</v>
      </c>
      <c r="BC18" s="2"/>
    </row>
    <row r="19" spans="1:55">
      <c r="A19" s="1"/>
      <c r="B19" s="13">
        <f>Octane[[#This Row],[angvel_total]]</f>
        <v>6.9999999999999999E-4</v>
      </c>
      <c r="C19" s="13">
        <f>Hybrid[[#This Row],[angvel_total]]</f>
        <v>7.6157731058639085E-4</v>
      </c>
      <c r="D19" s="13">
        <f>Dominus[[#This Row],[angvel_total]]</f>
        <v>8.2462112512353219E-4</v>
      </c>
      <c r="E19" s="13">
        <f>Plank[[#This Row],[angvel_total]]</f>
        <v>0</v>
      </c>
      <c r="F19" s="13">
        <f>Batmobile[[#This Row],[angvel_total]]</f>
        <v>0</v>
      </c>
      <c r="G19" s="13">
        <f>Breakout[[#This Row],[angvel_total]]</f>
        <v>5.0000000000000001E-4</v>
      </c>
      <c r="I19" s="2">
        <f>Table7[[#This Row],[Hybrid]]/Table7[[#This Row],[Octane]] - 1</f>
        <v>8.7967586551986887E-2</v>
      </c>
      <c r="J19" s="2">
        <f>Table7[[#This Row],[Dominus]]/Table7[[#This Row],[Octane]] - 1</f>
        <v>0.17803017874790306</v>
      </c>
      <c r="K19" s="2">
        <f>Table7[[#This Row],[Plank]]/Table7[[#This Row],[Octane]] - 1</f>
        <v>-1</v>
      </c>
      <c r="L19" s="2">
        <f>Table7[[#This Row],[Batmobile]]/Table7[[#This Row],[Octane]] - 1</f>
        <v>-1</v>
      </c>
      <c r="M19" s="2">
        <f>Table7[[#This Row],[Breakout]]/Table7[[#This Row],[Octane]] - 1</f>
        <v>-0.2857142857142857</v>
      </c>
      <c r="N19" s="2" t="e">
        <f>Table7[[#This Row],[Breakout]]/Table7[[#This Row],[Plank]] - 1</f>
        <v>#DIV/0!</v>
      </c>
      <c r="P19" s="1"/>
      <c r="W19" s="11"/>
      <c r="AC19" s="10"/>
      <c r="AD19" s="1"/>
      <c r="AE19" s="12"/>
      <c r="AF19" s="8"/>
      <c r="AG19" s="8"/>
      <c r="AH19" s="8"/>
      <c r="AI19" s="8"/>
      <c r="AJ19" s="8"/>
      <c r="AK19" s="8"/>
      <c r="AL19" s="1"/>
      <c r="AX19" s="2">
        <f>(Table7[[#This Row],[Hybrid]]-Table7[[#This Row],[Octane]])/$B$245</f>
        <v>3.106043405198201E-5</v>
      </c>
      <c r="AY19" s="2">
        <f>(Table7[[#This Row],[Dominus]]-Table7[[#This Row],[Octane]])/$B$245</f>
        <v>6.2860592668344771E-5</v>
      </c>
      <c r="AZ19" s="2">
        <f>(Table7[[#This Row],[Plank]]-Table7[[#This Row],[Octane]])/$B$245</f>
        <v>-3.5308953296821395E-4</v>
      </c>
      <c r="BA19" s="2">
        <f>(Table7[[#This Row],[Batmobile]]-Table7[[#This Row],[Octane]])/$B$245</f>
        <v>-3.5308953296821395E-4</v>
      </c>
      <c r="BB19" s="2">
        <f>(Table7[[#This Row],[Breakout]]-Table7[[#This Row],[Octane]])/$B$245</f>
        <v>-1.0088272370520397E-4</v>
      </c>
      <c r="BC19" s="2"/>
    </row>
    <row r="20" spans="1:55">
      <c r="A20" s="1"/>
      <c r="B20" s="13">
        <f>Octane[[#This Row],[angvel_total]]</f>
        <v>6.9999999999999999E-4</v>
      </c>
      <c r="C20" s="13">
        <f>Hybrid[[#This Row],[angvel_total]]</f>
        <v>7.6157731058639085E-4</v>
      </c>
      <c r="D20" s="13">
        <f>Dominus[[#This Row],[angvel_total]]</f>
        <v>8.2462112512353219E-4</v>
      </c>
      <c r="E20" s="13">
        <f>Plank[[#This Row],[angvel_total]]</f>
        <v>0</v>
      </c>
      <c r="F20" s="13">
        <f>Batmobile[[#This Row],[angvel_total]]</f>
        <v>0</v>
      </c>
      <c r="G20" s="13">
        <f>Breakout[[#This Row],[angvel_total]]</f>
        <v>5.0000000000000001E-4</v>
      </c>
      <c r="I20" s="2">
        <f>Table7[[#This Row],[Hybrid]]/Table7[[#This Row],[Octane]] - 1</f>
        <v>8.7967586551986887E-2</v>
      </c>
      <c r="J20" s="2">
        <f>Table7[[#This Row],[Dominus]]/Table7[[#This Row],[Octane]] - 1</f>
        <v>0.17803017874790306</v>
      </c>
      <c r="K20" s="2">
        <f>Table7[[#This Row],[Plank]]/Table7[[#This Row],[Octane]] - 1</f>
        <v>-1</v>
      </c>
      <c r="L20" s="2">
        <f>Table7[[#This Row],[Batmobile]]/Table7[[#This Row],[Octane]] - 1</f>
        <v>-1</v>
      </c>
      <c r="M20" s="2">
        <f>Table7[[#This Row],[Breakout]]/Table7[[#This Row],[Octane]] - 1</f>
        <v>-0.2857142857142857</v>
      </c>
      <c r="N20" s="2" t="e">
        <f>Table7[[#This Row],[Breakout]]/Table7[[#This Row],[Plank]] - 1</f>
        <v>#DIV/0!</v>
      </c>
      <c r="P20" s="1"/>
      <c r="W20" s="11"/>
      <c r="AD20" s="1"/>
      <c r="AE20" s="6"/>
      <c r="AF20" s="8"/>
      <c r="AG20" s="8"/>
      <c r="AH20" s="8"/>
      <c r="AI20" s="8"/>
      <c r="AJ20" s="8"/>
      <c r="AK20" s="8"/>
      <c r="AL20" s="1"/>
      <c r="AX20" s="2">
        <f>(Table7[[#This Row],[Hybrid]]-Table7[[#This Row],[Octane]])/$B$245</f>
        <v>3.106043405198201E-5</v>
      </c>
      <c r="AY20" s="2">
        <f>(Table7[[#This Row],[Dominus]]-Table7[[#This Row],[Octane]])/$B$245</f>
        <v>6.2860592668344771E-5</v>
      </c>
      <c r="AZ20" s="2">
        <f>(Table7[[#This Row],[Plank]]-Table7[[#This Row],[Octane]])/$B$245</f>
        <v>-3.5308953296821395E-4</v>
      </c>
      <c r="BA20" s="2">
        <f>(Table7[[#This Row],[Batmobile]]-Table7[[#This Row],[Octane]])/$B$245</f>
        <v>-3.5308953296821395E-4</v>
      </c>
      <c r="BB20" s="2">
        <f>(Table7[[#This Row],[Breakout]]-Table7[[#This Row],[Octane]])/$B$245</f>
        <v>-1.0088272370520397E-4</v>
      </c>
      <c r="BC20" s="2"/>
    </row>
    <row r="21" spans="1:55">
      <c r="A21" s="1"/>
      <c r="B21" s="13">
        <f>Octane[[#This Row],[angvel_total]]</f>
        <v>6.9999999999999999E-4</v>
      </c>
      <c r="C21" s="13">
        <f>Hybrid[[#This Row],[angvel_total]]</f>
        <v>7.6157731058639085E-4</v>
      </c>
      <c r="D21" s="13">
        <f>Dominus[[#This Row],[angvel_total]]</f>
        <v>8.2462112512353219E-4</v>
      </c>
      <c r="E21" s="13">
        <f>Plank[[#This Row],[angvel_total]]</f>
        <v>0</v>
      </c>
      <c r="F21" s="13">
        <f>Batmobile[[#This Row],[angvel_total]]</f>
        <v>0</v>
      </c>
      <c r="G21" s="13">
        <f>Breakout[[#This Row],[angvel_total]]</f>
        <v>5.0000000000000001E-4</v>
      </c>
      <c r="I21" s="2">
        <f>Table7[[#This Row],[Hybrid]]/Table7[[#This Row],[Octane]] - 1</f>
        <v>8.7967586551986887E-2</v>
      </c>
      <c r="J21" s="2">
        <f>Table7[[#This Row],[Dominus]]/Table7[[#This Row],[Octane]] - 1</f>
        <v>0.17803017874790306</v>
      </c>
      <c r="K21" s="2">
        <f>Table7[[#This Row],[Plank]]/Table7[[#This Row],[Octane]] - 1</f>
        <v>-1</v>
      </c>
      <c r="L21" s="2">
        <f>Table7[[#This Row],[Batmobile]]/Table7[[#This Row],[Octane]] - 1</f>
        <v>-1</v>
      </c>
      <c r="M21" s="2">
        <f>Table7[[#This Row],[Breakout]]/Table7[[#This Row],[Octane]] - 1</f>
        <v>-0.2857142857142857</v>
      </c>
      <c r="N21" s="2" t="e">
        <f>Table7[[#This Row],[Breakout]]/Table7[[#This Row],[Plank]] - 1</f>
        <v>#DIV/0!</v>
      </c>
      <c r="P21" s="1"/>
      <c r="W21" s="11"/>
      <c r="Y21">
        <f>$Q$53/R53</f>
        <v>1.0245436966820434</v>
      </c>
      <c r="Z21">
        <f>$Q$53/S53</f>
        <v>1.0288211160081524</v>
      </c>
      <c r="AA21">
        <f>$Q$53/T53</f>
        <v>1.0572463492043052</v>
      </c>
      <c r="AB21">
        <f>$Q$53/U53</f>
        <v>1.0616140615437804</v>
      </c>
      <c r="AC21">
        <f>$Q$53/V53</f>
        <v>1.0577835628215804</v>
      </c>
      <c r="AD21" s="1"/>
      <c r="AE21" s="6"/>
      <c r="AF21" s="8"/>
      <c r="AG21" s="8"/>
      <c r="AH21" s="8"/>
      <c r="AI21" s="8"/>
      <c r="AJ21" s="8"/>
      <c r="AK21" s="8"/>
      <c r="AL21" s="1"/>
      <c r="AX21" s="2">
        <f>(Table7[[#This Row],[Hybrid]]-Table7[[#This Row],[Octane]])/$B$245</f>
        <v>3.106043405198201E-5</v>
      </c>
      <c r="AY21" s="2">
        <f>(Table7[[#This Row],[Dominus]]-Table7[[#This Row],[Octane]])/$B$245</f>
        <v>6.2860592668344771E-5</v>
      </c>
      <c r="AZ21" s="2">
        <f>(Table7[[#This Row],[Plank]]-Table7[[#This Row],[Octane]])/$B$245</f>
        <v>-3.5308953296821395E-4</v>
      </c>
      <c r="BA21" s="2">
        <f>(Table7[[#This Row],[Batmobile]]-Table7[[#This Row],[Octane]])/$B$245</f>
        <v>-3.5308953296821395E-4</v>
      </c>
      <c r="BB21" s="2">
        <f>(Table7[[#This Row],[Breakout]]-Table7[[#This Row],[Octane]])/$B$245</f>
        <v>-1.0088272370520397E-4</v>
      </c>
      <c r="BC21" s="2"/>
    </row>
    <row r="22" spans="1:55">
      <c r="A22" s="1"/>
      <c r="B22" s="13">
        <f>Octane[[#This Row],[angvel_total]]</f>
        <v>6.9999999999999999E-4</v>
      </c>
      <c r="C22" s="13">
        <f>Hybrid[[#This Row],[angvel_total]]</f>
        <v>7.6157731058639085E-4</v>
      </c>
      <c r="D22" s="13">
        <f>Dominus[[#This Row],[angvel_total]]</f>
        <v>8.2462112512353219E-4</v>
      </c>
      <c r="E22" s="13">
        <f>Plank[[#This Row],[angvel_total]]</f>
        <v>0</v>
      </c>
      <c r="F22" s="13">
        <f>Batmobile[[#This Row],[angvel_total]]</f>
        <v>0</v>
      </c>
      <c r="G22" s="13">
        <f>Breakout[[#This Row],[angvel_total]]</f>
        <v>5.0000000000000001E-4</v>
      </c>
      <c r="I22" s="2">
        <f>Table7[[#This Row],[Hybrid]]/Table7[[#This Row],[Octane]] - 1</f>
        <v>8.7967586551986887E-2</v>
      </c>
      <c r="J22" s="2">
        <f>Table7[[#This Row],[Dominus]]/Table7[[#This Row],[Octane]] - 1</f>
        <v>0.17803017874790306</v>
      </c>
      <c r="K22" s="2">
        <f>Table7[[#This Row],[Plank]]/Table7[[#This Row],[Octane]] - 1</f>
        <v>-1</v>
      </c>
      <c r="L22" s="2">
        <f>Table7[[#This Row],[Batmobile]]/Table7[[#This Row],[Octane]] - 1</f>
        <v>-1</v>
      </c>
      <c r="M22" s="2">
        <f>Table7[[#This Row],[Breakout]]/Table7[[#This Row],[Octane]] - 1</f>
        <v>-0.2857142857142857</v>
      </c>
      <c r="N22" s="2" t="e">
        <f>Table7[[#This Row],[Breakout]]/Table7[[#This Row],[Plank]] - 1</f>
        <v>#DIV/0!</v>
      </c>
      <c r="P22" s="1"/>
      <c r="W22" s="11"/>
      <c r="AD22" s="1"/>
      <c r="AE22" s="6"/>
      <c r="AF22" s="8"/>
      <c r="AG22" s="8"/>
      <c r="AH22" s="8"/>
      <c r="AI22" s="8"/>
      <c r="AJ22" s="8"/>
      <c r="AK22" s="8"/>
      <c r="AL22" s="1"/>
      <c r="AX22" s="2">
        <f>(Table7[[#This Row],[Hybrid]]-Table7[[#This Row],[Octane]])/$B$245</f>
        <v>3.106043405198201E-5</v>
      </c>
      <c r="AY22" s="2">
        <f>(Table7[[#This Row],[Dominus]]-Table7[[#This Row],[Octane]])/$B$245</f>
        <v>6.2860592668344771E-5</v>
      </c>
      <c r="AZ22" s="2">
        <f>(Table7[[#This Row],[Plank]]-Table7[[#This Row],[Octane]])/$B$245</f>
        <v>-3.5308953296821395E-4</v>
      </c>
      <c r="BA22" s="2">
        <f>(Table7[[#This Row],[Batmobile]]-Table7[[#This Row],[Octane]])/$B$245</f>
        <v>-3.5308953296821395E-4</v>
      </c>
      <c r="BB22" s="2">
        <f>(Table7[[#This Row],[Breakout]]-Table7[[#This Row],[Octane]])/$B$245</f>
        <v>-1.0088272370520397E-4</v>
      </c>
      <c r="BC22" s="2"/>
    </row>
    <row r="23" spans="1:55">
      <c r="A23" s="1"/>
      <c r="B23" s="13">
        <f>Octane[[#This Row],[angvel_total]]</f>
        <v>6.9999999999999999E-4</v>
      </c>
      <c r="C23" s="13">
        <f>Hybrid[[#This Row],[angvel_total]]</f>
        <v>7.6157731058639085E-4</v>
      </c>
      <c r="D23" s="13">
        <f>Dominus[[#This Row],[angvel_total]]</f>
        <v>8.2462112512353219E-4</v>
      </c>
      <c r="E23" s="13">
        <f>Plank[[#This Row],[angvel_total]]</f>
        <v>0</v>
      </c>
      <c r="F23" s="13">
        <f>Batmobile[[#This Row],[angvel_total]]</f>
        <v>0</v>
      </c>
      <c r="G23" s="13">
        <f>Breakout[[#This Row],[angvel_total]]</f>
        <v>5.0000000000000001E-4</v>
      </c>
      <c r="I23" s="2">
        <f>Table7[[#This Row],[Hybrid]]/Table7[[#This Row],[Octane]] - 1</f>
        <v>8.7967586551986887E-2</v>
      </c>
      <c r="J23" s="2">
        <f>Table7[[#This Row],[Dominus]]/Table7[[#This Row],[Octane]] - 1</f>
        <v>0.17803017874790306</v>
      </c>
      <c r="K23" s="2">
        <f>Table7[[#This Row],[Plank]]/Table7[[#This Row],[Octane]] - 1</f>
        <v>-1</v>
      </c>
      <c r="L23" s="2">
        <f>Table7[[#This Row],[Batmobile]]/Table7[[#This Row],[Octane]] - 1</f>
        <v>-1</v>
      </c>
      <c r="M23" s="2">
        <f>Table7[[#This Row],[Breakout]]/Table7[[#This Row],[Octane]] - 1</f>
        <v>-0.2857142857142857</v>
      </c>
      <c r="N23" s="2" t="e">
        <f>Table7[[#This Row],[Breakout]]/Table7[[#This Row],[Plank]] - 1</f>
        <v>#DIV/0!</v>
      </c>
      <c r="P23" s="1"/>
      <c r="W23" s="11"/>
      <c r="AD23" s="1"/>
      <c r="AE23" s="6"/>
      <c r="AF23" s="8"/>
      <c r="AG23" s="8"/>
      <c r="AH23" s="8"/>
      <c r="AI23" s="8"/>
      <c r="AJ23" s="8"/>
      <c r="AK23" s="8"/>
      <c r="AL23" s="1"/>
      <c r="AX23" s="2">
        <f>(Table7[[#This Row],[Hybrid]]-Table7[[#This Row],[Octane]])/$B$245</f>
        <v>3.106043405198201E-5</v>
      </c>
      <c r="AY23" s="2">
        <f>(Table7[[#This Row],[Dominus]]-Table7[[#This Row],[Octane]])/$B$245</f>
        <v>6.2860592668344771E-5</v>
      </c>
      <c r="AZ23" s="2">
        <f>(Table7[[#This Row],[Plank]]-Table7[[#This Row],[Octane]])/$B$245</f>
        <v>-3.5308953296821395E-4</v>
      </c>
      <c r="BA23" s="2">
        <f>(Table7[[#This Row],[Batmobile]]-Table7[[#This Row],[Octane]])/$B$245</f>
        <v>-3.5308953296821395E-4</v>
      </c>
      <c r="BB23" s="2">
        <f>(Table7[[#This Row],[Breakout]]-Table7[[#This Row],[Octane]])/$B$245</f>
        <v>-1.0088272370520397E-4</v>
      </c>
      <c r="BC23" s="2"/>
    </row>
    <row r="24" spans="1:55">
      <c r="A24" s="1"/>
      <c r="B24" s="13">
        <f>Octane[[#This Row],[angvel_total]]</f>
        <v>6.9999999999999999E-4</v>
      </c>
      <c r="C24" s="13">
        <f>Hybrid[[#This Row],[angvel_total]]</f>
        <v>7.6157731058639085E-4</v>
      </c>
      <c r="D24" s="13">
        <f>Dominus[[#This Row],[angvel_total]]</f>
        <v>8.2462112512353219E-4</v>
      </c>
      <c r="E24" s="13">
        <f>Plank[[#This Row],[angvel_total]]</f>
        <v>0</v>
      </c>
      <c r="F24" s="13">
        <f>Batmobile[[#This Row],[angvel_total]]</f>
        <v>0</v>
      </c>
      <c r="G24" s="13">
        <f>Breakout[[#This Row],[angvel_total]]</f>
        <v>5.0000000000000001E-4</v>
      </c>
      <c r="I24" s="2">
        <f>Table7[[#This Row],[Hybrid]]/Table7[[#This Row],[Octane]] - 1</f>
        <v>8.7967586551986887E-2</v>
      </c>
      <c r="J24" s="2">
        <f>Table7[[#This Row],[Dominus]]/Table7[[#This Row],[Octane]] - 1</f>
        <v>0.17803017874790306</v>
      </c>
      <c r="K24" s="2">
        <f>Table7[[#This Row],[Plank]]/Table7[[#This Row],[Octane]] - 1</f>
        <v>-1</v>
      </c>
      <c r="L24" s="2">
        <f>Table7[[#This Row],[Batmobile]]/Table7[[#This Row],[Octane]] - 1</f>
        <v>-1</v>
      </c>
      <c r="M24" s="2">
        <f>Table7[[#This Row],[Breakout]]/Table7[[#This Row],[Octane]] - 1</f>
        <v>-0.2857142857142857</v>
      </c>
      <c r="N24" s="2" t="e">
        <f>Table7[[#This Row],[Breakout]]/Table7[[#This Row],[Plank]] - 1</f>
        <v>#DIV/0!</v>
      </c>
      <c r="P24" s="1"/>
      <c r="W24" s="11"/>
      <c r="AD24" s="1"/>
      <c r="AE24" s="6"/>
      <c r="AF24" s="8"/>
      <c r="AG24" s="8"/>
      <c r="AH24" s="8"/>
      <c r="AI24" s="8"/>
      <c r="AJ24" s="8"/>
      <c r="AK24" s="8"/>
      <c r="AL24" s="1"/>
      <c r="AX24" s="2">
        <f>(Table7[[#This Row],[Hybrid]]-Table7[[#This Row],[Octane]])/$B$245</f>
        <v>3.106043405198201E-5</v>
      </c>
      <c r="AY24" s="2">
        <f>(Table7[[#This Row],[Dominus]]-Table7[[#This Row],[Octane]])/$B$245</f>
        <v>6.2860592668344771E-5</v>
      </c>
      <c r="AZ24" s="2">
        <f>(Table7[[#This Row],[Plank]]-Table7[[#This Row],[Octane]])/$B$245</f>
        <v>-3.5308953296821395E-4</v>
      </c>
      <c r="BA24" s="2">
        <f>(Table7[[#This Row],[Batmobile]]-Table7[[#This Row],[Octane]])/$B$245</f>
        <v>-3.5308953296821395E-4</v>
      </c>
      <c r="BB24" s="2">
        <f>(Table7[[#This Row],[Breakout]]-Table7[[#This Row],[Octane]])/$B$245</f>
        <v>-1.0088272370520397E-4</v>
      </c>
      <c r="BC24" s="2"/>
    </row>
    <row r="25" spans="1:55">
      <c r="A25" s="1"/>
      <c r="B25" s="13">
        <f>Octane[[#This Row],[angvel_total]]</f>
        <v>6.9999999999999999E-4</v>
      </c>
      <c r="C25" s="13">
        <f>Hybrid[[#This Row],[angvel_total]]</f>
        <v>7.6157731058639085E-4</v>
      </c>
      <c r="D25" s="13">
        <f>Dominus[[#This Row],[angvel_total]]</f>
        <v>8.2462112512353219E-4</v>
      </c>
      <c r="E25" s="13">
        <f>Plank[[#This Row],[angvel_total]]</f>
        <v>0</v>
      </c>
      <c r="F25" s="13">
        <f>Batmobile[[#This Row],[angvel_total]]</f>
        <v>0</v>
      </c>
      <c r="G25" s="13">
        <f>Breakout[[#This Row],[angvel_total]]</f>
        <v>5.0000000000000001E-4</v>
      </c>
      <c r="I25" s="2">
        <f>Table7[[#This Row],[Hybrid]]/Table7[[#This Row],[Octane]] - 1</f>
        <v>8.7967586551986887E-2</v>
      </c>
      <c r="J25" s="2">
        <f>Table7[[#This Row],[Dominus]]/Table7[[#This Row],[Octane]] - 1</f>
        <v>0.17803017874790306</v>
      </c>
      <c r="K25" s="2">
        <f>Table7[[#This Row],[Plank]]/Table7[[#This Row],[Octane]] - 1</f>
        <v>-1</v>
      </c>
      <c r="L25" s="2">
        <f>Table7[[#This Row],[Batmobile]]/Table7[[#This Row],[Octane]] - 1</f>
        <v>-1</v>
      </c>
      <c r="M25" s="2">
        <f>Table7[[#This Row],[Breakout]]/Table7[[#This Row],[Octane]] - 1</f>
        <v>-0.2857142857142857</v>
      </c>
      <c r="N25" s="2" t="e">
        <f>Table7[[#This Row],[Breakout]]/Table7[[#This Row],[Plank]] - 1</f>
        <v>#DIV/0!</v>
      </c>
      <c r="P25" s="1"/>
      <c r="W25" s="11"/>
      <c r="AD25" s="1"/>
      <c r="AE25" s="6"/>
      <c r="AF25" s="8"/>
      <c r="AG25" s="8"/>
      <c r="AH25" s="8"/>
      <c r="AI25" s="8"/>
      <c r="AJ25" s="8"/>
      <c r="AK25" s="8"/>
      <c r="AL25" s="1"/>
      <c r="AX25" s="2">
        <f>(Table7[[#This Row],[Hybrid]]-Table7[[#This Row],[Octane]])/$B$245</f>
        <v>3.106043405198201E-5</v>
      </c>
      <c r="AY25" s="2">
        <f>(Table7[[#This Row],[Dominus]]-Table7[[#This Row],[Octane]])/$B$245</f>
        <v>6.2860592668344771E-5</v>
      </c>
      <c r="AZ25" s="2">
        <f>(Table7[[#This Row],[Plank]]-Table7[[#This Row],[Octane]])/$B$245</f>
        <v>-3.5308953296821395E-4</v>
      </c>
      <c r="BA25" s="2">
        <f>(Table7[[#This Row],[Batmobile]]-Table7[[#This Row],[Octane]])/$B$245</f>
        <v>-3.5308953296821395E-4</v>
      </c>
      <c r="BB25" s="2">
        <f>(Table7[[#This Row],[Breakout]]-Table7[[#This Row],[Octane]])/$B$245</f>
        <v>-1.0088272370520397E-4</v>
      </c>
      <c r="BC25" s="2"/>
    </row>
    <row r="26" spans="1:55">
      <c r="A26" s="1"/>
      <c r="B26" s="13">
        <f>Octane[[#This Row],[angvel_total]]</f>
        <v>6.9999999999999999E-4</v>
      </c>
      <c r="C26" s="13">
        <f>Hybrid[[#This Row],[angvel_total]]</f>
        <v>7.6157731058639085E-4</v>
      </c>
      <c r="D26" s="13">
        <f>Dominus[[#This Row],[angvel_total]]</f>
        <v>8.2462112512353219E-4</v>
      </c>
      <c r="E26" s="13">
        <f>Plank[[#This Row],[angvel_total]]</f>
        <v>0</v>
      </c>
      <c r="F26" s="13">
        <f>Batmobile[[#This Row],[angvel_total]]</f>
        <v>0</v>
      </c>
      <c r="G26" s="13">
        <f>Breakout[[#This Row],[angvel_total]]</f>
        <v>5.0000000000000001E-4</v>
      </c>
      <c r="I26" s="2">
        <f>Table7[[#This Row],[Hybrid]]/Table7[[#This Row],[Octane]] - 1</f>
        <v>8.7967586551986887E-2</v>
      </c>
      <c r="J26" s="2">
        <f>Table7[[#This Row],[Dominus]]/Table7[[#This Row],[Octane]] - 1</f>
        <v>0.17803017874790306</v>
      </c>
      <c r="K26" s="2">
        <f>Table7[[#This Row],[Plank]]/Table7[[#This Row],[Octane]] - 1</f>
        <v>-1</v>
      </c>
      <c r="L26" s="2">
        <f>Table7[[#This Row],[Batmobile]]/Table7[[#This Row],[Octane]] - 1</f>
        <v>-1</v>
      </c>
      <c r="M26" s="2">
        <f>Table7[[#This Row],[Breakout]]/Table7[[#This Row],[Octane]] - 1</f>
        <v>-0.2857142857142857</v>
      </c>
      <c r="N26" s="2" t="e">
        <f>Table7[[#This Row],[Breakout]]/Table7[[#This Row],[Plank]] - 1</f>
        <v>#DIV/0!</v>
      </c>
      <c r="P26" s="1"/>
      <c r="W26" s="11"/>
      <c r="AD26" s="1"/>
      <c r="AE26" s="6"/>
      <c r="AF26" s="8"/>
      <c r="AG26" s="8"/>
      <c r="AH26" s="8"/>
      <c r="AI26" s="8"/>
      <c r="AJ26" s="8"/>
      <c r="AK26" s="8"/>
      <c r="AL26" s="1"/>
      <c r="AX26" s="2">
        <f>(Table7[[#This Row],[Hybrid]]-Table7[[#This Row],[Octane]])/$B$245</f>
        <v>3.106043405198201E-5</v>
      </c>
      <c r="AY26" s="2">
        <f>(Table7[[#This Row],[Dominus]]-Table7[[#This Row],[Octane]])/$B$245</f>
        <v>6.2860592668344771E-5</v>
      </c>
      <c r="AZ26" s="2">
        <f>(Table7[[#This Row],[Plank]]-Table7[[#This Row],[Octane]])/$B$245</f>
        <v>-3.5308953296821395E-4</v>
      </c>
      <c r="BA26" s="2">
        <f>(Table7[[#This Row],[Batmobile]]-Table7[[#This Row],[Octane]])/$B$245</f>
        <v>-3.5308953296821395E-4</v>
      </c>
      <c r="BB26" s="2">
        <f>(Table7[[#This Row],[Breakout]]-Table7[[#This Row],[Octane]])/$B$245</f>
        <v>-1.0088272370520397E-4</v>
      </c>
      <c r="BC26" s="2"/>
    </row>
    <row r="27" spans="1:55">
      <c r="A27" s="1"/>
      <c r="B27" s="13">
        <f>Octane[[#This Row],[angvel_total]]</f>
        <v>6.9999999999999999E-4</v>
      </c>
      <c r="C27" s="13">
        <f>Hybrid[[#This Row],[angvel_total]]</f>
        <v>7.6157731058639085E-4</v>
      </c>
      <c r="D27" s="13">
        <f>Dominus[[#This Row],[angvel_total]]</f>
        <v>8.2462112512353219E-4</v>
      </c>
      <c r="E27" s="13">
        <f>Plank[[#This Row],[angvel_total]]</f>
        <v>0</v>
      </c>
      <c r="F27" s="13">
        <f>Batmobile[[#This Row],[angvel_total]]</f>
        <v>0</v>
      </c>
      <c r="G27" s="13">
        <f>Breakout[[#This Row],[angvel_total]]</f>
        <v>5.0000000000000001E-4</v>
      </c>
      <c r="I27" s="2">
        <f>Table7[[#This Row],[Hybrid]]/Table7[[#This Row],[Octane]] - 1</f>
        <v>8.7967586551986887E-2</v>
      </c>
      <c r="J27" s="2">
        <f>Table7[[#This Row],[Dominus]]/Table7[[#This Row],[Octane]] - 1</f>
        <v>0.17803017874790306</v>
      </c>
      <c r="K27" s="2">
        <f>Table7[[#This Row],[Plank]]/Table7[[#This Row],[Octane]] - 1</f>
        <v>-1</v>
      </c>
      <c r="L27" s="2">
        <f>Table7[[#This Row],[Batmobile]]/Table7[[#This Row],[Octane]] - 1</f>
        <v>-1</v>
      </c>
      <c r="M27" s="2">
        <f>Table7[[#This Row],[Breakout]]/Table7[[#This Row],[Octane]] - 1</f>
        <v>-0.2857142857142857</v>
      </c>
      <c r="N27" s="2" t="e">
        <f>Table7[[#This Row],[Breakout]]/Table7[[#This Row],[Plank]] - 1</f>
        <v>#DIV/0!</v>
      </c>
      <c r="P27" s="1"/>
      <c r="W27" s="11"/>
      <c r="AD27" s="1"/>
      <c r="AE27" s="6"/>
      <c r="AF27" s="8"/>
      <c r="AG27" s="8"/>
      <c r="AH27" s="8"/>
      <c r="AI27" s="8"/>
      <c r="AJ27" s="8"/>
      <c r="AK27" s="8"/>
      <c r="AL27" s="1"/>
      <c r="AX27" s="2">
        <f>(Table7[[#This Row],[Hybrid]]-Table7[[#This Row],[Octane]])/$B$245</f>
        <v>3.106043405198201E-5</v>
      </c>
      <c r="AY27" s="2">
        <f>(Table7[[#This Row],[Dominus]]-Table7[[#This Row],[Octane]])/$B$245</f>
        <v>6.2860592668344771E-5</v>
      </c>
      <c r="AZ27" s="2">
        <f>(Table7[[#This Row],[Plank]]-Table7[[#This Row],[Octane]])/$B$245</f>
        <v>-3.5308953296821395E-4</v>
      </c>
      <c r="BA27" s="2">
        <f>(Table7[[#This Row],[Batmobile]]-Table7[[#This Row],[Octane]])/$B$245</f>
        <v>-3.5308953296821395E-4</v>
      </c>
      <c r="BB27" s="2">
        <f>(Table7[[#This Row],[Breakout]]-Table7[[#This Row],[Octane]])/$B$245</f>
        <v>-1.0088272370520397E-4</v>
      </c>
      <c r="BC27" s="2"/>
    </row>
    <row r="28" spans="1:55">
      <c r="A28" s="1"/>
      <c r="B28" s="13">
        <f>Octane[[#This Row],[angvel_total]]</f>
        <v>6.9999999999999999E-4</v>
      </c>
      <c r="C28" s="13">
        <f>Hybrid[[#This Row],[angvel_total]]</f>
        <v>7.6157731058639085E-4</v>
      </c>
      <c r="D28" s="13">
        <f>Dominus[[#This Row],[angvel_total]]</f>
        <v>8.2462112512353219E-4</v>
      </c>
      <c r="E28" s="13">
        <f>Plank[[#This Row],[angvel_total]]</f>
        <v>0</v>
      </c>
      <c r="F28" s="13">
        <f>Batmobile[[#This Row],[angvel_total]]</f>
        <v>0</v>
      </c>
      <c r="G28" s="13">
        <f>Breakout[[#This Row],[angvel_total]]</f>
        <v>5.0000000000000001E-4</v>
      </c>
      <c r="I28" s="2">
        <f>Table7[[#This Row],[Hybrid]]/Table7[[#This Row],[Octane]] - 1</f>
        <v>8.7967586551986887E-2</v>
      </c>
      <c r="J28" s="2">
        <f>Table7[[#This Row],[Dominus]]/Table7[[#This Row],[Octane]] - 1</f>
        <v>0.17803017874790306</v>
      </c>
      <c r="K28" s="2">
        <f>Table7[[#This Row],[Plank]]/Table7[[#This Row],[Octane]] - 1</f>
        <v>-1</v>
      </c>
      <c r="L28" s="2">
        <f>Table7[[#This Row],[Batmobile]]/Table7[[#This Row],[Octane]] - 1</f>
        <v>-1</v>
      </c>
      <c r="M28" s="2">
        <f>Table7[[#This Row],[Breakout]]/Table7[[#This Row],[Octane]] - 1</f>
        <v>-0.2857142857142857</v>
      </c>
      <c r="N28" s="2" t="e">
        <f>Table7[[#This Row],[Breakout]]/Table7[[#This Row],[Plank]] - 1</f>
        <v>#DIV/0!</v>
      </c>
      <c r="P28" s="1"/>
      <c r="W28" s="11"/>
      <c r="AD28" s="1"/>
      <c r="AE28" s="6"/>
      <c r="AF28" s="8"/>
      <c r="AG28" s="8"/>
      <c r="AH28" s="8"/>
      <c r="AI28" s="8"/>
      <c r="AJ28" s="8"/>
      <c r="AK28" s="8"/>
      <c r="AL28" s="1"/>
      <c r="AX28" s="2">
        <f>(Table7[[#This Row],[Hybrid]]-Table7[[#This Row],[Octane]])/$B$245</f>
        <v>3.106043405198201E-5</v>
      </c>
      <c r="AY28" s="2">
        <f>(Table7[[#This Row],[Dominus]]-Table7[[#This Row],[Octane]])/$B$245</f>
        <v>6.2860592668344771E-5</v>
      </c>
      <c r="AZ28" s="2">
        <f>(Table7[[#This Row],[Plank]]-Table7[[#This Row],[Octane]])/$B$245</f>
        <v>-3.5308953296821395E-4</v>
      </c>
      <c r="BA28" s="2">
        <f>(Table7[[#This Row],[Batmobile]]-Table7[[#This Row],[Octane]])/$B$245</f>
        <v>-3.5308953296821395E-4</v>
      </c>
      <c r="BB28" s="2">
        <f>(Table7[[#This Row],[Breakout]]-Table7[[#This Row],[Octane]])/$B$245</f>
        <v>-1.0088272370520397E-4</v>
      </c>
      <c r="BC28" s="2"/>
    </row>
    <row r="29" spans="1:55">
      <c r="A29" s="1"/>
      <c r="B29" s="13">
        <f>Octane[[#This Row],[angvel_total]]</f>
        <v>6.9999999999999999E-4</v>
      </c>
      <c r="C29" s="13">
        <f>Hybrid[[#This Row],[angvel_total]]</f>
        <v>7.6157731058639085E-4</v>
      </c>
      <c r="D29" s="13">
        <f>Dominus[[#This Row],[angvel_total]]</f>
        <v>8.2462112512353219E-4</v>
      </c>
      <c r="E29" s="13">
        <f>Plank[[#This Row],[angvel_total]]</f>
        <v>0</v>
      </c>
      <c r="F29" s="13">
        <f>Batmobile[[#This Row],[angvel_total]]</f>
        <v>0</v>
      </c>
      <c r="G29" s="13">
        <f>Breakout[[#This Row],[angvel_total]]</f>
        <v>5.0000000000000001E-4</v>
      </c>
      <c r="I29" s="2">
        <f>Table7[[#This Row],[Hybrid]]/Table7[[#This Row],[Octane]] - 1</f>
        <v>8.7967586551986887E-2</v>
      </c>
      <c r="J29" s="2">
        <f>Table7[[#This Row],[Dominus]]/Table7[[#This Row],[Octane]] - 1</f>
        <v>0.17803017874790306</v>
      </c>
      <c r="K29" s="2">
        <f>Table7[[#This Row],[Plank]]/Table7[[#This Row],[Octane]] - 1</f>
        <v>-1</v>
      </c>
      <c r="L29" s="2">
        <f>Table7[[#This Row],[Batmobile]]/Table7[[#This Row],[Octane]] - 1</f>
        <v>-1</v>
      </c>
      <c r="M29" s="2">
        <f>Table7[[#This Row],[Breakout]]/Table7[[#This Row],[Octane]] - 1</f>
        <v>-0.2857142857142857</v>
      </c>
      <c r="N29" s="2" t="e">
        <f>Table7[[#This Row],[Breakout]]/Table7[[#This Row],[Plank]] - 1</f>
        <v>#DIV/0!</v>
      </c>
      <c r="P29" s="1"/>
      <c r="W29" s="11"/>
      <c r="AD29" s="1"/>
      <c r="AE29" s="6"/>
      <c r="AF29" s="8"/>
      <c r="AG29" s="8"/>
      <c r="AH29" s="8"/>
      <c r="AI29" s="8"/>
      <c r="AJ29" s="8"/>
      <c r="AK29" s="8"/>
      <c r="AL29" s="1"/>
      <c r="AX29" s="2">
        <f>(Table7[[#This Row],[Hybrid]]-Table7[[#This Row],[Octane]])/$B$245</f>
        <v>3.106043405198201E-5</v>
      </c>
      <c r="AY29" s="2">
        <f>(Table7[[#This Row],[Dominus]]-Table7[[#This Row],[Octane]])/$B$245</f>
        <v>6.2860592668344771E-5</v>
      </c>
      <c r="AZ29" s="2">
        <f>(Table7[[#This Row],[Plank]]-Table7[[#This Row],[Octane]])/$B$245</f>
        <v>-3.5308953296821395E-4</v>
      </c>
      <c r="BA29" s="2">
        <f>(Table7[[#This Row],[Batmobile]]-Table7[[#This Row],[Octane]])/$B$245</f>
        <v>-3.5308953296821395E-4</v>
      </c>
      <c r="BB29" s="2">
        <f>(Table7[[#This Row],[Breakout]]-Table7[[#This Row],[Octane]])/$B$245</f>
        <v>-1.0088272370520397E-4</v>
      </c>
      <c r="BC29" s="2"/>
    </row>
    <row r="30" spans="1:55">
      <c r="A30" s="1"/>
      <c r="B30" s="13">
        <f>Octane[[#This Row],[angvel_total]]</f>
        <v>6.9999999999999999E-4</v>
      </c>
      <c r="C30" s="13">
        <f>Hybrid[[#This Row],[angvel_total]]</f>
        <v>7.6157731058639085E-4</v>
      </c>
      <c r="D30" s="13">
        <f>Dominus[[#This Row],[angvel_total]]</f>
        <v>8.2462112512353219E-4</v>
      </c>
      <c r="E30" s="13">
        <f>Plank[[#This Row],[angvel_total]]</f>
        <v>0</v>
      </c>
      <c r="F30" s="13">
        <f>Batmobile[[#This Row],[angvel_total]]</f>
        <v>0</v>
      </c>
      <c r="G30" s="13">
        <f>Breakout[[#This Row],[angvel_total]]</f>
        <v>5.0000000000000001E-4</v>
      </c>
      <c r="I30" s="2">
        <f>Table7[[#This Row],[Hybrid]]/Table7[[#This Row],[Octane]] - 1</f>
        <v>8.7967586551986887E-2</v>
      </c>
      <c r="J30" s="2">
        <f>Table7[[#This Row],[Dominus]]/Table7[[#This Row],[Octane]] - 1</f>
        <v>0.17803017874790306</v>
      </c>
      <c r="K30" s="2">
        <f>Table7[[#This Row],[Plank]]/Table7[[#This Row],[Octane]] - 1</f>
        <v>-1</v>
      </c>
      <c r="L30" s="2">
        <f>Table7[[#This Row],[Batmobile]]/Table7[[#This Row],[Octane]] - 1</f>
        <v>-1</v>
      </c>
      <c r="M30" s="2">
        <f>Table7[[#This Row],[Breakout]]/Table7[[#This Row],[Octane]] - 1</f>
        <v>-0.2857142857142857</v>
      </c>
      <c r="N30" s="2" t="e">
        <f>Table7[[#This Row],[Breakout]]/Table7[[#This Row],[Plank]] - 1</f>
        <v>#DIV/0!</v>
      </c>
      <c r="P30" s="1"/>
      <c r="W30" s="11"/>
      <c r="AD30" s="1"/>
      <c r="AE30" s="6"/>
      <c r="AF30" s="8"/>
      <c r="AG30" s="8"/>
      <c r="AH30" s="8"/>
      <c r="AI30" s="8"/>
      <c r="AJ30" s="8"/>
      <c r="AK30" s="8"/>
      <c r="AL30" s="1"/>
      <c r="AX30" s="2">
        <f>(Table7[[#This Row],[Hybrid]]-Table7[[#This Row],[Octane]])/$B$245</f>
        <v>3.106043405198201E-5</v>
      </c>
      <c r="AY30" s="2">
        <f>(Table7[[#This Row],[Dominus]]-Table7[[#This Row],[Octane]])/$B$245</f>
        <v>6.2860592668344771E-5</v>
      </c>
      <c r="AZ30" s="2">
        <f>(Table7[[#This Row],[Plank]]-Table7[[#This Row],[Octane]])/$B$245</f>
        <v>-3.5308953296821395E-4</v>
      </c>
      <c r="BA30" s="2">
        <f>(Table7[[#This Row],[Batmobile]]-Table7[[#This Row],[Octane]])/$B$245</f>
        <v>-3.5308953296821395E-4</v>
      </c>
      <c r="BB30" s="2">
        <f>(Table7[[#This Row],[Breakout]]-Table7[[#This Row],[Octane]])/$B$245</f>
        <v>-1.0088272370520397E-4</v>
      </c>
      <c r="BC30" s="2"/>
    </row>
    <row r="31" spans="1:55">
      <c r="A31" s="1"/>
      <c r="B31" s="13">
        <f>Octane[[#This Row],[angvel_total]]</f>
        <v>6.9999999999999999E-4</v>
      </c>
      <c r="C31" s="13">
        <f>Hybrid[[#This Row],[angvel_total]]</f>
        <v>7.6157731058639085E-4</v>
      </c>
      <c r="D31" s="13">
        <f>Dominus[[#This Row],[angvel_total]]</f>
        <v>8.2462112512353219E-4</v>
      </c>
      <c r="E31" s="13">
        <f>Plank[[#This Row],[angvel_total]]</f>
        <v>0</v>
      </c>
      <c r="F31" s="13">
        <f>Batmobile[[#This Row],[angvel_total]]</f>
        <v>0</v>
      </c>
      <c r="G31" s="13">
        <f>Breakout[[#This Row],[angvel_total]]</f>
        <v>5.0000000000000001E-4</v>
      </c>
      <c r="I31" s="2">
        <f>Table7[[#This Row],[Hybrid]]/Table7[[#This Row],[Octane]] - 1</f>
        <v>8.7967586551986887E-2</v>
      </c>
      <c r="J31" s="2">
        <f>Table7[[#This Row],[Dominus]]/Table7[[#This Row],[Octane]] - 1</f>
        <v>0.17803017874790306</v>
      </c>
      <c r="K31" s="2">
        <f>Table7[[#This Row],[Plank]]/Table7[[#This Row],[Octane]] - 1</f>
        <v>-1</v>
      </c>
      <c r="L31" s="2">
        <f>Table7[[#This Row],[Batmobile]]/Table7[[#This Row],[Octane]] - 1</f>
        <v>-1</v>
      </c>
      <c r="M31" s="2">
        <f>Table7[[#This Row],[Breakout]]/Table7[[#This Row],[Octane]] - 1</f>
        <v>-0.2857142857142857</v>
      </c>
      <c r="N31" s="2" t="e">
        <f>Table7[[#This Row],[Breakout]]/Table7[[#This Row],[Plank]] - 1</f>
        <v>#DIV/0!</v>
      </c>
      <c r="P31" s="1"/>
      <c r="W31" s="11"/>
      <c r="AD31" s="1"/>
      <c r="AE31" s="6"/>
      <c r="AF31" s="8"/>
      <c r="AG31" s="8"/>
      <c r="AH31" s="8"/>
      <c r="AI31" s="8"/>
      <c r="AJ31" s="8"/>
      <c r="AK31" s="8"/>
      <c r="AL31" s="1"/>
      <c r="AX31" s="2">
        <f>(Table7[[#This Row],[Hybrid]]-Table7[[#This Row],[Octane]])/$B$245</f>
        <v>3.106043405198201E-5</v>
      </c>
      <c r="AY31" s="2">
        <f>(Table7[[#This Row],[Dominus]]-Table7[[#This Row],[Octane]])/$B$245</f>
        <v>6.2860592668344771E-5</v>
      </c>
      <c r="AZ31" s="2">
        <f>(Table7[[#This Row],[Plank]]-Table7[[#This Row],[Octane]])/$B$245</f>
        <v>-3.5308953296821395E-4</v>
      </c>
      <c r="BA31" s="2">
        <f>(Table7[[#This Row],[Batmobile]]-Table7[[#This Row],[Octane]])/$B$245</f>
        <v>-3.5308953296821395E-4</v>
      </c>
      <c r="BB31" s="2">
        <f>(Table7[[#This Row],[Breakout]]-Table7[[#This Row],[Octane]])/$B$245</f>
        <v>-1.0088272370520397E-4</v>
      </c>
      <c r="BC31" s="2"/>
    </row>
    <row r="32" spans="1:55">
      <c r="A32" s="1"/>
      <c r="B32" s="13">
        <f>Octane[[#This Row],[angvel_total]]</f>
        <v>6.9999999999999999E-4</v>
      </c>
      <c r="C32" s="13">
        <f>Hybrid[[#This Row],[angvel_total]]</f>
        <v>7.6157731058639085E-4</v>
      </c>
      <c r="D32" s="13">
        <f>Dominus[[#This Row],[angvel_total]]</f>
        <v>8.2462112512353219E-4</v>
      </c>
      <c r="E32" s="13">
        <f>Plank[[#This Row],[angvel_total]]</f>
        <v>0</v>
      </c>
      <c r="F32" s="13">
        <f>Batmobile[[#This Row],[angvel_total]]</f>
        <v>0</v>
      </c>
      <c r="G32" s="13">
        <f>Breakout[[#This Row],[angvel_total]]</f>
        <v>5.0000000000000001E-4</v>
      </c>
      <c r="I32" s="2">
        <f>Table7[[#This Row],[Hybrid]]/Table7[[#This Row],[Octane]] - 1</f>
        <v>8.7967586551986887E-2</v>
      </c>
      <c r="J32" s="2">
        <f>Table7[[#This Row],[Dominus]]/Table7[[#This Row],[Octane]] - 1</f>
        <v>0.17803017874790306</v>
      </c>
      <c r="K32" s="2">
        <f>Table7[[#This Row],[Plank]]/Table7[[#This Row],[Octane]] - 1</f>
        <v>-1</v>
      </c>
      <c r="L32" s="2">
        <f>Table7[[#This Row],[Batmobile]]/Table7[[#This Row],[Octane]] - 1</f>
        <v>-1</v>
      </c>
      <c r="M32" s="2">
        <f>Table7[[#This Row],[Breakout]]/Table7[[#This Row],[Octane]] - 1</f>
        <v>-0.2857142857142857</v>
      </c>
      <c r="N32" s="2" t="e">
        <f>Table7[[#This Row],[Breakout]]/Table7[[#This Row],[Plank]] - 1</f>
        <v>#DIV/0!</v>
      </c>
      <c r="P32" s="1"/>
      <c r="W32" s="11"/>
      <c r="AD32" s="1"/>
      <c r="AE32" s="6"/>
      <c r="AF32" s="8"/>
      <c r="AG32" s="8"/>
      <c r="AH32" s="8"/>
      <c r="AI32" s="8"/>
      <c r="AJ32" s="8"/>
      <c r="AK32" s="8"/>
      <c r="AL32" s="1"/>
      <c r="AX32" s="2">
        <f>(Table7[[#This Row],[Hybrid]]-Table7[[#This Row],[Octane]])/$B$245</f>
        <v>3.106043405198201E-5</v>
      </c>
      <c r="AY32" s="2">
        <f>(Table7[[#This Row],[Dominus]]-Table7[[#This Row],[Octane]])/$B$245</f>
        <v>6.2860592668344771E-5</v>
      </c>
      <c r="AZ32" s="2">
        <f>(Table7[[#This Row],[Plank]]-Table7[[#This Row],[Octane]])/$B$245</f>
        <v>-3.5308953296821395E-4</v>
      </c>
      <c r="BA32" s="2">
        <f>(Table7[[#This Row],[Batmobile]]-Table7[[#This Row],[Octane]])/$B$245</f>
        <v>-3.5308953296821395E-4</v>
      </c>
      <c r="BB32" s="2">
        <f>(Table7[[#This Row],[Breakout]]-Table7[[#This Row],[Octane]])/$B$245</f>
        <v>-1.0088272370520397E-4</v>
      </c>
      <c r="BC32" s="2"/>
    </row>
    <row r="33" spans="1:80">
      <c r="A33" s="1"/>
      <c r="B33" s="13">
        <f>Octane[[#This Row],[angvel_total]]</f>
        <v>6.9999999999999999E-4</v>
      </c>
      <c r="C33" s="13">
        <f>Hybrid[[#This Row],[angvel_total]]</f>
        <v>7.6157731058639085E-4</v>
      </c>
      <c r="D33" s="13">
        <f>Dominus[[#This Row],[angvel_total]]</f>
        <v>8.2462112512353219E-4</v>
      </c>
      <c r="E33" s="13">
        <f>Plank[[#This Row],[angvel_total]]</f>
        <v>0</v>
      </c>
      <c r="F33" s="13">
        <f>Batmobile[[#This Row],[angvel_total]]</f>
        <v>0</v>
      </c>
      <c r="G33" s="13">
        <f>Breakout[[#This Row],[angvel_total]]</f>
        <v>5.0000000000000001E-4</v>
      </c>
      <c r="I33" s="2">
        <f>Table7[[#This Row],[Hybrid]]/Table7[[#This Row],[Octane]] - 1</f>
        <v>8.7967586551986887E-2</v>
      </c>
      <c r="J33" s="2">
        <f>Table7[[#This Row],[Dominus]]/Table7[[#This Row],[Octane]] - 1</f>
        <v>0.17803017874790306</v>
      </c>
      <c r="K33" s="2">
        <f>Table7[[#This Row],[Plank]]/Table7[[#This Row],[Octane]] - 1</f>
        <v>-1</v>
      </c>
      <c r="L33" s="2">
        <f>Table7[[#This Row],[Batmobile]]/Table7[[#This Row],[Octane]] - 1</f>
        <v>-1</v>
      </c>
      <c r="M33" s="2">
        <f>Table7[[#This Row],[Breakout]]/Table7[[#This Row],[Octane]] - 1</f>
        <v>-0.2857142857142857</v>
      </c>
      <c r="N33" s="2" t="e">
        <f>Table7[[#This Row],[Breakout]]/Table7[[#This Row],[Plank]] - 1</f>
        <v>#DIV/0!</v>
      </c>
      <c r="P33" s="1"/>
      <c r="W33" s="11"/>
      <c r="AD33" s="1"/>
      <c r="AE33" s="6"/>
      <c r="AF33" s="8"/>
      <c r="AG33" s="8"/>
      <c r="AH33" s="8"/>
      <c r="AI33" s="8"/>
      <c r="AJ33" s="8"/>
      <c r="AK33" s="8"/>
      <c r="AL33" s="1"/>
      <c r="AX33" s="2">
        <f>(Table7[[#This Row],[Hybrid]]-Table7[[#This Row],[Octane]])/$B$245</f>
        <v>3.106043405198201E-5</v>
      </c>
      <c r="AY33" s="2">
        <f>(Table7[[#This Row],[Dominus]]-Table7[[#This Row],[Octane]])/$B$245</f>
        <v>6.2860592668344771E-5</v>
      </c>
      <c r="AZ33" s="2">
        <f>(Table7[[#This Row],[Plank]]-Table7[[#This Row],[Octane]])/$B$245</f>
        <v>-3.5308953296821395E-4</v>
      </c>
      <c r="BA33" s="2">
        <f>(Table7[[#This Row],[Batmobile]]-Table7[[#This Row],[Octane]])/$B$245</f>
        <v>-3.5308953296821395E-4</v>
      </c>
      <c r="BB33" s="2">
        <f>(Table7[[#This Row],[Breakout]]-Table7[[#This Row],[Octane]])/$B$245</f>
        <v>-1.0088272370520397E-4</v>
      </c>
      <c r="BC33" s="2"/>
    </row>
    <row r="34" spans="1:80">
      <c r="A34" s="1"/>
      <c r="B34" s="13">
        <f>Octane[[#This Row],[angvel_total]]</f>
        <v>6.9999999999999999E-4</v>
      </c>
      <c r="C34" s="13">
        <f>Hybrid[[#This Row],[angvel_total]]</f>
        <v>7.6157731058639085E-4</v>
      </c>
      <c r="D34" s="13">
        <f>Dominus[[#This Row],[angvel_total]]</f>
        <v>8.2462112512353219E-4</v>
      </c>
      <c r="E34" s="13">
        <f>Plank[[#This Row],[angvel_total]]</f>
        <v>0</v>
      </c>
      <c r="F34" s="13">
        <f>Batmobile[[#This Row],[angvel_total]]</f>
        <v>0</v>
      </c>
      <c r="G34" s="13">
        <f>Breakout[[#This Row],[angvel_total]]</f>
        <v>5.0000000000000001E-4</v>
      </c>
      <c r="I34" s="2">
        <f>Table7[[#This Row],[Hybrid]]/Table7[[#This Row],[Octane]] - 1</f>
        <v>8.7967586551986887E-2</v>
      </c>
      <c r="J34" s="2">
        <f>Table7[[#This Row],[Dominus]]/Table7[[#This Row],[Octane]] - 1</f>
        <v>0.17803017874790306</v>
      </c>
      <c r="K34" s="2">
        <f>Table7[[#This Row],[Plank]]/Table7[[#This Row],[Octane]] - 1</f>
        <v>-1</v>
      </c>
      <c r="L34" s="2">
        <f>Table7[[#This Row],[Batmobile]]/Table7[[#This Row],[Octane]] - 1</f>
        <v>-1</v>
      </c>
      <c r="M34" s="2">
        <f>Table7[[#This Row],[Breakout]]/Table7[[#This Row],[Octane]] - 1</f>
        <v>-0.2857142857142857</v>
      </c>
      <c r="N34" s="2" t="e">
        <f>Table7[[#This Row],[Breakout]]/Table7[[#This Row],[Plank]] - 1</f>
        <v>#DIV/0!</v>
      </c>
      <c r="P34" s="1"/>
      <c r="W34" s="11"/>
      <c r="AD34" s="1"/>
      <c r="AE34" s="6"/>
      <c r="AF34" s="8"/>
      <c r="AG34" s="8"/>
      <c r="AH34" s="8"/>
      <c r="AI34" s="8"/>
      <c r="AJ34" s="8"/>
      <c r="AK34" s="8"/>
      <c r="AL34" s="1"/>
      <c r="AX34" s="2">
        <f>(Table7[[#This Row],[Hybrid]]-Table7[[#This Row],[Octane]])/$B$245</f>
        <v>3.106043405198201E-5</v>
      </c>
      <c r="AY34" s="2">
        <f>(Table7[[#This Row],[Dominus]]-Table7[[#This Row],[Octane]])/$B$245</f>
        <v>6.2860592668344771E-5</v>
      </c>
      <c r="AZ34" s="2">
        <f>(Table7[[#This Row],[Plank]]-Table7[[#This Row],[Octane]])/$B$245</f>
        <v>-3.5308953296821395E-4</v>
      </c>
      <c r="BA34" s="2">
        <f>(Table7[[#This Row],[Batmobile]]-Table7[[#This Row],[Octane]])/$B$245</f>
        <v>-3.5308953296821395E-4</v>
      </c>
      <c r="BB34" s="2">
        <f>(Table7[[#This Row],[Breakout]]-Table7[[#This Row],[Octane]])/$B$245</f>
        <v>-1.0088272370520397E-4</v>
      </c>
      <c r="BC34" s="2"/>
    </row>
    <row r="35" spans="1:80">
      <c r="A35" s="1"/>
      <c r="B35" s="13">
        <f>Octane[[#This Row],[angvel_total]]</f>
        <v>6.9999999999999999E-4</v>
      </c>
      <c r="C35" s="13">
        <f>Hybrid[[#This Row],[angvel_total]]</f>
        <v>7.6157731058639085E-4</v>
      </c>
      <c r="D35" s="13">
        <f>Dominus[[#This Row],[angvel_total]]</f>
        <v>8.2462112512353219E-4</v>
      </c>
      <c r="E35" s="13">
        <f>Plank[[#This Row],[angvel_total]]</f>
        <v>0</v>
      </c>
      <c r="F35" s="13">
        <f>Batmobile[[#This Row],[angvel_total]]</f>
        <v>0</v>
      </c>
      <c r="G35" s="13">
        <f>Breakout[[#This Row],[angvel_total]]</f>
        <v>5.0000000000000001E-4</v>
      </c>
      <c r="I35" s="2">
        <f>Table7[[#This Row],[Hybrid]]/Table7[[#This Row],[Octane]] - 1</f>
        <v>8.7967586551986887E-2</v>
      </c>
      <c r="J35" s="2">
        <f>Table7[[#This Row],[Dominus]]/Table7[[#This Row],[Octane]] - 1</f>
        <v>0.17803017874790306</v>
      </c>
      <c r="K35" s="2">
        <f>Table7[[#This Row],[Plank]]/Table7[[#This Row],[Octane]] - 1</f>
        <v>-1</v>
      </c>
      <c r="L35" s="2">
        <f>Table7[[#This Row],[Batmobile]]/Table7[[#This Row],[Octane]] - 1</f>
        <v>-1</v>
      </c>
      <c r="M35" s="2">
        <f>Table7[[#This Row],[Breakout]]/Table7[[#This Row],[Octane]] - 1</f>
        <v>-0.2857142857142857</v>
      </c>
      <c r="N35" s="2" t="e">
        <f>Table7[[#This Row],[Breakout]]/Table7[[#This Row],[Plank]] - 1</f>
        <v>#DIV/0!</v>
      </c>
      <c r="P35" s="1"/>
      <c r="W35" s="11"/>
      <c r="AD35" s="1"/>
      <c r="AE35" s="6"/>
      <c r="AF35" s="8"/>
      <c r="AG35" s="8"/>
      <c r="AH35" s="8"/>
      <c r="AI35" s="8"/>
      <c r="AJ35" s="8"/>
      <c r="AK35" s="8"/>
      <c r="AL35" s="1"/>
      <c r="AX35" s="2">
        <f>(Table7[[#This Row],[Hybrid]]-Table7[[#This Row],[Octane]])/$B$245</f>
        <v>3.106043405198201E-5</v>
      </c>
      <c r="AY35" s="2">
        <f>(Table7[[#This Row],[Dominus]]-Table7[[#This Row],[Octane]])/$B$245</f>
        <v>6.2860592668344771E-5</v>
      </c>
      <c r="AZ35" s="2">
        <f>(Table7[[#This Row],[Plank]]-Table7[[#This Row],[Octane]])/$B$245</f>
        <v>-3.5308953296821395E-4</v>
      </c>
      <c r="BA35" s="2">
        <f>(Table7[[#This Row],[Batmobile]]-Table7[[#This Row],[Octane]])/$B$245</f>
        <v>-3.5308953296821395E-4</v>
      </c>
      <c r="BB35" s="2">
        <f>(Table7[[#This Row],[Breakout]]-Table7[[#This Row],[Octane]])/$B$245</f>
        <v>-1.0088272370520397E-4</v>
      </c>
      <c r="BC35" s="2"/>
    </row>
    <row r="36" spans="1:80">
      <c r="A36" s="1"/>
      <c r="B36" s="13">
        <f>Octane[[#This Row],[angvel_total]]</f>
        <v>6.9999999999999999E-4</v>
      </c>
      <c r="C36" s="13">
        <f>Hybrid[[#This Row],[angvel_total]]</f>
        <v>7.6157731058639085E-4</v>
      </c>
      <c r="D36" s="13">
        <f>Dominus[[#This Row],[angvel_total]]</f>
        <v>8.2462112512353219E-4</v>
      </c>
      <c r="E36" s="13">
        <f>Plank[[#This Row],[angvel_total]]</f>
        <v>0</v>
      </c>
      <c r="F36" s="13">
        <f>Batmobile[[#This Row],[angvel_total]]</f>
        <v>0</v>
      </c>
      <c r="G36" s="13">
        <f>Breakout[[#This Row],[angvel_total]]</f>
        <v>5.0000000000000001E-4</v>
      </c>
      <c r="I36" s="2">
        <f>Table7[[#This Row],[Hybrid]]/Table7[[#This Row],[Octane]] - 1</f>
        <v>8.7967586551986887E-2</v>
      </c>
      <c r="J36" s="2">
        <f>Table7[[#This Row],[Dominus]]/Table7[[#This Row],[Octane]] - 1</f>
        <v>0.17803017874790306</v>
      </c>
      <c r="K36" s="2">
        <f>Table7[[#This Row],[Plank]]/Table7[[#This Row],[Octane]] - 1</f>
        <v>-1</v>
      </c>
      <c r="L36" s="2">
        <f>Table7[[#This Row],[Batmobile]]/Table7[[#This Row],[Octane]] - 1</f>
        <v>-1</v>
      </c>
      <c r="M36" s="2">
        <f>Table7[[#This Row],[Breakout]]/Table7[[#This Row],[Octane]] - 1</f>
        <v>-0.2857142857142857</v>
      </c>
      <c r="N36" s="2" t="e">
        <f>Table7[[#This Row],[Breakout]]/Table7[[#This Row],[Plank]] - 1</f>
        <v>#DIV/0!</v>
      </c>
      <c r="P36" s="1"/>
      <c r="W36" s="11"/>
      <c r="AD36" s="1"/>
      <c r="AE36" s="6"/>
      <c r="AF36" s="8"/>
      <c r="AG36" s="8"/>
      <c r="AH36" s="8"/>
      <c r="AI36" s="8"/>
      <c r="AJ36" s="8"/>
      <c r="AK36" s="8"/>
      <c r="AL36" s="1"/>
      <c r="AX36" s="2">
        <f>(Table7[[#This Row],[Hybrid]]-Table7[[#This Row],[Octane]])/$B$245</f>
        <v>3.106043405198201E-5</v>
      </c>
      <c r="AY36" s="2">
        <f>(Table7[[#This Row],[Dominus]]-Table7[[#This Row],[Octane]])/$B$245</f>
        <v>6.2860592668344771E-5</v>
      </c>
      <c r="AZ36" s="2">
        <f>(Table7[[#This Row],[Plank]]-Table7[[#This Row],[Octane]])/$B$245</f>
        <v>-3.5308953296821395E-4</v>
      </c>
      <c r="BA36" s="2">
        <f>(Table7[[#This Row],[Batmobile]]-Table7[[#This Row],[Octane]])/$B$245</f>
        <v>-3.5308953296821395E-4</v>
      </c>
      <c r="BB36" s="2">
        <f>(Table7[[#This Row],[Breakout]]-Table7[[#This Row],[Octane]])/$B$245</f>
        <v>-1.0088272370520397E-4</v>
      </c>
      <c r="BC36" s="2"/>
    </row>
    <row r="37" spans="1:80">
      <c r="A37" s="1"/>
      <c r="B37" s="13">
        <f>Octane[[#This Row],[angvel_total]]</f>
        <v>6.9999999999999999E-4</v>
      </c>
      <c r="C37" s="13">
        <f>Hybrid[[#This Row],[angvel_total]]</f>
        <v>7.6157731058639085E-4</v>
      </c>
      <c r="D37" s="13">
        <f>Dominus[[#This Row],[angvel_total]]</f>
        <v>8.2462112512353219E-4</v>
      </c>
      <c r="E37" s="13">
        <f>Plank[[#This Row],[angvel_total]]</f>
        <v>0</v>
      </c>
      <c r="F37" s="13">
        <f>Batmobile[[#This Row],[angvel_total]]</f>
        <v>0</v>
      </c>
      <c r="G37" s="13">
        <f>Breakout[[#This Row],[angvel_total]]</f>
        <v>5.0000000000000001E-4</v>
      </c>
      <c r="I37" s="2">
        <f>Table7[[#This Row],[Hybrid]]/Table7[[#This Row],[Octane]] - 1</f>
        <v>8.7967586551986887E-2</v>
      </c>
      <c r="J37" s="2">
        <f>Table7[[#This Row],[Dominus]]/Table7[[#This Row],[Octane]] - 1</f>
        <v>0.17803017874790306</v>
      </c>
      <c r="K37" s="2">
        <f>Table7[[#This Row],[Plank]]/Table7[[#This Row],[Octane]] - 1</f>
        <v>-1</v>
      </c>
      <c r="L37" s="2">
        <f>Table7[[#This Row],[Batmobile]]/Table7[[#This Row],[Octane]] - 1</f>
        <v>-1</v>
      </c>
      <c r="M37" s="2">
        <f>Table7[[#This Row],[Breakout]]/Table7[[#This Row],[Octane]] - 1</f>
        <v>-0.2857142857142857</v>
      </c>
      <c r="N37" s="2" t="e">
        <f>Table7[[#This Row],[Breakout]]/Table7[[#This Row],[Plank]] - 1</f>
        <v>#DIV/0!</v>
      </c>
      <c r="P37" s="1"/>
      <c r="W37" s="11"/>
      <c r="AD37" s="1"/>
      <c r="AE37" s="6"/>
      <c r="AF37" s="8"/>
      <c r="AG37" s="8"/>
      <c r="AH37" s="8"/>
      <c r="AI37" s="8"/>
      <c r="AJ37" s="8"/>
      <c r="AK37" s="8"/>
      <c r="AL37" s="1"/>
      <c r="AX37" s="2">
        <f>(Table7[[#This Row],[Hybrid]]-Table7[[#This Row],[Octane]])/$B$245</f>
        <v>3.106043405198201E-5</v>
      </c>
      <c r="AY37" s="2">
        <f>(Table7[[#This Row],[Dominus]]-Table7[[#This Row],[Octane]])/$B$245</f>
        <v>6.2860592668344771E-5</v>
      </c>
      <c r="AZ37" s="2">
        <f>(Table7[[#This Row],[Plank]]-Table7[[#This Row],[Octane]])/$B$245</f>
        <v>-3.5308953296821395E-4</v>
      </c>
      <c r="BA37" s="2">
        <f>(Table7[[#This Row],[Batmobile]]-Table7[[#This Row],[Octane]])/$B$245</f>
        <v>-3.5308953296821395E-4</v>
      </c>
      <c r="BB37" s="2">
        <f>(Table7[[#This Row],[Breakout]]-Table7[[#This Row],[Octane]])/$B$245</f>
        <v>-1.0088272370520397E-4</v>
      </c>
      <c r="BC37" s="2"/>
    </row>
    <row r="38" spans="1:80">
      <c r="A38" s="1"/>
      <c r="B38" s="13">
        <f>Octane[[#This Row],[angvel_total]]</f>
        <v>6.9999999999999999E-4</v>
      </c>
      <c r="C38" s="13">
        <f>Hybrid[[#This Row],[angvel_total]]</f>
        <v>7.6157731058639085E-4</v>
      </c>
      <c r="D38" s="13">
        <f>Dominus[[#This Row],[angvel_total]]</f>
        <v>8.2462112512353219E-4</v>
      </c>
      <c r="E38" s="13">
        <f>Plank[[#This Row],[angvel_total]]</f>
        <v>0</v>
      </c>
      <c r="F38" s="13">
        <f>Batmobile[[#This Row],[angvel_total]]</f>
        <v>0</v>
      </c>
      <c r="G38" s="13">
        <f>Breakout[[#This Row],[angvel_total]]</f>
        <v>5.0000000000000001E-4</v>
      </c>
      <c r="I38" s="2">
        <f>Table7[[#This Row],[Hybrid]]/Table7[[#This Row],[Octane]] - 1</f>
        <v>8.7967586551986887E-2</v>
      </c>
      <c r="J38" s="2">
        <f>Table7[[#This Row],[Dominus]]/Table7[[#This Row],[Octane]] - 1</f>
        <v>0.17803017874790306</v>
      </c>
      <c r="K38" s="2">
        <f>Table7[[#This Row],[Plank]]/Table7[[#This Row],[Octane]] - 1</f>
        <v>-1</v>
      </c>
      <c r="L38" s="2">
        <f>Table7[[#This Row],[Batmobile]]/Table7[[#This Row],[Octane]] - 1</f>
        <v>-1</v>
      </c>
      <c r="M38" s="2">
        <f>Table7[[#This Row],[Breakout]]/Table7[[#This Row],[Octane]] - 1</f>
        <v>-0.2857142857142857</v>
      </c>
      <c r="N38" s="2" t="e">
        <f>Table7[[#This Row],[Breakout]]/Table7[[#This Row],[Plank]] - 1</f>
        <v>#DIV/0!</v>
      </c>
      <c r="P38" s="1"/>
      <c r="W38" s="11"/>
      <c r="AD38" s="1"/>
      <c r="AE38" s="6"/>
      <c r="AF38" s="8"/>
      <c r="AG38" s="8"/>
      <c r="AH38" s="8"/>
      <c r="AI38" s="8"/>
      <c r="AJ38" s="8"/>
      <c r="AK38" s="8"/>
      <c r="AL38" s="1"/>
      <c r="AX38" s="2">
        <f>(Table7[[#This Row],[Hybrid]]-Table7[[#This Row],[Octane]])/$B$245</f>
        <v>3.106043405198201E-5</v>
      </c>
      <c r="AY38" s="2">
        <f>(Table7[[#This Row],[Dominus]]-Table7[[#This Row],[Octane]])/$B$245</f>
        <v>6.2860592668344771E-5</v>
      </c>
      <c r="AZ38" s="2">
        <f>(Table7[[#This Row],[Plank]]-Table7[[#This Row],[Octane]])/$B$245</f>
        <v>-3.5308953296821395E-4</v>
      </c>
      <c r="BA38" s="2">
        <f>(Table7[[#This Row],[Batmobile]]-Table7[[#This Row],[Octane]])/$B$245</f>
        <v>-3.5308953296821395E-4</v>
      </c>
      <c r="BB38" s="2">
        <f>(Table7[[#This Row],[Breakout]]-Table7[[#This Row],[Octane]])/$B$245</f>
        <v>-1.0088272370520397E-4</v>
      </c>
      <c r="BC38" s="2"/>
    </row>
    <row r="39" spans="1:80">
      <c r="A39" s="1"/>
      <c r="B39" s="13">
        <f>Octane[[#This Row],[angvel_total]]</f>
        <v>6.9999999999999999E-4</v>
      </c>
      <c r="C39" s="13">
        <f>Hybrid[[#This Row],[angvel_total]]</f>
        <v>7.6157731058639085E-4</v>
      </c>
      <c r="D39" s="13">
        <f>Dominus[[#This Row],[angvel_total]]</f>
        <v>8.2462112512353219E-4</v>
      </c>
      <c r="E39" s="13">
        <f>Plank[[#This Row],[angvel_total]]</f>
        <v>0</v>
      </c>
      <c r="F39" s="13">
        <f>Batmobile[[#This Row],[angvel_total]]</f>
        <v>0</v>
      </c>
      <c r="G39" s="13">
        <f>Breakout[[#This Row],[angvel_total]]</f>
        <v>5.0000000000000001E-4</v>
      </c>
      <c r="I39" s="2">
        <f>Table7[[#This Row],[Hybrid]]/Table7[[#This Row],[Octane]] - 1</f>
        <v>8.7967586551986887E-2</v>
      </c>
      <c r="J39" s="2">
        <f>Table7[[#This Row],[Dominus]]/Table7[[#This Row],[Octane]] - 1</f>
        <v>0.17803017874790306</v>
      </c>
      <c r="K39" s="2">
        <f>Table7[[#This Row],[Plank]]/Table7[[#This Row],[Octane]] - 1</f>
        <v>-1</v>
      </c>
      <c r="L39" s="2">
        <f>Table7[[#This Row],[Batmobile]]/Table7[[#This Row],[Octane]] - 1</f>
        <v>-1</v>
      </c>
      <c r="M39" s="2">
        <f>Table7[[#This Row],[Breakout]]/Table7[[#This Row],[Octane]] - 1</f>
        <v>-0.2857142857142857</v>
      </c>
      <c r="N39" s="2" t="e">
        <f>Table7[[#This Row],[Breakout]]/Table7[[#This Row],[Plank]] - 1</f>
        <v>#DIV/0!</v>
      </c>
      <c r="P39" s="1"/>
      <c r="W39" s="11"/>
      <c r="AD39" s="1"/>
      <c r="AE39" s="6"/>
      <c r="AF39" s="8"/>
      <c r="AG39" s="8"/>
      <c r="AH39" s="8"/>
      <c r="AI39" s="8"/>
      <c r="AJ39" s="8"/>
      <c r="AK39" s="8"/>
      <c r="AL39" s="1"/>
      <c r="AX39" s="2">
        <f>(Table7[[#This Row],[Hybrid]]-Table7[[#This Row],[Octane]])/$B$245</f>
        <v>3.106043405198201E-5</v>
      </c>
      <c r="AY39" s="2">
        <f>(Table7[[#This Row],[Dominus]]-Table7[[#This Row],[Octane]])/$B$245</f>
        <v>6.2860592668344771E-5</v>
      </c>
      <c r="AZ39" s="2">
        <f>(Table7[[#This Row],[Plank]]-Table7[[#This Row],[Octane]])/$B$245</f>
        <v>-3.5308953296821395E-4</v>
      </c>
      <c r="BA39" s="2">
        <f>(Table7[[#This Row],[Batmobile]]-Table7[[#This Row],[Octane]])/$B$245</f>
        <v>-3.5308953296821395E-4</v>
      </c>
      <c r="BB39" s="2">
        <f>(Table7[[#This Row],[Breakout]]-Table7[[#This Row],[Octane]])/$B$245</f>
        <v>-1.0088272370520397E-4</v>
      </c>
      <c r="BC39" s="2"/>
    </row>
    <row r="40" spans="1:80">
      <c r="A40" s="1"/>
      <c r="B40" s="13">
        <f>Octane[[#This Row],[angvel_total]]</f>
        <v>6.9999999999999999E-4</v>
      </c>
      <c r="C40" s="13">
        <f>Hybrid[[#This Row],[angvel_total]]</f>
        <v>7.6157731058639085E-4</v>
      </c>
      <c r="D40" s="13">
        <f>Dominus[[#This Row],[angvel_total]]</f>
        <v>8.2462112512353219E-4</v>
      </c>
      <c r="E40" s="13">
        <f>Plank[[#This Row],[angvel_total]]</f>
        <v>0</v>
      </c>
      <c r="F40" s="13">
        <f>Batmobile[[#This Row],[angvel_total]]</f>
        <v>0</v>
      </c>
      <c r="G40" s="13">
        <f>Breakout[[#This Row],[angvel_total]]</f>
        <v>5.0000000000000001E-4</v>
      </c>
      <c r="I40" s="2">
        <f>Table7[[#This Row],[Hybrid]]/Table7[[#This Row],[Octane]] - 1</f>
        <v>8.7967586551986887E-2</v>
      </c>
      <c r="J40" s="2">
        <f>Table7[[#This Row],[Dominus]]/Table7[[#This Row],[Octane]] - 1</f>
        <v>0.17803017874790306</v>
      </c>
      <c r="K40" s="2">
        <f>Table7[[#This Row],[Plank]]/Table7[[#This Row],[Octane]] - 1</f>
        <v>-1</v>
      </c>
      <c r="L40" s="2">
        <f>Table7[[#This Row],[Batmobile]]/Table7[[#This Row],[Octane]] - 1</f>
        <v>-1</v>
      </c>
      <c r="M40" s="2">
        <f>Table7[[#This Row],[Breakout]]/Table7[[#This Row],[Octane]] - 1</f>
        <v>-0.2857142857142857</v>
      </c>
      <c r="N40" s="2" t="e">
        <f>Table7[[#This Row],[Breakout]]/Table7[[#This Row],[Plank]] - 1</f>
        <v>#DIV/0!</v>
      </c>
      <c r="P40" s="1"/>
      <c r="W40" s="11"/>
      <c r="AD40" s="1"/>
      <c r="AE40" s="6"/>
      <c r="AF40" s="8"/>
      <c r="AG40" s="8"/>
      <c r="AH40" s="8"/>
      <c r="AI40" s="8"/>
      <c r="AJ40" s="8"/>
      <c r="AK40" s="8"/>
      <c r="AL40" s="1"/>
      <c r="AX40" s="2">
        <f>(Table7[[#This Row],[Hybrid]]-Table7[[#This Row],[Octane]])/$B$245</f>
        <v>3.106043405198201E-5</v>
      </c>
      <c r="AY40" s="2">
        <f>(Table7[[#This Row],[Dominus]]-Table7[[#This Row],[Octane]])/$B$245</f>
        <v>6.2860592668344771E-5</v>
      </c>
      <c r="AZ40" s="2">
        <f>(Table7[[#This Row],[Plank]]-Table7[[#This Row],[Octane]])/$B$245</f>
        <v>-3.5308953296821395E-4</v>
      </c>
      <c r="BA40" s="2">
        <f>(Table7[[#This Row],[Batmobile]]-Table7[[#This Row],[Octane]])/$B$245</f>
        <v>-3.5308953296821395E-4</v>
      </c>
      <c r="BB40" s="2">
        <f>(Table7[[#This Row],[Breakout]]-Table7[[#This Row],[Octane]])/$B$245</f>
        <v>-1.0088272370520397E-4</v>
      </c>
      <c r="BC40" s="2"/>
    </row>
    <row r="41" spans="1:80">
      <c r="A41" s="1"/>
      <c r="B41" s="13">
        <f>Octane[[#This Row],[angvel_total]]</f>
        <v>6.9999999999999999E-4</v>
      </c>
      <c r="C41" s="13">
        <f>Hybrid[[#This Row],[angvel_total]]</f>
        <v>7.6157731058639085E-4</v>
      </c>
      <c r="D41" s="13">
        <f>Dominus[[#This Row],[angvel_total]]</f>
        <v>8.2462112512353219E-4</v>
      </c>
      <c r="E41" s="13">
        <f>Plank[[#This Row],[angvel_total]]</f>
        <v>0</v>
      </c>
      <c r="F41" s="13">
        <f>Batmobile[[#This Row],[angvel_total]]</f>
        <v>0</v>
      </c>
      <c r="G41" s="13">
        <f>Breakout[[#This Row],[angvel_total]]</f>
        <v>5.0000000000000001E-4</v>
      </c>
      <c r="I41" s="2">
        <f>Table7[[#This Row],[Hybrid]]/Table7[[#This Row],[Octane]] - 1</f>
        <v>8.7967586551986887E-2</v>
      </c>
      <c r="J41" s="2">
        <f>Table7[[#This Row],[Dominus]]/Table7[[#This Row],[Octane]] - 1</f>
        <v>0.17803017874790306</v>
      </c>
      <c r="K41" s="2">
        <f>Table7[[#This Row],[Plank]]/Table7[[#This Row],[Octane]] - 1</f>
        <v>-1</v>
      </c>
      <c r="L41" s="2">
        <f>Table7[[#This Row],[Batmobile]]/Table7[[#This Row],[Octane]] - 1</f>
        <v>-1</v>
      </c>
      <c r="M41" s="2">
        <f>Table7[[#This Row],[Breakout]]/Table7[[#This Row],[Octane]] - 1</f>
        <v>-0.2857142857142857</v>
      </c>
      <c r="N41" s="2" t="e">
        <f>Table7[[#This Row],[Breakout]]/Table7[[#This Row],[Plank]] - 1</f>
        <v>#DIV/0!</v>
      </c>
      <c r="P41" s="1"/>
      <c r="W41" s="11"/>
      <c r="AD41" s="1"/>
      <c r="AE41" s="6"/>
      <c r="AF41" s="8"/>
      <c r="AG41" s="8"/>
      <c r="AH41" s="8"/>
      <c r="AI41" s="8"/>
      <c r="AJ41" s="8"/>
      <c r="AK41" s="8"/>
      <c r="AL41" s="1"/>
      <c r="AX41" s="2">
        <f>(Table7[[#This Row],[Hybrid]]-Table7[[#This Row],[Octane]])/$B$245</f>
        <v>3.106043405198201E-5</v>
      </c>
      <c r="AY41" s="2">
        <f>(Table7[[#This Row],[Dominus]]-Table7[[#This Row],[Octane]])/$B$245</f>
        <v>6.2860592668344771E-5</v>
      </c>
      <c r="AZ41" s="2">
        <f>(Table7[[#This Row],[Plank]]-Table7[[#This Row],[Octane]])/$B$245</f>
        <v>-3.5308953296821395E-4</v>
      </c>
      <c r="BA41" s="2">
        <f>(Table7[[#This Row],[Batmobile]]-Table7[[#This Row],[Octane]])/$B$245</f>
        <v>-3.5308953296821395E-4</v>
      </c>
      <c r="BB41" s="2">
        <f>(Table7[[#This Row],[Breakout]]-Table7[[#This Row],[Octane]])/$B$245</f>
        <v>-1.0088272370520397E-4</v>
      </c>
      <c r="BC41" s="2"/>
    </row>
    <row r="42" spans="1:80">
      <c r="A42" s="1"/>
      <c r="B42" s="13">
        <f>Octane[[#This Row],[angvel_total]]</f>
        <v>6.9999999999999999E-4</v>
      </c>
      <c r="C42" s="13">
        <f>Hybrid[[#This Row],[angvel_total]]</f>
        <v>7.6157731058639085E-4</v>
      </c>
      <c r="D42" s="13">
        <f>Dominus[[#This Row],[angvel_total]]</f>
        <v>8.2462112512353219E-4</v>
      </c>
      <c r="E42" s="13">
        <f>Plank[[#This Row],[angvel_total]]</f>
        <v>0</v>
      </c>
      <c r="F42" s="13">
        <f>Batmobile[[#This Row],[angvel_total]]</f>
        <v>0</v>
      </c>
      <c r="G42" s="13">
        <f>Breakout[[#This Row],[angvel_total]]</f>
        <v>5.0000000000000001E-4</v>
      </c>
      <c r="I42" s="2">
        <f>Table7[[#This Row],[Hybrid]]/Table7[[#This Row],[Octane]] - 1</f>
        <v>8.7967586551986887E-2</v>
      </c>
      <c r="J42" s="2">
        <f>Table7[[#This Row],[Dominus]]/Table7[[#This Row],[Octane]] - 1</f>
        <v>0.17803017874790306</v>
      </c>
      <c r="K42" s="2">
        <f>Table7[[#This Row],[Plank]]/Table7[[#This Row],[Octane]] - 1</f>
        <v>-1</v>
      </c>
      <c r="L42" s="2">
        <f>Table7[[#This Row],[Batmobile]]/Table7[[#This Row],[Octane]] - 1</f>
        <v>-1</v>
      </c>
      <c r="M42" s="2">
        <f>Table7[[#This Row],[Breakout]]/Table7[[#This Row],[Octane]] - 1</f>
        <v>-0.2857142857142857</v>
      </c>
      <c r="N42" s="2" t="e">
        <f>Table7[[#This Row],[Breakout]]/Table7[[#This Row],[Plank]] - 1</f>
        <v>#DIV/0!</v>
      </c>
      <c r="P42" s="1"/>
      <c r="W42" s="11"/>
      <c r="AD42" s="1"/>
      <c r="AE42" s="6"/>
      <c r="AF42" s="8"/>
      <c r="AG42" s="8"/>
      <c r="AH42" s="8"/>
      <c r="AI42" s="8"/>
      <c r="AJ42" s="8"/>
      <c r="AK42" s="8"/>
      <c r="AL42" s="1"/>
      <c r="AX42" s="2">
        <f>(Table7[[#This Row],[Hybrid]]-Table7[[#This Row],[Octane]])/$B$245</f>
        <v>3.106043405198201E-5</v>
      </c>
      <c r="AY42" s="2">
        <f>(Table7[[#This Row],[Dominus]]-Table7[[#This Row],[Octane]])/$B$245</f>
        <v>6.2860592668344771E-5</v>
      </c>
      <c r="AZ42" s="2">
        <f>(Table7[[#This Row],[Plank]]-Table7[[#This Row],[Octane]])/$B$245</f>
        <v>-3.5308953296821395E-4</v>
      </c>
      <c r="BA42" s="2">
        <f>(Table7[[#This Row],[Batmobile]]-Table7[[#This Row],[Octane]])/$B$245</f>
        <v>-3.5308953296821395E-4</v>
      </c>
      <c r="BB42" s="2">
        <f>(Table7[[#This Row],[Breakout]]-Table7[[#This Row],[Octane]])/$B$245</f>
        <v>-1.0088272370520397E-4</v>
      </c>
      <c r="BC42" s="2"/>
    </row>
    <row r="43" spans="1:80">
      <c r="A43" s="1"/>
      <c r="B43" s="13">
        <f>Octane[[#This Row],[angvel_total]]</f>
        <v>6.9999999999999999E-4</v>
      </c>
      <c r="C43" s="13">
        <f>Hybrid[[#This Row],[angvel_total]]</f>
        <v>7.6157731058639085E-4</v>
      </c>
      <c r="D43" s="13">
        <f>Dominus[[#This Row],[angvel_total]]</f>
        <v>8.2462112512353219E-4</v>
      </c>
      <c r="E43" s="13">
        <f>Plank[[#This Row],[angvel_total]]</f>
        <v>0</v>
      </c>
      <c r="F43" s="13">
        <f>Batmobile[[#This Row],[angvel_total]]</f>
        <v>0</v>
      </c>
      <c r="G43" s="13">
        <f>Breakout[[#This Row],[angvel_total]]</f>
        <v>5.0000000000000001E-4</v>
      </c>
      <c r="I43" s="2">
        <f>Table7[[#This Row],[Hybrid]]/Table7[[#This Row],[Octane]] - 1</f>
        <v>8.7967586551986887E-2</v>
      </c>
      <c r="J43" s="2">
        <f>Table7[[#This Row],[Dominus]]/Table7[[#This Row],[Octane]] - 1</f>
        <v>0.17803017874790306</v>
      </c>
      <c r="K43" s="2">
        <f>Table7[[#This Row],[Plank]]/Table7[[#This Row],[Octane]] - 1</f>
        <v>-1</v>
      </c>
      <c r="L43" s="2">
        <f>Table7[[#This Row],[Batmobile]]/Table7[[#This Row],[Octane]] - 1</f>
        <v>-1</v>
      </c>
      <c r="M43" s="2">
        <f>Table7[[#This Row],[Breakout]]/Table7[[#This Row],[Octane]] - 1</f>
        <v>-0.2857142857142857</v>
      </c>
      <c r="N43" s="2" t="e">
        <f>Table7[[#This Row],[Breakout]]/Table7[[#This Row],[Plank]] - 1</f>
        <v>#DIV/0!</v>
      </c>
      <c r="P43" s="1"/>
      <c r="W43" s="11"/>
      <c r="AB43" t="s">
        <v>54</v>
      </c>
      <c r="AD43" s="1"/>
      <c r="AE43" s="6"/>
      <c r="AF43" s="8"/>
      <c r="AG43" s="8"/>
      <c r="AH43" s="8"/>
      <c r="AI43" s="8"/>
      <c r="AJ43" s="8"/>
      <c r="AK43" s="8"/>
      <c r="AL43" s="1"/>
      <c r="AX43" s="2">
        <f>(Table7[[#This Row],[Hybrid]]-Table7[[#This Row],[Octane]])/$B$245</f>
        <v>3.106043405198201E-5</v>
      </c>
      <c r="AY43" s="2">
        <f>(Table7[[#This Row],[Dominus]]-Table7[[#This Row],[Octane]])/$B$245</f>
        <v>6.2860592668344771E-5</v>
      </c>
      <c r="AZ43" s="2">
        <f>(Table7[[#This Row],[Plank]]-Table7[[#This Row],[Octane]])/$B$245</f>
        <v>-3.5308953296821395E-4</v>
      </c>
      <c r="BA43" s="2">
        <f>(Table7[[#This Row],[Batmobile]]-Table7[[#This Row],[Octane]])/$B$245</f>
        <v>-3.5308953296821395E-4</v>
      </c>
      <c r="BB43" s="2">
        <f>(Table7[[#This Row],[Breakout]]-Table7[[#This Row],[Octane]])/$B$245</f>
        <v>-1.0088272370520397E-4</v>
      </c>
      <c r="BC43" s="2"/>
    </row>
    <row r="44" spans="1:80">
      <c r="A44" s="1"/>
      <c r="B44" s="13">
        <f>Octane[[#This Row],[angvel_total]]</f>
        <v>6.9999999999999999E-4</v>
      </c>
      <c r="C44" s="13">
        <f>Hybrid[[#This Row],[angvel_total]]</f>
        <v>7.6157731058639085E-4</v>
      </c>
      <c r="D44" s="13">
        <f>Dominus[[#This Row],[angvel_total]]</f>
        <v>8.2462112512353219E-4</v>
      </c>
      <c r="E44" s="13">
        <f>Plank[[#This Row],[angvel_total]]</f>
        <v>0</v>
      </c>
      <c r="F44" s="13">
        <f>Batmobile[[#This Row],[angvel_total]]</f>
        <v>0</v>
      </c>
      <c r="G44" s="13">
        <f>Breakout[[#This Row],[angvel_total]]</f>
        <v>5.0000000000000001E-4</v>
      </c>
      <c r="I44" s="2">
        <f>Table7[[#This Row],[Hybrid]]/Table7[[#This Row],[Octane]] - 1</f>
        <v>8.7967586551986887E-2</v>
      </c>
      <c r="J44" s="2">
        <f>Table7[[#This Row],[Dominus]]/Table7[[#This Row],[Octane]] - 1</f>
        <v>0.17803017874790306</v>
      </c>
      <c r="K44" s="2">
        <f>Table7[[#This Row],[Plank]]/Table7[[#This Row],[Octane]] - 1</f>
        <v>-1</v>
      </c>
      <c r="L44" s="2">
        <f>Table7[[#This Row],[Batmobile]]/Table7[[#This Row],[Octane]] - 1</f>
        <v>-1</v>
      </c>
      <c r="M44" s="2">
        <f>Table7[[#This Row],[Breakout]]/Table7[[#This Row],[Octane]] - 1</f>
        <v>-0.2857142857142857</v>
      </c>
      <c r="N44" s="2" t="e">
        <f>Table7[[#This Row],[Breakout]]/Table7[[#This Row],[Plank]] - 1</f>
        <v>#DIV/0!</v>
      </c>
      <c r="P44" s="1"/>
      <c r="W44" s="11"/>
      <c r="AB44">
        <v>30</v>
      </c>
      <c r="AD44" s="1"/>
      <c r="AE44" s="6"/>
      <c r="AF44" s="8"/>
      <c r="AG44" s="8"/>
      <c r="AH44" s="8"/>
      <c r="AI44" s="8"/>
      <c r="AJ44" s="8"/>
      <c r="AK44" s="8"/>
      <c r="AL44" s="1"/>
      <c r="AX44" s="2">
        <f>(Table7[[#This Row],[Hybrid]]-Table7[[#This Row],[Octane]])/$B$245</f>
        <v>3.106043405198201E-5</v>
      </c>
      <c r="AY44" s="2">
        <f>(Table7[[#This Row],[Dominus]]-Table7[[#This Row],[Octane]])/$B$245</f>
        <v>6.2860592668344771E-5</v>
      </c>
      <c r="AZ44" s="2">
        <f>(Table7[[#This Row],[Plank]]-Table7[[#This Row],[Octane]])/$B$245</f>
        <v>-3.5308953296821395E-4</v>
      </c>
      <c r="BA44" s="2">
        <f>(Table7[[#This Row],[Batmobile]]-Table7[[#This Row],[Octane]])/$B$245</f>
        <v>-3.5308953296821395E-4</v>
      </c>
      <c r="BB44" s="2">
        <f>(Table7[[#This Row],[Breakout]]-Table7[[#This Row],[Octane]])/$B$245</f>
        <v>-1.0088272370520397E-4</v>
      </c>
      <c r="BC44" s="2"/>
    </row>
    <row r="45" spans="1:80">
      <c r="A45" s="1"/>
      <c r="B45" s="13">
        <f>Octane[[#This Row],[angvel_total]]</f>
        <v>6.9999999999999999E-4</v>
      </c>
      <c r="C45" s="13">
        <f>Hybrid[[#This Row],[angvel_total]]</f>
        <v>7.6157731058639085E-4</v>
      </c>
      <c r="D45" s="13">
        <f>Dominus[[#This Row],[angvel_total]]</f>
        <v>8.2462112512353219E-4</v>
      </c>
      <c r="E45" s="13">
        <f>Plank[[#This Row],[angvel_total]]</f>
        <v>0</v>
      </c>
      <c r="F45" s="13">
        <f>Batmobile[[#This Row],[angvel_total]]</f>
        <v>0</v>
      </c>
      <c r="G45" s="13">
        <f>Breakout[[#This Row],[angvel_total]]</f>
        <v>5.0000000000000001E-4</v>
      </c>
      <c r="I45" s="2">
        <f>Table7[[#This Row],[Hybrid]]/Table7[[#This Row],[Octane]] - 1</f>
        <v>8.7967586551986887E-2</v>
      </c>
      <c r="J45" s="2">
        <f>Table7[[#This Row],[Dominus]]/Table7[[#This Row],[Octane]] - 1</f>
        <v>0.17803017874790306</v>
      </c>
      <c r="K45" s="2">
        <f>Table7[[#This Row],[Plank]]/Table7[[#This Row],[Octane]] - 1</f>
        <v>-1</v>
      </c>
      <c r="L45" s="2">
        <f>Table7[[#This Row],[Batmobile]]/Table7[[#This Row],[Octane]] - 1</f>
        <v>-1</v>
      </c>
      <c r="M45" s="2">
        <f>Table7[[#This Row],[Breakout]]/Table7[[#This Row],[Octane]] - 1</f>
        <v>-0.2857142857142857</v>
      </c>
      <c r="N45" s="2" t="e">
        <f>Table7[[#This Row],[Breakout]]/Table7[[#This Row],[Plank]] - 1</f>
        <v>#DIV/0!</v>
      </c>
      <c r="P45" s="1"/>
      <c r="W45" s="11"/>
      <c r="AB45" t="s">
        <v>55</v>
      </c>
      <c r="AD45" s="1"/>
      <c r="AE45" s="6"/>
      <c r="AF45" s="8"/>
      <c r="AG45" s="8"/>
      <c r="AH45" s="8"/>
      <c r="AI45" s="8"/>
      <c r="AJ45" s="8"/>
      <c r="AK45" s="8"/>
      <c r="AL45" s="1"/>
      <c r="AX45" s="2">
        <f>(Table7[[#This Row],[Hybrid]]-Table7[[#This Row],[Octane]])/$B$245</f>
        <v>3.106043405198201E-5</v>
      </c>
      <c r="AY45" s="2">
        <f>(Table7[[#This Row],[Dominus]]-Table7[[#This Row],[Octane]])/$B$245</f>
        <v>6.2860592668344771E-5</v>
      </c>
      <c r="AZ45" s="2">
        <f>(Table7[[#This Row],[Plank]]-Table7[[#This Row],[Octane]])/$B$245</f>
        <v>-3.5308953296821395E-4</v>
      </c>
      <c r="BA45" s="2">
        <f>(Table7[[#This Row],[Batmobile]]-Table7[[#This Row],[Octane]])/$B$245</f>
        <v>-3.5308953296821395E-4</v>
      </c>
      <c r="BB45" s="2">
        <f>(Table7[[#This Row],[Breakout]]-Table7[[#This Row],[Octane]])/$B$245</f>
        <v>-1.0088272370520397E-4</v>
      </c>
      <c r="BC45" s="2"/>
      <c r="CB45">
        <v>1</v>
      </c>
    </row>
    <row r="46" spans="1:80">
      <c r="A46" s="1"/>
      <c r="B46" s="13">
        <f>Octane[[#This Row],[angvel_total]]</f>
        <v>6.9999999999999999E-4</v>
      </c>
      <c r="C46" s="13">
        <f>Hybrid[[#This Row],[angvel_total]]</f>
        <v>7.6157731058639085E-4</v>
      </c>
      <c r="D46" s="13">
        <f>Dominus[[#This Row],[angvel_total]]</f>
        <v>8.2462112512353219E-4</v>
      </c>
      <c r="E46" s="13">
        <f>Plank[[#This Row],[angvel_total]]</f>
        <v>0</v>
      </c>
      <c r="F46" s="13">
        <f>Batmobile[[#This Row],[angvel_total]]</f>
        <v>0</v>
      </c>
      <c r="G46" s="13">
        <f>Breakout[[#This Row],[angvel_total]]</f>
        <v>5.0000000000000001E-4</v>
      </c>
      <c r="I46" s="2">
        <f>Table7[[#This Row],[Hybrid]]/Table7[[#This Row],[Octane]] - 1</f>
        <v>8.7967586551986887E-2</v>
      </c>
      <c r="J46" s="2">
        <f>Table7[[#This Row],[Dominus]]/Table7[[#This Row],[Octane]] - 1</f>
        <v>0.17803017874790306</v>
      </c>
      <c r="K46" s="2">
        <f>Table7[[#This Row],[Plank]]/Table7[[#This Row],[Octane]] - 1</f>
        <v>-1</v>
      </c>
      <c r="L46" s="2">
        <f>Table7[[#This Row],[Batmobile]]/Table7[[#This Row],[Octane]] - 1</f>
        <v>-1</v>
      </c>
      <c r="M46" s="2">
        <f>Table7[[#This Row],[Breakout]]/Table7[[#This Row],[Octane]] - 1</f>
        <v>-0.2857142857142857</v>
      </c>
      <c r="N46" s="2" t="e">
        <f>Table7[[#This Row],[Breakout]]/Table7[[#This Row],[Plank]] - 1</f>
        <v>#DIV/0!</v>
      </c>
      <c r="P46" s="1"/>
      <c r="W46" s="11"/>
      <c r="AB46">
        <v>30</v>
      </c>
      <c r="AD46" s="1"/>
      <c r="AE46" s="6"/>
      <c r="AF46" s="8">
        <f>SUM(AF53:AF172)/SUM($AE53:$AE172)</f>
        <v>1.6490162853070442</v>
      </c>
      <c r="AG46" s="8">
        <f t="shared" ref="AG46:AK46" si="1">SUM(AG53:AG172)/SUM($AE53:$AE172)</f>
        <v>1.6572539049778392</v>
      </c>
      <c r="AH46" s="8">
        <f t="shared" si="1"/>
        <v>1.6622383434874546</v>
      </c>
      <c r="AI46" s="8">
        <f t="shared" si="1"/>
        <v>1.6393891324094489</v>
      </c>
      <c r="AJ46" s="8">
        <f t="shared" si="1"/>
        <v>1.6222534117178029</v>
      </c>
      <c r="AK46" s="8">
        <f t="shared" si="1"/>
        <v>1.6424474013029235</v>
      </c>
      <c r="AL46" s="1"/>
      <c r="AW46" s="11"/>
      <c r="AX46" s="2">
        <f>(Table7[[#This Row],[Hybrid]]-Table7[[#This Row],[Octane]])/$B$245</f>
        <v>3.106043405198201E-5</v>
      </c>
      <c r="AY46" s="2">
        <f>(Table7[[#This Row],[Dominus]]-Table7[[#This Row],[Octane]])/$B$245</f>
        <v>6.2860592668344771E-5</v>
      </c>
      <c r="AZ46" s="2">
        <f>(Table7[[#This Row],[Plank]]-Table7[[#This Row],[Octane]])/$B$245</f>
        <v>-3.5308953296821395E-4</v>
      </c>
      <c r="BA46" s="2">
        <f>(Table7[[#This Row],[Batmobile]]-Table7[[#This Row],[Octane]])/$B$245</f>
        <v>-3.5308953296821395E-4</v>
      </c>
      <c r="BB46" s="2">
        <f>(Table7[[#This Row],[Breakout]]-Table7[[#This Row],[Octane]])/$B$245</f>
        <v>-1.0088272370520397E-4</v>
      </c>
      <c r="BC46" s="2"/>
    </row>
    <row r="47" spans="1:80">
      <c r="A47" s="1"/>
      <c r="B47" s="13">
        <f>Octane[[#This Row],[angvel_total]]</f>
        <v>6.9999999999999999E-4</v>
      </c>
      <c r="C47" s="13">
        <f>Hybrid[[#This Row],[angvel_total]]</f>
        <v>7.6157731058639085E-4</v>
      </c>
      <c r="D47" s="13">
        <f>Dominus[[#This Row],[angvel_total]]</f>
        <v>8.2462112512353219E-4</v>
      </c>
      <c r="E47" s="13">
        <f>Plank[[#This Row],[angvel_total]]</f>
        <v>0</v>
      </c>
      <c r="F47" s="13">
        <f>Batmobile[[#This Row],[angvel_total]]</f>
        <v>0</v>
      </c>
      <c r="G47" s="13">
        <f>Breakout[[#This Row],[angvel_total]]</f>
        <v>5.0000000000000001E-4</v>
      </c>
      <c r="I47" s="2">
        <f>Table7[[#This Row],[Hybrid]]/Table7[[#This Row],[Octane]] - 1</f>
        <v>8.7967586551986887E-2</v>
      </c>
      <c r="J47" s="2">
        <f>Table7[[#This Row],[Dominus]]/Table7[[#This Row],[Octane]] - 1</f>
        <v>0.17803017874790306</v>
      </c>
      <c r="K47" s="2">
        <f>Table7[[#This Row],[Plank]]/Table7[[#This Row],[Octane]] - 1</f>
        <v>-1</v>
      </c>
      <c r="L47" s="2">
        <f>Table7[[#This Row],[Batmobile]]/Table7[[#This Row],[Octane]] - 1</f>
        <v>-1</v>
      </c>
      <c r="M47" s="2">
        <f>Table7[[#This Row],[Breakout]]/Table7[[#This Row],[Octane]] - 1</f>
        <v>-0.2857142857142857</v>
      </c>
      <c r="N47" s="2" t="e">
        <f>Table7[[#This Row],[Breakout]]/Table7[[#This Row],[Plank]] - 1</f>
        <v>#DIV/0!</v>
      </c>
      <c r="P47" s="1"/>
      <c r="W47" s="11"/>
      <c r="AD47" s="1"/>
      <c r="AE47" s="6"/>
      <c r="AF47" s="8"/>
      <c r="AG47" s="8"/>
      <c r="AH47" s="8"/>
      <c r="AI47" s="8"/>
      <c r="AJ47" s="8"/>
      <c r="AK47" s="8"/>
      <c r="AL47" s="1"/>
      <c r="AW47" s="11"/>
      <c r="AX47" s="2">
        <f>(Table7[[#This Row],[Hybrid]]-Table7[[#This Row],[Octane]])/$B$245</f>
        <v>3.106043405198201E-5</v>
      </c>
      <c r="AY47" s="2">
        <f>(Table7[[#This Row],[Dominus]]-Table7[[#This Row],[Octane]])/$B$245</f>
        <v>6.2860592668344771E-5</v>
      </c>
      <c r="AZ47" s="2">
        <f>(Table7[[#This Row],[Plank]]-Table7[[#This Row],[Octane]])/$B$245</f>
        <v>-3.5308953296821395E-4</v>
      </c>
      <c r="BA47" s="2">
        <f>(Table7[[#This Row],[Batmobile]]-Table7[[#This Row],[Octane]])/$B$245</f>
        <v>-3.5308953296821395E-4</v>
      </c>
      <c r="BB47" s="2">
        <f>(Table7[[#This Row],[Breakout]]-Table7[[#This Row],[Octane]])/$B$245</f>
        <v>-1.0088272370520397E-4</v>
      </c>
      <c r="BC47" s="2"/>
    </row>
    <row r="48" spans="1:80">
      <c r="A48" s="1"/>
      <c r="B48" s="13">
        <f>Octane[[#This Row],[angvel_total]]</f>
        <v>6.9999999999999999E-4</v>
      </c>
      <c r="C48" s="13">
        <f>Hybrid[[#This Row],[angvel_total]]</f>
        <v>7.6157731058639085E-4</v>
      </c>
      <c r="D48" s="13">
        <f>Dominus[[#This Row],[angvel_total]]</f>
        <v>8.2462112512353219E-4</v>
      </c>
      <c r="E48" s="13">
        <f>Plank[[#This Row],[angvel_total]]</f>
        <v>0</v>
      </c>
      <c r="F48" s="13">
        <f>Batmobile[[#This Row],[angvel_total]]</f>
        <v>0</v>
      </c>
      <c r="G48" s="13">
        <f>Breakout[[#This Row],[angvel_total]]</f>
        <v>5.0000000000000001E-4</v>
      </c>
      <c r="I48" s="2">
        <f>Table7[[#This Row],[Hybrid]]/Table7[[#This Row],[Octane]] - 1</f>
        <v>8.7967586551986887E-2</v>
      </c>
      <c r="J48" s="2">
        <f>Table7[[#This Row],[Dominus]]/Table7[[#This Row],[Octane]] - 1</f>
        <v>0.17803017874790306</v>
      </c>
      <c r="K48" s="2">
        <f>Table7[[#This Row],[Plank]]/Table7[[#This Row],[Octane]] - 1</f>
        <v>-1</v>
      </c>
      <c r="L48" s="2">
        <f>Table7[[#This Row],[Batmobile]]/Table7[[#This Row],[Octane]] - 1</f>
        <v>-1</v>
      </c>
      <c r="M48" s="2">
        <f>Table7[[#This Row],[Breakout]]/Table7[[#This Row],[Octane]] - 1</f>
        <v>-0.2857142857142857</v>
      </c>
      <c r="N48" s="2" t="e">
        <f>Table7[[#This Row],[Breakout]]/Table7[[#This Row],[Plank]] - 1</f>
        <v>#DIV/0!</v>
      </c>
      <c r="P48" s="1"/>
      <c r="W48" s="11"/>
      <c r="AD48" s="1"/>
      <c r="AE48" s="6"/>
      <c r="AF48" s="8"/>
      <c r="AG48" s="8"/>
      <c r="AH48" s="8"/>
      <c r="AI48" s="8"/>
      <c r="AJ48" s="8"/>
      <c r="AK48" s="8"/>
      <c r="AL48" s="1"/>
      <c r="AW48" s="11"/>
      <c r="AX48" s="2">
        <f>(Table7[[#This Row],[Hybrid]]-Table7[[#This Row],[Octane]])/$B$245</f>
        <v>3.106043405198201E-5</v>
      </c>
      <c r="AY48" s="2">
        <f>(Table7[[#This Row],[Dominus]]-Table7[[#This Row],[Octane]])/$B$245</f>
        <v>6.2860592668344771E-5</v>
      </c>
      <c r="AZ48" s="2">
        <f>(Table7[[#This Row],[Plank]]-Table7[[#This Row],[Octane]])/$B$245</f>
        <v>-3.5308953296821395E-4</v>
      </c>
      <c r="BA48" s="2">
        <f>(Table7[[#This Row],[Batmobile]]-Table7[[#This Row],[Octane]])/$B$245</f>
        <v>-3.5308953296821395E-4</v>
      </c>
      <c r="BB48" s="2">
        <f>(Table7[[#This Row],[Breakout]]-Table7[[#This Row],[Octane]])/$B$245</f>
        <v>-1.0088272370520397E-4</v>
      </c>
      <c r="BC48" s="2"/>
    </row>
    <row r="49" spans="1:55">
      <c r="A49" s="1"/>
      <c r="B49" s="13">
        <f>Octane[[#This Row],[angvel_total]]</f>
        <v>6.9999999999999999E-4</v>
      </c>
      <c r="C49" s="13">
        <f>Hybrid[[#This Row],[angvel_total]]</f>
        <v>7.6157731058639085E-4</v>
      </c>
      <c r="D49" s="13">
        <f>Dominus[[#This Row],[angvel_total]]</f>
        <v>8.2462112512353219E-4</v>
      </c>
      <c r="E49" s="13">
        <f>Plank[[#This Row],[angvel_total]]</f>
        <v>0</v>
      </c>
      <c r="F49" s="13">
        <f>Batmobile[[#This Row],[angvel_total]]</f>
        <v>0</v>
      </c>
      <c r="G49" s="13">
        <f>Breakout[[#This Row],[angvel_total]]</f>
        <v>5.0000000000000001E-4</v>
      </c>
      <c r="I49" s="2">
        <f>Table7[[#This Row],[Hybrid]]/Table7[[#This Row],[Octane]] - 1</f>
        <v>8.7967586551986887E-2</v>
      </c>
      <c r="J49" s="2">
        <f>Table7[[#This Row],[Dominus]]/Table7[[#This Row],[Octane]] - 1</f>
        <v>0.17803017874790306</v>
      </c>
      <c r="K49" s="2">
        <f>Table7[[#This Row],[Plank]]/Table7[[#This Row],[Octane]] - 1</f>
        <v>-1</v>
      </c>
      <c r="L49" s="2">
        <f>Table7[[#This Row],[Batmobile]]/Table7[[#This Row],[Octane]] - 1</f>
        <v>-1</v>
      </c>
      <c r="M49" s="2">
        <f>Table7[[#This Row],[Breakout]]/Table7[[#This Row],[Octane]] - 1</f>
        <v>-0.2857142857142857</v>
      </c>
      <c r="N49" s="2" t="e">
        <f>Table7[[#This Row],[Breakout]]/Table7[[#This Row],[Plank]] - 1</f>
        <v>#DIV/0!</v>
      </c>
      <c r="P49" s="1"/>
      <c r="W49" s="11"/>
      <c r="AD49" s="1"/>
      <c r="AE49" s="6"/>
      <c r="AF49" s="8"/>
      <c r="AG49" s="8"/>
      <c r="AH49" s="8"/>
      <c r="AI49" s="8"/>
      <c r="AJ49" s="8"/>
      <c r="AK49" s="8"/>
      <c r="AL49" s="1"/>
      <c r="AW49" s="11"/>
      <c r="AX49" s="2">
        <f>(Table7[[#This Row],[Hybrid]]-Table7[[#This Row],[Octane]])/$B$245</f>
        <v>3.106043405198201E-5</v>
      </c>
      <c r="AY49" s="2">
        <f>(Table7[[#This Row],[Dominus]]-Table7[[#This Row],[Octane]])/$B$245</f>
        <v>6.2860592668344771E-5</v>
      </c>
      <c r="AZ49" s="2">
        <f>(Table7[[#This Row],[Plank]]-Table7[[#This Row],[Octane]])/$B$245</f>
        <v>-3.5308953296821395E-4</v>
      </c>
      <c r="BA49" s="2">
        <f>(Table7[[#This Row],[Batmobile]]-Table7[[#This Row],[Octane]])/$B$245</f>
        <v>-3.5308953296821395E-4</v>
      </c>
      <c r="BB49" s="2">
        <f>(Table7[[#This Row],[Breakout]]-Table7[[#This Row],[Octane]])/$B$245</f>
        <v>-1.0088272370520397E-4</v>
      </c>
      <c r="BC49" s="2"/>
    </row>
    <row r="50" spans="1:55">
      <c r="A50" s="1"/>
      <c r="B50" s="13">
        <f>Octane[[#This Row],[angvel_total]]</f>
        <v>6.9999999999999999E-4</v>
      </c>
      <c r="C50" s="13">
        <f>Hybrid[[#This Row],[angvel_total]]</f>
        <v>7.6157731058639085E-4</v>
      </c>
      <c r="D50" s="13">
        <f>Dominus[[#This Row],[angvel_total]]</f>
        <v>8.2462112512353219E-4</v>
      </c>
      <c r="E50" s="13">
        <f>Plank[[#This Row],[angvel_total]]</f>
        <v>0</v>
      </c>
      <c r="F50" s="13">
        <f>Batmobile[[#This Row],[angvel_total]]</f>
        <v>0</v>
      </c>
      <c r="G50" s="13">
        <f>Breakout[[#This Row],[angvel_total]]</f>
        <v>5.0000000000000001E-4</v>
      </c>
      <c r="I50" s="2">
        <f>Table7[[#This Row],[Hybrid]]/Table7[[#This Row],[Octane]] - 1</f>
        <v>8.7967586551986887E-2</v>
      </c>
      <c r="J50" s="2">
        <f>Table7[[#This Row],[Dominus]]/Table7[[#This Row],[Octane]] - 1</f>
        <v>0.17803017874790306</v>
      </c>
      <c r="K50" s="2">
        <f>Table7[[#This Row],[Plank]]/Table7[[#This Row],[Octane]] - 1</f>
        <v>-1</v>
      </c>
      <c r="L50" s="2">
        <f>Table7[[#This Row],[Batmobile]]/Table7[[#This Row],[Octane]] - 1</f>
        <v>-1</v>
      </c>
      <c r="M50" s="2">
        <f>Table7[[#This Row],[Breakout]]/Table7[[#This Row],[Octane]] - 1</f>
        <v>-0.2857142857142857</v>
      </c>
      <c r="N50" s="2" t="e">
        <f>Table7[[#This Row],[Breakout]]/Table7[[#This Row],[Plank]] - 1</f>
        <v>#DIV/0!</v>
      </c>
      <c r="P50" s="1"/>
      <c r="W50" s="11"/>
      <c r="AD50" s="1"/>
      <c r="AE50" s="6"/>
      <c r="AF50" s="8"/>
      <c r="AG50" s="8"/>
      <c r="AH50" s="8"/>
      <c r="AI50" s="8"/>
      <c r="AJ50" s="8"/>
      <c r="AK50" s="8"/>
      <c r="AL50" s="1"/>
      <c r="AW50" s="11"/>
      <c r="AX50" s="2">
        <f>(Table7[[#This Row],[Hybrid]]-Table7[[#This Row],[Octane]])/$B$245</f>
        <v>3.106043405198201E-5</v>
      </c>
      <c r="AY50" s="2">
        <f>(Table7[[#This Row],[Dominus]]-Table7[[#This Row],[Octane]])/$B$245</f>
        <v>6.2860592668344771E-5</v>
      </c>
      <c r="AZ50" s="2">
        <f>(Table7[[#This Row],[Plank]]-Table7[[#This Row],[Octane]])/$B$245</f>
        <v>-3.5308953296821395E-4</v>
      </c>
      <c r="BA50" s="2">
        <f>(Table7[[#This Row],[Batmobile]]-Table7[[#This Row],[Octane]])/$B$245</f>
        <v>-3.5308953296821395E-4</v>
      </c>
      <c r="BB50" s="2">
        <f>(Table7[[#This Row],[Breakout]]-Table7[[#This Row],[Octane]])/$B$245</f>
        <v>-1.0088272370520397E-4</v>
      </c>
      <c r="BC50" s="2"/>
    </row>
    <row r="51" spans="1:55">
      <c r="A51" s="1"/>
      <c r="B51" s="13">
        <f>Octane[[#This Row],[angvel_total]]</f>
        <v>6.9999999999999999E-4</v>
      </c>
      <c r="C51" s="13">
        <f>Hybrid[[#This Row],[angvel_total]]</f>
        <v>7.6157731058639085E-4</v>
      </c>
      <c r="D51" s="13">
        <f>Dominus[[#This Row],[angvel_total]]</f>
        <v>8.2462112512353219E-4</v>
      </c>
      <c r="E51" s="13">
        <f>Plank[[#This Row],[angvel_total]]</f>
        <v>0</v>
      </c>
      <c r="F51" s="13">
        <f>Batmobile[[#This Row],[angvel_total]]</f>
        <v>0</v>
      </c>
      <c r="G51" s="13">
        <f>Breakout[[#This Row],[angvel_total]]</f>
        <v>5.0000000000000001E-4</v>
      </c>
      <c r="I51" s="2">
        <f>Table7[[#This Row],[Hybrid]]/Table7[[#This Row],[Octane]] - 1</f>
        <v>8.7967586551986887E-2</v>
      </c>
      <c r="J51" s="2">
        <f>Table7[[#This Row],[Dominus]]/Table7[[#This Row],[Octane]] - 1</f>
        <v>0.17803017874790306</v>
      </c>
      <c r="K51" s="2">
        <f>Table7[[#This Row],[Plank]]/Table7[[#This Row],[Octane]] - 1</f>
        <v>-1</v>
      </c>
      <c r="L51" s="2">
        <f>Table7[[#This Row],[Batmobile]]/Table7[[#This Row],[Octane]] - 1</f>
        <v>-1</v>
      </c>
      <c r="M51" s="2">
        <f>Table7[[#This Row],[Breakout]]/Table7[[#This Row],[Octane]] - 1</f>
        <v>-0.2857142857142857</v>
      </c>
      <c r="N51" s="2" t="e">
        <f>Table7[[#This Row],[Breakout]]/Table7[[#This Row],[Plank]] - 1</f>
        <v>#DIV/0!</v>
      </c>
      <c r="P51" s="1"/>
      <c r="W51" s="11"/>
      <c r="AD51" s="1"/>
      <c r="AE51" s="6"/>
      <c r="AF51" s="8"/>
      <c r="AG51" s="8"/>
      <c r="AH51" s="8"/>
      <c r="AI51" s="8"/>
      <c r="AJ51" s="8"/>
      <c r="AK51" s="8"/>
      <c r="AL51" s="1"/>
      <c r="AW51" s="11"/>
      <c r="AX51" s="2">
        <f>(Table7[[#This Row],[Hybrid]]-Table7[[#This Row],[Octane]])/$B$245</f>
        <v>3.106043405198201E-5</v>
      </c>
      <c r="AY51" s="2">
        <f>(Table7[[#This Row],[Dominus]]-Table7[[#This Row],[Octane]])/$B$245</f>
        <v>6.2860592668344771E-5</v>
      </c>
      <c r="AZ51" s="2">
        <f>(Table7[[#This Row],[Plank]]-Table7[[#This Row],[Octane]])/$B$245</f>
        <v>-3.5308953296821395E-4</v>
      </c>
      <c r="BA51" s="2">
        <f>(Table7[[#This Row],[Batmobile]]-Table7[[#This Row],[Octane]])/$B$245</f>
        <v>-3.5308953296821395E-4</v>
      </c>
      <c r="BB51" s="2">
        <f>(Table7[[#This Row],[Breakout]]-Table7[[#This Row],[Octane]])/$B$245</f>
        <v>-1.0088272370520397E-4</v>
      </c>
      <c r="BC51" s="2"/>
    </row>
    <row r="52" spans="1:55">
      <c r="A52" s="1">
        <v>0</v>
      </c>
      <c r="B52" s="13">
        <f>Octane[[#This Row],[angvel_total]]</f>
        <v>6.9999999999999999E-4</v>
      </c>
      <c r="C52" s="13">
        <f>Hybrid[[#This Row],[angvel_total]]</f>
        <v>7.6157731058639085E-4</v>
      </c>
      <c r="D52" s="13">
        <f>Dominus[[#This Row],[angvel_total]]</f>
        <v>8.2462112512353219E-4</v>
      </c>
      <c r="E52" s="13">
        <f>Plank[[#This Row],[angvel_total]]</f>
        <v>0</v>
      </c>
      <c r="F52" s="13">
        <f>Batmobile[[#This Row],[angvel_total]]</f>
        <v>0</v>
      </c>
      <c r="G52" s="13">
        <f>Breakout[[#This Row],[angvel_total]]</f>
        <v>5.0000000000000001E-4</v>
      </c>
      <c r="I52" s="2">
        <f>Table7[[#This Row],[Hybrid]]/Table7[[#This Row],[Octane]] - 1</f>
        <v>8.7967586551986887E-2</v>
      </c>
      <c r="J52" s="2">
        <f>Table7[[#This Row],[Dominus]]/Table7[[#This Row],[Octane]] - 1</f>
        <v>0.17803017874790306</v>
      </c>
      <c r="K52" s="2">
        <f>Table7[[#This Row],[Plank]]/Table7[[#This Row],[Octane]] - 1</f>
        <v>-1</v>
      </c>
      <c r="L52" s="2">
        <f>Table7[[#This Row],[Batmobile]]/Table7[[#This Row],[Octane]] - 1</f>
        <v>-1</v>
      </c>
      <c r="M52" s="2">
        <f>Table7[[#This Row],[Breakout]]/Table7[[#This Row],[Octane]] - 1</f>
        <v>-0.2857142857142857</v>
      </c>
      <c r="N52" s="2" t="e">
        <f>Table7[[#This Row],[Breakout]]/Table7[[#This Row],[Plank]] - 1</f>
        <v>#DIV/0!</v>
      </c>
      <c r="P52" s="6">
        <v>0</v>
      </c>
      <c r="W52" s="11"/>
      <c r="Y52" t="s">
        <v>57</v>
      </c>
      <c r="Z52" t="s">
        <v>58</v>
      </c>
      <c r="AA52">
        <v>0</v>
      </c>
      <c r="AD52" s="6">
        <v>0</v>
      </c>
      <c r="AE52">
        <f>(1-_xlfn.NORM.DIST(1,$AB$44,$AB$46,TRUE))</f>
        <v>0.83314465212821698</v>
      </c>
      <c r="AF52" s="8"/>
      <c r="AG52" s="8"/>
      <c r="AH52" s="8"/>
      <c r="AI52" s="8"/>
      <c r="AJ52" s="8"/>
      <c r="AK52" s="8"/>
      <c r="AL52" s="1"/>
      <c r="AW52" s="11">
        <v>0</v>
      </c>
      <c r="AX52" s="2">
        <f>(Table7[[#This Row],[Hybrid]]-Table7[[#This Row],[Octane]])/$B$245</f>
        <v>3.106043405198201E-5</v>
      </c>
      <c r="AY52" s="2">
        <f>(Table7[[#This Row],[Dominus]]-Table7[[#This Row],[Octane]])/$B$245</f>
        <v>6.2860592668344771E-5</v>
      </c>
      <c r="AZ52" s="2">
        <f>(Table7[[#This Row],[Plank]]-Table7[[#This Row],[Octane]])/$B$245</f>
        <v>-3.5308953296821395E-4</v>
      </c>
      <c r="BA52" s="2">
        <f>(Table7[[#This Row],[Batmobile]]-Table7[[#This Row],[Octane]])/$B$245</f>
        <v>-3.5308953296821395E-4</v>
      </c>
      <c r="BB52" s="2">
        <f>(Table7[[#This Row],[Breakout]]-Table7[[#This Row],[Octane]])/$B$245</f>
        <v>-1.0088272370520397E-4</v>
      </c>
      <c r="BC52" s="2"/>
    </row>
    <row r="53" spans="1:55">
      <c r="A53" s="1">
        <v>8.3333333333333297E-3</v>
      </c>
      <c r="B53" s="13">
        <f>Octane[[#This Row],[angvel_total]]</f>
        <v>0.2894167583261204</v>
      </c>
      <c r="C53" s="13">
        <f>Hybrid[[#This Row],[angvel_total]]</f>
        <v>0.27551388349772871</v>
      </c>
      <c r="D53" s="13">
        <f>Dominus[[#This Row],[angvel_total]]</f>
        <v>0.27304267065790289</v>
      </c>
      <c r="E53" s="13">
        <f>Plank[[#This Row],[angvel_total]]</f>
        <v>0.26110446185387182</v>
      </c>
      <c r="F53" s="13">
        <f>Batmobile[[#This Row],[angvel_total]]</f>
        <v>0.26100398464391306</v>
      </c>
      <c r="G53" s="13">
        <f>Breakout[[#This Row],[angvel_total]]</f>
        <v>0.26293715979298177</v>
      </c>
      <c r="I53" s="2">
        <f>Table7[[#This Row],[Hybrid]]/Table7[[#This Row],[Octane]] - 1</f>
        <v>-4.8037559776430316E-2</v>
      </c>
      <c r="J53" s="2">
        <f>Table7[[#This Row],[Dominus]]/Table7[[#This Row],[Octane]] - 1</f>
        <v>-5.65761560004997E-2</v>
      </c>
      <c r="K53" s="2">
        <f>Table7[[#This Row],[Plank]]/Table7[[#This Row],[Octane]] - 1</f>
        <v>-9.7825352740444127E-2</v>
      </c>
      <c r="L53" s="2">
        <f>Table7[[#This Row],[Batmobile]]/Table7[[#This Row],[Octane]] - 1</f>
        <v>-9.8172524101701408E-2</v>
      </c>
      <c r="M53" s="2">
        <f>Table7[[#This Row],[Breakout]]/Table7[[#This Row],[Octane]] - 1</f>
        <v>-9.1492969122751733E-2</v>
      </c>
      <c r="N53" s="2">
        <f>Table7[[#This Row],[Breakout]]/Table7[[#This Row],[Plank]] - 1</f>
        <v>7.0190219121404329E-3</v>
      </c>
      <c r="P53" s="6">
        <v>1</v>
      </c>
      <c r="Q53" s="14">
        <f>(1-$Y$4)*Q54+$Y$4*Table7[[#This Row],[Octane]]</f>
        <v>0.97185139991654934</v>
      </c>
      <c r="R53" s="14">
        <f>(1-$Y$4)*R54+$Y$4*Table7[[#This Row],[Hybrid]]</f>
        <v>0.94856998590090724</v>
      </c>
      <c r="S53" s="14">
        <f>(1-$Y$4)*S54+$Y$4*Table7[[#This Row],[Dominus]]</f>
        <v>0.94462621810033731</v>
      </c>
      <c r="T53" s="14">
        <f>(1-$Y$4)*T54+$Y$4*Table7[[#This Row],[Plank]]</f>
        <v>0.91922890123761125</v>
      </c>
      <c r="U53" s="14">
        <f>(1-$Y$4)*U54+$Y$4*Table7[[#This Row],[Batmobile]]</f>
        <v>0.91544699257590867</v>
      </c>
      <c r="V53" s="14">
        <f>(1-$Y$4)*V54+$Y$4*Table7[[#This Row],[Breakout]]</f>
        <v>0.91876205499373464</v>
      </c>
      <c r="W53" s="11">
        <f>POWER((1-$Y$4),Table714[[#This Row],[X]]-1)*$Y$4</f>
        <v>0.16</v>
      </c>
      <c r="Y53">
        <f>Table714[[#This Row],[X]]</f>
        <v>1</v>
      </c>
      <c r="Z53" s="2">
        <f>Table714[[#This Row],[Column1]]</f>
        <v>0.16</v>
      </c>
      <c r="AA53">
        <v>8.3333333333333297E-3</v>
      </c>
      <c r="AD53" s="6">
        <v>1</v>
      </c>
      <c r="AE53" s="11">
        <f>(1-_xlfn.NORM.DIST(Table14[[#This Row],[X]],$AB$44,$AB$46,TRUE))/$AE$52</f>
        <v>1</v>
      </c>
      <c r="AF53" s="8">
        <f>Table14[[#This Row],[Column1]]*Table7[[#This Row],[Octane]]</f>
        <v>0.2894167583261204</v>
      </c>
      <c r="AG53" s="8">
        <f>Table14[[#This Row],[Column1]]*Table7[[#This Row],[Hybrid]]</f>
        <v>0.27551388349772871</v>
      </c>
      <c r="AH53" s="8">
        <f>Table14[[#This Row],[Column1]]*Table7[[#This Row],[Dominus]]</f>
        <v>0.27304267065790289</v>
      </c>
      <c r="AI53" s="8">
        <f>Table14[[#This Row],[Column1]]*Table7[[#This Row],[Plank]]</f>
        <v>0.26110446185387182</v>
      </c>
      <c r="AJ53" s="8">
        <f>Table14[[#This Row],[Column1]]*Table7[[#This Row],[Batmobile]]</f>
        <v>0.26100398464391306</v>
      </c>
      <c r="AK53" s="8">
        <f>Table14[[#This Row],[Column1]]*Table7[[#This Row],[Breakout]]</f>
        <v>0.26293715979298177</v>
      </c>
      <c r="AL53" s="3">
        <f>Table14[[#This Row],[Column1]]-AE54</f>
        <v>1.0164617823344324E-2</v>
      </c>
      <c r="AW53" s="11">
        <v>0</v>
      </c>
      <c r="AX53" s="2">
        <f>(Table7[[#This Row],[Hybrid]]-Table7[[#This Row],[Octane]])/$B$245</f>
        <v>-7.012799400103375E-3</v>
      </c>
      <c r="AY53" s="2">
        <f>(Table7[[#This Row],[Dominus]]-Table7[[#This Row],[Octane]])/$B$245</f>
        <v>-8.2593128107878791E-3</v>
      </c>
      <c r="AZ53" s="2">
        <f>(Table7[[#This Row],[Plank]]-Table7[[#This Row],[Octane]])/$B$245</f>
        <v>-1.4281107912348379E-2</v>
      </c>
      <c r="BA53" s="2">
        <f>(Table7[[#This Row],[Batmobile]]-Table7[[#This Row],[Octane]])/$B$245</f>
        <v>-1.4331789985403076E-2</v>
      </c>
      <c r="BB53" s="2">
        <f>(Table7[[#This Row],[Breakout]]-Table7[[#This Row],[Octane]])/$B$245</f>
        <v>-1.335667011321675E-2</v>
      </c>
      <c r="BC53" s="2"/>
    </row>
    <row r="54" spans="1:55">
      <c r="A54" s="1">
        <v>1.6666666666666701E-2</v>
      </c>
      <c r="B54" s="13">
        <f>Octane[[#This Row],[angvel_total]]</f>
        <v>0.52081996889520277</v>
      </c>
      <c r="C54" s="13">
        <f>Hybrid[[#This Row],[angvel_total]]</f>
        <v>0.49781632154842015</v>
      </c>
      <c r="D54" s="13">
        <f>Dominus[[#This Row],[angvel_total]]</f>
        <v>0.49364656384907613</v>
      </c>
      <c r="E54" s="13">
        <f>Plank[[#This Row],[angvel_total]]</f>
        <v>0.47380643727159305</v>
      </c>
      <c r="F54" s="13">
        <f>Batmobile[[#This Row],[angvel_total]]</f>
        <v>0.47340533372576188</v>
      </c>
      <c r="G54" s="13">
        <f>Breakout[[#This Row],[angvel_total]]</f>
        <v>0.47604169985411987</v>
      </c>
      <c r="I54" s="2">
        <f>Table7[[#This Row],[Hybrid]]/Table7[[#This Row],[Octane]] - 1</f>
        <v>-4.4168136247885181E-2</v>
      </c>
      <c r="J54" s="2">
        <f>Table7[[#This Row],[Dominus]]/Table7[[#This Row],[Octane]] - 1</f>
        <v>-5.217427646595163E-2</v>
      </c>
      <c r="K54" s="2">
        <f>Table7[[#This Row],[Plank]]/Table7[[#This Row],[Octane]] - 1</f>
        <v>-9.0268296976665274E-2</v>
      </c>
      <c r="L54" s="2">
        <f>Table7[[#This Row],[Batmobile]]/Table7[[#This Row],[Octane]] - 1</f>
        <v>-9.1038435546202057E-2</v>
      </c>
      <c r="M54" s="2">
        <f>Table7[[#This Row],[Breakout]]/Table7[[#This Row],[Octane]] - 1</f>
        <v>-8.5976482691455747E-2</v>
      </c>
      <c r="N54" s="2">
        <f>Table7[[#This Row],[Breakout]]/Table7[[#This Row],[Plank]] - 1</f>
        <v>4.7176703537388232E-3</v>
      </c>
      <c r="P54" s="6">
        <v>2</v>
      </c>
      <c r="Q54" s="4">
        <f>(1-$Y$4)*Q55+$Y$4*Table7[[#This Row],[Octane]]</f>
        <v>1.1018389506956787</v>
      </c>
      <c r="R54" s="4">
        <f>(1-$Y$4)*R55+$Y$4*Table7[[#This Row],[Hybrid]]</f>
        <v>1.0767711482634175</v>
      </c>
      <c r="S54" s="4">
        <f>(1-$Y$4)*S55+$Y$4*Table7[[#This Row],[Dominus]]</f>
        <v>1.0725468938036582</v>
      </c>
      <c r="T54" s="4">
        <f>(1-$Y$4)*T55+$Y$4*Table7[[#This Row],[Plank]]</f>
        <v>1.0445859373107045</v>
      </c>
      <c r="U54" s="4">
        <f>(1-$Y$4)*U55+$Y$4*Table7[[#This Row],[Batmobile]]</f>
        <v>1.0401028036105746</v>
      </c>
      <c r="V54" s="4">
        <f>(1-$Y$4)*V55+$Y$4*Table7[[#This Row],[Breakout]]</f>
        <v>1.043681082651021</v>
      </c>
      <c r="W54" s="11">
        <f>POWER((1-$Y$4),Table714[[#This Row],[X]]-1)*$Y$4</f>
        <v>0.13439999999999999</v>
      </c>
      <c r="Y54">
        <f>Table714[[#This Row],[X]]</f>
        <v>2</v>
      </c>
      <c r="Z54" s="2">
        <f>Table714[[#This Row],[Column1]]</f>
        <v>0.13439999999999999</v>
      </c>
      <c r="AA54">
        <v>1.6666666666666701E-2</v>
      </c>
      <c r="AD54" s="6">
        <v>2</v>
      </c>
      <c r="AE54" s="11">
        <f>(1-_xlfn.NORM.DIST(Table14[[#This Row],[X]],$AB$44,$AB$46,TRUE))/$AE$52</f>
        <v>0.98983538217665568</v>
      </c>
      <c r="AF54" s="8">
        <f>Table14[[#This Row],[Column1]]*Table7[[#This Row],[Octane]]</f>
        <v>0.51552603295661692</v>
      </c>
      <c r="AG54" s="8">
        <f>Table14[[#This Row],[Column1]]*Table7[[#This Row],[Hybrid]]</f>
        <v>0.49275620889365734</v>
      </c>
      <c r="AH54" s="8">
        <f>Table14[[#This Row],[Column1]]*Table7[[#This Row],[Dominus]]</f>
        <v>0.48862883518774314</v>
      </c>
      <c r="AI54" s="8">
        <f>Table14[[#This Row],[Column1]]*Table7[[#This Row],[Plank]]</f>
        <v>0.46899037591448695</v>
      </c>
      <c r="AJ54" s="8">
        <f>Table14[[#This Row],[Column1]]*Table7[[#This Row],[Batmobile]]</f>
        <v>0.46859334943290676</v>
      </c>
      <c r="AK54" s="8">
        <f>Table14[[#This Row],[Column1]]*Table7[[#This Row],[Breakout]]</f>
        <v>0.47120291790712754</v>
      </c>
      <c r="AL54" s="3">
        <f>Table14[[#This Row],[Column1]]-AE55</f>
        <v>1.0485790759400482E-2</v>
      </c>
      <c r="AW54" s="11">
        <v>0</v>
      </c>
      <c r="AX54" s="2">
        <f>(Table7[[#This Row],[Hybrid]]-Table7[[#This Row],[Octane]])/$B$245</f>
        <v>-1.1603352997487099E-2</v>
      </c>
      <c r="AY54" s="2">
        <f>(Table7[[#This Row],[Dominus]]-Table7[[#This Row],[Octane]])/$B$245</f>
        <v>-1.370663556698995E-2</v>
      </c>
      <c r="AZ54" s="2">
        <f>(Table7[[#This Row],[Plank]]-Table7[[#This Row],[Octane]])/$B$245</f>
        <v>-2.3714265605952446E-2</v>
      </c>
      <c r="BA54" s="2">
        <f>(Table7[[#This Row],[Batmobile]]-Table7[[#This Row],[Octane]])/$B$245</f>
        <v>-2.3916587696908766E-2</v>
      </c>
      <c r="BB54" s="2">
        <f>(Table7[[#This Row],[Breakout]]-Table7[[#This Row],[Octane]])/$B$245</f>
        <v>-2.2586768718344277E-2</v>
      </c>
      <c r="BC54" s="2"/>
    </row>
    <row r="55" spans="1:55">
      <c r="A55" s="1">
        <v>2.5000000000000001E-2</v>
      </c>
      <c r="B55" s="13">
        <f>Octane[[#This Row],[angvel_total]]</f>
        <v>0.71651901579790622</v>
      </c>
      <c r="C55" s="13">
        <f>Hybrid[[#This Row],[angvel_total]]</f>
        <v>0.68761539395217153</v>
      </c>
      <c r="D55" s="13">
        <f>Dominus[[#This Row],[angvel_total]]</f>
        <v>0.68223906367196541</v>
      </c>
      <c r="E55" s="13">
        <f>Plank[[#This Row],[angvel_total]]</f>
        <v>0.65700670468420641</v>
      </c>
      <c r="F55" s="13">
        <f>Batmobile[[#This Row],[angvel_total]]</f>
        <v>0.65620574517448416</v>
      </c>
      <c r="G55" s="13">
        <f>Breakout[[#This Row],[angvel_total]]</f>
        <v>0.65893449598575426</v>
      </c>
      <c r="I55" s="2">
        <f>Table7[[#This Row],[Hybrid]]/Table7[[#This Row],[Octane]] - 1</f>
        <v>-4.0338945943462545E-2</v>
      </c>
      <c r="J55" s="2">
        <f>Table7[[#This Row],[Dominus]]/Table7[[#This Row],[Octane]] - 1</f>
        <v>-4.7842348032825166E-2</v>
      </c>
      <c r="K55" s="2">
        <f>Table7[[#This Row],[Plank]]/Table7[[#This Row],[Octane]] - 1</f>
        <v>-8.3057545998870164E-2</v>
      </c>
      <c r="L55" s="2">
        <f>Table7[[#This Row],[Batmobile]]/Table7[[#This Row],[Octane]] - 1</f>
        <v>-8.4175394223498734E-2</v>
      </c>
      <c r="M55" s="2">
        <f>Table7[[#This Row],[Breakout]]/Table7[[#This Row],[Octane]] - 1</f>
        <v>-8.0367050339936297E-2</v>
      </c>
      <c r="N55" s="2">
        <f>Table7[[#This Row],[Breakout]]/Table7[[#This Row],[Plank]] - 1</f>
        <v>2.9342033921471167E-3</v>
      </c>
      <c r="P55" s="6">
        <v>3</v>
      </c>
      <c r="Q55" s="4">
        <f>(1-$Y$4)*Q56+$Y$4*Table7[[#This Row],[Octane]]</f>
        <v>1.2125092329433884</v>
      </c>
      <c r="R55" s="4">
        <f>(1-$Y$4)*R56+$Y$4*Table7[[#This Row],[Hybrid]]</f>
        <v>1.1870482581138933</v>
      </c>
      <c r="S55" s="4">
        <f>(1-$Y$4)*S56+$Y$4*Table7[[#This Row],[Dominus]]</f>
        <v>1.1828136233188169</v>
      </c>
      <c r="T55" s="4">
        <f>(1-$Y$4)*T56+$Y$4*Table7[[#This Row],[Plank]]</f>
        <v>1.153305842080059</v>
      </c>
      <c r="U55" s="4">
        <f>(1-$Y$4)*U56+$Y$4*Table7[[#This Row],[Batmobile]]</f>
        <v>1.1480451788267296</v>
      </c>
      <c r="V55" s="4">
        <f>(1-$Y$4)*V56+$Y$4*Table7[[#This Row],[Breakout]]</f>
        <v>1.1518028698504308</v>
      </c>
      <c r="W55" s="11">
        <f>POWER((1-$Y$4),Table714[[#This Row],[X]]-1)*$Y$4</f>
        <v>0.11289599999999998</v>
      </c>
      <c r="Y55">
        <f>Table714[[#This Row],[X]]</f>
        <v>3</v>
      </c>
      <c r="Z55" s="2">
        <f>Table714[[#This Row],[Column1]]</f>
        <v>0.11289599999999998</v>
      </c>
      <c r="AA55">
        <v>2.5000000000000001E-2</v>
      </c>
      <c r="AD55" s="6">
        <v>3</v>
      </c>
      <c r="AE55" s="11">
        <f>(1-_xlfn.NORM.DIST(Table14[[#This Row],[X]],$AB$44,$AB$46,TRUE))/$AE$52</f>
        <v>0.97934959141725519</v>
      </c>
      <c r="AF55" s="8">
        <f>Table14[[#This Row],[Column1]]*Table7[[#This Row],[Octane]]</f>
        <v>0.70172260536437325</v>
      </c>
      <c r="AG55" s="8">
        <f>Table14[[#This Row],[Column1]]*Table7[[#This Row],[Hybrid]]</f>
        <v>0.67341585511927415</v>
      </c>
      <c r="AH55" s="8">
        <f>Table14[[#This Row],[Column1]]*Table7[[#This Row],[Dominus]]</f>
        <v>0.66815054825603004</v>
      </c>
      <c r="AI55" s="8">
        <f>Table14[[#This Row],[Column1]]*Table7[[#This Row],[Plank]]</f>
        <v>0.6434392477908748</v>
      </c>
      <c r="AJ55" s="8">
        <f>Table14[[#This Row],[Column1]]*Table7[[#This Row],[Batmobile]]</f>
        <v>0.64265482842228649</v>
      </c>
      <c r="AK55" s="8">
        <f>Table14[[#This Row],[Column1]]*Table7[[#This Row],[Breakout]]</f>
        <v>0.64532722941438347</v>
      </c>
      <c r="AL55" s="3">
        <f>Table14[[#This Row],[Column1]]-AE56</f>
        <v>1.0805100617463981E-2</v>
      </c>
      <c r="AW55" s="11">
        <v>0</v>
      </c>
      <c r="AX55" s="2">
        <f>(Table7[[#This Row],[Hybrid]]-Table7[[#This Row],[Octane]])/$B$245</f>
        <v>-1.4579380483714757E-2</v>
      </c>
      <c r="AY55" s="2">
        <f>(Table7[[#This Row],[Dominus]]-Table7[[#This Row],[Octane]])/$B$245</f>
        <v>-1.7291274694744539E-2</v>
      </c>
      <c r="AZ55" s="2">
        <f>(Table7[[#This Row],[Plank]]-Table7[[#This Row],[Octane]])/$B$245</f>
        <v>-3.0018820195707594E-2</v>
      </c>
      <c r="BA55" s="2">
        <f>(Table7[[#This Row],[Batmobile]]-Table7[[#This Row],[Octane]])/$B$245</f>
        <v>-3.0422835080299422E-2</v>
      </c>
      <c r="BB55" s="2">
        <f>(Table7[[#This Row],[Breakout]]-Table7[[#This Row],[Octane]])/$B$245</f>
        <v>-2.9046416009530854E-2</v>
      </c>
      <c r="BC55" s="2"/>
    </row>
    <row r="56" spans="1:55">
      <c r="A56" s="1">
        <v>3.3333333333333298E-2</v>
      </c>
      <c r="B56" s="13">
        <f>Octane[[#This Row],[angvel_total]]</f>
        <v>0.8822154442084994</v>
      </c>
      <c r="C56" s="13">
        <f>Hybrid[[#This Row],[angvel_total]]</f>
        <v>0.84981245578068576</v>
      </c>
      <c r="D56" s="13">
        <f>Dominus[[#This Row],[angvel_total]]</f>
        <v>0.84382788529415165</v>
      </c>
      <c r="E56" s="13">
        <f>Plank[[#This Row],[angvel_total]]</f>
        <v>0.81500624537484367</v>
      </c>
      <c r="F56" s="13">
        <f>Batmobile[[#This Row],[angvel_total]]</f>
        <v>0.81360511306161298</v>
      </c>
      <c r="G56" s="13">
        <f>Breakout[[#This Row],[angvel_total]]</f>
        <v>0.81612450643268897</v>
      </c>
      <c r="I56" s="2">
        <f>Table7[[#This Row],[Hybrid]]/Table7[[#This Row],[Octane]] - 1</f>
        <v>-3.6729110378343921E-2</v>
      </c>
      <c r="J56" s="2">
        <f>Table7[[#This Row],[Dominus]]/Table7[[#This Row],[Octane]] - 1</f>
        <v>-4.3512680679477445E-2</v>
      </c>
      <c r="K56" s="2">
        <f>Table7[[#This Row],[Plank]]/Table7[[#This Row],[Octane]] - 1</f>
        <v>-7.6182296824279794E-2</v>
      </c>
      <c r="L56" s="2">
        <f>Table7[[#This Row],[Batmobile]]/Table7[[#This Row],[Octane]] - 1</f>
        <v>-7.7770494267918711E-2</v>
      </c>
      <c r="M56" s="2">
        <f>Table7[[#This Row],[Breakout]]/Table7[[#This Row],[Octane]] - 1</f>
        <v>-7.491473676830207E-2</v>
      </c>
      <c r="N56" s="2">
        <f>Table7[[#This Row],[Breakout]]/Table7[[#This Row],[Plank]] - 1</f>
        <v>1.3720889431110272E-3</v>
      </c>
      <c r="P56" s="6">
        <v>4</v>
      </c>
      <c r="Q56" s="4">
        <f>(1-$Y$4)*Q57+$Y$4*Table7[[#This Row],[Octane]]</f>
        <v>1.3069835600187183</v>
      </c>
      <c r="R56" s="4">
        <f>(1-$Y$4)*R57+$Y$4*Table7[[#This Row],[Hybrid]]</f>
        <v>1.2821783274780307</v>
      </c>
      <c r="S56" s="4">
        <f>(1-$Y$4)*S57+$Y$4*Table7[[#This Row],[Dominus]]</f>
        <v>1.2781611584896457</v>
      </c>
      <c r="T56" s="4">
        <f>(1-$Y$4)*T57+$Y$4*Table7[[#This Row],[Plank]]</f>
        <v>1.2478390111078408</v>
      </c>
      <c r="U56" s="4">
        <f>(1-$Y$4)*U57+$Y$4*Table7[[#This Row],[Batmobile]]</f>
        <v>1.2417288804747764</v>
      </c>
      <c r="V56" s="4">
        <f>(1-$Y$4)*V57+$Y$4*Table7[[#This Row],[Breakout]]</f>
        <v>1.2456825601103694</v>
      </c>
      <c r="W56" s="11">
        <f>POWER((1-$Y$4),Table714[[#This Row],[X]]-1)*$Y$4</f>
        <v>9.4832639999999982E-2</v>
      </c>
      <c r="Y56">
        <f>Table714[[#This Row],[X]]</f>
        <v>4</v>
      </c>
      <c r="Z56" s="2">
        <f>Table714[[#This Row],[Column1]]</f>
        <v>9.4832639999999982E-2</v>
      </c>
      <c r="AA56">
        <v>3.3333333333333298E-2</v>
      </c>
      <c r="AD56" s="6">
        <v>4</v>
      </c>
      <c r="AE56" s="11">
        <f>(1-_xlfn.NORM.DIST(Table14[[#This Row],[X]],$AB$44,$AB$46,TRUE))/$AE$52</f>
        <v>0.96854449079979121</v>
      </c>
      <c r="AF56" s="8">
        <f>Table14[[#This Row],[Column1]]*Table7[[#This Row],[Octane]]</f>
        <v>0.85446490818663268</v>
      </c>
      <c r="AG56" s="8">
        <f>Table14[[#This Row],[Column1]]*Table7[[#This Row],[Hybrid]]</f>
        <v>0.82308117225942434</v>
      </c>
      <c r="AH56" s="8">
        <f>Table14[[#This Row],[Column1]]*Table7[[#This Row],[Dominus]]</f>
        <v>0.81728484948488878</v>
      </c>
      <c r="AI56" s="8">
        <f>Table14[[#This Row],[Column1]]*Table7[[#This Row],[Plank]]</f>
        <v>0.78936980892522768</v>
      </c>
      <c r="AJ56" s="8">
        <f>Table14[[#This Row],[Column1]]*Table7[[#This Row],[Batmobile]]</f>
        <v>0.78801274994236647</v>
      </c>
      <c r="AK56" s="8">
        <f>Table14[[#This Row],[Column1]]*Table7[[#This Row],[Breakout]]</f>
        <v>0.79045289451207967</v>
      </c>
      <c r="AL56" s="3">
        <f>Table14[[#This Row],[Column1]]-AE57</f>
        <v>1.1121770749012883E-2</v>
      </c>
      <c r="AW56" s="11">
        <v>0</v>
      </c>
      <c r="AX56" s="2">
        <f>(Table7[[#This Row],[Hybrid]]-Table7[[#This Row],[Octane]])/$B$245</f>
        <v>-1.6344508643930229E-2</v>
      </c>
      <c r="AY56" s="2">
        <f>(Table7[[#This Row],[Dominus]]-Table7[[#This Row],[Octane]])/$B$245</f>
        <v>-1.9363207498366924E-2</v>
      </c>
      <c r="AZ56" s="2">
        <f>(Table7[[#This Row],[Plank]]-Table7[[#This Row],[Octane]])/$B$245</f>
        <v>-3.3901235181919044E-2</v>
      </c>
      <c r="BA56" s="2">
        <f>(Table7[[#This Row],[Batmobile]]-Table7[[#This Row],[Octane]])/$B$245</f>
        <v>-3.4607985402069469E-2</v>
      </c>
      <c r="BB56" s="2">
        <f>(Table7[[#This Row],[Breakout]]-Table7[[#This Row],[Octane]])/$B$245</f>
        <v>-3.3337169075274564E-2</v>
      </c>
      <c r="BC56" s="2"/>
    </row>
    <row r="57" spans="1:55">
      <c r="A57" s="1">
        <v>4.1666666666666699E-2</v>
      </c>
      <c r="B57" s="13">
        <f>Octane[[#This Row],[angvel_total]]</f>
        <v>1.0227112691273132</v>
      </c>
      <c r="C57" s="13">
        <f>Hybrid[[#This Row],[angvel_total]]</f>
        <v>0.98880911201303157</v>
      </c>
      <c r="D57" s="13">
        <f>Dominus[[#This Row],[angvel_total]]</f>
        <v>0.98251747567155268</v>
      </c>
      <c r="E57" s="13">
        <f>Plank[[#This Row],[angvel_total]]</f>
        <v>0.95150507092710757</v>
      </c>
      <c r="F57" s="13">
        <f>Batmobile[[#This Row],[angvel_total]]</f>
        <v>0.9494039709207035</v>
      </c>
      <c r="G57" s="13">
        <f>Breakout[[#This Row],[angvel_total]]</f>
        <v>0.95161490110233138</v>
      </c>
      <c r="I57" s="2">
        <f>Table7[[#This Row],[Hybrid]]/Table7[[#This Row],[Octane]] - 1</f>
        <v>-3.3149294564056797E-2</v>
      </c>
      <c r="J57" s="2">
        <f>Table7[[#This Row],[Dominus]]/Table7[[#This Row],[Octane]] - 1</f>
        <v>-3.930121302961509E-2</v>
      </c>
      <c r="K57" s="2">
        <f>Table7[[#This Row],[Plank]]/Table7[[#This Row],[Octane]] - 1</f>
        <v>-6.9624927728591857E-2</v>
      </c>
      <c r="L57" s="2">
        <f>Table7[[#This Row],[Batmobile]]/Table7[[#This Row],[Octane]] - 1</f>
        <v>-7.167936877156289E-2</v>
      </c>
      <c r="M57" s="2">
        <f>Table7[[#This Row],[Breakout]]/Table7[[#This Row],[Octane]] - 1</f>
        <v>-6.9517536543475145E-2</v>
      </c>
      <c r="N57" s="2">
        <f>Table7[[#This Row],[Breakout]]/Table7[[#This Row],[Plank]] - 1</f>
        <v>1.1542784014473284E-4</v>
      </c>
      <c r="P57" s="6">
        <v>5</v>
      </c>
      <c r="Q57" s="4">
        <f>(1-$Y$4)*Q58+$Y$4*Table7[[#This Row],[Octane]]</f>
        <v>1.3878917725539981</v>
      </c>
      <c r="R57" s="4">
        <f>(1-$Y$4)*R58+$Y$4*Table7[[#This Row],[Hybrid]]</f>
        <v>1.3645337316108586</v>
      </c>
      <c r="S57" s="4">
        <f>(1-$Y$4)*S58+$Y$4*Table7[[#This Row],[Dominus]]</f>
        <v>1.3608913057649781</v>
      </c>
      <c r="T57" s="4">
        <f>(1-$Y$4)*T58+$Y$4*Table7[[#This Row],[Plank]]</f>
        <v>1.3302833474379354</v>
      </c>
      <c r="U57" s="4">
        <f>(1-$Y$4)*U58+$Y$4*Table7[[#This Row],[Batmobile]]</f>
        <v>1.3232762647439504</v>
      </c>
      <c r="V57" s="4">
        <f>(1-$Y$4)*V58+$Y$4*Table7[[#This Row],[Breakout]]</f>
        <v>1.327503141763261</v>
      </c>
      <c r="W57" s="11">
        <f>POWER((1-$Y$4),Table714[[#This Row],[X]]-1)*$Y$4</f>
        <v>7.9659417599999977E-2</v>
      </c>
      <c r="Y57">
        <f>Table714[[#This Row],[X]]</f>
        <v>5</v>
      </c>
      <c r="Z57" s="2">
        <f>Table714[[#This Row],[Column1]]</f>
        <v>7.9659417599999977E-2</v>
      </c>
      <c r="AA57">
        <v>4.1666666666666699E-2</v>
      </c>
      <c r="AD57" s="6">
        <v>5</v>
      </c>
      <c r="AE57" s="11">
        <f>(1-_xlfn.NORM.DIST(Table14[[#This Row],[X]],$AB$44,$AB$46,TRUE))/$AE$52</f>
        <v>0.95742272005077833</v>
      </c>
      <c r="AF57" s="8">
        <f>Table14[[#This Row],[Column1]]*Table7[[#This Row],[Octane]]</f>
        <v>0.97916700511445587</v>
      </c>
      <c r="AG57" s="8">
        <f>Table14[[#This Row],[Column1]]*Table7[[#This Row],[Hybrid]]</f>
        <v>0.94670830963451147</v>
      </c>
      <c r="AH57" s="8">
        <f>Table14[[#This Row],[Column1]]*Table7[[#This Row],[Dominus]]</f>
        <v>0.94068455405488238</v>
      </c>
      <c r="AI57" s="8">
        <f>Table14[[#This Row],[Column1]]*Table7[[#This Row],[Plank]]</f>
        <v>0.91099257314914006</v>
      </c>
      <c r="AJ57" s="8">
        <f>Table14[[#This Row],[Column1]]*Table7[[#This Row],[Batmobile]]</f>
        <v>0.90898093226591004</v>
      </c>
      <c r="AK57" s="8">
        <f>Table14[[#This Row],[Column1]]*Table7[[#This Row],[Breakout]]</f>
        <v>0.91109772705424652</v>
      </c>
      <c r="AL57" s="3">
        <f>Table14[[#This Row],[Column1]]-AE58</f>
        <v>1.1435010229517095E-2</v>
      </c>
      <c r="AW57" s="11">
        <v>0</v>
      </c>
      <c r="AX57" s="2">
        <f>(Table7[[#This Row],[Hybrid]]-Table7[[#This Row],[Octane]])/$B$245</f>
        <v>-1.7100709745852476E-2</v>
      </c>
      <c r="AY57" s="2">
        <f>(Table7[[#This Row],[Dominus]]-Table7[[#This Row],[Octane]])/$B$245</f>
        <v>-2.0274296799307652E-2</v>
      </c>
      <c r="AZ57" s="2">
        <f>(Table7[[#This Row],[Plank]]-Table7[[#This Row],[Octane]])/$B$245</f>
        <v>-3.5917376095646721E-2</v>
      </c>
      <c r="BA57" s="2">
        <f>(Table7[[#This Row],[Batmobile]]-Table7[[#This Row],[Octane]])/$B$245</f>
        <v>-3.6977199552762033E-2</v>
      </c>
      <c r="BB57" s="2">
        <f>(Table7[[#This Row],[Breakout]]-Table7[[#This Row],[Octane]])/$B$245</f>
        <v>-3.5861976259538728E-2</v>
      </c>
      <c r="BC57" s="2"/>
    </row>
    <row r="58" spans="1:55">
      <c r="A58" s="1">
        <v>0.05</v>
      </c>
      <c r="B58" s="13">
        <f>Octane[[#This Row],[angvel_total]]</f>
        <v>1.1422075818344055</v>
      </c>
      <c r="C58" s="13">
        <f>Hybrid[[#This Row],[angvel_total]]</f>
        <v>1.1083058693339127</v>
      </c>
      <c r="D58" s="13">
        <f>Dominus[[#This Row],[angvel_total]]</f>
        <v>1.10200943734616</v>
      </c>
      <c r="E58" s="13">
        <f>Plank[[#This Row],[angvel_total]]</f>
        <v>1.069803888570237</v>
      </c>
      <c r="F58" s="13">
        <f>Batmobile[[#This Row],[angvel_total]]</f>
        <v>1.0669028587458185</v>
      </c>
      <c r="G58" s="13">
        <f>Breakout[[#This Row],[angvel_total]]</f>
        <v>1.0688076721281523</v>
      </c>
      <c r="I58" s="2">
        <f>Table7[[#This Row],[Hybrid]]/Table7[[#This Row],[Octane]] - 1</f>
        <v>-2.9680868031050966E-2</v>
      </c>
      <c r="J58" s="2">
        <f>Table7[[#This Row],[Dominus]]/Table7[[#This Row],[Octane]] - 1</f>
        <v>-3.5193379143646175E-2</v>
      </c>
      <c r="K58" s="2">
        <f>Table7[[#This Row],[Plank]]/Table7[[#This Row],[Octane]] - 1</f>
        <v>-6.3389259899577E-2</v>
      </c>
      <c r="L58" s="2">
        <f>Table7[[#This Row],[Batmobile]]/Table7[[#This Row],[Octane]] - 1</f>
        <v>-6.5929104557024831E-2</v>
      </c>
      <c r="M58" s="2">
        <f>Table7[[#This Row],[Breakout]]/Table7[[#This Row],[Octane]] - 1</f>
        <v>-6.4261445006670082E-2</v>
      </c>
      <c r="N58" s="2">
        <f>Table7[[#This Row],[Breakout]]/Table7[[#This Row],[Plank]] - 1</f>
        <v>-9.3121407832619241E-4</v>
      </c>
      <c r="P58" s="6">
        <v>6</v>
      </c>
      <c r="Q58" s="4">
        <f>(1-$Y$4)*Q59+$Y$4*Table7[[#This Row],[Octane]]</f>
        <v>1.4574499636828904</v>
      </c>
      <c r="R58" s="4">
        <f>(1-$Y$4)*R59+$Y$4*Table7[[#This Row],[Hybrid]]</f>
        <v>1.4361003258199685</v>
      </c>
      <c r="S58" s="4">
        <f>(1-$Y$4)*S59+$Y$4*Table7[[#This Row],[Dominus]]</f>
        <v>1.4329625114970592</v>
      </c>
      <c r="T58" s="4">
        <f>(1-$Y$4)*T59+$Y$4*Table7[[#This Row],[Plank]]</f>
        <v>1.4024315905828548</v>
      </c>
      <c r="U58" s="4">
        <f>(1-$Y$4)*U59+$Y$4*Table7[[#This Row],[Batmobile]]</f>
        <v>1.3944900349959974</v>
      </c>
      <c r="V58" s="4">
        <f>(1-$Y$4)*V59+$Y$4*Table7[[#This Row],[Breakout]]</f>
        <v>1.3991009018891525</v>
      </c>
      <c r="W58" s="11">
        <f>POWER((1-$Y$4),Table714[[#This Row],[X]]-1)*$Y$4</f>
        <v>6.6913910783999983E-2</v>
      </c>
      <c r="Y58">
        <f>Table714[[#This Row],[X]]</f>
        <v>6</v>
      </c>
      <c r="Z58" s="2">
        <f>Table714[[#This Row],[Column1]]</f>
        <v>6.6913910783999983E-2</v>
      </c>
      <c r="AA58">
        <v>0.05</v>
      </c>
      <c r="AD58" s="6">
        <v>6</v>
      </c>
      <c r="AE58" s="11">
        <f>(1-_xlfn.NORM.DIST(Table14[[#This Row],[X]],$AB$44,$AB$46,TRUE))/$AE$52</f>
        <v>0.94598770982126124</v>
      </c>
      <c r="AF58" s="8">
        <f>Table14[[#This Row],[Column1]]*Table7[[#This Row],[Octane]]</f>
        <v>1.0805143344800101</v>
      </c>
      <c r="AG58" s="8">
        <f>Table14[[#This Row],[Column1]]*Table7[[#This Row],[Hybrid]]</f>
        <v>1.0484437311126502</v>
      </c>
      <c r="AH58" s="8">
        <f>Table14[[#This Row],[Column1]]*Table7[[#This Row],[Dominus]]</f>
        <v>1.0424873838365105</v>
      </c>
      <c r="AI58" s="8">
        <f>Table14[[#This Row],[Column1]]*Table7[[#This Row],[Plank]]</f>
        <v>1.0120213305064383</v>
      </c>
      <c r="AJ58" s="8">
        <f>Table14[[#This Row],[Column1]]*Table7[[#This Row],[Batmobile]]</f>
        <v>1.0092769919467135</v>
      </c>
      <c r="AK58" s="8">
        <f>Table14[[#This Row],[Column1]]*Table7[[#This Row],[Breakout]]</f>
        <v>1.0110789219959042</v>
      </c>
      <c r="AL58" s="3">
        <f>Table14[[#This Row],[Column1]]-AE59</f>
        <v>1.1744017003366802E-2</v>
      </c>
      <c r="AW58" s="11">
        <v>0</v>
      </c>
      <c r="AX58" s="2">
        <f>(Table7[[#This Row],[Hybrid]]-Table7[[#This Row],[Octane]])/$B$245</f>
        <v>-1.7100485476602371E-2</v>
      </c>
      <c r="AY58" s="2">
        <f>(Table7[[#This Row],[Dominus]]-Table7[[#This Row],[Octane]])/$B$245</f>
        <v>-2.0276491519347722E-2</v>
      </c>
      <c r="AZ58" s="2">
        <f>(Table7[[#This Row],[Plank]]-Table7[[#This Row],[Octane]])/$B$245</f>
        <v>-3.6521408914027255E-2</v>
      </c>
      <c r="BA58" s="2">
        <f>(Table7[[#This Row],[Batmobile]]-Table7[[#This Row],[Octane]])/$B$245</f>
        <v>-3.7984727865214112E-2</v>
      </c>
      <c r="BB58" s="2">
        <f>(Table7[[#This Row],[Breakout]]-Table7[[#This Row],[Octane]])/$B$245</f>
        <v>-3.7023914054414311E-2</v>
      </c>
      <c r="BC58" s="2"/>
    </row>
    <row r="59" spans="1:55">
      <c r="A59" s="1">
        <v>5.83333333333333E-2</v>
      </c>
      <c r="B59" s="13">
        <f>Octane[[#This Row],[angvel_total]]</f>
        <v>1.2443043799649665</v>
      </c>
      <c r="C59" s="13">
        <f>Hybrid[[#This Row],[angvel_total]]</f>
        <v>1.2114034711853849</v>
      </c>
      <c r="D59" s="13">
        <f>Dominus[[#This Row],[angvel_total]]</f>
        <v>1.2053040487777347</v>
      </c>
      <c r="E59" s="13">
        <f>Plank[[#This Row],[angvel_total]]</f>
        <v>1.172602716183107</v>
      </c>
      <c r="F59" s="13">
        <f>Batmobile[[#This Row],[angvel_total]]</f>
        <v>1.1688019036603252</v>
      </c>
      <c r="G59" s="13">
        <f>Breakout[[#This Row],[angvel_total]]</f>
        <v>1.170503220841361</v>
      </c>
      <c r="I59" s="2">
        <f>Table7[[#This Row],[Hybrid]]/Table7[[#This Row],[Octane]] - 1</f>
        <v>-2.6441206275033657E-2</v>
      </c>
      <c r="J59" s="2">
        <f>Table7[[#This Row],[Dominus]]/Table7[[#This Row],[Octane]] - 1</f>
        <v>-3.1343079567340171E-2</v>
      </c>
      <c r="K59" s="2">
        <f>Table7[[#This Row],[Plank]]/Table7[[#This Row],[Octane]] - 1</f>
        <v>-5.7623894069936732E-2</v>
      </c>
      <c r="L59" s="2">
        <f>Table7[[#This Row],[Batmobile]]/Table7[[#This Row],[Octane]] - 1</f>
        <v>-6.0678462215785989E-2</v>
      </c>
      <c r="M59" s="2">
        <f>Table7[[#This Row],[Breakout]]/Table7[[#This Row],[Octane]] - 1</f>
        <v>-5.9311178447899793E-2</v>
      </c>
      <c r="N59" s="2">
        <f>Table7[[#This Row],[Breakout]]/Table7[[#This Row],[Plank]] - 1</f>
        <v>-1.7904575119694899E-3</v>
      </c>
      <c r="P59" s="6">
        <v>7</v>
      </c>
      <c r="Q59" s="4">
        <f>(1-$Y$4)*Q60+$Y$4*Table7[[#This Row],[Octane]]</f>
        <v>1.5174961316540303</v>
      </c>
      <c r="R59" s="4">
        <f>(1-$Y$4)*R60+$Y$4*Table7[[#This Row],[Hybrid]]</f>
        <v>1.4985373651506457</v>
      </c>
      <c r="S59" s="4">
        <f>(1-$Y$4)*S60+$Y$4*Table7[[#This Row],[Dominus]]</f>
        <v>1.4960011922877068</v>
      </c>
      <c r="T59" s="4">
        <f>(1-$Y$4)*T60+$Y$4*Table7[[#This Row],[Plank]]</f>
        <v>1.465789248109068</v>
      </c>
      <c r="U59" s="4">
        <f>(1-$Y$4)*U60+$Y$4*Table7[[#This Row],[Batmobile]]</f>
        <v>1.4568875923769837</v>
      </c>
      <c r="V59" s="4">
        <f>(1-$Y$4)*V60+$Y$4*Table7[[#This Row],[Breakout]]</f>
        <v>1.4620138980341049</v>
      </c>
      <c r="W59" s="11">
        <f>POWER((1-$Y$4),Table714[[#This Row],[X]]-1)*$Y$4</f>
        <v>5.6207685058559984E-2</v>
      </c>
      <c r="Y59">
        <f>Table714[[#This Row],[X]]</f>
        <v>7</v>
      </c>
      <c r="Z59" s="2">
        <f>Table714[[#This Row],[Column1]]</f>
        <v>5.6207685058559984E-2</v>
      </c>
      <c r="AA59">
        <v>5.83333333333333E-2</v>
      </c>
      <c r="AD59" s="6">
        <v>7</v>
      </c>
      <c r="AE59" s="11">
        <f>(1-_xlfn.NORM.DIST(Table14[[#This Row],[X]],$AB$44,$AB$46,TRUE))/$AE$52</f>
        <v>0.93424369281789443</v>
      </c>
      <c r="AF59" s="8">
        <f>Table14[[#This Row],[Column1]]*Table7[[#This Row],[Octane]]</f>
        <v>1.1624835189279508</v>
      </c>
      <c r="AG59" s="8">
        <f>Table14[[#This Row],[Column1]]*Table7[[#This Row],[Hybrid]]</f>
        <v>1.1317460524126497</v>
      </c>
      <c r="AH59" s="8">
        <f>Table14[[#This Row],[Column1]]*Table7[[#This Row],[Dominus]]</f>
        <v>1.1260477054984703</v>
      </c>
      <c r="AI59" s="8">
        <f>Table14[[#This Row],[Column1]]*Table7[[#This Row],[Plank]]</f>
        <v>1.0954966917751991</v>
      </c>
      <c r="AJ59" s="8">
        <f>Table14[[#This Row],[Column1]]*Table7[[#This Row],[Batmobile]]</f>
        <v>1.0919458066482071</v>
      </c>
      <c r="AK59" s="8">
        <f>Table14[[#This Row],[Column1]]*Table7[[#This Row],[Breakout]]</f>
        <v>1.0935352514940726</v>
      </c>
      <c r="AL59" s="3">
        <f>Table14[[#This Row],[Column1]]-AE60</f>
        <v>1.2047981181782741E-2</v>
      </c>
      <c r="AW59" s="11">
        <v>0</v>
      </c>
      <c r="AX59" s="2">
        <f>(Table7[[#This Row],[Hybrid]]-Table7[[#This Row],[Octane]])/$B$245</f>
        <v>-1.659566645030321E-2</v>
      </c>
      <c r="AY59" s="2">
        <f>(Table7[[#This Row],[Dominus]]-Table7[[#This Row],[Octane]])/$B$245</f>
        <v>-1.9672298177864773E-2</v>
      </c>
      <c r="AZ59" s="2">
        <f>(Table7[[#This Row],[Plank]]-Table7[[#This Row],[Octane]])/$B$245</f>
        <v>-3.6167295682543815E-2</v>
      </c>
      <c r="BA59" s="2">
        <f>(Table7[[#This Row],[Batmobile]]-Table7[[#This Row],[Octane]])/$B$245</f>
        <v>-3.8084477280499164E-2</v>
      </c>
      <c r="BB59" s="2">
        <f>(Table7[[#This Row],[Breakout]]-Table7[[#This Row],[Octane]])/$B$245</f>
        <v>-3.7226309724952396E-2</v>
      </c>
      <c r="BC59" s="2"/>
    </row>
    <row r="60" spans="1:55">
      <c r="A60" s="1">
        <v>6.6666666666666596E-2</v>
      </c>
      <c r="B60" s="13">
        <f>Octane[[#This Row],[angvel_total]]</f>
        <v>1.3318022375713297</v>
      </c>
      <c r="C60" s="13">
        <f>Hybrid[[#This Row],[angvel_total]]</f>
        <v>1.3007016337346546</v>
      </c>
      <c r="D60" s="13">
        <f>Dominus[[#This Row],[angvel_total]]</f>
        <v>1.2951012084003319</v>
      </c>
      <c r="E60" s="13">
        <f>Plank[[#This Row],[angvel_total]]</f>
        <v>1.2623017151220226</v>
      </c>
      <c r="F60" s="13">
        <f>Batmobile[[#This Row],[angvel_total]]</f>
        <v>1.2575011013911679</v>
      </c>
      <c r="G60" s="13">
        <f>Breakout[[#This Row],[angvel_total]]</f>
        <v>1.2592008259209491</v>
      </c>
      <c r="I60" s="2">
        <f>Table7[[#This Row],[Hybrid]]/Table7[[#This Row],[Octane]] - 1</f>
        <v>-2.3352268797347864E-2</v>
      </c>
      <c r="J60" s="2">
        <f>Table7[[#This Row],[Dominus]]/Table7[[#This Row],[Octane]] - 1</f>
        <v>-2.7557416661144529E-2</v>
      </c>
      <c r="K60" s="2">
        <f>Table7[[#This Row],[Plank]]/Table7[[#This Row],[Octane]] - 1</f>
        <v>-5.2185317375684881E-2</v>
      </c>
      <c r="L60" s="2">
        <f>Table7[[#This Row],[Batmobile]]/Table7[[#This Row],[Octane]] - 1</f>
        <v>-5.5789916914133597E-2</v>
      </c>
      <c r="M60" s="2">
        <f>Table7[[#This Row],[Breakout]]/Table7[[#This Row],[Octane]] - 1</f>
        <v>-5.4513657960791773E-2</v>
      </c>
      <c r="N60" s="2">
        <f>Table7[[#This Row],[Breakout]]/Table7[[#This Row],[Plank]] - 1</f>
        <v>-2.4565356791690363E-3</v>
      </c>
      <c r="P60" s="6">
        <v>8</v>
      </c>
      <c r="Q60" s="4">
        <f>(1-$Y$4)*Q61+$Y$4*Table7[[#This Row],[Octane]]</f>
        <v>1.5695326557852807</v>
      </c>
      <c r="R60" s="4">
        <f>(1-$Y$4)*R61+$Y$4*Table7[[#This Row],[Hybrid]]</f>
        <v>1.553229535429743</v>
      </c>
      <c r="S60" s="4">
        <f>(1-$Y$4)*S61+$Y$4*Table7[[#This Row],[Dominus]]</f>
        <v>1.5513720767657968</v>
      </c>
      <c r="T60" s="4">
        <f>(1-$Y$4)*T61+$Y$4*Table7[[#This Row],[Plank]]</f>
        <v>1.5216343018092511</v>
      </c>
      <c r="U60" s="4">
        <f>(1-$Y$4)*U61+$Y$4*Table7[[#This Row],[Batmobile]]</f>
        <v>1.5117610568944424</v>
      </c>
      <c r="V60" s="4">
        <f>(1-$Y$4)*V61+$Y$4*Table7[[#This Row],[Breakout]]</f>
        <v>1.5175397413089133</v>
      </c>
      <c r="W60" s="11">
        <f>POWER((1-$Y$4),Table714[[#This Row],[X]]-1)*$Y$4</f>
        <v>4.7214455449190382E-2</v>
      </c>
      <c r="Y60">
        <f>Table714[[#This Row],[X]]</f>
        <v>8</v>
      </c>
      <c r="Z60" s="2">
        <f>Table714[[#This Row],[Column1]]</f>
        <v>4.7214455449190382E-2</v>
      </c>
      <c r="AA60">
        <v>6.6666666666666596E-2</v>
      </c>
      <c r="AD60" s="6">
        <v>8</v>
      </c>
      <c r="AE60" s="11">
        <f>(1-_xlfn.NORM.DIST(Table14[[#This Row],[X]],$AB$44,$AB$46,TRUE))/$AE$52</f>
        <v>0.92219571163611169</v>
      </c>
      <c r="AF60" s="8">
        <f>Table14[[#This Row],[Column1]]*Table7[[#This Row],[Octane]]</f>
        <v>1.2281823122356583</v>
      </c>
      <c r="AG60" s="8">
        <f>Table14[[#This Row],[Column1]]*Table7[[#This Row],[Hybrid]]</f>
        <v>1.1995014687481829</v>
      </c>
      <c r="AH60" s="8">
        <f>Table14[[#This Row],[Column1]]*Table7[[#This Row],[Dominus]]</f>
        <v>1.1943367805215324</v>
      </c>
      <c r="AI60" s="8">
        <f>Table14[[#This Row],[Column1]]*Table7[[#This Row],[Plank]]</f>
        <v>1.1640892284764379</v>
      </c>
      <c r="AJ60" s="8">
        <f>Table14[[#This Row],[Column1]]*Table7[[#This Row],[Batmobile]]</f>
        <v>1.1596621230806223</v>
      </c>
      <c r="AK60" s="8">
        <f>Table14[[#This Row],[Column1]]*Table7[[#This Row],[Breakout]]</f>
        <v>1.1612296017529493</v>
      </c>
      <c r="AL60" s="3">
        <f>Table14[[#This Row],[Column1]]-AE61</f>
        <v>1.2346088475752248E-2</v>
      </c>
      <c r="AW60" s="11">
        <v>0</v>
      </c>
      <c r="AX60" s="2">
        <f>(Table7[[#This Row],[Hybrid]]-Table7[[#This Row],[Octane]])/$B$245</f>
        <v>-1.5687568119601463E-2</v>
      </c>
      <c r="AY60" s="2">
        <f>(Table7[[#This Row],[Dominus]]-Table7[[#This Row],[Octane]])/$B$245</f>
        <v>-1.8512498927771969E-2</v>
      </c>
      <c r="AZ60" s="2">
        <f>(Table7[[#This Row],[Plank]]-Table7[[#This Row],[Octane]])/$B$245</f>
        <v>-3.5057010018103851E-2</v>
      </c>
      <c r="BA60" s="2">
        <f>(Table7[[#This Row],[Batmobile]]-Table7[[#This Row],[Octane]])/$B$245</f>
        <v>-3.7478504961229973E-2</v>
      </c>
      <c r="BB60" s="2">
        <f>(Table7[[#This Row],[Breakout]]-Table7[[#This Row],[Octane]])/$B$245</f>
        <v>-3.662114076066561E-2</v>
      </c>
      <c r="BC60" s="2"/>
    </row>
    <row r="61" spans="1:55">
      <c r="A61" s="1">
        <v>7.4999999999999997E-2</v>
      </c>
      <c r="B61" s="13">
        <f>Octane[[#This Row],[angvel_total]]</f>
        <v>1.4071008883516491</v>
      </c>
      <c r="C61" s="13">
        <f>Hybrid[[#This Row],[angvel_total]]</f>
        <v>1.3784006166568556</v>
      </c>
      <c r="D61" s="13">
        <f>Dominus[[#This Row],[angvel_total]]</f>
        <v>1.3734001237803934</v>
      </c>
      <c r="E61" s="13">
        <f>Plank[[#This Row],[angvel_total]]</f>
        <v>1.3409009322093859</v>
      </c>
      <c r="F61" s="13">
        <f>Batmobile[[#This Row],[angvel_total]]</f>
        <v>1.3351005879708091</v>
      </c>
      <c r="G61" s="13">
        <f>Breakout[[#This Row],[angvel_total]]</f>
        <v>1.3369000373999547</v>
      </c>
      <c r="I61" s="2">
        <f>Table7[[#This Row],[Hybrid]]/Table7[[#This Row],[Octane]] - 1</f>
        <v>-2.0396740512625522E-2</v>
      </c>
      <c r="J61" s="2">
        <f>Table7[[#This Row],[Dominus]]/Table7[[#This Row],[Octane]] - 1</f>
        <v>-2.3950496265221277E-2</v>
      </c>
      <c r="K61" s="2">
        <f>Table7[[#This Row],[Plank]]/Table7[[#This Row],[Octane]] - 1</f>
        <v>-4.7047057314997032E-2</v>
      </c>
      <c r="L61" s="2">
        <f>Table7[[#This Row],[Batmobile]]/Table7[[#This Row],[Octane]] - 1</f>
        <v>-5.1169252309395508E-2</v>
      </c>
      <c r="M61" s="2">
        <f>Table7[[#This Row],[Breakout]]/Table7[[#This Row],[Octane]] - 1</f>
        <v>-4.9890417618832839E-2</v>
      </c>
      <c r="N61" s="2">
        <f>Table7[[#This Row],[Breakout]]/Table7[[#This Row],[Plank]] - 1</f>
        <v>-2.9837363173720322E-3</v>
      </c>
      <c r="P61" s="6">
        <v>9</v>
      </c>
      <c r="Q61" s="4">
        <f>(1-$Y$4)*Q62+$Y$4*Table7[[#This Row],[Octane]]</f>
        <v>1.6148146402069858</v>
      </c>
      <c r="R61" s="4">
        <f>(1-$Y$4)*R62+$Y$4*Table7[[#This Row],[Hybrid]]</f>
        <v>1.6013300881335693</v>
      </c>
      <c r="S61" s="4">
        <f>(1-$Y$4)*S62+$Y$4*Table7[[#This Row],[Dominus]]</f>
        <v>1.600185575502076</v>
      </c>
      <c r="T61" s="4">
        <f>(1-$Y$4)*T62+$Y$4*Table7[[#This Row],[Plank]]</f>
        <v>1.5710309849877708</v>
      </c>
      <c r="U61" s="4">
        <f>(1-$Y$4)*U62+$Y$4*Table7[[#This Row],[Batmobile]]</f>
        <v>1.5601915246093521</v>
      </c>
      <c r="V61" s="4">
        <f>(1-$Y$4)*V62+$Y$4*Table7[[#This Row],[Breakout]]</f>
        <v>1.5667471537637638</v>
      </c>
      <c r="W61" s="11">
        <f>POWER((1-$Y$4),Table714[[#This Row],[X]]-1)*$Y$4</f>
        <v>3.9660142577319916E-2</v>
      </c>
      <c r="Y61">
        <f>Table714[[#This Row],[X]]</f>
        <v>9</v>
      </c>
      <c r="Z61" s="2">
        <f>Table714[[#This Row],[Column1]]</f>
        <v>3.9660142577319916E-2</v>
      </c>
      <c r="AA61">
        <v>7.4999999999999997E-2</v>
      </c>
      <c r="AD61" s="6">
        <v>9</v>
      </c>
      <c r="AE61" s="11">
        <f>(1-_xlfn.NORM.DIST(Table14[[#This Row],[X]],$AB$44,$AB$46,TRUE))/$AE$52</f>
        <v>0.90984962316035944</v>
      </c>
      <c r="AF61" s="8">
        <f>Table14[[#This Row],[Column1]]*Table7[[#This Row],[Octane]]</f>
        <v>1.280250213015355</v>
      </c>
      <c r="AG61" s="8">
        <f>Table14[[#This Row],[Column1]]*Table7[[#This Row],[Hybrid]]</f>
        <v>1.2541372816292471</v>
      </c>
      <c r="AH61" s="8">
        <f>Table14[[#This Row],[Column1]]*Table7[[#This Row],[Dominus]]</f>
        <v>1.249587585069982</v>
      </c>
      <c r="AI61" s="8">
        <f>Table14[[#This Row],[Column1]]*Table7[[#This Row],[Plank]]</f>
        <v>1.2200182078660844</v>
      </c>
      <c r="AJ61" s="8">
        <f>Table14[[#This Row],[Column1]]*Table7[[#This Row],[Batmobile]]</f>
        <v>1.214740766846415</v>
      </c>
      <c r="AK61" s="8">
        <f>Table14[[#This Row],[Column1]]*Table7[[#This Row],[Breakout]]</f>
        <v>1.2163779952314191</v>
      </c>
      <c r="AL61" s="3">
        <f>Table14[[#This Row],[Column1]]-AE62</f>
        <v>1.2637523744471579E-2</v>
      </c>
      <c r="AW61" s="11">
        <v>0</v>
      </c>
      <c r="AX61" s="2">
        <f>(Table7[[#This Row],[Hybrid]]-Table7[[#This Row],[Octane]])/$B$245</f>
        <v>-1.4476807898250696E-2</v>
      </c>
      <c r="AY61" s="2">
        <f>(Table7[[#This Row],[Dominus]]-Table7[[#This Row],[Octane]])/$B$245</f>
        <v>-1.6999124604480581E-2</v>
      </c>
      <c r="AZ61" s="2">
        <f>(Table7[[#This Row],[Plank]]-Table7[[#This Row],[Octane]])/$B$245</f>
        <v>-3.3392159423982833E-2</v>
      </c>
      <c r="BA61" s="2">
        <f>(Table7[[#This Row],[Batmobile]]-Table7[[#This Row],[Octane]])/$B$245</f>
        <v>-3.6317932050059898E-2</v>
      </c>
      <c r="BB61" s="2">
        <f>(Table7[[#This Row],[Breakout]]-Table7[[#This Row],[Octane]])/$B$245</f>
        <v>-3.5410265252150006E-2</v>
      </c>
      <c r="BC61" s="2"/>
    </row>
    <row r="62" spans="1:55">
      <c r="A62" s="1">
        <v>8.3333333333333301E-2</v>
      </c>
      <c r="B62" s="13">
        <f>Octane[[#This Row],[angvel_total]]</f>
        <v>1.4722001766064288</v>
      </c>
      <c r="C62" s="13">
        <f>Hybrid[[#This Row],[angvel_total]]</f>
        <v>1.4463001279125989</v>
      </c>
      <c r="D62" s="13">
        <f>Dominus[[#This Row],[angvel_total]]</f>
        <v>1.4420000554785011</v>
      </c>
      <c r="E62" s="13">
        <f>Plank[[#This Row],[angvel_total]]</f>
        <v>1.4100004148935559</v>
      </c>
      <c r="F62" s="13">
        <f>Batmobile[[#This Row],[angvel_total]]</f>
        <v>1.4031002066851819</v>
      </c>
      <c r="G62" s="13">
        <f>Breakout[[#This Row],[angvel_total]]</f>
        <v>1.4053001138546883</v>
      </c>
      <c r="I62" s="2">
        <f>Table7[[#This Row],[Hybrid]]/Table7[[#This Row],[Octane]] - 1</f>
        <v>-1.7592749345766379E-2</v>
      </c>
      <c r="J62" s="2">
        <f>Table7[[#This Row],[Dominus]]/Table7[[#This Row],[Octane]] - 1</f>
        <v>-2.0513597001151074E-2</v>
      </c>
      <c r="K62" s="2">
        <f>Table7[[#This Row],[Plank]]/Table7[[#This Row],[Octane]] - 1</f>
        <v>-4.2249527408867449E-2</v>
      </c>
      <c r="L62" s="2">
        <f>Table7[[#This Row],[Batmobile]]/Table7[[#This Row],[Octane]] - 1</f>
        <v>-4.6936531471235998E-2</v>
      </c>
      <c r="M62" s="2">
        <f>Table7[[#This Row],[Breakout]]/Table7[[#This Row],[Octane]] - 1</f>
        <v>-4.544223252706836E-2</v>
      </c>
      <c r="N62" s="2">
        <f>Table7[[#This Row],[Breakout]]/Table7[[#This Row],[Plank]] - 1</f>
        <v>-3.3335458551778663E-3</v>
      </c>
      <c r="P62" s="6">
        <v>10</v>
      </c>
      <c r="Q62" s="4">
        <f>(1-$Y$4)*Q63+$Y$4*Table7[[#This Row],[Octane]]</f>
        <v>1.6543791643699073</v>
      </c>
      <c r="R62" s="4">
        <f>(1-$Y$4)*R63+$Y$4*Table7[[#This Row],[Hybrid]]</f>
        <v>1.6437928446053243</v>
      </c>
      <c r="S62" s="4">
        <f>(1-$Y$4)*S63+$Y$4*Table7[[#This Row],[Dominus]]</f>
        <v>1.643382804401444</v>
      </c>
      <c r="T62" s="4">
        <f>(1-$Y$4)*T63+$Y$4*Table7[[#This Row],[Plank]]</f>
        <v>1.6148652807550821</v>
      </c>
      <c r="U62" s="4">
        <f>(1-$Y$4)*U63+$Y$4*Table7[[#This Row],[Batmobile]]</f>
        <v>1.6030659887309793</v>
      </c>
      <c r="V62" s="4">
        <f>(1-$Y$4)*V63+$Y$4*Table7[[#This Row],[Breakout]]</f>
        <v>1.6105275568806798</v>
      </c>
      <c r="W62" s="11">
        <f>POWER((1-$Y$4),Table714[[#This Row],[X]]-1)*$Y$4</f>
        <v>3.331451976494873E-2</v>
      </c>
      <c r="Y62">
        <f>Table714[[#This Row],[X]]</f>
        <v>10</v>
      </c>
      <c r="Z62" s="2">
        <f>Table714[[#This Row],[Column1]]</f>
        <v>3.331451976494873E-2</v>
      </c>
      <c r="AA62">
        <v>8.3333333333333301E-2</v>
      </c>
      <c r="AD62" s="6">
        <v>10</v>
      </c>
      <c r="AE62" s="11">
        <f>(1-_xlfn.NORM.DIST(Table14[[#This Row],[X]],$AB$44,$AB$46,TRUE))/$AE$52</f>
        <v>0.89721209941588786</v>
      </c>
      <c r="AF62" s="8">
        <f>Table14[[#This Row],[Column1]]*Table7[[#This Row],[Octane]]</f>
        <v>1.3208758112134948</v>
      </c>
      <c r="AG62" s="8">
        <f>Table14[[#This Row],[Column1]]*Table7[[#This Row],[Hybrid]]</f>
        <v>1.29763797414993</v>
      </c>
      <c r="AH62" s="8">
        <f>Table14[[#This Row],[Column1]]*Table7[[#This Row],[Dominus]]</f>
        <v>1.2937798971336927</v>
      </c>
      <c r="AI62" s="8">
        <f>Table14[[#This Row],[Column1]]*Table7[[#This Row],[Plank]]</f>
        <v>1.2650694324239202</v>
      </c>
      <c r="AJ62" s="8">
        <f>Table14[[#This Row],[Column1]]*Table7[[#This Row],[Batmobile]]</f>
        <v>1.2588784821308783</v>
      </c>
      <c r="AK62" s="8">
        <f>Table14[[#This Row],[Column1]]*Table7[[#This Row],[Breakout]]</f>
        <v>1.2608522654609511</v>
      </c>
      <c r="AL62" s="3">
        <f>Table14[[#This Row],[Column1]]-AE63</f>
        <v>1.2921474638354358E-2</v>
      </c>
      <c r="AW62" s="11">
        <v>0</v>
      </c>
      <c r="AX62" s="2">
        <f>(Table7[[#This Row],[Hybrid]]-Table7[[#This Row],[Octane]])/$B$245</f>
        <v>-1.3064337281654851E-2</v>
      </c>
      <c r="AY62" s="2">
        <f>(Table7[[#This Row],[Dominus]]-Table7[[#This Row],[Octane]])/$B$245</f>
        <v>-1.5233352378062115E-2</v>
      </c>
      <c r="AZ62" s="2">
        <f>(Table7[[#This Row],[Plank]]-Table7[[#This Row],[Octane]])/$B$245</f>
        <v>-3.1374406877046408E-2</v>
      </c>
      <c r="BA62" s="2">
        <f>(Table7[[#This Row],[Batmobile]]-Table7[[#This Row],[Octane]])/$B$245</f>
        <v>-3.4854965868015286E-2</v>
      </c>
      <c r="BB62" s="2">
        <f>(Table7[[#This Row],[Breakout]]-Table7[[#This Row],[Octane]])/$B$245</f>
        <v>-3.3745302732223197E-2</v>
      </c>
      <c r="BC62" s="2"/>
    </row>
    <row r="63" spans="1:55">
      <c r="A63" s="1">
        <v>9.1666666666666605E-2</v>
      </c>
      <c r="B63" s="13">
        <f>Octane[[#This Row],[angvel_total]]</f>
        <v>1.5287999999999999</v>
      </c>
      <c r="C63" s="13">
        <f>Hybrid[[#This Row],[angvel_total]]</f>
        <v>1.5059000431635561</v>
      </c>
      <c r="D63" s="13">
        <f>Dominus[[#This Row],[angvel_total]]</f>
        <v>1.5023004160286981</v>
      </c>
      <c r="E63" s="13">
        <f>Plank[[#This Row],[angvel_total]]</f>
        <v>1.4709001155754935</v>
      </c>
      <c r="F63" s="13">
        <f>Batmobile[[#This Row],[angvel_total]]</f>
        <v>1.4630000580997937</v>
      </c>
      <c r="G63" s="13">
        <f>Breakout[[#This Row],[angvel_total]]</f>
        <v>1.465700443474041</v>
      </c>
      <c r="I63" s="2">
        <f>Table7[[#This Row],[Hybrid]]/Table7[[#This Row],[Octane]] - 1</f>
        <v>-1.4979040316878467E-2</v>
      </c>
      <c r="J63" s="2">
        <f>Table7[[#This Row],[Dominus]]/Table7[[#This Row],[Octane]] - 1</f>
        <v>-1.7333584491955656E-2</v>
      </c>
      <c r="K63" s="2">
        <f>Table7[[#This Row],[Plank]]/Table7[[#This Row],[Octane]] - 1</f>
        <v>-3.7872765845438527E-2</v>
      </c>
      <c r="L63" s="2">
        <f>Table7[[#This Row],[Batmobile]]/Table7[[#This Row],[Octane]] - 1</f>
        <v>-4.3040255036764896E-2</v>
      </c>
      <c r="M63" s="2">
        <f>Table7[[#This Row],[Breakout]]/Table7[[#This Row],[Octane]] - 1</f>
        <v>-4.1273911908659699E-2</v>
      </c>
      <c r="N63" s="2">
        <f>Table7[[#This Row],[Breakout]]/Table7[[#This Row],[Plank]] - 1</f>
        <v>-3.535027325372142E-3</v>
      </c>
      <c r="P63" s="6">
        <v>11</v>
      </c>
      <c r="Q63" s="4">
        <f>(1-$Y$4)*Q64+$Y$4*Table7[[#This Row],[Octane]]</f>
        <v>1.6890799239439032</v>
      </c>
      <c r="R63" s="4">
        <f>(1-$Y$4)*R64+$Y$4*Table7[[#This Row],[Hybrid]]</f>
        <v>1.6814105049277481</v>
      </c>
      <c r="S63" s="4">
        <f>(1-$Y$4)*S64+$Y$4*Table7[[#This Row],[Dominus]]</f>
        <v>1.6817414232439094</v>
      </c>
      <c r="T63" s="4">
        <f>(1-$Y$4)*T64+$Y$4*Table7[[#This Row],[Plank]]</f>
        <v>1.6538871599668015</v>
      </c>
      <c r="U63" s="4">
        <f>(1-$Y$4)*U64+$Y$4*Table7[[#This Row],[Batmobile]]</f>
        <v>1.6411547091206551</v>
      </c>
      <c r="V63" s="4">
        <f>(1-$Y$4)*V64+$Y$4*Table7[[#This Row],[Breakout]]</f>
        <v>1.6496184984094402</v>
      </c>
      <c r="W63" s="11">
        <f>POWER((1-$Y$4),Table714[[#This Row],[X]]-1)*$Y$4</f>
        <v>2.7984196602556927E-2</v>
      </c>
      <c r="Y63">
        <f>Table714[[#This Row],[X]]</f>
        <v>11</v>
      </c>
      <c r="Z63" s="2">
        <f>Table714[[#This Row],[Column1]]</f>
        <v>2.7984196602556927E-2</v>
      </c>
      <c r="AA63">
        <v>9.1666666666666605E-2</v>
      </c>
      <c r="AD63" s="6">
        <v>11</v>
      </c>
      <c r="AE63" s="11">
        <f>(1-_xlfn.NORM.DIST(Table14[[#This Row],[X]],$AB$44,$AB$46,TRUE))/$AE$52</f>
        <v>0.88429062477753351</v>
      </c>
      <c r="AF63" s="8">
        <f>Table14[[#This Row],[Column1]]*Table7[[#This Row],[Octane]]</f>
        <v>1.3519035071598933</v>
      </c>
      <c r="AG63" s="8">
        <f>Table14[[#This Row],[Column1]]*Table7[[#This Row],[Hybrid]]</f>
        <v>1.3316532900216156</v>
      </c>
      <c r="AH63" s="8">
        <f>Table14[[#This Row],[Column1]]*Table7[[#This Row],[Dominus]]</f>
        <v>1.328470173493566</v>
      </c>
      <c r="AI63" s="8">
        <f>Table14[[#This Row],[Column1]]*Table7[[#This Row],[Plank]]</f>
        <v>1.3007031821875994</v>
      </c>
      <c r="AJ63" s="8">
        <f>Table14[[#This Row],[Column1]]*Table7[[#This Row],[Batmobile]]</f>
        <v>1.2937172354266344</v>
      </c>
      <c r="AK63" s="8">
        <f>Table14[[#This Row],[Column1]]*Table7[[#This Row],[Breakout]]</f>
        <v>1.2961051608963676</v>
      </c>
      <c r="AL63" s="3">
        <f>Table14[[#This Row],[Column1]]-AE64</f>
        <v>1.3197135314388708E-2</v>
      </c>
      <c r="AW63" s="11">
        <v>0</v>
      </c>
      <c r="AX63" s="2">
        <f>(Table7[[#This Row],[Hybrid]]-Table7[[#This Row],[Octane]])/$B$245</f>
        <v>-1.1551050091960315E-2</v>
      </c>
      <c r="AY63" s="2">
        <f>(Table7[[#This Row],[Dominus]]-Table7[[#This Row],[Octane]])/$B$245</f>
        <v>-1.3366751040398464E-2</v>
      </c>
      <c r="AZ63" s="2">
        <f>(Table7[[#This Row],[Plank]]-Table7[[#This Row],[Octane]])/$B$245</f>
        <v>-2.9205490214803637E-2</v>
      </c>
      <c r="BA63" s="2">
        <f>(Table7[[#This Row],[Batmobile]]-Table7[[#This Row],[Octane]])/$B$245</f>
        <v>-3.3190386792684892E-2</v>
      </c>
      <c r="BB63" s="2">
        <f>(Table7[[#This Row],[Breakout]]-Table7[[#This Row],[Octane]])/$B$245</f>
        <v>-3.1828275634646061E-2</v>
      </c>
      <c r="BC63" s="2"/>
    </row>
    <row r="64" spans="1:55">
      <c r="A64" s="1">
        <v>0.1</v>
      </c>
      <c r="B64" s="13">
        <f>Octane[[#This Row],[angvel_total]]</f>
        <v>1.5781001077244752</v>
      </c>
      <c r="C64" s="13">
        <f>Hybrid[[#This Row],[angvel_total]]</f>
        <v>1.5584001604209363</v>
      </c>
      <c r="D64" s="13">
        <f>Dominus[[#This Row],[angvel_total]]</f>
        <v>1.5555009836062466</v>
      </c>
      <c r="E64" s="13">
        <f>Plank[[#This Row],[angvel_total]]</f>
        <v>1.5249000032789033</v>
      </c>
      <c r="F64" s="13">
        <f>Batmobile[[#This Row],[angvel_total]]</f>
        <v>1.5159000032983705</v>
      </c>
      <c r="G64" s="13">
        <f>Breakout[[#This Row],[angvel_total]]</f>
        <v>1.5193008852758563</v>
      </c>
      <c r="I64" s="2">
        <f>Table7[[#This Row],[Hybrid]]/Table7[[#This Row],[Octane]] - 1</f>
        <v>-1.2483331828641031E-2</v>
      </c>
      <c r="J64" s="2">
        <f>Table7[[#This Row],[Dominus]]/Table7[[#This Row],[Octane]] - 1</f>
        <v>-1.4320462946305179E-2</v>
      </c>
      <c r="K64" s="2">
        <f>Table7[[#This Row],[Plank]]/Table7[[#This Row],[Octane]] - 1</f>
        <v>-3.3711489014650153E-2</v>
      </c>
      <c r="L64" s="2">
        <f>Table7[[#This Row],[Batmobile]]/Table7[[#This Row],[Octane]] - 1</f>
        <v>-3.9414549255556097E-2</v>
      </c>
      <c r="M64" s="2">
        <f>Table7[[#This Row],[Breakout]]/Table7[[#This Row],[Octane]] - 1</f>
        <v>-3.7259500940915458E-2</v>
      </c>
      <c r="N64" s="2">
        <f>Table7[[#This Row],[Breakout]]/Table7[[#This Row],[Plank]] - 1</f>
        <v>-3.6717935543364444E-3</v>
      </c>
      <c r="P64" s="6">
        <v>12</v>
      </c>
      <c r="Q64" s="4">
        <f>(1-$Y$4)*Q65+$Y$4*Table7[[#This Row],[Octane]]</f>
        <v>1.7196094332665515</v>
      </c>
      <c r="R64" s="4">
        <f>(1-$Y$4)*R65+$Y$4*Table7[[#This Row],[Hybrid]]</f>
        <v>1.7148410690733085</v>
      </c>
      <c r="S64" s="4">
        <f>(1-$Y$4)*S65+$Y$4*Table7[[#This Row],[Dominus]]</f>
        <v>1.7159206627134735</v>
      </c>
      <c r="T64" s="4">
        <f>(1-$Y$4)*T65+$Y$4*Table7[[#This Row],[Plank]]</f>
        <v>1.6887418350889554</v>
      </c>
      <c r="U64" s="4">
        <f>(1-$Y$4)*U65+$Y$4*Table7[[#This Row],[Batmobile]]</f>
        <v>1.6750889283627239</v>
      </c>
      <c r="V64" s="4">
        <f>(1-$Y$4)*V65+$Y$4*Table7[[#This Row],[Breakout]]</f>
        <v>1.6846505088733257</v>
      </c>
      <c r="W64" s="11">
        <f>POWER((1-$Y$4),Table714[[#This Row],[X]]-1)*$Y$4</f>
        <v>2.3506725146147819E-2</v>
      </c>
      <c r="Y64">
        <f>Table714[[#This Row],[X]]</f>
        <v>12</v>
      </c>
      <c r="Z64" s="2">
        <f>Table714[[#This Row],[Column1]]</f>
        <v>2.3506725146147819E-2</v>
      </c>
      <c r="AA64">
        <v>0.1</v>
      </c>
      <c r="AD64" s="6">
        <v>12</v>
      </c>
      <c r="AE64" s="11">
        <f>(1-_xlfn.NORM.DIST(Table14[[#This Row],[X]],$AB$44,$AB$46,TRUE))/$AE$52</f>
        <v>0.8710934894631448</v>
      </c>
      <c r="AF64" s="8">
        <f>Table14[[#This Row],[Column1]]*Table7[[#This Row],[Octane]]</f>
        <v>1.3746727295598777</v>
      </c>
      <c r="AG64" s="8">
        <f>Table14[[#This Row],[Column1]]*Table7[[#This Row],[Hybrid]]</f>
        <v>1.3575122337209982</v>
      </c>
      <c r="AH64" s="8">
        <f>Table14[[#This Row],[Column1]]*Table7[[#This Row],[Dominus]]</f>
        <v>1.3549867796729194</v>
      </c>
      <c r="AI64" s="8">
        <f>Table14[[#This Row],[Column1]]*Table7[[#This Row],[Plank]]</f>
        <v>1.3283304649385808</v>
      </c>
      <c r="AJ64" s="8">
        <f>Table14[[#This Row],[Column1]]*Table7[[#This Row],[Batmobile]]</f>
        <v>1.3204906235503702</v>
      </c>
      <c r="AK64" s="8">
        <f>Table14[[#This Row],[Column1]]*Table7[[#This Row],[Breakout]]</f>
        <v>1.3234531096993907</v>
      </c>
      <c r="AL64" s="3">
        <f>Table14[[#This Row],[Column1]]-AE65</f>
        <v>1.3463710200523615E-2</v>
      </c>
      <c r="AW64" s="11">
        <v>0</v>
      </c>
      <c r="AX64" s="2">
        <f>(Table7[[#This Row],[Hybrid]]-Table7[[#This Row],[Octane]])/$B$245</f>
        <v>-9.9369217041499446E-3</v>
      </c>
      <c r="AY64" s="2">
        <f>(Table7[[#This Row],[Dominus]]-Table7[[#This Row],[Octane]])/$B$245</f>
        <v>-1.1399305971994348E-2</v>
      </c>
      <c r="AZ64" s="2">
        <f>(Table7[[#This Row],[Plank]]-Table7[[#This Row],[Octane]])/$B$245</f>
        <v>-2.6834857189353113E-2</v>
      </c>
      <c r="BA64" s="2">
        <f>(Table7[[#This Row],[Batmobile]]-Table7[[#This Row],[Octane]])/$B$245</f>
        <v>-3.1374579746267776E-2</v>
      </c>
      <c r="BB64" s="2">
        <f>(Table7[[#This Row],[Breakout]]-Table7[[#This Row],[Octane]])/$B$245</f>
        <v>-2.9659128561824243E-2</v>
      </c>
      <c r="BC64" s="2"/>
    </row>
    <row r="65" spans="1:55">
      <c r="A65" s="1">
        <v>0.108333333333333</v>
      </c>
      <c r="B65" s="13">
        <f>Octane[[#This Row],[angvel_total]]</f>
        <v>1.6213003608215228</v>
      </c>
      <c r="C65" s="13">
        <f>Hybrid[[#This Row],[angvel_total]]</f>
        <v>1.604800361415712</v>
      </c>
      <c r="D65" s="13">
        <f>Dominus[[#This Row],[angvel_total]]</f>
        <v>1.6027014600355238</v>
      </c>
      <c r="E65" s="13">
        <f>Plank[[#This Row],[angvel_total]]</f>
        <v>1.5728000158952187</v>
      </c>
      <c r="F65" s="13">
        <f>Batmobile[[#This Row],[angvel_total]]</f>
        <v>1.5628000063987713</v>
      </c>
      <c r="G65" s="13">
        <f>Breakout[[#This Row],[angvel_total]]</f>
        <v>1.5671012762422216</v>
      </c>
      <c r="I65" s="2">
        <f>Table7[[#This Row],[Hybrid]]/Table7[[#This Row],[Octane]] - 1</f>
        <v>-1.0177015810599155E-2</v>
      </c>
      <c r="J65" s="2">
        <f>Table7[[#This Row],[Dominus]]/Table7[[#This Row],[Octane]] - 1</f>
        <v>-1.1471594798495466E-2</v>
      </c>
      <c r="K65" s="2">
        <f>Table7[[#This Row],[Plank]]/Table7[[#This Row],[Octane]] - 1</f>
        <v>-2.991447241874956E-2</v>
      </c>
      <c r="L65" s="2">
        <f>Table7[[#This Row],[Batmobile]]/Table7[[#This Row],[Octane]] - 1</f>
        <v>-3.6082366868227411E-2</v>
      </c>
      <c r="M65" s="2">
        <f>Table7[[#This Row],[Breakout]]/Table7[[#This Row],[Octane]] - 1</f>
        <v>-3.3429391548299048E-2</v>
      </c>
      <c r="N65" s="2">
        <f>Table7[[#This Row],[Breakout]]/Table7[[#This Row],[Plank]] - 1</f>
        <v>-3.6233084914825131E-3</v>
      </c>
      <c r="P65" s="6">
        <v>13</v>
      </c>
      <c r="Q65" s="4">
        <f>(1-$Y$4)*Q66+$Y$4*Table7[[#This Row],[Octane]]</f>
        <v>1.7465635905126613</v>
      </c>
      <c r="R65" s="4">
        <f>(1-$Y$4)*R66+$Y$4*Table7[[#This Row],[Hybrid]]</f>
        <v>1.744639337388046</v>
      </c>
      <c r="S65" s="4">
        <f>(1-$Y$4)*S66+$Y$4*Table7[[#This Row],[Dominus]]</f>
        <v>1.7464767920672313</v>
      </c>
      <c r="T65" s="4">
        <f>(1-$Y$4)*T66+$Y$4*Table7[[#This Row],[Plank]]</f>
        <v>1.7199498030527749</v>
      </c>
      <c r="U65" s="4">
        <f>(1-$Y$4)*U66+$Y$4*Table7[[#This Row],[Batmobile]]</f>
        <v>1.7054106283749819</v>
      </c>
      <c r="V65" s="4">
        <f>(1-$Y$4)*V66+$Y$4*Table7[[#This Row],[Breakout]]</f>
        <v>1.7161456752728437</v>
      </c>
      <c r="W65" s="11">
        <f>POWER((1-$Y$4),Table714[[#This Row],[X]]-1)*$Y$4</f>
        <v>1.9745649122764167E-2</v>
      </c>
      <c r="Y65">
        <f>Table714[[#This Row],[X]]</f>
        <v>13</v>
      </c>
      <c r="Z65" s="2">
        <f>Table714[[#This Row],[Column1]]</f>
        <v>1.9745649122764167E-2</v>
      </c>
      <c r="AA65">
        <v>0.108333333333333</v>
      </c>
      <c r="AD65" s="6">
        <v>13</v>
      </c>
      <c r="AE65" s="11">
        <f>(1-_xlfn.NORM.DIST(Table14[[#This Row],[X]],$AB$44,$AB$46,TRUE))/$AE$52</f>
        <v>0.85762977926262118</v>
      </c>
      <c r="AF65" s="8">
        <f>Table14[[#This Row],[Column1]]*Table7[[#This Row],[Octane]]</f>
        <v>1.3904754705697706</v>
      </c>
      <c r="AG65" s="8">
        <f>Table14[[#This Row],[Column1]]*Table7[[#This Row],[Hybrid]]</f>
        <v>1.3763245797215318</v>
      </c>
      <c r="AH65" s="8">
        <f>Table14[[#This Row],[Column1]]*Table7[[#This Row],[Dominus]]</f>
        <v>1.374524499394147</v>
      </c>
      <c r="AI65" s="8">
        <f>Table14[[#This Row],[Column1]]*Table7[[#This Row],[Plank]]</f>
        <v>1.3488801304564635</v>
      </c>
      <c r="AJ65" s="8">
        <f>Table14[[#This Row],[Column1]]*Table7[[#This Row],[Batmobile]]</f>
        <v>1.3403038245194012</v>
      </c>
      <c r="AK65" s="8">
        <f>Table14[[#This Row],[Column1]]*Table7[[#This Row],[Breakout]]</f>
        <v>1.3439927216257885</v>
      </c>
      <c r="AL65" s="3">
        <f>Table14[[#This Row],[Column1]]-AE66</f>
        <v>1.3720417784843453E-2</v>
      </c>
      <c r="AW65" s="11">
        <v>0</v>
      </c>
      <c r="AX65" s="2">
        <f>(Table7[[#This Row],[Hybrid]]-Table7[[#This Row],[Octane]])/$B$245</f>
        <v>-8.322824405962213E-3</v>
      </c>
      <c r="AY65" s="2">
        <f>(Table7[[#This Row],[Dominus]]-Table7[[#This Row],[Octane]])/$B$245</f>
        <v>-9.3815388460722002E-3</v>
      </c>
      <c r="AZ65" s="2">
        <f>(Table7[[#This Row],[Plank]]-Table7[[#This Row],[Octane]])/$B$245</f>
        <v>-2.446423448403718E-2</v>
      </c>
      <c r="BA65" s="2">
        <f>(Table7[[#This Row],[Batmobile]]-Table7[[#This Row],[Octane]])/$B$245</f>
        <v>-2.9508375459434782E-2</v>
      </c>
      <c r="BB65" s="2">
        <f>(Table7[[#This Row],[Breakout]]-Table7[[#This Row],[Octane]])/$B$245</f>
        <v>-2.733875637344314E-2</v>
      </c>
      <c r="BC65" s="2"/>
    </row>
    <row r="66" spans="1:55">
      <c r="A66" s="1">
        <v>0.116666666666667</v>
      </c>
      <c r="B66" s="13">
        <f>Octane[[#This Row],[angvel_total]]</f>
        <v>1.6592006268079817</v>
      </c>
      <c r="C66" s="13">
        <f>Hybrid[[#This Row],[angvel_total]]</f>
        <v>1.6459005468132029</v>
      </c>
      <c r="D66" s="13">
        <f>Dominus[[#This Row],[angvel_total]]</f>
        <v>1.6447018118795882</v>
      </c>
      <c r="E66" s="13">
        <f>Plank[[#This Row],[angvel_total]]</f>
        <v>1.6155000773754236</v>
      </c>
      <c r="F66" s="13">
        <f>Batmobile[[#This Row],[angvel_total]]</f>
        <v>1.6045000560922396</v>
      </c>
      <c r="G66" s="13">
        <f>Breakout[[#This Row],[angvel_total]]</f>
        <v>1.6098015312453891</v>
      </c>
      <c r="I66" s="2">
        <f>Table7[[#This Row],[Hybrid]]/Table7[[#This Row],[Octane]] - 1</f>
        <v>-8.0159564671609118E-3</v>
      </c>
      <c r="J66" s="2">
        <f>Table7[[#This Row],[Dominus]]/Table7[[#This Row],[Octane]] - 1</f>
        <v>-8.7384338543113893E-3</v>
      </c>
      <c r="K66" s="2">
        <f>Table7[[#This Row],[Plank]]/Table7[[#This Row],[Octane]] - 1</f>
        <v>-2.6338315407119062E-2</v>
      </c>
      <c r="L66" s="2">
        <f>Table7[[#This Row],[Batmobile]]/Table7[[#This Row],[Octane]] - 1</f>
        <v>-3.2968026790694216E-2</v>
      </c>
      <c r="M66" s="2">
        <f>Table7[[#This Row],[Breakout]]/Table7[[#This Row],[Octane]] - 1</f>
        <v>-2.9772828411732233E-2</v>
      </c>
      <c r="N66" s="2">
        <f>Table7[[#This Row],[Breakout]]/Table7[[#This Row],[Plank]] - 1</f>
        <v>-3.5274192863503639E-3</v>
      </c>
      <c r="P66" s="6">
        <v>14</v>
      </c>
      <c r="Q66" s="4">
        <f>(1-$Y$4)*Q67+$Y$4*Table7[[#This Row],[Octane]]</f>
        <v>1.7704232533109734</v>
      </c>
      <c r="R66" s="4">
        <f>(1-$Y$4)*R67+$Y$4*Table7[[#This Row],[Hybrid]]</f>
        <v>1.7712753328113477</v>
      </c>
      <c r="S66" s="4">
        <f>(1-$Y$4)*S67+$Y$4*Table7[[#This Row],[Dominus]]</f>
        <v>1.7738625695970807</v>
      </c>
      <c r="T66" s="4">
        <f>(1-$Y$4)*T67+$Y$4*Table7[[#This Row],[Plank]]</f>
        <v>1.7479783339399284</v>
      </c>
      <c r="U66" s="4">
        <f>(1-$Y$4)*U67+$Y$4*Table7[[#This Row],[Batmobile]]</f>
        <v>1.7325745563704509</v>
      </c>
      <c r="V66" s="4">
        <f>(1-$Y$4)*V67+$Y$4*Table7[[#This Row],[Breakout]]</f>
        <v>1.7445350846120098</v>
      </c>
      <c r="W66" s="11">
        <f>POWER((1-$Y$4),Table714[[#This Row],[X]]-1)*$Y$4</f>
        <v>1.6586345263121902E-2</v>
      </c>
      <c r="Y66">
        <f>Table714[[#This Row],[X]]</f>
        <v>14</v>
      </c>
      <c r="Z66" s="2">
        <f>Table714[[#This Row],[Column1]]</f>
        <v>1.6586345263121902E-2</v>
      </c>
      <c r="AA66">
        <v>0.116666666666667</v>
      </c>
      <c r="AD66" s="6">
        <v>14</v>
      </c>
      <c r="AE66" s="11">
        <f>(1-_xlfn.NORM.DIST(Table14[[#This Row],[X]],$AB$44,$AB$46,TRUE))/$AE$52</f>
        <v>0.84390936147777773</v>
      </c>
      <c r="AF66" s="8">
        <f>Table14[[#This Row],[Column1]]*Table7[[#This Row],[Octane]]</f>
        <v>1.4002149415330525</v>
      </c>
      <c r="AG66" s="8">
        <f>Table14[[#This Row],[Column1]]*Table7[[#This Row],[Hybrid]]</f>
        <v>1.3889908795170551</v>
      </c>
      <c r="AH66" s="8">
        <f>Table14[[#This Row],[Column1]]*Table7[[#This Row],[Dominus]]</f>
        <v>1.3879792558846473</v>
      </c>
      <c r="AI66" s="8">
        <f>Table14[[#This Row],[Column1]]*Table7[[#This Row],[Plank]]</f>
        <v>1.3633356387651943</v>
      </c>
      <c r="AJ66" s="8">
        <f>Table14[[#This Row],[Column1]]*Table7[[#This Row],[Batmobile]]</f>
        <v>1.3540526178278605</v>
      </c>
      <c r="AK66" s="8">
        <f>Table14[[#This Row],[Column1]]*Table7[[#This Row],[Breakout]]</f>
        <v>1.3585265823392452</v>
      </c>
      <c r="AL66" s="3">
        <f>Table14[[#This Row],[Column1]]-AE67</f>
        <v>1.3966494404557439E-2</v>
      </c>
      <c r="AW66" s="11">
        <v>0</v>
      </c>
      <c r="AX66" s="2">
        <f>(Table7[[#This Row],[Hybrid]]-Table7[[#This Row],[Octane]])/$B$245</f>
        <v>-6.7087414768519484E-3</v>
      </c>
      <c r="AY66" s="2">
        <f>(Table7[[#This Row],[Dominus]]-Table7[[#This Row],[Octane]])/$B$245</f>
        <v>-7.31339970237007E-3</v>
      </c>
      <c r="AZ66" s="2">
        <f>(Table7[[#This Row],[Plank]]-Table7[[#This Row],[Octane]])/$B$245</f>
        <v>-2.2043152270851882E-2</v>
      </c>
      <c r="BA66" s="2">
        <f>(Table7[[#This Row],[Batmobile]]-Table7[[#This Row],[Octane]])/$B$245</f>
        <v>-2.759171281016596E-2</v>
      </c>
      <c r="BB66" s="2">
        <f>(Table7[[#This Row],[Breakout]]-Table7[[#This Row],[Octane]])/$B$245</f>
        <v>-2.4917576544640038E-2</v>
      </c>
      <c r="BC66" s="2"/>
    </row>
    <row r="67" spans="1:55">
      <c r="A67" s="1">
        <v>0.125</v>
      </c>
      <c r="B67" s="13">
        <f>Octane[[#This Row],[angvel_total]]</f>
        <v>1.6926008743941972</v>
      </c>
      <c r="C67" s="13">
        <f>Hybrid[[#This Row],[angvel_total]]</f>
        <v>1.6825007726595553</v>
      </c>
      <c r="D67" s="13">
        <f>Dominus[[#This Row],[angvel_total]]</f>
        <v>1.6821019796671068</v>
      </c>
      <c r="E67" s="13">
        <f>Plank[[#This Row],[angvel_total]]</f>
        <v>1.6537001511761436</v>
      </c>
      <c r="F67" s="13">
        <f>Batmobile[[#This Row],[angvel_total]]</f>
        <v>1.6417000974599469</v>
      </c>
      <c r="G67" s="13">
        <f>Breakout[[#This Row],[angvel_total]]</f>
        <v>1.6481016898237801</v>
      </c>
      <c r="I67" s="2">
        <f>Table7[[#This Row],[Hybrid]]/Table7[[#This Row],[Octane]] - 1</f>
        <v>-5.9672081513350017E-3</v>
      </c>
      <c r="J67" s="2">
        <f>Table7[[#This Row],[Dominus]]/Table7[[#This Row],[Octane]] - 1</f>
        <v>-6.2028177380257787E-3</v>
      </c>
      <c r="K67" s="2">
        <f>Table7[[#This Row],[Plank]]/Table7[[#This Row],[Octane]] - 1</f>
        <v>-2.2982809359576084E-2</v>
      </c>
      <c r="L67" s="2">
        <f>Table7[[#This Row],[Batmobile]]/Table7[[#This Row],[Octane]] - 1</f>
        <v>-3.0072521941989616E-2</v>
      </c>
      <c r="M67" s="2">
        <f>Table7[[#This Row],[Breakout]]/Table7[[#This Row],[Octane]] - 1</f>
        <v>-2.6290418044563446E-2</v>
      </c>
      <c r="N67" s="2">
        <f>Table7[[#This Row],[Breakout]]/Table7[[#This Row],[Plank]] - 1</f>
        <v>-3.3854150333006983E-3</v>
      </c>
      <c r="P67" s="6">
        <v>15</v>
      </c>
      <c r="Q67" s="4">
        <f>(1-$Y$4)*Q68+$Y$4*Table7[[#This Row],[Octane]]</f>
        <v>1.7916085155020196</v>
      </c>
      <c r="R67" s="4">
        <f>(1-$Y$4)*R68+$Y$4*Table7[[#This Row],[Hybrid]]</f>
        <v>1.795156244430042</v>
      </c>
      <c r="S67" s="4">
        <f>(1-$Y$4)*S68+$Y$4*Table7[[#This Row],[Dominus]]</f>
        <v>1.7984646186861268</v>
      </c>
      <c r="T67" s="4">
        <f>(1-$Y$4)*T68+$Y$4*Table7[[#This Row],[Plank]]</f>
        <v>1.7732122875712628</v>
      </c>
      <c r="U67" s="4">
        <f>(1-$Y$4)*U68+$Y$4*Table7[[#This Row],[Batmobile]]</f>
        <v>1.7569696992805865</v>
      </c>
      <c r="V67" s="4">
        <f>(1-$Y$4)*V68+$Y$4*Table7[[#This Row],[Breakout]]</f>
        <v>1.7701986185866043</v>
      </c>
      <c r="W67" s="11">
        <f>POWER((1-$Y$4),Table714[[#This Row],[X]]-1)*$Y$4</f>
        <v>1.3932530021022396E-2</v>
      </c>
      <c r="Y67">
        <f>Table714[[#This Row],[X]]</f>
        <v>15</v>
      </c>
      <c r="Z67" s="2">
        <f>Table714[[#This Row],[Column1]]</f>
        <v>1.3932530021022396E-2</v>
      </c>
      <c r="AA67">
        <v>0.125</v>
      </c>
      <c r="AD67" s="6">
        <v>15</v>
      </c>
      <c r="AE67" s="11">
        <f>(1-_xlfn.NORM.DIST(Table14[[#This Row],[X]],$AB$44,$AB$46,TRUE))/$AE$52</f>
        <v>0.82994286707322029</v>
      </c>
      <c r="AF67" s="8">
        <f>Table14[[#This Row],[Column1]]*Table7[[#This Row],[Octane]]</f>
        <v>1.4047620225053596</v>
      </c>
      <c r="AG67" s="8">
        <f>Table14[[#This Row],[Column1]]*Table7[[#This Row],[Hybrid]]</f>
        <v>1.3963795151139797</v>
      </c>
      <c r="AH67" s="8">
        <f>Table14[[#This Row],[Column1]]*Table7[[#This Row],[Dominus]]</f>
        <v>1.3960485397144584</v>
      </c>
      <c r="AI67" s="8">
        <f>Table14[[#This Row],[Column1]]*Table7[[#This Row],[Plank]]</f>
        <v>1.3724766447465464</v>
      </c>
      <c r="AJ67" s="8">
        <f>Table14[[#This Row],[Column1]]*Table7[[#This Row],[Batmobile]]</f>
        <v>1.3625172857602936</v>
      </c>
      <c r="AK67" s="8">
        <f>Table14[[#This Row],[Column1]]*Table7[[#This Row],[Breakout]]</f>
        <v>1.3678302416805672</v>
      </c>
      <c r="AL67" s="3">
        <f>Table14[[#This Row],[Column1]]-AE68</f>
        <v>1.4201198009325622E-2</v>
      </c>
      <c r="AW67" s="11">
        <v>0</v>
      </c>
      <c r="AX67" s="2">
        <f>(Table7[[#This Row],[Hybrid]]-Table7[[#This Row],[Octane]])/$B$245</f>
        <v>-5.0946288634516109E-3</v>
      </c>
      <c r="AY67" s="2">
        <f>(Table7[[#This Row],[Dominus]]-Table7[[#This Row],[Octane]])/$B$245</f>
        <v>-5.2957854798153757E-3</v>
      </c>
      <c r="AZ67" s="2">
        <f>(Table7[[#This Row],[Plank]]-Table7[[#This Row],[Octane]])/$B$245</f>
        <v>-1.9622054561697577E-2</v>
      </c>
      <c r="BA67" s="2">
        <f>(Table7[[#This Row],[Batmobile]]-Table7[[#This Row],[Octane]])/$B$245</f>
        <v>-2.5675045079190922E-2</v>
      </c>
      <c r="BB67" s="2">
        <f>(Table7[[#This Row],[Breakout]]-Table7[[#This Row],[Octane]])/$B$245</f>
        <v>-2.2445994710621281E-2</v>
      </c>
      <c r="BC67" s="2"/>
    </row>
    <row r="68" spans="1:55">
      <c r="A68" s="1">
        <v>0.133333333333333</v>
      </c>
      <c r="B68" s="13">
        <f>Octane[[#This Row],[angvel_total]]</f>
        <v>1.7221010945934621</v>
      </c>
      <c r="C68" s="13">
        <f>Hybrid[[#This Row],[angvel_total]]</f>
        <v>1.7152008920240218</v>
      </c>
      <c r="D68" s="13">
        <f>Dominus[[#This Row],[angvel_total]]</f>
        <v>1.7156020313580886</v>
      </c>
      <c r="E68" s="13">
        <f>Plank[[#This Row],[angvel_total]]</f>
        <v>1.6880002517772323</v>
      </c>
      <c r="F68" s="13">
        <f>Batmobile[[#This Row],[angvel_total]]</f>
        <v>1.6750001492537248</v>
      </c>
      <c r="G68" s="13">
        <f>Breakout[[#This Row],[angvel_total]]</f>
        <v>1.6826016551756986</v>
      </c>
      <c r="I68" s="2">
        <f>Table7[[#This Row],[Hybrid]]/Table7[[#This Row],[Octane]] - 1</f>
        <v>-4.0068510444034589E-3</v>
      </c>
      <c r="J68" s="2">
        <f>Table7[[#This Row],[Dominus]]/Table7[[#This Row],[Octane]] - 1</f>
        <v>-3.7739150481799211E-3</v>
      </c>
      <c r="K68" s="2">
        <f>Table7[[#This Row],[Plank]]/Table7[[#This Row],[Octane]] - 1</f>
        <v>-1.9801882086533329E-2</v>
      </c>
      <c r="L68" s="2">
        <f>Table7[[#This Row],[Batmobile]]/Table7[[#This Row],[Octane]] - 1</f>
        <v>-2.7350859649071024E-2</v>
      </c>
      <c r="M68" s="2">
        <f>Table7[[#This Row],[Breakout]]/Table7[[#This Row],[Octane]] - 1</f>
        <v>-2.2936771564556757E-2</v>
      </c>
      <c r="N68" s="2">
        <f>Table7[[#This Row],[Breakout]]/Table7[[#This Row],[Plank]] - 1</f>
        <v>-3.1982202584683872E-3</v>
      </c>
      <c r="P68" s="6">
        <v>16</v>
      </c>
      <c r="Q68" s="4">
        <f>(1-$Y$4)*Q69+$Y$4*Table7[[#This Row],[Octane]]</f>
        <v>1.8104671138082715</v>
      </c>
      <c r="R68" s="4">
        <f>(1-$Y$4)*R69+$Y$4*Table7[[#This Row],[Hybrid]]</f>
        <v>1.8166144295291824</v>
      </c>
      <c r="S68" s="4">
        <f>(1-$Y$4)*S69+$Y$4*Table7[[#This Row],[Dominus]]</f>
        <v>1.8206289308802259</v>
      </c>
      <c r="T68" s="4">
        <f>(1-$Y$4)*T69+$Y$4*Table7[[#This Row],[Plank]]</f>
        <v>1.7959765040274762</v>
      </c>
      <c r="U68" s="4">
        <f>(1-$Y$4)*U69+$Y$4*Table7[[#This Row],[Batmobile]]</f>
        <v>1.7789258139130895</v>
      </c>
      <c r="V68" s="4">
        <f>(1-$Y$4)*V69+$Y$4*Table7[[#This Row],[Breakout]]</f>
        <v>1.7934551764461899</v>
      </c>
      <c r="W68" s="11">
        <f>POWER((1-$Y$4),Table714[[#This Row],[X]]-1)*$Y$4</f>
        <v>1.1703325217658812E-2</v>
      </c>
      <c r="Y68">
        <f>Table714[[#This Row],[X]]</f>
        <v>16</v>
      </c>
      <c r="Z68" s="2">
        <f>Table714[[#This Row],[Column1]]</f>
        <v>1.1703325217658812E-2</v>
      </c>
      <c r="AA68">
        <v>0.133333333333333</v>
      </c>
      <c r="AD68" s="6">
        <v>16</v>
      </c>
      <c r="AE68" s="11">
        <f>(1-_xlfn.NORM.DIST(Table14[[#This Row],[X]],$AB$44,$AB$46,TRUE))/$AE$52</f>
        <v>0.81574166906389467</v>
      </c>
      <c r="AF68" s="8">
        <f>Table14[[#This Row],[Column1]]*Table7[[#This Row],[Octane]]</f>
        <v>1.4047896212004307</v>
      </c>
      <c r="AG68" s="8">
        <f>Table14[[#This Row],[Column1]]*Table7[[#This Row],[Hybrid]]</f>
        <v>1.3991608384395566</v>
      </c>
      <c r="AH68" s="8">
        <f>Table14[[#This Row],[Column1]]*Table7[[#This Row],[Dominus]]</f>
        <v>1.3994880645094554</v>
      </c>
      <c r="AI68" s="8">
        <f>Table14[[#This Row],[Column1]]*Table7[[#This Row],[Plank]]</f>
        <v>1.3769721427650339</v>
      </c>
      <c r="AJ68" s="8">
        <f>Table14[[#This Row],[Column1]]*Table7[[#This Row],[Batmobile]]</f>
        <v>1.3663674174345062</v>
      </c>
      <c r="AK68" s="8">
        <f>Table14[[#This Row],[Column1]]*Table7[[#This Row],[Breakout]]</f>
        <v>1.3725682825626961</v>
      </c>
      <c r="AL68" s="3">
        <f>Table14[[#This Row],[Column1]]-AE69</f>
        <v>1.4423811873133574E-2</v>
      </c>
      <c r="AW68" s="11">
        <v>0</v>
      </c>
      <c r="AX68" s="2">
        <f>(Table7[[#This Row],[Hybrid]]-Table7[[#This Row],[Octane]])/$B$245</f>
        <v>-3.4805561466138913E-3</v>
      </c>
      <c r="AY68" s="2">
        <f>(Table7[[#This Row],[Dominus]]-Table7[[#This Row],[Octane]])/$B$245</f>
        <v>-3.2782160035841265E-3</v>
      </c>
      <c r="AZ68" s="2">
        <f>(Table7[[#This Row],[Plank]]-Table7[[#This Row],[Octane]])/$B$245</f>
        <v>-1.7200929519721464E-2</v>
      </c>
      <c r="BA68" s="2">
        <f>(Table7[[#This Row],[Batmobile]]-Table7[[#This Row],[Octane]])/$B$245</f>
        <v>-2.3758358274813166E-2</v>
      </c>
      <c r="BB68" s="2">
        <f>(Table7[[#This Row],[Breakout]]-Table7[[#This Row],[Octane]])/$B$245</f>
        <v>-1.9924055166463374E-2</v>
      </c>
      <c r="BC68" s="2"/>
    </row>
    <row r="69" spans="1:55">
      <c r="A69" s="1">
        <v>0.141666666666667</v>
      </c>
      <c r="B69" s="13">
        <f>Octane[[#This Row],[angvel_total]]</f>
        <v>1.7483012383453831</v>
      </c>
      <c r="C69" s="13">
        <f>Hybrid[[#This Row],[angvel_total]]</f>
        <v>1.7445010203493718</v>
      </c>
      <c r="D69" s="13">
        <f>Dominus[[#This Row],[angvel_total]]</f>
        <v>1.7457018789014349</v>
      </c>
      <c r="E69" s="13">
        <f>Plank[[#This Row],[angvel_total]]</f>
        <v>1.7188003287176787</v>
      </c>
      <c r="F69" s="13">
        <f>Batmobile[[#This Row],[angvel_total]]</f>
        <v>1.7048002111684526</v>
      </c>
      <c r="G69" s="13">
        <f>Breakout[[#This Row],[angvel_total]]</f>
        <v>1.7137015171843666</v>
      </c>
      <c r="I69" s="2">
        <f>Table7[[#This Row],[Hybrid]]/Table7[[#This Row],[Octane]] - 1</f>
        <v>-2.1736631609365897E-3</v>
      </c>
      <c r="J69" s="2">
        <f>Table7[[#This Row],[Dominus]]/Table7[[#This Row],[Octane]] - 1</f>
        <v>-1.4867915133482956E-3</v>
      </c>
      <c r="K69" s="2">
        <f>Table7[[#This Row],[Plank]]/Table7[[#This Row],[Octane]] - 1</f>
        <v>-1.6874042631019548E-2</v>
      </c>
      <c r="L69" s="2">
        <f>Table7[[#This Row],[Batmobile]]/Table7[[#This Row],[Octane]] - 1</f>
        <v>-2.488188318055562E-2</v>
      </c>
      <c r="M69" s="2">
        <f>Table7[[#This Row],[Breakout]]/Table7[[#This Row],[Octane]] - 1</f>
        <v>-1.9790480268584654E-2</v>
      </c>
      <c r="N69" s="2">
        <f>Table7[[#This Row],[Breakout]]/Table7[[#This Row],[Plank]] - 1</f>
        <v>-2.9664943903728869E-3</v>
      </c>
      <c r="P69" s="6">
        <v>17</v>
      </c>
      <c r="Q69" s="4">
        <f>(1-$Y$4)*Q70+$Y$4*Table7[[#This Row],[Octane]]</f>
        <v>1.8272987365158544</v>
      </c>
      <c r="R69" s="4">
        <f>(1-$Y$4)*R70+$Y$4*Table7[[#This Row],[Hybrid]]</f>
        <v>1.8359312938158798</v>
      </c>
      <c r="S69" s="4">
        <f>(1-$Y$4)*S70+$Y$4*Table7[[#This Row],[Dominus]]</f>
        <v>1.8406340545987283</v>
      </c>
      <c r="T69" s="4">
        <f>(1-$Y$4)*T70+$Y$4*Table7[[#This Row],[Plank]]</f>
        <v>1.8165434092179988</v>
      </c>
      <c r="U69" s="4">
        <f>(1-$Y$4)*U70+$Y$4*Table7[[#This Row],[Batmobile]]</f>
        <v>1.7987211786101114</v>
      </c>
      <c r="V69" s="4">
        <f>(1-$Y$4)*V70+$Y$4*Table7[[#This Row],[Breakout]]</f>
        <v>1.8145701328786645</v>
      </c>
      <c r="W69" s="11">
        <f>POWER((1-$Y$4),Table714[[#This Row],[X]]-1)*$Y$4</f>
        <v>9.8307931828334003E-3</v>
      </c>
      <c r="Y69">
        <f>Table714[[#This Row],[X]]</f>
        <v>17</v>
      </c>
      <c r="Z69" s="2">
        <f>Table714[[#This Row],[Column1]]</f>
        <v>9.8307931828334003E-3</v>
      </c>
      <c r="AA69">
        <v>0.141666666666667</v>
      </c>
      <c r="AD69" s="6">
        <v>17</v>
      </c>
      <c r="AE69" s="11">
        <f>(1-_xlfn.NORM.DIST(Table14[[#This Row],[X]],$AB$44,$AB$46,TRUE))/$AE$52</f>
        <v>0.8013178571907611</v>
      </c>
      <c r="AF69" s="8">
        <f>Table14[[#This Row],[Column1]]*Table7[[#This Row],[Octane]]</f>
        <v>1.4009450020348764</v>
      </c>
      <c r="AG69" s="8">
        <f>Table14[[#This Row],[Column1]]*Table7[[#This Row],[Hybrid]]</f>
        <v>1.3978998194934549</v>
      </c>
      <c r="AH69" s="8">
        <f>Table14[[#This Row],[Column1]]*Table7[[#This Row],[Dominus]]</f>
        <v>1.3988620888951833</v>
      </c>
      <c r="AI69" s="8">
        <f>Table14[[#This Row],[Column1]]*Table7[[#This Row],[Plank]]</f>
        <v>1.377305396346826</v>
      </c>
      <c r="AJ69" s="8">
        <f>Table14[[#This Row],[Column1]]*Table7[[#This Row],[Batmobile]]</f>
        <v>1.3660868521518614</v>
      </c>
      <c r="AK69" s="8">
        <f>Table14[[#This Row],[Column1]]*Table7[[#This Row],[Breakout]]</f>
        <v>1.3732196276147328</v>
      </c>
      <c r="AL69" s="3">
        <f>Table14[[#This Row],[Column1]]-AE70</f>
        <v>1.4633648228860374E-2</v>
      </c>
      <c r="AW69" s="11">
        <v>0</v>
      </c>
      <c r="AX69" s="2">
        <f>(Table7[[#This Row],[Hybrid]]-Table7[[#This Row],[Octane]])/$B$245</f>
        <v>-1.9168817105557439E-3</v>
      </c>
      <c r="AY69" s="2">
        <f>(Table7[[#This Row],[Dominus]]-Table7[[#This Row],[Octane]])/$B$245</f>
        <v>-1.3111523029716843E-3</v>
      </c>
      <c r="AZ69" s="2">
        <f>(Table7[[#This Row],[Plank]]-Table7[[#This Row],[Octane]])/$B$245</f>
        <v>-1.4880660575119452E-2</v>
      </c>
      <c r="BA69" s="2">
        <f>(Table7[[#This Row],[Batmobile]]-Table7[[#This Row],[Octane]])/$B$245</f>
        <v>-2.1942510527914245E-2</v>
      </c>
      <c r="BB69" s="2">
        <f>(Table7[[#This Row],[Breakout]]-Table7[[#This Row],[Octane]])/$B$245</f>
        <v>-1.745257055081964E-2</v>
      </c>
      <c r="BC69" s="2"/>
    </row>
    <row r="70" spans="1:55">
      <c r="A70" s="1">
        <v>0.15</v>
      </c>
      <c r="B70" s="13">
        <f>Octane[[#This Row],[angvel_total]]</f>
        <v>1.771601222058734</v>
      </c>
      <c r="C70" s="13">
        <f>Hybrid[[#This Row],[angvel_total]]</f>
        <v>1.7707010645504226</v>
      </c>
      <c r="D70" s="13">
        <f>Dominus[[#This Row],[angvel_total]]</f>
        <v>1.7727015484846849</v>
      </c>
      <c r="E70" s="13">
        <f>Plank[[#This Row],[angvel_total]]</f>
        <v>1.7465004151158967</v>
      </c>
      <c r="F70" s="13">
        <f>Batmobile[[#This Row],[angvel_total]]</f>
        <v>1.7316002454377282</v>
      </c>
      <c r="G70" s="13">
        <f>Breakout[[#This Row],[angvel_total]]</f>
        <v>1.7418013147313904</v>
      </c>
      <c r="I70" s="2">
        <f>Table7[[#This Row],[Hybrid]]/Table7[[#This Row],[Octane]] - 1</f>
        <v>-5.0810391023847767E-4</v>
      </c>
      <c r="J70" s="2">
        <f>Table7[[#This Row],[Dominus]]/Table7[[#This Row],[Octane]] - 1</f>
        <v>6.2109148054889651E-4</v>
      </c>
      <c r="K70" s="2">
        <f>Table7[[#This Row],[Plank]]/Table7[[#This Row],[Octane]] - 1</f>
        <v>-1.4168429458221055E-2</v>
      </c>
      <c r="L70" s="2">
        <f>Table7[[#This Row],[Batmobile]]/Table7[[#This Row],[Octane]] - 1</f>
        <v>-2.2578995838872684E-2</v>
      </c>
      <c r="M70" s="2">
        <f>Table7[[#This Row],[Breakout]]/Table7[[#This Row],[Octane]] - 1</f>
        <v>-1.6820888897736141E-2</v>
      </c>
      <c r="N70" s="2">
        <f>Table7[[#This Row],[Breakout]]/Table7[[#This Row],[Plank]] - 1</f>
        <v>-2.6905807429735695E-3</v>
      </c>
      <c r="P70" s="6">
        <v>18</v>
      </c>
      <c r="Q70" s="4">
        <f>(1-$Y$4)*Q71+$Y$4*Table7[[#This Row],[Octane]]</f>
        <v>1.8423458790245157</v>
      </c>
      <c r="R70" s="4">
        <f>(1-$Y$4)*R71+$Y$4*Table7[[#This Row],[Hybrid]]</f>
        <v>1.8533465839999768</v>
      </c>
      <c r="S70" s="4">
        <f>(1-$Y$4)*S71+$Y$4*Table7[[#This Row],[Dominus]]</f>
        <v>1.8587163737791652</v>
      </c>
      <c r="T70" s="4">
        <f>(1-$Y$4)*T71+$Y$4*Table7[[#This Row],[Plank]]</f>
        <v>1.8351611388371074</v>
      </c>
      <c r="U70" s="4">
        <f>(1-$Y$4)*U71+$Y$4*Table7[[#This Row],[Batmobile]]</f>
        <v>1.8166108866942368</v>
      </c>
      <c r="V70" s="4">
        <f>(1-$Y$4)*V71+$Y$4*Table7[[#This Row],[Breakout]]</f>
        <v>1.8337832025347214</v>
      </c>
      <c r="W70" s="11">
        <f>POWER((1-$Y$4),Table714[[#This Row],[X]]-1)*$Y$4</f>
        <v>8.2578662735800553E-3</v>
      </c>
      <c r="Y70">
        <f>Table714[[#This Row],[X]]</f>
        <v>18</v>
      </c>
      <c r="Z70" s="2">
        <f>Table714[[#This Row],[Column1]]</f>
        <v>8.2578662735800553E-3</v>
      </c>
      <c r="AA70">
        <v>0.15</v>
      </c>
      <c r="AD70" s="6">
        <v>18</v>
      </c>
      <c r="AE70" s="11">
        <f>(1-_xlfn.NORM.DIST(Table14[[#This Row],[X]],$AB$44,$AB$46,TRUE))/$AE$52</f>
        <v>0.78668420896190072</v>
      </c>
      <c r="AF70" s="8">
        <f>Table14[[#This Row],[Column1]]*Table7[[#This Row],[Octane]]</f>
        <v>1.3936907059712118</v>
      </c>
      <c r="AG70" s="8">
        <f>Table14[[#This Row],[Column1]]*Table7[[#This Row],[Hybrid]]</f>
        <v>1.3929825662738446</v>
      </c>
      <c r="AH70" s="8">
        <f>Table14[[#This Row],[Column1]]*Table7[[#This Row],[Dominus]]</f>
        <v>1.3945563153952107</v>
      </c>
      <c r="AI70" s="8">
        <f>Table14[[#This Row],[Column1]]*Table7[[#This Row],[Plank]]</f>
        <v>1.3739442975170804</v>
      </c>
      <c r="AJ70" s="8">
        <f>Table14[[#This Row],[Column1]]*Table7[[#This Row],[Batmobile]]</f>
        <v>1.3622225693204124</v>
      </c>
      <c r="AK70" s="8">
        <f>Table14[[#This Row],[Column1]]*Table7[[#This Row],[Breakout]]</f>
        <v>1.3702475894482626</v>
      </c>
      <c r="AL70" s="3">
        <f>Table14[[#This Row],[Column1]]-AE71</f>
        <v>1.4830051799842092E-2</v>
      </c>
      <c r="AW70" s="11">
        <v>0</v>
      </c>
      <c r="AX70" s="2">
        <f>(Table7[[#This Row],[Hybrid]]-Table7[[#This Row],[Octane]])/$B$245</f>
        <v>-4.5405170601072191E-4</v>
      </c>
      <c r="AY70" s="2">
        <f>(Table7[[#This Row],[Dominus]]-Table7[[#This Row],[Octane]])/$B$245</f>
        <v>5.550196340736533E-4</v>
      </c>
      <c r="AZ70" s="2">
        <f>(Table7[[#This Row],[Plank]]-Table7[[#This Row],[Octane]])/$B$245</f>
        <v>-1.2661188857959627E-2</v>
      </c>
      <c r="BA70" s="2">
        <f>(Table7[[#This Row],[Batmobile]]-Table7[[#This Row],[Octane]])/$B$245</f>
        <v>-2.0177037361976301E-2</v>
      </c>
      <c r="BB70" s="2">
        <f>(Table7[[#This Row],[Breakout]]-Table7[[#This Row],[Octane]])/$B$245</f>
        <v>-1.5031479086725447E-2</v>
      </c>
      <c r="BC70" s="2"/>
    </row>
    <row r="71" spans="1:55">
      <c r="A71" s="1">
        <v>0.15833333333333299</v>
      </c>
      <c r="B71" s="13">
        <f>Octane[[#This Row],[angvel_total]]</f>
        <v>1.7923012079446914</v>
      </c>
      <c r="C71" s="13">
        <f>Hybrid[[#This Row],[angvel_total]]</f>
        <v>1.7943009641640391</v>
      </c>
      <c r="D71" s="13">
        <f>Dominus[[#This Row],[angvel_total]]</f>
        <v>1.7971012575812193</v>
      </c>
      <c r="E71" s="13">
        <f>Plank[[#This Row],[angvel_total]]</f>
        <v>1.7715004628845008</v>
      </c>
      <c r="F71" s="13">
        <f>Batmobile[[#This Row],[angvel_total]]</f>
        <v>1.7558002790750433</v>
      </c>
      <c r="G71" s="13">
        <f>Breakout[[#This Row],[angvel_total]]</f>
        <v>1.7673010439650625</v>
      </c>
      <c r="I71" s="2">
        <f>Table7[[#This Row],[Hybrid]]/Table7[[#This Row],[Octane]] - 1</f>
        <v>1.1157478500172235E-3</v>
      </c>
      <c r="J71" s="2">
        <f>Table7[[#This Row],[Dominus]]/Table7[[#This Row],[Octane]] - 1</f>
        <v>2.6781489714178264E-3</v>
      </c>
      <c r="K71" s="2">
        <f>Table7[[#This Row],[Plank]]/Table7[[#This Row],[Octane]] - 1</f>
        <v>-1.1605607901165049E-2</v>
      </c>
      <c r="L71" s="2">
        <f>Table7[[#This Row],[Batmobile]]/Table7[[#This Row],[Octane]] - 1</f>
        <v>-2.0365398800074042E-2</v>
      </c>
      <c r="M71" s="2">
        <f>Table7[[#This Row],[Breakout]]/Table7[[#This Row],[Octane]] - 1</f>
        <v>-1.3948639809431174E-2</v>
      </c>
      <c r="N71" s="2">
        <f>Table7[[#This Row],[Breakout]]/Table7[[#This Row],[Plank]] - 1</f>
        <v>-2.3705435067177261E-3</v>
      </c>
      <c r="P71" s="6">
        <v>19</v>
      </c>
      <c r="Q71" s="4">
        <f>(1-$Y$4)*Q72+$Y$4*Table7[[#This Row],[Octane]]</f>
        <v>1.8558210517799028</v>
      </c>
      <c r="R71" s="4">
        <f>(1-$Y$4)*R72+$Y$4*Table7[[#This Row],[Hybrid]]</f>
        <v>1.8690885877046537</v>
      </c>
      <c r="S71" s="4">
        <f>(1-$Y$4)*S72+$Y$4*Table7[[#This Row],[Dominus]]</f>
        <v>1.8751001500257327</v>
      </c>
      <c r="T71" s="4">
        <f>(1-$Y$4)*T72+$Y$4*Table7[[#This Row],[Plank]]</f>
        <v>1.8520488957363856</v>
      </c>
      <c r="U71" s="4">
        <f>(1-$Y$4)*U72+$Y$4*Table7[[#This Row],[Batmobile]]</f>
        <v>1.8328033897907146</v>
      </c>
      <c r="V71" s="4">
        <f>(1-$Y$4)*V72+$Y$4*Table7[[#This Row],[Breakout]]</f>
        <v>1.8513035621163083</v>
      </c>
      <c r="W71" s="11">
        <f>POWER((1-$Y$4),Table714[[#This Row],[X]]-1)*$Y$4</f>
        <v>6.936607669807247E-3</v>
      </c>
      <c r="Y71">
        <f>Table714[[#This Row],[X]]</f>
        <v>19</v>
      </c>
      <c r="Z71" s="2">
        <f>Table714[[#This Row],[Column1]]</f>
        <v>6.936607669807247E-3</v>
      </c>
      <c r="AA71">
        <v>0.15833333333333299</v>
      </c>
      <c r="AD71" s="6">
        <v>19</v>
      </c>
      <c r="AE71" s="11">
        <f>(1-_xlfn.NORM.DIST(Table14[[#This Row],[X]],$AB$44,$AB$46,TRUE))/$AE$52</f>
        <v>0.77185415716205863</v>
      </c>
      <c r="AF71" s="8">
        <f>Table14[[#This Row],[Column1]]*Table7[[#This Row],[Octane]]</f>
        <v>1.3833951382386893</v>
      </c>
      <c r="AG71" s="8">
        <f>Table14[[#This Row],[Column1]]*Table7[[#This Row],[Hybrid]]</f>
        <v>1.3849386583899035</v>
      </c>
      <c r="AH71" s="8">
        <f>Table14[[#This Row],[Column1]]*Table7[[#This Row],[Dominus]]</f>
        <v>1.3871000765052277</v>
      </c>
      <c r="AI71" s="8">
        <f>Table14[[#This Row],[Column1]]*Table7[[#This Row],[Plank]]</f>
        <v>1.3673399966919131</v>
      </c>
      <c r="AJ71" s="8">
        <f>Table14[[#This Row],[Column1]]*Table7[[#This Row],[Batmobile]]</f>
        <v>1.3552217445503749</v>
      </c>
      <c r="AK71" s="8">
        <f>Table14[[#This Row],[Column1]]*Table7[[#This Row],[Breakout]]</f>
        <v>1.3640986577412797</v>
      </c>
      <c r="AL71" s="3">
        <f>Table14[[#This Row],[Column1]]-AE72</f>
        <v>1.5012403203111702E-2</v>
      </c>
      <c r="AW71" s="11">
        <v>0</v>
      </c>
      <c r="AX71" s="2">
        <f>(Table7[[#This Row],[Hybrid]]-Table7[[#This Row],[Octane]])/$B$245</f>
        <v>1.0087042707710716E-3</v>
      </c>
      <c r="AY71" s="2">
        <f>(Table7[[#This Row],[Dominus]]-Table7[[#This Row],[Octane]])/$B$245</f>
        <v>2.421210406265552E-3</v>
      </c>
      <c r="AZ71" s="2">
        <f>(Table7[[#This Row],[Plank]]-Table7[[#This Row],[Octane]])/$B$245</f>
        <v>-1.0492179083847968E-2</v>
      </c>
      <c r="BA71" s="2">
        <f>(Table7[[#This Row],[Batmobile]]-Table7[[#This Row],[Octane]])/$B$245</f>
        <v>-1.8411565610700047E-2</v>
      </c>
      <c r="BB71" s="2">
        <f>(Table7[[#This Row],[Breakout]]-Table7[[#This Row],[Octane]])/$B$245</f>
        <v>-1.2610423176708475E-2</v>
      </c>
      <c r="BC71" s="2"/>
    </row>
    <row r="72" spans="1:55">
      <c r="A72" s="1">
        <v>0.16666666666666699</v>
      </c>
      <c r="B72" s="13">
        <f>Octane[[#This Row],[angvel_total]]</f>
        <v>1.810801104483869</v>
      </c>
      <c r="C72" s="13">
        <f>Hybrid[[#This Row],[angvel_total]]</f>
        <v>1.8156008729894355</v>
      </c>
      <c r="D72" s="13">
        <f>Dominus[[#This Row],[angvel_total]]</f>
        <v>1.8191010032430854</v>
      </c>
      <c r="E72" s="13">
        <f>Plank[[#This Row],[angvel_total]]</f>
        <v>1.7941004570536176</v>
      </c>
      <c r="F72" s="13">
        <f>Batmobile[[#This Row],[angvel_total]]</f>
        <v>1.7776002756525437</v>
      </c>
      <c r="G72" s="13">
        <f>Breakout[[#This Row],[angvel_total]]</f>
        <v>1.7905008098294735</v>
      </c>
      <c r="I72" s="2">
        <f>Table7[[#This Row],[Hybrid]]/Table7[[#This Row],[Octane]] - 1</f>
        <v>2.6506326363957555E-3</v>
      </c>
      <c r="J72" s="2">
        <f>Table7[[#This Row],[Dominus]]/Table7[[#This Row],[Octane]] - 1</f>
        <v>4.5835507492593131E-3</v>
      </c>
      <c r="K72" s="2">
        <f>Table7[[#This Row],[Plank]]/Table7[[#This Row],[Octane]] - 1</f>
        <v>-9.2227950319323515E-3</v>
      </c>
      <c r="L72" s="2">
        <f>Table7[[#This Row],[Batmobile]]/Table7[[#This Row],[Octane]] - 1</f>
        <v>-1.8334884349868186E-2</v>
      </c>
      <c r="M72" s="2">
        <f>Table7[[#This Row],[Breakout]]/Table7[[#This Row],[Octane]] - 1</f>
        <v>-1.1210670572338599E-2</v>
      </c>
      <c r="N72" s="2">
        <f>Table7[[#This Row],[Breakout]]/Table7[[#This Row],[Plank]] - 1</f>
        <v>-2.0063799716408814E-3</v>
      </c>
      <c r="P72" s="6">
        <v>20</v>
      </c>
      <c r="Q72" s="4">
        <f>(1-$Y$4)*Q73+$Y$4*Table7[[#This Row],[Octane]]</f>
        <v>1.8679200696532765</v>
      </c>
      <c r="R72" s="4">
        <f>(1-$Y$4)*R73+$Y$4*Table7[[#This Row],[Hybrid]]</f>
        <v>1.8833338493314375</v>
      </c>
      <c r="S72" s="4">
        <f>(1-$Y$4)*S73+$Y$4*Table7[[#This Row],[Dominus]]</f>
        <v>1.8899570819199258</v>
      </c>
      <c r="T72" s="4">
        <f>(1-$Y$4)*T73+$Y$4*Table7[[#This Row],[Plank]]</f>
        <v>1.86739145437484</v>
      </c>
      <c r="U72" s="4">
        <f>(1-$Y$4)*U73+$Y$4*Table7[[#This Row],[Batmobile]]</f>
        <v>1.8474706489746522</v>
      </c>
      <c r="V72" s="4">
        <f>(1-$Y$4)*V73+$Y$4*Table7[[#This Row],[Breakout]]</f>
        <v>1.8673040417641646</v>
      </c>
      <c r="W72" s="11">
        <f>POWER((1-$Y$4),Table714[[#This Row],[X]]-1)*$Y$4</f>
        <v>5.8267504426380871E-3</v>
      </c>
      <c r="Y72">
        <f>Table714[[#This Row],[X]]</f>
        <v>20</v>
      </c>
      <c r="Z72" s="2">
        <f>Table714[[#This Row],[Column1]]</f>
        <v>5.8267504426380871E-3</v>
      </c>
      <c r="AA72">
        <v>0.16666666666666699</v>
      </c>
      <c r="AD72" s="6">
        <v>20</v>
      </c>
      <c r="AE72" s="11">
        <f>(1-_xlfn.NORM.DIST(Table14[[#This Row],[X]],$AB$44,$AB$46,TRUE))/$AE$52</f>
        <v>0.75684175395894693</v>
      </c>
      <c r="AF72" s="8">
        <f>Table14[[#This Row],[Column1]]*Table7[[#This Row],[Octane]]</f>
        <v>1.3704898839883697</v>
      </c>
      <c r="AG72" s="8">
        <f>Table14[[#This Row],[Column1]]*Table7[[#This Row],[Hybrid]]</f>
        <v>1.3741225492027196</v>
      </c>
      <c r="AH72" s="8">
        <f>Table14[[#This Row],[Column1]]*Table7[[#This Row],[Dominus]]</f>
        <v>1.3767715939229768</v>
      </c>
      <c r="AI72" s="8">
        <f>Table14[[#This Row],[Column1]]*Table7[[#This Row],[Plank]]</f>
        <v>1.3578501366950084</v>
      </c>
      <c r="AJ72" s="8">
        <f>Table14[[#This Row],[Column1]]*Table7[[#This Row],[Batmobile]]</f>
        <v>1.3453621104627786</v>
      </c>
      <c r="AK72" s="8">
        <f>Table14[[#This Row],[Column1]]*Table7[[#This Row],[Breakout]]</f>
        <v>1.3551257733762536</v>
      </c>
      <c r="AL72" s="3">
        <f>Table14[[#This Row],[Column1]]-AE73</f>
        <v>1.5180122199641044E-2</v>
      </c>
      <c r="AW72" s="11">
        <v>0</v>
      </c>
      <c r="AX72" s="2">
        <f>(Table7[[#This Row],[Hybrid]]-Table7[[#This Row],[Octane]])/$B$245</f>
        <v>2.4210685999800328E-3</v>
      </c>
      <c r="AY72" s="2">
        <f>(Table7[[#This Row],[Dominus]]-Table7[[#This Row],[Octane]])/$B$245</f>
        <v>4.1865819665359875E-3</v>
      </c>
      <c r="AZ72" s="2">
        <f>(Table7[[#This Row],[Plank]]-Table7[[#This Row],[Octane]])/$B$245</f>
        <v>-8.4240340020203582E-3</v>
      </c>
      <c r="BA72" s="2">
        <f>(Table7[[#This Row],[Batmobile]]-Table7[[#This Row],[Octane]])/$B$245</f>
        <v>-1.6746950208871778E-2</v>
      </c>
      <c r="BB72" s="2">
        <f>(Table7[[#This Row],[Breakout]]-Table7[[#This Row],[Octane]])/$B$245</f>
        <v>-1.023974508376807E-2</v>
      </c>
      <c r="BC72" s="2"/>
    </row>
    <row r="73" spans="1:55">
      <c r="A73" s="1">
        <v>0.17499999999999999</v>
      </c>
      <c r="B73" s="13">
        <f>Octane[[#This Row],[angvel_total]]</f>
        <v>1.8274009302832259</v>
      </c>
      <c r="C73" s="13">
        <f>Hybrid[[#This Row],[angvel_total]]</f>
        <v>1.8348007902766992</v>
      </c>
      <c r="D73" s="13">
        <f>Dominus[[#This Row],[angvel_total]]</f>
        <v>1.8390007830340909</v>
      </c>
      <c r="E73" s="13">
        <f>Plank[[#This Row],[angvel_total]]</f>
        <v>1.8146004518901673</v>
      </c>
      <c r="F73" s="13">
        <f>Batmobile[[#This Row],[angvel_total]]</f>
        <v>1.7973002726311482</v>
      </c>
      <c r="G73" s="13">
        <f>Breakout[[#This Row],[angvel_total]]</f>
        <v>1.8116006099579456</v>
      </c>
      <c r="I73" s="2">
        <f>Table7[[#This Row],[Hybrid]]/Table7[[#This Row],[Octane]] - 1</f>
        <v>4.0493905146072873E-3</v>
      </c>
      <c r="J73" s="2">
        <f>Table7[[#This Row],[Dominus]]/Table7[[#This Row],[Octane]] - 1</f>
        <v>6.3477327600283129E-3</v>
      </c>
      <c r="K73" s="2">
        <f>Table7[[#This Row],[Plank]]/Table7[[#This Row],[Octane]] - 1</f>
        <v>-7.0047454726176461E-3</v>
      </c>
      <c r="L73" s="2">
        <f>Table7[[#This Row],[Batmobile]]/Table7[[#This Row],[Octane]] - 1</f>
        <v>-1.6471841046623803E-2</v>
      </c>
      <c r="M73" s="2">
        <f>Table7[[#This Row],[Breakout]]/Table7[[#This Row],[Octane]] - 1</f>
        <v>-8.6463348373317928E-3</v>
      </c>
      <c r="N73" s="2">
        <f>Table7[[#This Row],[Breakout]]/Table7[[#This Row],[Plank]] - 1</f>
        <v>-1.6531693955531557E-3</v>
      </c>
      <c r="P73" s="6">
        <v>21</v>
      </c>
      <c r="Q73" s="4">
        <f>(1-$Y$4)*Q74+$Y$4*Table7[[#This Row],[Octane]]</f>
        <v>1.8787998725426873</v>
      </c>
      <c r="R73" s="4">
        <f>(1-$Y$4)*R74+$Y$4*Table7[[#This Row],[Hybrid]]</f>
        <v>1.896235368634676</v>
      </c>
      <c r="S73" s="4">
        <f>(1-$Y$4)*S74+$Y$4*Table7[[#This Row],[Dominus]]</f>
        <v>1.9034534778583716</v>
      </c>
      <c r="T73" s="4">
        <f>(1-$Y$4)*T74+$Y$4*Table7[[#This Row],[Plank]]</f>
        <v>1.8813516443407874</v>
      </c>
      <c r="U73" s="4">
        <f>(1-$Y$4)*U74+$Y$4*Table7[[#This Row],[Batmobile]]</f>
        <v>1.8607792915121968</v>
      </c>
      <c r="V73" s="4">
        <f>(1-$Y$4)*V74+$Y$4*Table7[[#This Row],[Breakout]]</f>
        <v>1.881933228799344</v>
      </c>
      <c r="W73" s="11">
        <f>POWER((1-$Y$4),Table714[[#This Row],[X]]-1)*$Y$4</f>
        <v>4.8944703718159926E-3</v>
      </c>
      <c r="Y73">
        <f>Table714[[#This Row],[X]]</f>
        <v>21</v>
      </c>
      <c r="Z73" s="2">
        <f>Table714[[#This Row],[Column1]]</f>
        <v>4.8944703718159926E-3</v>
      </c>
      <c r="AA73">
        <v>0.17499999999999999</v>
      </c>
      <c r="AD73" s="6">
        <v>21</v>
      </c>
      <c r="AE73" s="11">
        <f>(1-_xlfn.NORM.DIST(Table14[[#This Row],[X]],$AB$44,$AB$46,TRUE))/$AE$52</f>
        <v>0.74166163175930588</v>
      </c>
      <c r="AF73" s="8">
        <f>Table14[[#This Row],[Column1]]*Table7[[#This Row],[Octane]]</f>
        <v>1.3553131558323308</v>
      </c>
      <c r="AG73" s="8">
        <f>Table14[[#This Row],[Column1]]*Table7[[#This Row],[Hybrid]]</f>
        <v>1.3608013480698806</v>
      </c>
      <c r="AH73" s="8">
        <f>Table14[[#This Row],[Column1]]*Table7[[#This Row],[Dominus]]</f>
        <v>1.3639163215517052</v>
      </c>
      <c r="AI73" s="8">
        <f>Table14[[#This Row],[Column1]]*Table7[[#This Row],[Plank]]</f>
        <v>1.3458195321400352</v>
      </c>
      <c r="AJ73" s="8">
        <f>Table14[[#This Row],[Column1]]*Table7[[#This Row],[Batmobile]]</f>
        <v>1.3329886529610626</v>
      </c>
      <c r="AK73" s="8">
        <f>Table14[[#This Row],[Column1]]*Table7[[#This Row],[Breakout]]</f>
        <v>1.3435946644775638</v>
      </c>
      <c r="AL73" s="3">
        <f>Table14[[#This Row],[Column1]]-AE74</f>
        <v>1.5332670767731038E-2</v>
      </c>
      <c r="AW73" s="11">
        <v>0</v>
      </c>
      <c r="AX73" s="2">
        <f>(Table7[[#This Row],[Hybrid]]-Table7[[#This Row],[Octane]])/$B$245</f>
        <v>3.7325901558937758E-3</v>
      </c>
      <c r="AY73" s="2">
        <f>(Table7[[#This Row],[Dominus]]-Table7[[#This Row],[Octane]])/$B$245</f>
        <v>5.8511237004327948E-3</v>
      </c>
      <c r="AZ73" s="2">
        <f>(Table7[[#This Row],[Plank]]-Table7[[#This Row],[Octane]])/$B$245</f>
        <v>-6.4567356251068438E-3</v>
      </c>
      <c r="BA73" s="2">
        <f>(Table7[[#This Row],[Batmobile]]-Table7[[#This Row],[Octane]])/$B$245</f>
        <v>-1.5183181646297445E-2</v>
      </c>
      <c r="BB73" s="2">
        <f>(Table7[[#This Row],[Breakout]]-Table7[[#This Row],[Octane]])/$B$245</f>
        <v>-7.9698967491448752E-3</v>
      </c>
      <c r="BC73" s="2"/>
    </row>
    <row r="74" spans="1:55">
      <c r="A74" s="1">
        <v>0.18333333333333299</v>
      </c>
      <c r="B74" s="13">
        <f>Octane[[#This Row],[angvel_total]]</f>
        <v>1.8423007816314902</v>
      </c>
      <c r="C74" s="13">
        <f>Hybrid[[#This Row],[angvel_total]]</f>
        <v>1.8521007154039977</v>
      </c>
      <c r="D74" s="13">
        <f>Dominus[[#This Row],[angvel_total]]</f>
        <v>1.8571007134778661</v>
      </c>
      <c r="E74" s="13">
        <f>Plank[[#This Row],[angvel_total]]</f>
        <v>1.8332004473052039</v>
      </c>
      <c r="F74" s="13">
        <f>Batmobile[[#This Row],[angvel_total]]</f>
        <v>1.8151002699575578</v>
      </c>
      <c r="G74" s="13">
        <f>Breakout[[#This Row],[angvel_total]]</f>
        <v>1.8309004424053208</v>
      </c>
      <c r="I74" s="2">
        <f>Table7[[#This Row],[Hybrid]]/Table7[[#This Row],[Octane]] - 1</f>
        <v>5.3193994543219159E-3</v>
      </c>
      <c r="J74" s="2">
        <f>Table7[[#This Row],[Dominus]]/Table7[[#This Row],[Octane]] - 1</f>
        <v>8.0333960631930879E-3</v>
      </c>
      <c r="K74" s="2">
        <f>Table7[[#This Row],[Plank]]/Table7[[#This Row],[Octane]] - 1</f>
        <v>-4.9396572031128461E-3</v>
      </c>
      <c r="L74" s="2">
        <f>Table7[[#This Row],[Batmobile]]/Table7[[#This Row],[Octane]] - 1</f>
        <v>-1.4764424976167256E-2</v>
      </c>
      <c r="M74" s="2">
        <f>Table7[[#This Row],[Breakout]]/Table7[[#This Row],[Octane]] - 1</f>
        <v>-6.1880987837792389E-3</v>
      </c>
      <c r="N74" s="2">
        <f>Table7[[#This Row],[Breakout]]/Table7[[#This Row],[Plank]] - 1</f>
        <v>-1.2546390675739483E-3</v>
      </c>
      <c r="P74" s="6">
        <v>22</v>
      </c>
      <c r="Q74" s="4">
        <f>(1-$Y$4)*Q75+$Y$4*Table7[[#This Row],[Octane]]</f>
        <v>1.8885901472587752</v>
      </c>
      <c r="R74" s="4">
        <f>(1-$Y$4)*R75+$Y$4*Table7[[#This Row],[Hybrid]]</f>
        <v>1.9079371930838147</v>
      </c>
      <c r="S74" s="4">
        <f>(1-$Y$4)*S75+$Y$4*Table7[[#This Row],[Dominus]]</f>
        <v>1.9157301816344252</v>
      </c>
      <c r="T74" s="4">
        <f>(1-$Y$4)*T75+$Y$4*Table7[[#This Row],[Plank]]</f>
        <v>1.8940661571885249</v>
      </c>
      <c r="U74" s="4">
        <f>(1-$Y$4)*U75+$Y$4*Table7[[#This Row],[Batmobile]]</f>
        <v>1.8728705332038251</v>
      </c>
      <c r="V74" s="4">
        <f>(1-$Y$4)*V75+$Y$4*Table7[[#This Row],[Breakout]]</f>
        <v>1.8953299181024674</v>
      </c>
      <c r="W74" s="11">
        <f>POWER((1-$Y$4),Table714[[#This Row],[X]]-1)*$Y$4</f>
        <v>4.1113551123254334E-3</v>
      </c>
      <c r="Y74">
        <f>Table714[[#This Row],[X]]</f>
        <v>22</v>
      </c>
      <c r="Z74" s="2">
        <f>Table714[[#This Row],[Column1]]</f>
        <v>4.1113551123254334E-3</v>
      </c>
      <c r="AA74">
        <v>0.18333333333333299</v>
      </c>
      <c r="AD74" s="6">
        <v>22</v>
      </c>
      <c r="AE74" s="11">
        <f>(1-_xlfn.NORM.DIST(Table14[[#This Row],[X]],$AB$44,$AB$46,TRUE))/$AE$52</f>
        <v>0.72632896099157485</v>
      </c>
      <c r="AF74" s="8">
        <f>Table14[[#This Row],[Column1]]*Table7[[#This Row],[Octane]]</f>
        <v>1.3381164125563665</v>
      </c>
      <c r="AG74" s="8">
        <f>Table14[[#This Row],[Column1]]*Table7[[#This Row],[Hybrid]]</f>
        <v>1.3452343882711382</v>
      </c>
      <c r="AH74" s="8">
        <f>Table14[[#This Row],[Column1]]*Table7[[#This Row],[Dominus]]</f>
        <v>1.3488660316770908</v>
      </c>
      <c r="AI74" s="8">
        <f>Table14[[#This Row],[Column1]]*Table7[[#This Row],[Plank]]</f>
        <v>1.331506576180479</v>
      </c>
      <c r="AJ74" s="8">
        <f>Table14[[#This Row],[Column1]]*Table7[[#This Row],[Batmobile]]</f>
        <v>1.3183598931737999</v>
      </c>
      <c r="AK74" s="8">
        <f>Table14[[#This Row],[Column1]]*Table7[[#This Row],[Breakout]]</f>
        <v>1.3298360160112714</v>
      </c>
      <c r="AL74" s="3">
        <f>Table14[[#This Row],[Column1]]-AE75</f>
        <v>1.546955597680133E-2</v>
      </c>
      <c r="AW74" s="11">
        <v>0</v>
      </c>
      <c r="AX74" s="2">
        <f>(Table7[[#This Row],[Hybrid]]-Table7[[#This Row],[Octane]])/$B$245</f>
        <v>4.9432200555058221E-3</v>
      </c>
      <c r="AY74" s="2">
        <f>(Table7[[#This Row],[Dominus]]-Table7[[#This Row],[Octane]])/$B$245</f>
        <v>7.4652871765689202E-3</v>
      </c>
      <c r="AZ74" s="2">
        <f>(Table7[[#This Row],[Plank]]-Table7[[#This Row],[Octane]])/$B$245</f>
        <v>-4.5903325673186321E-3</v>
      </c>
      <c r="BA74" s="2">
        <f>(Table7[[#This Row],[Batmobile]]-Table7[[#This Row],[Octane]])/$B$245</f>
        <v>-1.3720308519207514E-2</v>
      </c>
      <c r="BB74" s="2">
        <f>(Table7[[#This Row],[Breakout]]-Table7[[#This Row],[Octane]])/$B$245</f>
        <v>-5.75048636149626E-3</v>
      </c>
      <c r="BC74" s="2"/>
    </row>
    <row r="75" spans="1:55">
      <c r="A75" s="1">
        <v>0.19166666666666701</v>
      </c>
      <c r="B75" s="13">
        <f>Octane[[#This Row],[angvel_total]]</f>
        <v>1.8557007140161368</v>
      </c>
      <c r="C75" s="13">
        <f>Hybrid[[#This Row],[angvel_total]]</f>
        <v>1.8678006478208533</v>
      </c>
      <c r="D75" s="13">
        <f>Dominus[[#This Row],[angvel_total]]</f>
        <v>1.8735005898050845</v>
      </c>
      <c r="E75" s="13">
        <f>Plank[[#This Row],[angvel_total]]</f>
        <v>1.8501004432192325</v>
      </c>
      <c r="F75" s="13">
        <f>Batmobile[[#This Row],[angvel_total]]</f>
        <v>1.8313002675694665</v>
      </c>
      <c r="G75" s="13">
        <f>Breakout[[#This Row],[angvel_total]]</f>
        <v>1.8485003922098584</v>
      </c>
      <c r="I75" s="2">
        <f>Table7[[#This Row],[Hybrid]]/Table7[[#This Row],[Octane]] - 1</f>
        <v>6.5204123236712874E-3</v>
      </c>
      <c r="J75" s="2">
        <f>Table7[[#This Row],[Dominus]]/Table7[[#This Row],[Octane]] - 1</f>
        <v>9.5919970577718061E-3</v>
      </c>
      <c r="K75" s="2">
        <f>Table7[[#This Row],[Plank]]/Table7[[#This Row],[Octane]] - 1</f>
        <v>-3.0178739247149755E-3</v>
      </c>
      <c r="L75" s="2">
        <f>Table7[[#This Row],[Batmobile]]/Table7[[#This Row],[Octane]] - 1</f>
        <v>-1.3148912571069982E-2</v>
      </c>
      <c r="M75" s="2">
        <f>Table7[[#This Row],[Breakout]]/Table7[[#This Row],[Octane]] - 1</f>
        <v>-3.8801094119834678E-3</v>
      </c>
      <c r="N75" s="2">
        <f>Table7[[#This Row],[Breakout]]/Table7[[#This Row],[Plank]] - 1</f>
        <v>-8.6484548189713628E-4</v>
      </c>
      <c r="P75" s="6">
        <v>23</v>
      </c>
      <c r="Q75" s="4">
        <f>(1-$Y$4)*Q76+$Y$4*Table7[[#This Row],[Octane]]</f>
        <v>1.8974071692830201</v>
      </c>
      <c r="R75" s="4">
        <f>(1-$Y$4)*R76+$Y$4*Table7[[#This Row],[Hybrid]]</f>
        <v>1.918572712641875</v>
      </c>
      <c r="S75" s="4">
        <f>(1-$Y$4)*S76+$Y$4*Table7[[#This Row],[Dominus]]</f>
        <v>1.9268976993785318</v>
      </c>
      <c r="T75" s="4">
        <f>(1-$Y$4)*T76+$Y$4*Table7[[#This Row],[Plank]]</f>
        <v>1.905659625737729</v>
      </c>
      <c r="U75" s="4">
        <f>(1-$Y$4)*U76+$Y$4*Table7[[#This Row],[Batmobile]]</f>
        <v>1.883874392869781</v>
      </c>
      <c r="V75" s="4">
        <f>(1-$Y$4)*V76+$Y$4*Table7[[#This Row],[Breakout]]</f>
        <v>1.9076021991876382</v>
      </c>
      <c r="W75" s="11">
        <f>POWER((1-$Y$4),Table714[[#This Row],[X]]-1)*$Y$4</f>
        <v>3.4535382943533637E-3</v>
      </c>
      <c r="Y75">
        <f>Table714[[#This Row],[X]]</f>
        <v>23</v>
      </c>
      <c r="Z75" s="2">
        <f>Table714[[#This Row],[Column1]]</f>
        <v>3.4535382943533637E-3</v>
      </c>
      <c r="AA75">
        <v>0.19166666666666701</v>
      </c>
      <c r="AD75" s="6">
        <v>23</v>
      </c>
      <c r="AE75" s="11">
        <f>(1-_xlfn.NORM.DIST(Table14[[#This Row],[X]],$AB$44,$AB$46,TRUE))/$AE$52</f>
        <v>0.71085940501477352</v>
      </c>
      <c r="AF75" s="8">
        <f>Table14[[#This Row],[Column1]]*Table7[[#This Row],[Octane]]</f>
        <v>1.3191423054510014</v>
      </c>
      <c r="AG75" s="8">
        <f>Table14[[#This Row],[Column1]]*Table7[[#This Row],[Hybrid]]</f>
        <v>1.3277436571961403</v>
      </c>
      <c r="AH75" s="8">
        <f>Table14[[#This Row],[Column1]]*Table7[[#This Row],[Dominus]]</f>
        <v>1.3317955145636695</v>
      </c>
      <c r="AI75" s="8">
        <f>Table14[[#This Row],[Column1]]*Table7[[#This Row],[Plank]]</f>
        <v>1.3151613002843925</v>
      </c>
      <c r="AJ75" s="8">
        <f>Table14[[#This Row],[Column1]]*Table7[[#This Row],[Batmobile]]</f>
        <v>1.3017970186078265</v>
      </c>
      <c r="AK75" s="8">
        <f>Table14[[#This Row],[Column1]]*Table7[[#This Row],[Breakout]]</f>
        <v>1.3140238889758755</v>
      </c>
      <c r="AL75" s="3">
        <f>Table14[[#This Row],[Column1]]-AE76</f>
        <v>1.5590332640103011E-2</v>
      </c>
      <c r="AW75" s="11">
        <v>0</v>
      </c>
      <c r="AX75" s="2">
        <f>(Table7[[#This Row],[Hybrid]]-Table7[[#This Row],[Octane]])/$B$245</f>
        <v>6.1033713943623733E-3</v>
      </c>
      <c r="AY75" s="2">
        <f>(Table7[[#This Row],[Dominus]]-Table7[[#This Row],[Octane]])/$B$245</f>
        <v>8.9784997560168056E-3</v>
      </c>
      <c r="AZ75" s="2">
        <f>(Table7[[#This Row],[Plank]]-Table7[[#This Row],[Octane]])/$B$245</f>
        <v>-2.8248528573920867E-3</v>
      </c>
      <c r="BA75" s="2">
        <f>(Table7[[#This Row],[Batmobile]]-Table7[[#This Row],[Octane]])/$B$245</f>
        <v>-1.230791748581532E-2</v>
      </c>
      <c r="BB75" s="2">
        <f>(Table7[[#This Row],[Breakout]]-Table7[[#This Row],[Octane]])/$B$245</f>
        <v>-3.6319403768566893E-3</v>
      </c>
      <c r="BC75" s="2"/>
    </row>
    <row r="76" spans="1:55">
      <c r="A76" s="1">
        <v>0.2</v>
      </c>
      <c r="B76" s="13">
        <f>Octane[[#This Row],[angvel_total]]</f>
        <v>1.867700653209716</v>
      </c>
      <c r="C76" s="13">
        <f>Hybrid[[#This Row],[angvel_total]]</f>
        <v>1.8820005871412473</v>
      </c>
      <c r="D76" s="13">
        <f>Dominus[[#This Row],[angvel_total]]</f>
        <v>1.8884004792416254</v>
      </c>
      <c r="E76" s="13">
        <f>Plank[[#This Row],[angvel_total]]</f>
        <v>1.8655003993566981</v>
      </c>
      <c r="F76" s="13">
        <f>Batmobile[[#This Row],[angvel_total]]</f>
        <v>1.8460002654387675</v>
      </c>
      <c r="G76" s="13">
        <f>Breakout[[#This Row],[angvel_total]]</f>
        <v>1.8646003030140266</v>
      </c>
      <c r="I76" s="2">
        <f>Table7[[#This Row],[Hybrid]]/Table7[[#This Row],[Octane]] - 1</f>
        <v>7.6564378274197598E-3</v>
      </c>
      <c r="J76" s="2">
        <f>Table7[[#This Row],[Dominus]]/Table7[[#This Row],[Octane]] - 1</f>
        <v>1.1083053377068719E-2</v>
      </c>
      <c r="K76" s="2">
        <f>Table7[[#This Row],[Plank]]/Table7[[#This Row],[Octane]] - 1</f>
        <v>-1.1780548715002448E-3</v>
      </c>
      <c r="L76" s="2">
        <f>Table7[[#This Row],[Batmobile]]/Table7[[#This Row],[Octane]] - 1</f>
        <v>-1.1618771848505571E-2</v>
      </c>
      <c r="M76" s="2">
        <f>Table7[[#This Row],[Breakout]]/Table7[[#This Row],[Octane]] - 1</f>
        <v>-1.6599823908405309E-3</v>
      </c>
      <c r="N76" s="2">
        <f>Table7[[#This Row],[Breakout]]/Table7[[#This Row],[Plank]] - 1</f>
        <v>-4.8249592601634639E-4</v>
      </c>
      <c r="P76" s="6">
        <v>24</v>
      </c>
      <c r="Q76" s="4">
        <f>(1-$Y$4)*Q77+$Y$4*Table7[[#This Row],[Octane]]</f>
        <v>1.9053512560005217</v>
      </c>
      <c r="R76" s="4">
        <f>(1-$Y$4)*R77+$Y$4*Table7[[#This Row],[Hybrid]]</f>
        <v>1.9282435821315935</v>
      </c>
      <c r="S76" s="4">
        <f>(1-$Y$4)*S77+$Y$4*Table7[[#This Row],[Dominus]]</f>
        <v>1.937068577392522</v>
      </c>
      <c r="T76" s="4">
        <f>(1-$Y$4)*T77+$Y$4*Table7[[#This Row],[Plank]]</f>
        <v>1.9162423271698237</v>
      </c>
      <c r="U76" s="4">
        <f>(1-$Y$4)*U77+$Y$4*Table7[[#This Row],[Batmobile]]</f>
        <v>1.893888511974603</v>
      </c>
      <c r="V76" s="4">
        <f>(1-$Y$4)*V77+$Y$4*Table7[[#This Row],[Breakout]]</f>
        <v>1.9188596862310248</v>
      </c>
      <c r="W76" s="11">
        <f>POWER((1-$Y$4),Table714[[#This Row],[X]]-1)*$Y$4</f>
        <v>2.9009721672568255E-3</v>
      </c>
      <c r="Y76">
        <f>Table714[[#This Row],[X]]</f>
        <v>24</v>
      </c>
      <c r="Z76" s="2">
        <f>Table714[[#This Row],[Column1]]</f>
        <v>2.9009721672568255E-3</v>
      </c>
      <c r="AA76">
        <v>0.2</v>
      </c>
      <c r="AD76" s="6">
        <v>24</v>
      </c>
      <c r="AE76" s="11">
        <f>(1-_xlfn.NORM.DIST(Table14[[#This Row],[X]],$AB$44,$AB$46,TRUE))/$AE$52</f>
        <v>0.6952690723746705</v>
      </c>
      <c r="AF76" s="8">
        <f>Table14[[#This Row],[Column1]]*Table7[[#This Row],[Octane]]</f>
        <v>1.2985545006306853</v>
      </c>
      <c r="AG76" s="8">
        <f>Table14[[#This Row],[Column1]]*Table7[[#This Row],[Hybrid]]</f>
        <v>1.3084968024302803</v>
      </c>
      <c r="AH76" s="8">
        <f>Table14[[#This Row],[Column1]]*Table7[[#This Row],[Dominus]]</f>
        <v>1.312946449474208</v>
      </c>
      <c r="AI76" s="8">
        <f>Table14[[#This Row],[Column1]]*Table7[[#This Row],[Plank]]</f>
        <v>1.2970247321753088</v>
      </c>
      <c r="AJ76" s="8">
        <f>Table14[[#This Row],[Column1]]*Table7[[#This Row],[Batmobile]]</f>
        <v>1.2834668921550074</v>
      </c>
      <c r="AK76" s="8">
        <f>Table14[[#This Row],[Column1]]*Table7[[#This Row],[Breakout]]</f>
        <v>1.2963989230260917</v>
      </c>
      <c r="AL76" s="3">
        <f>Table14[[#This Row],[Column1]]-AE77</f>
        <v>1.5694605726385924E-2</v>
      </c>
      <c r="AW76" s="11">
        <v>0</v>
      </c>
      <c r="AX76" s="2">
        <f>(Table7[[#This Row],[Hybrid]]-Table7[[#This Row],[Octane]])/$B$245</f>
        <v>7.2130814190867094E-3</v>
      </c>
      <c r="AY76" s="2">
        <f>(Table7[[#This Row],[Dominus]]-Table7[[#This Row],[Octane]])/$B$245</f>
        <v>1.0441274151614496E-2</v>
      </c>
      <c r="AZ76" s="2">
        <f>(Table7[[#This Row],[Plank]]-Table7[[#This Row],[Octane]])/$B$245</f>
        <v>-1.1098380076765863E-3</v>
      </c>
      <c r="BA76" s="2">
        <f>(Table7[[#This Row],[Batmobile]]-Table7[[#This Row],[Octane]])/$B$245</f>
        <v>-1.0945971118961933E-2</v>
      </c>
      <c r="BB76" s="2">
        <f>(Table7[[#This Row],[Breakout]]-Table7[[#This Row],[Octane]])/$B$245</f>
        <v>-1.5638588609055639E-3</v>
      </c>
      <c r="BC76" s="2"/>
    </row>
    <row r="77" spans="1:55">
      <c r="A77" s="1">
        <v>0.20833333333333301</v>
      </c>
      <c r="B77" s="13">
        <f>Octane[[#This Row],[angvel_total]]</f>
        <v>1.8785005988819914</v>
      </c>
      <c r="C77" s="13">
        <f>Hybrid[[#This Row],[angvel_total]]</f>
        <v>1.8949004775977023</v>
      </c>
      <c r="D77" s="13">
        <f>Dominus[[#This Row],[angvel_total]]</f>
        <v>1.9019003811977113</v>
      </c>
      <c r="E77" s="13">
        <f>Plank[[#This Row],[angvel_total]]</f>
        <v>1.8795003963819745</v>
      </c>
      <c r="F77" s="13">
        <f>Batmobile[[#This Row],[angvel_total]]</f>
        <v>1.8593002285806346</v>
      </c>
      <c r="G77" s="13">
        <f>Breakout[[#This Row],[angvel_total]]</f>
        <v>1.8793002261480203</v>
      </c>
      <c r="I77" s="2">
        <f>Table7[[#This Row],[Hybrid]]/Table7[[#This Row],[Octane]] - 1</f>
        <v>8.7303026283149787E-3</v>
      </c>
      <c r="J77" s="2">
        <f>Table7[[#This Row],[Dominus]]/Table7[[#This Row],[Octane]] - 1</f>
        <v>1.2456627551594268E-2</v>
      </c>
      <c r="K77" s="2">
        <f>Table7[[#This Row],[Plank]]/Table7[[#This Row],[Octane]] - 1</f>
        <v>5.3223166422111667E-4</v>
      </c>
      <c r="L77" s="2">
        <f>Table7[[#This Row],[Batmobile]]/Table7[[#This Row],[Octane]] - 1</f>
        <v>-1.0221114815073262E-2</v>
      </c>
      <c r="M77" s="2">
        <f>Table7[[#This Row],[Breakout]]/Table7[[#This Row],[Octane]] - 1</f>
        <v>4.2567314937502765E-4</v>
      </c>
      <c r="N77" s="2">
        <f>Table7[[#This Row],[Breakout]]/Table7[[#This Row],[Plank]] - 1</f>
        <v>-1.0650183119920165E-4</v>
      </c>
      <c r="P77" s="6">
        <v>25</v>
      </c>
      <c r="Q77" s="4">
        <f>(1-$Y$4)*Q78+$Y$4*Table7[[#This Row],[Octane]]</f>
        <v>1.9125227993892464</v>
      </c>
      <c r="R77" s="4">
        <f>(1-$Y$4)*R78+$Y$4*Table7[[#This Row],[Hybrid]]</f>
        <v>1.9370517716535642</v>
      </c>
      <c r="S77" s="4">
        <f>(1-$Y$4)*S78+$Y$4*Table7[[#This Row],[Dominus]]</f>
        <v>1.9463386913260263</v>
      </c>
      <c r="T77" s="4">
        <f>(1-$Y$4)*T78+$Y$4*Table7[[#This Row],[Plank]]</f>
        <v>1.9259074562770857</v>
      </c>
      <c r="U77" s="4">
        <f>(1-$Y$4)*U78+$Y$4*Table7[[#This Row],[Batmobile]]</f>
        <v>1.9030100827433336</v>
      </c>
      <c r="V77" s="4">
        <f>(1-$Y$4)*V78+$Y$4*Table7[[#This Row],[Breakout]]</f>
        <v>1.9291948068437863</v>
      </c>
      <c r="W77" s="11">
        <f>POWER((1-$Y$4),Table714[[#This Row],[X]]-1)*$Y$4</f>
        <v>2.4368166204957334E-3</v>
      </c>
      <c r="Y77">
        <f>Table714[[#This Row],[X]]</f>
        <v>25</v>
      </c>
      <c r="Z77" s="2">
        <f>Table714[[#This Row],[Column1]]</f>
        <v>2.4368166204957334E-3</v>
      </c>
      <c r="AA77">
        <v>0.20833333333333301</v>
      </c>
      <c r="AD77" s="6">
        <v>25</v>
      </c>
      <c r="AE77" s="11">
        <f>(1-_xlfn.NORM.DIST(Table14[[#This Row],[X]],$AB$44,$AB$46,TRUE))/$AE$52</f>
        <v>0.67957446664828458</v>
      </c>
      <c r="AF77" s="8">
        <f>Table14[[#This Row],[Column1]]*Table7[[#This Row],[Octane]]</f>
        <v>1.2765810425837125</v>
      </c>
      <c r="AG77" s="8">
        <f>Table14[[#This Row],[Column1]]*Table7[[#This Row],[Hybrid]]</f>
        <v>1.2877259814150384</v>
      </c>
      <c r="AH77" s="8">
        <f>Table14[[#This Row],[Column1]]*Table7[[#This Row],[Dominus]]</f>
        <v>1.2924829371706037</v>
      </c>
      <c r="AI77" s="8">
        <f>Table14[[#This Row],[Column1]]*Table7[[#This Row],[Plank]]</f>
        <v>1.2772604794365199</v>
      </c>
      <c r="AJ77" s="8">
        <f>Table14[[#This Row],[Column1]]*Table7[[#This Row],[Batmobile]]</f>
        <v>1.2635329611767183</v>
      </c>
      <c r="AK77" s="8">
        <f>Table14[[#This Row],[Column1]]*Table7[[#This Row],[Breakout]]</f>
        <v>1.2771244488565414</v>
      </c>
      <c r="AL77" s="3">
        <f>Table14[[#This Row],[Column1]]-AE78</f>
        <v>1.578203251224386E-2</v>
      </c>
      <c r="AW77" s="11">
        <v>0</v>
      </c>
      <c r="AX77" s="2">
        <f>(Table7[[#This Row],[Hybrid]]-Table7[[#This Row],[Octane]])/$B$245</f>
        <v>8.272322166379598E-3</v>
      </c>
      <c r="AY77" s="2">
        <f>(Table7[[#This Row],[Dominus]]-Table7[[#This Row],[Octane]])/$B$245</f>
        <v>1.1803168870593461E-2</v>
      </c>
      <c r="AZ77" s="2">
        <f>(Table7[[#This Row],[Plank]]-Table7[[#This Row],[Octane]])/$B$245</f>
        <v>5.0431147475976147E-4</v>
      </c>
      <c r="BA77" s="2">
        <f>(Table7[[#This Row],[Batmobile]]-Table7[[#This Row],[Octane]])/$B$245</f>
        <v>-9.6849282607469091E-3</v>
      </c>
      <c r="BB77" s="2">
        <f>(Table7[[#This Row],[Breakout]]-Table7[[#This Row],[Octane]])/$B$245</f>
        <v>4.0334288272970108E-4</v>
      </c>
      <c r="BC77" s="2"/>
    </row>
    <row r="78" spans="1:55">
      <c r="A78" s="1">
        <v>0.21666666666666701</v>
      </c>
      <c r="B78" s="13">
        <f>Octane[[#This Row],[angvel_total]]</f>
        <v>1.8882004898844826</v>
      </c>
      <c r="C78" s="13">
        <f>Hybrid[[#This Row],[angvel_total]]</f>
        <v>1.90670038023807</v>
      </c>
      <c r="D78" s="13">
        <f>Dominus[[#This Row],[angvel_total]]</f>
        <v>1.9142003395674132</v>
      </c>
      <c r="E78" s="13">
        <f>Plank[[#This Row],[angvel_total]]</f>
        <v>1.892300309147573</v>
      </c>
      <c r="F78" s="13">
        <f>Batmobile[[#This Row],[angvel_total]]</f>
        <v>1.8714002271026902</v>
      </c>
      <c r="G78" s="13">
        <f>Breakout[[#This Row],[angvel_total]]</f>
        <v>1.8928001954775893</v>
      </c>
      <c r="I78" s="2">
        <f>Table7[[#This Row],[Hybrid]]/Table7[[#This Row],[Octane]] - 1</f>
        <v>9.7976303113442853E-3</v>
      </c>
      <c r="J78" s="2">
        <f>Table7[[#This Row],[Dominus]]/Table7[[#This Row],[Octane]] - 1</f>
        <v>1.3769644601946407E-2</v>
      </c>
      <c r="K78" s="2">
        <f>Table7[[#This Row],[Plank]]/Table7[[#This Row],[Octane]] - 1</f>
        <v>2.1712838679228685E-3</v>
      </c>
      <c r="L78" s="2">
        <f>Table7[[#This Row],[Batmobile]]/Table7[[#This Row],[Octane]] - 1</f>
        <v>-8.8974994296396881E-3</v>
      </c>
      <c r="M78" s="2">
        <f>Table7[[#This Row],[Breakout]]/Table7[[#This Row],[Octane]] - 1</f>
        <v>2.4360260564215697E-3</v>
      </c>
      <c r="N78" s="2">
        <f>Table7[[#This Row],[Breakout]]/Table7[[#This Row],[Plank]] - 1</f>
        <v>2.6416860347144855E-4</v>
      </c>
      <c r="P78" s="6">
        <v>26</v>
      </c>
      <c r="Q78" s="4">
        <f>(1-$Y$4)*Q79+$Y$4*Table7[[#This Row],[Octane]]</f>
        <v>1.9190032185334858</v>
      </c>
      <c r="R78" s="4">
        <f>(1-$Y$4)*R79+$Y$4*Table7[[#This Row],[Hybrid]]</f>
        <v>1.9450805895689665</v>
      </c>
      <c r="S78" s="4">
        <f>(1-$Y$4)*S79+$Y$4*Table7[[#This Row],[Dominus]]</f>
        <v>1.9548031313504672</v>
      </c>
      <c r="T78" s="4">
        <f>(1-$Y$4)*T79+$Y$4*Table7[[#This Row],[Plank]]</f>
        <v>1.9347468962571068</v>
      </c>
      <c r="U78" s="4">
        <f>(1-$Y$4)*U79+$Y$4*Table7[[#This Row],[Batmobile]]</f>
        <v>1.9113357692505144</v>
      </c>
      <c r="V78" s="4">
        <f>(1-$Y$4)*V79+$Y$4*Table7[[#This Row],[Breakout]]</f>
        <v>1.9386985365001228</v>
      </c>
      <c r="W78" s="11">
        <f>POWER((1-$Y$4),Table714[[#This Row],[X]]-1)*$Y$4</f>
        <v>2.0469259612164161E-3</v>
      </c>
      <c r="Y78">
        <f>Table714[[#This Row],[X]]</f>
        <v>26</v>
      </c>
      <c r="Z78" s="2">
        <f>Table714[[#This Row],[Column1]]</f>
        <v>2.0469259612164161E-3</v>
      </c>
      <c r="AA78">
        <v>0.21666666666666701</v>
      </c>
      <c r="AD78" s="6">
        <v>26</v>
      </c>
      <c r="AE78" s="11">
        <f>(1-_xlfn.NORM.DIST(Table14[[#This Row],[X]],$AB$44,$AB$46,TRUE))/$AE$52</f>
        <v>0.66379243413604072</v>
      </c>
      <c r="AF78" s="8">
        <f>Table14[[#This Row],[Column1]]*Table7[[#This Row],[Octane]]</f>
        <v>1.2533731993172852</v>
      </c>
      <c r="AG78" s="8">
        <f>Table14[[#This Row],[Column1]]*Table7[[#This Row],[Hybrid]]</f>
        <v>1.2656532865663428</v>
      </c>
      <c r="AH78" s="8">
        <f>Table14[[#This Row],[Column1]]*Table7[[#This Row],[Dominus]]</f>
        <v>1.270631702825489</v>
      </c>
      <c r="AI78" s="8">
        <f>Table14[[#This Row],[Column1]]*Table7[[#This Row],[Plank]]</f>
        <v>1.2560946283254497</v>
      </c>
      <c r="AJ78" s="8">
        <f>Table14[[#This Row],[Column1]]*Table7[[#This Row],[Batmobile]]</f>
        <v>1.2422213119912342</v>
      </c>
      <c r="AK78" s="8">
        <f>Table14[[#This Row],[Column1]]*Table7[[#This Row],[Breakout]]</f>
        <v>1.2564264490892427</v>
      </c>
      <c r="AL78" s="3">
        <f>Table14[[#This Row],[Column1]]-AE79</f>
        <v>1.5852324458721423E-2</v>
      </c>
      <c r="AW78" s="11">
        <v>0</v>
      </c>
      <c r="AX78" s="2">
        <f>(Table7[[#This Row],[Hybrid]]-Table7[[#This Row],[Octane]])/$B$245</f>
        <v>9.3315966355876027E-3</v>
      </c>
      <c r="AY78" s="2">
        <f>(Table7[[#This Row],[Dominus]]-Table7[[#This Row],[Octane]])/$B$245</f>
        <v>1.3114678259699598E-2</v>
      </c>
      <c r="AZ78" s="2">
        <f>(Table7[[#This Row],[Plank]]-Table7[[#This Row],[Octane]])/$B$245</f>
        <v>2.0680046697980747E-3</v>
      </c>
      <c r="BA78" s="2">
        <f>(Table7[[#This Row],[Batmobile]]-Table7[[#This Row],[Octane]])/$B$245</f>
        <v>-8.47428134195196E-3</v>
      </c>
      <c r="BB78" s="2">
        <f>(Table7[[#This Row],[Breakout]]-Table7[[#This Row],[Octane]])/$B$245</f>
        <v>2.3201541423732873E-3</v>
      </c>
      <c r="BC78" s="2"/>
    </row>
    <row r="79" spans="1:55">
      <c r="A79" s="1">
        <v>0.22500000000000001</v>
      </c>
      <c r="B79" s="13">
        <f>Octane[[#This Row],[angvel_total]]</f>
        <v>1.8970003584606936</v>
      </c>
      <c r="C79" s="13">
        <f>Hybrid[[#This Row],[angvel_total]]</f>
        <v>1.9174002946698427</v>
      </c>
      <c r="D79" s="13">
        <f>Dominus[[#This Row],[angvel_total]]</f>
        <v>1.9254003038329459</v>
      </c>
      <c r="E79" s="13">
        <f>Plank[[#This Row],[angvel_total]]</f>
        <v>1.9040003072478742</v>
      </c>
      <c r="F79" s="13">
        <f>Batmobile[[#This Row],[angvel_total]]</f>
        <v>1.8825001965471346</v>
      </c>
      <c r="G79" s="13">
        <f>Breakout[[#This Row],[angvel_total]]</f>
        <v>1.9052001705857577</v>
      </c>
      <c r="I79" s="2">
        <f>Table7[[#This Row],[Hybrid]]/Table7[[#This Row],[Octane]] - 1</f>
        <v>1.0753786164649171E-2</v>
      </c>
      <c r="J79" s="2">
        <f>Table7[[#This Row],[Dominus]]/Table7[[#This Row],[Octane]] - 1</f>
        <v>1.4970975227067029E-2</v>
      </c>
      <c r="K79" s="2">
        <f>Table7[[#This Row],[Plank]]/Table7[[#This Row],[Octane]] - 1</f>
        <v>3.690009206356093E-3</v>
      </c>
      <c r="L79" s="2">
        <f>Table7[[#This Row],[Batmobile]]/Table7[[#This Row],[Octane]] - 1</f>
        <v>-7.643731773105733E-3</v>
      </c>
      <c r="M79" s="2">
        <f>Table7[[#This Row],[Breakout]]/Table7[[#This Row],[Octane]] - 1</f>
        <v>4.3225148000065605E-3</v>
      </c>
      <c r="N79" s="2">
        <f>Table7[[#This Row],[Breakout]]/Table7[[#This Row],[Plank]] - 1</f>
        <v>6.3018022282679276E-4</v>
      </c>
      <c r="P79" s="6">
        <v>27</v>
      </c>
      <c r="Q79" s="4">
        <f>(1-$Y$4)*Q80+$Y$4*Table7[[#This Row],[Octane]]</f>
        <v>1.9248704049428198</v>
      </c>
      <c r="R79" s="4">
        <f>(1-$Y$4)*R80+$Y$4*Table7[[#This Row],[Hybrid]]</f>
        <v>1.9523911056319943</v>
      </c>
      <c r="S79" s="4">
        <f>(1-$Y$4)*S80+$Y$4*Table7[[#This Row],[Dominus]]</f>
        <v>1.9625369964520014</v>
      </c>
      <c r="T79" s="4">
        <f>(1-$Y$4)*T80+$Y$4*Table7[[#This Row],[Plank]]</f>
        <v>1.9428319604684468</v>
      </c>
      <c r="U79" s="4">
        <f>(1-$Y$4)*U80+$Y$4*Table7[[#This Row],[Batmobile]]</f>
        <v>1.9189425391834334</v>
      </c>
      <c r="V79" s="4">
        <f>(1-$Y$4)*V80+$Y$4*Table7[[#This Row],[Breakout]]</f>
        <v>1.9474410776472719</v>
      </c>
      <c r="W79" s="11">
        <f>POWER((1-$Y$4),Table714[[#This Row],[X]]-1)*$Y$4</f>
        <v>1.7194178074217891E-3</v>
      </c>
      <c r="Y79">
        <f>Table714[[#This Row],[X]]</f>
        <v>27</v>
      </c>
      <c r="Z79" s="2">
        <f>Table714[[#This Row],[Column1]]</f>
        <v>1.7194178074217891E-3</v>
      </c>
      <c r="AA79">
        <v>0.22500000000000001</v>
      </c>
      <c r="AD79" s="6">
        <v>27</v>
      </c>
      <c r="AE79" s="11">
        <f>(1-_xlfn.NORM.DIST(Table14[[#This Row],[X]],$AB$44,$AB$46,TRUE))/$AE$52</f>
        <v>0.6479401096773193</v>
      </c>
      <c r="AF79" s="8">
        <f>Table14[[#This Row],[Column1]]*Table7[[#This Row],[Octane]]</f>
        <v>1.2291426203189357</v>
      </c>
      <c r="AG79" s="8">
        <f>Table14[[#This Row],[Column1]]*Table7[[#This Row],[Hybrid]]</f>
        <v>1.2423605572237022</v>
      </c>
      <c r="AH79" s="8">
        <f>Table14[[#This Row],[Column1]]*Table7[[#This Row],[Dominus]]</f>
        <v>1.2475440840382628</v>
      </c>
      <c r="AI79" s="8">
        <f>Table14[[#This Row],[Column1]]*Table7[[#This Row],[Plank]]</f>
        <v>1.2336781679038373</v>
      </c>
      <c r="AJ79" s="8">
        <f>Table14[[#This Row],[Column1]]*Table7[[#This Row],[Batmobile]]</f>
        <v>1.2197473838183255</v>
      </c>
      <c r="AK79" s="8">
        <f>Table14[[#This Row],[Column1]]*Table7[[#This Row],[Breakout]]</f>
        <v>1.2344556074865833</v>
      </c>
      <c r="AL79" s="3">
        <f>Table14[[#This Row],[Column1]]-AE80</f>
        <v>1.5905248797809635E-2</v>
      </c>
      <c r="AW79" s="11">
        <v>0</v>
      </c>
      <c r="AX79" s="2">
        <f>(Table7[[#This Row],[Hybrid]]-Table7[[#This Row],[Octane]])/$B$245</f>
        <v>1.02900056409569E-2</v>
      </c>
      <c r="AY79" s="2">
        <f>(Table7[[#This Row],[Dominus]]-Table7[[#This Row],[Octane]])/$B$245</f>
        <v>1.4325319211159088E-2</v>
      </c>
      <c r="AZ79" s="2">
        <f>(Table7[[#This Row],[Plank]]-Table7[[#This Row],[Octane]])/$B$245</f>
        <v>3.5308694972385792E-3</v>
      </c>
      <c r="BA79" s="2">
        <f>(Table7[[#This Row],[Batmobile]]-Table7[[#This Row],[Octane]])/$B$245</f>
        <v>-7.3140791400314537E-3</v>
      </c>
      <c r="BB79" s="2">
        <f>(Table7[[#This Row],[Breakout]]-Table7[[#This Row],[Octane]])/$B$245</f>
        <v>4.1360969052371436E-3</v>
      </c>
      <c r="BC79" s="2"/>
    </row>
    <row r="80" spans="1:55">
      <c r="A80" s="1">
        <v>0.233333333333333</v>
      </c>
      <c r="B80" s="13">
        <f>Octane[[#This Row],[angvel_total]]</f>
        <v>1.9049002782298081</v>
      </c>
      <c r="C80" s="13">
        <f>Hybrid[[#This Row],[angvel_total]]</f>
        <v>1.9271002594571982</v>
      </c>
      <c r="D80" s="13">
        <f>Dominus[[#This Row],[angvel_total]]</f>
        <v>1.9357002738027393</v>
      </c>
      <c r="E80" s="13">
        <f>Plank[[#This Row],[angvel_total]]</f>
        <v>1.9147002324123743</v>
      </c>
      <c r="F80" s="13">
        <f>Batmobile[[#This Row],[angvel_total]]</f>
        <v>1.8926001373771482</v>
      </c>
      <c r="G80" s="13">
        <f>Breakout[[#This Row],[angvel_total]]</f>
        <v>1.9166001513096049</v>
      </c>
      <c r="I80" s="2">
        <f>Table7[[#This Row],[Hybrid]]/Table7[[#This Row],[Octane]] - 1</f>
        <v>1.165414351664662E-2</v>
      </c>
      <c r="J80" s="2">
        <f>Table7[[#This Row],[Dominus]]/Table7[[#This Row],[Octane]] - 1</f>
        <v>1.6168823074325545E-2</v>
      </c>
      <c r="K80" s="2">
        <f>Table7[[#This Row],[Plank]]/Table7[[#This Row],[Octane]] - 1</f>
        <v>5.1446022107115574E-3</v>
      </c>
      <c r="L80" s="2">
        <f>Table7[[#This Row],[Batmobile]]/Table7[[#This Row],[Octane]] - 1</f>
        <v>-6.4571048643503604E-3</v>
      </c>
      <c r="M80" s="2">
        <f>Table7[[#This Row],[Breakout]]/Table7[[#This Row],[Octane]] - 1</f>
        <v>6.1419871756589473E-3</v>
      </c>
      <c r="N80" s="2">
        <f>Table7[[#This Row],[Breakout]]/Table7[[#This Row],[Plank]] - 1</f>
        <v>9.9228007866103418E-4</v>
      </c>
      <c r="P80" s="6">
        <v>28</v>
      </c>
      <c r="Q80" s="4">
        <f>(1-$Y$4)*Q81+$Y$4*Table7[[#This Row],[Octane]]</f>
        <v>1.9301789852251297</v>
      </c>
      <c r="R80" s="4">
        <f>(1-$Y$4)*R81+$Y$4*Table7[[#This Row],[Hybrid]]</f>
        <v>1.9590560220057376</v>
      </c>
      <c r="S80" s="4">
        <f>(1-$Y$4)*S81+$Y$4*Table7[[#This Row],[Dominus]]</f>
        <v>1.9696106521889645</v>
      </c>
      <c r="T80" s="4">
        <f>(1-$Y$4)*T81+$Y$4*Table7[[#This Row],[Plank]]</f>
        <v>1.9502284658437938</v>
      </c>
      <c r="U80" s="4">
        <f>(1-$Y$4)*U81+$Y$4*Table7[[#This Row],[Batmobile]]</f>
        <v>1.9258839377808237</v>
      </c>
      <c r="V80" s="4">
        <f>(1-$Y$4)*V81+$Y$4*Table7[[#This Row],[Breakout]]</f>
        <v>1.955486964706608</v>
      </c>
      <c r="W80" s="11">
        <f>POWER((1-$Y$4),Table714[[#This Row],[X]]-1)*$Y$4</f>
        <v>1.4443109582343028E-3</v>
      </c>
      <c r="Y80">
        <f>Table714[[#This Row],[X]]</f>
        <v>28</v>
      </c>
      <c r="Z80" s="2">
        <f>Table714[[#This Row],[Column1]]</f>
        <v>1.4443109582343028E-3</v>
      </c>
      <c r="AA80">
        <v>0.233333333333333</v>
      </c>
      <c r="AD80" s="6">
        <v>28</v>
      </c>
      <c r="AE80" s="11">
        <f>(1-_xlfn.NORM.DIST(Table14[[#This Row],[X]],$AB$44,$AB$46,TRUE))/$AE$52</f>
        <v>0.63203486087950966</v>
      </c>
      <c r="AF80" s="8">
        <f>Table14[[#This Row],[Column1]]*Table7[[#This Row],[Octane]]</f>
        <v>1.203963382340316</v>
      </c>
      <c r="AG80" s="8">
        <f>Table14[[#This Row],[Column1]]*Table7[[#This Row],[Hybrid]]</f>
        <v>1.2179945443868971</v>
      </c>
      <c r="AH80" s="8">
        <f>Table14[[#This Row],[Column1]]*Table7[[#This Row],[Dominus]]</f>
        <v>1.2234300532573432</v>
      </c>
      <c r="AI80" s="8">
        <f>Table14[[#This Row],[Column1]]*Table7[[#This Row],[Plank]]</f>
        <v>1.2101572950187198</v>
      </c>
      <c r="AJ80" s="8">
        <f>Table14[[#This Row],[Column1]]*Table7[[#This Row],[Batmobile]]</f>
        <v>1.1961892645277068</v>
      </c>
      <c r="AK80" s="8">
        <f>Table14[[#This Row],[Column1]]*Table7[[#This Row],[Breakout]]</f>
        <v>1.2113581099946134</v>
      </c>
      <c r="AL80" s="3">
        <f>Table14[[#This Row],[Column1]]-AE81</f>
        <v>1.5940629816620477E-2</v>
      </c>
      <c r="AW80" s="11">
        <v>0</v>
      </c>
      <c r="AX80" s="2">
        <f>(Table7[[#This Row],[Hybrid]]-Table7[[#This Row],[Octane]])/$B$245</f>
        <v>1.1197972862117546E-2</v>
      </c>
      <c r="AY80" s="2">
        <f>(Table7[[#This Row],[Dominus]]-Table7[[#This Row],[Octane]])/$B$245</f>
        <v>1.5535937217527634E-2</v>
      </c>
      <c r="AZ80" s="2">
        <f>(Table7[[#This Row],[Plank]]-Table7[[#This Row],[Octane]])/$B$245</f>
        <v>4.9432303506174126E-3</v>
      </c>
      <c r="BA80" s="2">
        <f>(Table7[[#This Row],[Batmobile]]-Table7[[#This Row],[Octane]])/$B$245</f>
        <v>-6.2043585558699335E-3</v>
      </c>
      <c r="BB80" s="2">
        <f>(Table7[[#This Row],[Breakout]]-Table7[[#This Row],[Octane]])/$B$245</f>
        <v>5.901575316475477E-3</v>
      </c>
      <c r="BC80" s="2"/>
    </row>
    <row r="81" spans="1:55">
      <c r="A81" s="1">
        <v>0.241666666666667</v>
      </c>
      <c r="B81" s="13">
        <f>Octane[[#This Row],[angvel_total]]</f>
        <v>1.9121002091940682</v>
      </c>
      <c r="C81" s="13">
        <f>Hybrid[[#This Row],[angvel_total]]</f>
        <v>1.9360002298553582</v>
      </c>
      <c r="D81" s="13">
        <f>Dominus[[#This Row],[angvel_total]]</f>
        <v>1.9451002493444907</v>
      </c>
      <c r="E81" s="13">
        <f>Plank[[#This Row],[angvel_total]]</f>
        <v>1.9244001922677103</v>
      </c>
      <c r="F81" s="13">
        <f>Batmobile[[#This Row],[angvel_total]]</f>
        <v>1.9018000893889977</v>
      </c>
      <c r="G81" s="13">
        <f>Breakout[[#This Row],[angvel_total]]</f>
        <v>1.9271001375123193</v>
      </c>
      <c r="I81" s="2">
        <f>Table7[[#This Row],[Hybrid]]/Table7[[#This Row],[Octane]] - 1</f>
        <v>1.2499355706552473E-2</v>
      </c>
      <c r="J81" s="2">
        <f>Table7[[#This Row],[Dominus]]/Table7[[#This Row],[Octane]] - 1</f>
        <v>1.72585306940225E-2</v>
      </c>
      <c r="K81" s="2">
        <f>Table7[[#This Row],[Plank]]/Table7[[#This Row],[Octane]] - 1</f>
        <v>6.4327083980741939E-3</v>
      </c>
      <c r="L81" s="2">
        <f>Table7[[#This Row],[Batmobile]]/Table7[[#This Row],[Octane]] - 1</f>
        <v>-5.3868096219767958E-3</v>
      </c>
      <c r="M81" s="2">
        <f>Table7[[#This Row],[Breakout]]/Table7[[#This Row],[Octane]] - 1</f>
        <v>7.8447396460321617E-3</v>
      </c>
      <c r="N81" s="2">
        <f>Table7[[#This Row],[Breakout]]/Table7[[#This Row],[Plank]] - 1</f>
        <v>1.4030061187155773E-3</v>
      </c>
      <c r="P81" s="6">
        <v>29</v>
      </c>
      <c r="Q81" s="4">
        <f>(1-$Y$4)*Q82+$Y$4*Table7[[#This Row],[Octane]]</f>
        <v>1.9349939770337623</v>
      </c>
      <c r="R81" s="4">
        <f>(1-$Y$4)*R82+$Y$4*Table7[[#This Row],[Hybrid]]</f>
        <v>1.9651428339197452</v>
      </c>
      <c r="S81" s="4">
        <f>(1-$Y$4)*S82+$Y$4*Table7[[#This Row],[Dominus]]</f>
        <v>1.976069771881579</v>
      </c>
      <c r="T81" s="4">
        <f>(1-$Y$4)*T82+$Y$4*Table7[[#This Row],[Plank]]</f>
        <v>1.9569957484021594</v>
      </c>
      <c r="U81" s="4">
        <f>(1-$Y$4)*U82+$Y$4*Table7[[#This Row],[Batmobile]]</f>
        <v>1.9322237092862857</v>
      </c>
      <c r="V81" s="4">
        <f>(1-$Y$4)*V82+$Y$4*Table7[[#This Row],[Breakout]]</f>
        <v>1.9628939767822275</v>
      </c>
      <c r="W81" s="11">
        <f>POWER((1-$Y$4),Table714[[#This Row],[X]]-1)*$Y$4</f>
        <v>1.2132212049168142E-3</v>
      </c>
      <c r="Y81">
        <f>Table714[[#This Row],[X]]</f>
        <v>29</v>
      </c>
      <c r="Z81" s="2">
        <f>Table714[[#This Row],[Column1]]</f>
        <v>1.2132212049168142E-3</v>
      </c>
      <c r="AA81">
        <v>0.241666666666667</v>
      </c>
      <c r="AD81" s="6">
        <v>29</v>
      </c>
      <c r="AE81" s="11">
        <f>(1-_xlfn.NORM.DIST(Table14[[#This Row],[X]],$AB$44,$AB$46,TRUE))/$AE$52</f>
        <v>0.61609423106288919</v>
      </c>
      <c r="AF81" s="8">
        <f>Table14[[#This Row],[Column1]]*Table7[[#This Row],[Octane]]</f>
        <v>1.1780339080986091</v>
      </c>
      <c r="AG81" s="8">
        <f>Table14[[#This Row],[Column1]]*Table7[[#This Row],[Hybrid]]</f>
        <v>1.1927585729503136</v>
      </c>
      <c r="AH81" s="8">
        <f>Table14[[#This Row],[Column1]]*Table7[[#This Row],[Dominus]]</f>
        <v>1.198365042460128</v>
      </c>
      <c r="AI81" s="8">
        <f>Table14[[#This Row],[Column1]]*Table7[[#This Row],[Plank]]</f>
        <v>1.1856118567124512</v>
      </c>
      <c r="AJ81" s="8">
        <f>Table14[[#This Row],[Column1]]*Table7[[#This Row],[Batmobile]]</f>
        <v>1.1716880637074485</v>
      </c>
      <c r="AK81" s="8">
        <f>Table14[[#This Row],[Column1]]*Table7[[#This Row],[Breakout]]</f>
        <v>1.1872752774018405</v>
      </c>
      <c r="AL81" s="3">
        <f>Table14[[#This Row],[Column1]]-AE82</f>
        <v>1.5958349829323537E-2</v>
      </c>
      <c r="AW81" s="11">
        <v>0</v>
      </c>
      <c r="AX81" s="2">
        <f>(Table7[[#This Row],[Hybrid]]-Table7[[#This Row],[Octane]])/$B$245</f>
        <v>1.2055495904607952E-2</v>
      </c>
      <c r="AY81" s="2">
        <f>(Table7[[#This Row],[Dominus]]-Table7[[#This Row],[Octane]])/$B$245</f>
        <v>1.6645669663778537E-2</v>
      </c>
      <c r="AZ81" s="2">
        <f>(Table7[[#This Row],[Plank]]-Table7[[#This Row],[Octane]])/$B$245</f>
        <v>6.2042789699846123E-3</v>
      </c>
      <c r="BA81" s="2">
        <f>(Table7[[#This Row],[Batmobile]]-Table7[[#This Row],[Octane]])/$B$245</f>
        <v>-5.1955207021271372E-3</v>
      </c>
      <c r="BB81" s="2">
        <f>(Table7[[#This Row],[Breakout]]-Table7[[#This Row],[Octane]])/$B$245</f>
        <v>7.5661681206399762E-3</v>
      </c>
      <c r="BC81" s="2"/>
    </row>
    <row r="82" spans="1:55">
      <c r="A82" s="1">
        <v>0.25</v>
      </c>
      <c r="B82" s="13">
        <f>Octane[[#This Row],[angvel_total]]</f>
        <v>1.9186001511518758</v>
      </c>
      <c r="C82" s="13">
        <f>Hybrid[[#This Row],[angvel_total]]</f>
        <v>1.944100205750722</v>
      </c>
      <c r="D82" s="13">
        <f>Dominus[[#This Row],[angvel_total]]</f>
        <v>1.9536001868345529</v>
      </c>
      <c r="E82" s="13">
        <f>Plank[[#This Row],[angvel_total]]</f>
        <v>1.9333001913826005</v>
      </c>
      <c r="F82" s="13">
        <f>Batmobile[[#This Row],[angvel_total]]</f>
        <v>1.9102000523505385</v>
      </c>
      <c r="G82" s="13">
        <f>Breakout[[#This Row],[angvel_total]]</f>
        <v>1.9367001368306866</v>
      </c>
      <c r="I82" s="2">
        <f>Table7[[#This Row],[Hybrid]]/Table7[[#This Row],[Octane]] - 1</f>
        <v>1.3290968721928254E-2</v>
      </c>
      <c r="J82" s="2">
        <f>Table7[[#This Row],[Dominus]]/Table7[[#This Row],[Octane]] - 1</f>
        <v>1.8242485627692817E-2</v>
      </c>
      <c r="K82" s="2">
        <f>Table7[[#This Row],[Plank]]/Table7[[#This Row],[Octane]] - 1</f>
        <v>7.6618571211406472E-3</v>
      </c>
      <c r="L82" s="2">
        <f>Table7[[#This Row],[Batmobile]]/Table7[[#This Row],[Octane]] - 1</f>
        <v>-4.3782435836325906E-3</v>
      </c>
      <c r="M82" s="2">
        <f>Table7[[#This Row],[Breakout]]/Table7[[#This Row],[Octane]] - 1</f>
        <v>9.4339540565260283E-3</v>
      </c>
      <c r="N82" s="2">
        <f>Table7[[#This Row],[Breakout]]/Table7[[#This Row],[Plank]] - 1</f>
        <v>1.7586226201398159E-3</v>
      </c>
      <c r="P82" s="6">
        <v>30</v>
      </c>
      <c r="Q82" s="4">
        <f>(1-$Y$4)*Q83+$Y$4*Table7[[#This Row],[Octane]]</f>
        <v>1.9393546947175135</v>
      </c>
      <c r="R82" s="4">
        <f>(1-$Y$4)*R83+$Y$4*Table7[[#This Row],[Hybrid]]</f>
        <v>1.9706938061224855</v>
      </c>
      <c r="S82" s="4">
        <f>(1-$Y$4)*S83+$Y$4*Table7[[#This Row],[Dominus]]</f>
        <v>1.98196872855531</v>
      </c>
      <c r="T82" s="4">
        <f>(1-$Y$4)*T83+$Y$4*Table7[[#This Row],[Plank]]</f>
        <v>1.9632044257611021</v>
      </c>
      <c r="U82" s="4">
        <f>(1-$Y$4)*U83+$Y$4*Table7[[#This Row],[Batmobile]]</f>
        <v>1.9380186845048166</v>
      </c>
      <c r="V82" s="4">
        <f>(1-$Y$4)*V83+$Y$4*Table7[[#This Row],[Breakout]]</f>
        <v>1.9697118509288769</v>
      </c>
      <c r="W82" s="11">
        <f>POWER((1-$Y$4),Table714[[#This Row],[X]]-1)*$Y$4</f>
        <v>1.019105812130124E-3</v>
      </c>
      <c r="Y82">
        <f>Table714[[#This Row],[X]]</f>
        <v>30</v>
      </c>
      <c r="Z82" s="2">
        <f>Table714[[#This Row],[Column1]]</f>
        <v>1.019105812130124E-3</v>
      </c>
      <c r="AA82">
        <v>0.25</v>
      </c>
      <c r="AD82" s="6">
        <v>30</v>
      </c>
      <c r="AE82" s="11">
        <f>(1-_xlfn.NORM.DIST(Table14[[#This Row],[X]],$AB$44,$AB$46,TRUE))/$AE$52</f>
        <v>0.60013588123356565</v>
      </c>
      <c r="AF82" s="8">
        <f>Table14[[#This Row],[Column1]]*Table7[[#This Row],[Octane]]</f>
        <v>1.1514207924463833</v>
      </c>
      <c r="AG82" s="8">
        <f>Table14[[#This Row],[Column1]]*Table7[[#This Row],[Hybrid]]</f>
        <v>1.1667242901845658</v>
      </c>
      <c r="AH82" s="8">
        <f>Table14[[#This Row],[Column1]]*Table7[[#This Row],[Dominus]]</f>
        <v>1.1724255697040129</v>
      </c>
      <c r="AI82" s="8">
        <f>Table14[[#This Row],[Column1]]*Table7[[#This Row],[Plank]]</f>
        <v>1.1602428140444181</v>
      </c>
      <c r="AJ82" s="8">
        <f>Table14[[#This Row],[Column1]]*Table7[[#This Row],[Batmobile]]</f>
        <v>1.1463795917497936</v>
      </c>
      <c r="AK82" s="8">
        <f>Table14[[#This Row],[Column1]]*Table7[[#This Row],[Breakout]]</f>
        <v>1.1622832433020513</v>
      </c>
      <c r="AL82" s="3">
        <f>Table14[[#This Row],[Column1]]-AE83</f>
        <v>1.5958349829323426E-2</v>
      </c>
      <c r="AW82" s="11">
        <v>0</v>
      </c>
      <c r="AX82" s="2">
        <f>(Table7[[#This Row],[Hybrid]]-Table7[[#This Row],[Octane]])/$B$245</f>
        <v>1.2862574812815082E-2</v>
      </c>
      <c r="AY82" s="2">
        <f>(Table7[[#This Row],[Dominus]]-Table7[[#This Row],[Octane]])/$B$245</f>
        <v>1.7654494647239012E-2</v>
      </c>
      <c r="AZ82" s="2">
        <f>(Table7[[#This Row],[Plank]]-Table7[[#This Row],[Octane]])/$B$245</f>
        <v>7.4149004852579088E-3</v>
      </c>
      <c r="BA82" s="2">
        <f>(Table7[[#This Row],[Batmobile]]-Table7[[#This Row],[Octane]])/$B$245</f>
        <v>-4.237124232358629E-3</v>
      </c>
      <c r="BB82" s="2">
        <f>(Table7[[#This Row],[Breakout]]-Table7[[#This Row],[Octane]])/$B$245</f>
        <v>9.1298792715181366E-3</v>
      </c>
      <c r="BC82" s="2"/>
    </row>
    <row r="83" spans="1:55">
      <c r="A83" s="1">
        <v>0.25833333333333303</v>
      </c>
      <c r="B83" s="13">
        <f>Octane[[#This Row],[angvel_total]]</f>
        <v>1.924500103923094</v>
      </c>
      <c r="C83" s="13">
        <f>Hybrid[[#This Row],[angvel_total]]</f>
        <v>1.9515001870356046</v>
      </c>
      <c r="D83" s="13">
        <f>Dominus[[#This Row],[angvel_total]]</f>
        <v>1.9614001351075716</v>
      </c>
      <c r="E83" s="13">
        <f>Plank[[#This Row],[angvel_total]]</f>
        <v>1.9415001339170697</v>
      </c>
      <c r="F83" s="13">
        <f>Batmobile[[#This Row],[angvel_total]]</f>
        <v>1.9179000521403611</v>
      </c>
      <c r="G83" s="13">
        <f>Breakout[[#This Row],[angvel_total]]</f>
        <v>1.9456001027960499</v>
      </c>
      <c r="I83" s="2">
        <f>Table7[[#This Row],[Hybrid]]/Table7[[#This Row],[Octane]] - 1</f>
        <v>1.4029660511563957E-2</v>
      </c>
      <c r="J83" s="2">
        <f>Table7[[#This Row],[Dominus]]/Table7[[#This Row],[Octane]] - 1</f>
        <v>1.9173826548128936E-2</v>
      </c>
      <c r="K83" s="2">
        <f>Table7[[#This Row],[Plank]]/Table7[[#This Row],[Octane]] - 1</f>
        <v>8.8334783455303878E-3</v>
      </c>
      <c r="L83" s="2">
        <f>Table7[[#This Row],[Batmobile]]/Table7[[#This Row],[Octane]] - 1</f>
        <v>-3.4294889198908107E-3</v>
      </c>
      <c r="M83" s="2">
        <f>Table7[[#This Row],[Breakout]]/Table7[[#This Row],[Octane]] - 1</f>
        <v>1.096388554614447E-2</v>
      </c>
      <c r="N83" s="2">
        <f>Table7[[#This Row],[Breakout]]/Table7[[#This Row],[Plank]] - 1</f>
        <v>2.1117530755501157E-3</v>
      </c>
      <c r="P83" s="6">
        <v>31</v>
      </c>
      <c r="Q83" s="4">
        <f>(1-$Y$4)*Q84+$Y$4*Table7[[#This Row],[Octane]]</f>
        <v>1.9433079411109682</v>
      </c>
      <c r="R83" s="4">
        <f>(1-$Y$4)*R84+$Y$4*Table7[[#This Row],[Hybrid]]</f>
        <v>1.9757592538123452</v>
      </c>
      <c r="S83" s="4">
        <f>(1-$Y$4)*S84+$Y$4*Table7[[#This Row],[Dominus]]</f>
        <v>1.9873722603116448</v>
      </c>
      <c r="T83" s="4">
        <f>(1-$Y$4)*T84+$Y$4*Table7[[#This Row],[Plank]]</f>
        <v>1.9689004704046262</v>
      </c>
      <c r="U83" s="4">
        <f>(1-$Y$4)*U84+$Y$4*Table7[[#This Row],[Batmobile]]</f>
        <v>1.943317471581822</v>
      </c>
      <c r="V83" s="4">
        <f>(1-$Y$4)*V84+$Y$4*Table7[[#This Row],[Breakout]]</f>
        <v>1.9759997964713893</v>
      </c>
      <c r="W83" s="11">
        <f>POWER((1-$Y$4),Table714[[#This Row],[X]]-1)*$Y$4</f>
        <v>8.5604888218930423E-4</v>
      </c>
      <c r="Y83">
        <f>Table714[[#This Row],[X]]</f>
        <v>31</v>
      </c>
      <c r="Z83" s="2">
        <f>Table714[[#This Row],[Column1]]</f>
        <v>8.5604888218930423E-4</v>
      </c>
      <c r="AA83">
        <v>0.25833333333333303</v>
      </c>
      <c r="AD83" s="6">
        <v>31</v>
      </c>
      <c r="AE83" s="11">
        <f>(1-_xlfn.NORM.DIST(Table14[[#This Row],[X]],$AB$44,$AB$46,TRUE))/$AE$52</f>
        <v>0.58417753140424222</v>
      </c>
      <c r="AF83" s="8">
        <f>Table14[[#This Row],[Column1]]*Table7[[#This Row],[Octane]]</f>
        <v>1.1242497198970007</v>
      </c>
      <c r="AG83" s="8">
        <f>Table14[[#This Row],[Column1]]*Table7[[#This Row],[Hybrid]]</f>
        <v>1.1400225617973765</v>
      </c>
      <c r="AH83" s="8">
        <f>Table14[[#This Row],[Column1]]*Table7[[#This Row],[Dominus]]</f>
        <v>1.1458058890230884</v>
      </c>
      <c r="AI83" s="8">
        <f>Table14[[#This Row],[Column1]]*Table7[[#This Row],[Plank]]</f>
        <v>1.1341807554526795</v>
      </c>
      <c r="AJ83" s="8">
        <f>Table14[[#This Row],[Column1]]*Table7[[#This Row],[Batmobile]]</f>
        <v>1.1203941179394237</v>
      </c>
      <c r="AK83" s="8">
        <f>Table14[[#This Row],[Column1]]*Table7[[#This Row],[Breakout]]</f>
        <v>1.1365758651512363</v>
      </c>
      <c r="AL83" s="3">
        <f>Table14[[#This Row],[Column1]]-AE84</f>
        <v>1.5940629816620588E-2</v>
      </c>
      <c r="AW83" s="11">
        <v>0</v>
      </c>
      <c r="AX83" s="2">
        <f>(Table7[[#This Row],[Hybrid]]-Table7[[#This Row],[Octane]])/$B$245</f>
        <v>1.3619209623284736E-2</v>
      </c>
      <c r="AY83" s="2">
        <f>(Table7[[#This Row],[Dominus]]-Table7[[#This Row],[Octane]])/$B$245</f>
        <v>1.8612878253485322E-2</v>
      </c>
      <c r="AZ83" s="2">
        <f>(Table7[[#This Row],[Plank]]-Table7[[#This Row],[Octane]])/$B$245</f>
        <v>8.5750466443121308E-3</v>
      </c>
      <c r="BA83" s="2">
        <f>(Table7[[#This Row],[Batmobile]]-Table7[[#This Row],[Octane]])/$B$245</f>
        <v>-3.3291560021874258E-3</v>
      </c>
      <c r="BB83" s="2">
        <f>(Table7[[#This Row],[Breakout]]-Table7[[#This Row],[Octane]])/$B$245</f>
        <v>1.0643126782402619E-2</v>
      </c>
      <c r="BC83" s="2"/>
    </row>
    <row r="84" spans="1:55">
      <c r="A84" s="1">
        <v>0.266666666666667</v>
      </c>
      <c r="B84" s="13">
        <f>Octane[[#This Row],[angvel_total]]</f>
        <v>1.9298000673644926</v>
      </c>
      <c r="C84" s="13">
        <f>Hybrid[[#This Row],[angvel_total]]</f>
        <v>1.958200173628835</v>
      </c>
      <c r="D84" s="13">
        <f>Dominus[[#This Row],[angvel_total]]</f>
        <v>1.9685001016002004</v>
      </c>
      <c r="E84" s="13">
        <f>Plank[[#This Row],[angvel_total]]</f>
        <v>1.949000105182142</v>
      </c>
      <c r="F84" s="13">
        <f>Batmobile[[#This Row],[angvel_total]]</f>
        <v>1.9249000441581376</v>
      </c>
      <c r="G84" s="13">
        <f>Breakout[[#This Row],[angvel_total]]</f>
        <v>1.9537000742181487</v>
      </c>
      <c r="I84" s="2">
        <f>Table7[[#This Row],[Hybrid]]/Table7[[#This Row],[Octane]] - 1</f>
        <v>1.4716605489152101E-2</v>
      </c>
      <c r="J84" s="2">
        <f>Table7[[#This Row],[Dominus]]/Table7[[#This Row],[Octane]] - 1</f>
        <v>2.0053908635499162E-2</v>
      </c>
      <c r="K84" s="2">
        <f>Table7[[#This Row],[Plank]]/Table7[[#This Row],[Octane]] - 1</f>
        <v>9.9492367848605934E-3</v>
      </c>
      <c r="L84" s="2">
        <f>Table7[[#This Row],[Batmobile]]/Table7[[#This Row],[Octane]] - 1</f>
        <v>-2.5391351618341274E-3</v>
      </c>
      <c r="M84" s="2">
        <f>Table7[[#This Row],[Breakout]]/Table7[[#This Row],[Octane]] - 1</f>
        <v>1.2384706197205331E-2</v>
      </c>
      <c r="N84" s="2">
        <f>Table7[[#This Row],[Breakout]]/Table7[[#This Row],[Plank]] - 1</f>
        <v>2.4114770561121102E-3</v>
      </c>
      <c r="P84" s="6">
        <v>32</v>
      </c>
      <c r="Q84" s="4">
        <f>(1-$Y$4)*Q85+$Y$4*Table7[[#This Row],[Octane]]</f>
        <v>1.946890386289611</v>
      </c>
      <c r="R84" s="4">
        <f>(1-$Y$4)*R85+$Y$4*Table7[[#This Row],[Hybrid]]</f>
        <v>1.9803800284364863</v>
      </c>
      <c r="S84" s="4">
        <f>(1-$Y$4)*S85+$Y$4*Table7[[#This Row],[Dominus]]</f>
        <v>1.9923193317790875</v>
      </c>
      <c r="T84" s="4">
        <f>(1-$Y$4)*T85+$Y$4*Table7[[#This Row],[Plank]]</f>
        <v>1.9741195821165418</v>
      </c>
      <c r="U84" s="4">
        <f>(1-$Y$4)*U85+$Y$4*Table7[[#This Row],[Batmobile]]</f>
        <v>1.948158884808767</v>
      </c>
      <c r="V84" s="4">
        <f>(1-$Y$4)*V85+$Y$4*Table7[[#This Row],[Breakout]]</f>
        <v>1.9817902143143113</v>
      </c>
      <c r="W84" s="11">
        <f>POWER((1-$Y$4),Table714[[#This Row],[X]]-1)*$Y$4</f>
        <v>7.1908106103901542E-4</v>
      </c>
      <c r="Y84">
        <f>Table714[[#This Row],[X]]</f>
        <v>32</v>
      </c>
      <c r="Z84" s="2">
        <f>Table714[[#This Row],[Column1]]</f>
        <v>7.1908106103901542E-4</v>
      </c>
      <c r="AA84">
        <v>0.266666666666667</v>
      </c>
      <c r="AD84" s="6">
        <v>32</v>
      </c>
      <c r="AE84" s="11">
        <f>(1-_xlfn.NORM.DIST(Table14[[#This Row],[X]],$AB$44,$AB$46,TRUE))/$AE$52</f>
        <v>0.56823690158762163</v>
      </c>
      <c r="AF84" s="8">
        <f>Table14[[#This Row],[Column1]]*Table7[[#This Row],[Octane]]</f>
        <v>1.0965836109627829</v>
      </c>
      <c r="AG84" s="8">
        <f>Table14[[#This Row],[Column1]]*Table7[[#This Row],[Hybrid]]</f>
        <v>1.1127215993511919</v>
      </c>
      <c r="AH84" s="8">
        <f>Table14[[#This Row],[Column1]]*Table7[[#This Row],[Dominus]]</f>
        <v>1.1185743985082162</v>
      </c>
      <c r="AI84" s="8">
        <f>Table14[[#This Row],[Column1]]*Table7[[#This Row],[Plank]]</f>
        <v>1.1074937809626491</v>
      </c>
      <c r="AJ84" s="8">
        <f>Table14[[#This Row],[Column1]]*Table7[[#This Row],[Batmobile]]</f>
        <v>1.0937992369582963</v>
      </c>
      <c r="AK84" s="8">
        <f>Table14[[#This Row],[Column1]]*Table7[[#This Row],[Breakout]]</f>
        <v>1.1101644768052272</v>
      </c>
      <c r="AL84" s="3">
        <f>Table14[[#This Row],[Column1]]-AE85</f>
        <v>1.5905248797809635E-2</v>
      </c>
      <c r="AW84" s="11">
        <v>0</v>
      </c>
      <c r="AX84" s="2">
        <f>(Table7[[#This Row],[Hybrid]]-Table7[[#This Row],[Octane]])/$B$245</f>
        <v>1.4325400367320445E-2</v>
      </c>
      <c r="AY84" s="2">
        <f>(Table7[[#This Row],[Dominus]]-Table7[[#This Row],[Octane]])/$B$245</f>
        <v>1.9520824305914217E-2</v>
      </c>
      <c r="AZ84" s="2">
        <f>(Table7[[#This Row],[Plank]]-Table7[[#This Row],[Octane]])/$B$245</f>
        <v>9.6847605514369314E-3</v>
      </c>
      <c r="BA84" s="2">
        <f>(Table7[[#This Row],[Batmobile]]-Table7[[#This Row],[Octane]])/$B$245</f>
        <v>-2.4716384363789781E-3</v>
      </c>
      <c r="BB84" s="2">
        <f>(Table7[[#This Row],[Breakout]]-Table7[[#This Row],[Octane]])/$B$245</f>
        <v>1.2055488939849359E-2</v>
      </c>
      <c r="BC84" s="2"/>
    </row>
    <row r="85" spans="1:55">
      <c r="A85" s="1">
        <v>0.27500000000000002</v>
      </c>
      <c r="B85" s="13">
        <f>Octane[[#This Row],[angvel_total]]</f>
        <v>1.9346000439367306</v>
      </c>
      <c r="C85" s="13">
        <f>Hybrid[[#This Row],[angvel_total]]</f>
        <v>1.9643001730896426</v>
      </c>
      <c r="D85" s="13">
        <f>Dominus[[#This Row],[angvel_total]]</f>
        <v>1.9750000658227838</v>
      </c>
      <c r="E85" s="13">
        <f>Plank[[#This Row],[angvel_total]]</f>
        <v>1.9558001048164406</v>
      </c>
      <c r="F85" s="13">
        <f>Batmobile[[#This Row],[angvel_total]]</f>
        <v>1.9313000414228754</v>
      </c>
      <c r="G85" s="13">
        <f>Breakout[[#This Row],[angvel_total]]</f>
        <v>1.9612000509891896</v>
      </c>
      <c r="I85" s="2">
        <f>Table7[[#This Row],[Hybrid]]/Table7[[#This Row],[Octane]] - 1</f>
        <v>1.5352077162406719E-2</v>
      </c>
      <c r="J85" s="2">
        <f>Table7[[#This Row],[Dominus]]/Table7[[#This Row],[Octane]] - 1</f>
        <v>2.0882880682584259E-2</v>
      </c>
      <c r="K85" s="2">
        <f>Table7[[#This Row],[Plank]]/Table7[[#This Row],[Octane]] - 1</f>
        <v>1.0958368860867873E-2</v>
      </c>
      <c r="L85" s="2">
        <f>Table7[[#This Row],[Batmobile]]/Table7[[#This Row],[Octane]] - 1</f>
        <v>-1.705780233075993E-3</v>
      </c>
      <c r="M85" s="2">
        <f>Table7[[#This Row],[Breakout]]/Table7[[#This Row],[Octane]] - 1</f>
        <v>1.3749615656128311E-2</v>
      </c>
      <c r="N85" s="2">
        <f>Table7[[#This Row],[Breakout]]/Table7[[#This Row],[Plank]] - 1</f>
        <v>2.7609908392227656E-3</v>
      </c>
      <c r="P85" s="6">
        <v>33</v>
      </c>
      <c r="Q85" s="4">
        <f>(1-$Y$4)*Q86+$Y$4*Table7[[#This Row],[Octane]]</f>
        <v>1.9501456851324908</v>
      </c>
      <c r="R85" s="4">
        <f>(1-$Y$4)*R86+$Y$4*Table7[[#This Row],[Hybrid]]</f>
        <v>1.9846047626855627</v>
      </c>
      <c r="S85" s="4">
        <f>(1-$Y$4)*S86+$Y$4*Table7[[#This Row],[Dominus]]</f>
        <v>1.9968563280036375</v>
      </c>
      <c r="T85" s="4">
        <f>(1-$Y$4)*T86+$Y$4*Table7[[#This Row],[Plank]]</f>
        <v>1.9789042443897611</v>
      </c>
      <c r="U85" s="4">
        <f>(1-$Y$4)*U86+$Y$4*Table7[[#This Row],[Batmobile]]</f>
        <v>1.9525891401707918</v>
      </c>
      <c r="V85" s="4">
        <f>(1-$Y$4)*V86+$Y$4*Table7[[#This Row],[Breakout]]</f>
        <v>1.987140717189771</v>
      </c>
      <c r="W85" s="11">
        <f>POWER((1-$Y$4),Table714[[#This Row],[X]]-1)*$Y$4</f>
        <v>6.0402809127277292E-4</v>
      </c>
      <c r="Y85">
        <f>Table714[[#This Row],[X]]</f>
        <v>33</v>
      </c>
      <c r="Z85" s="2">
        <f>Table714[[#This Row],[Column1]]</f>
        <v>6.0402809127277292E-4</v>
      </c>
      <c r="AA85">
        <v>0.27500000000000002</v>
      </c>
      <c r="AD85" s="6">
        <v>33</v>
      </c>
      <c r="AE85" s="11">
        <f>(1-_xlfn.NORM.DIST(Table14[[#This Row],[X]],$AB$44,$AB$46,TRUE))/$AE$52</f>
        <v>0.552331652789812</v>
      </c>
      <c r="AF85" s="8">
        <f>Table14[[#This Row],[Column1]]*Table7[[#This Row],[Octane]]</f>
        <v>1.0685408397548173</v>
      </c>
      <c r="AG85" s="8">
        <f>Table14[[#This Row],[Column1]]*Table7[[#This Row],[Hybrid]]</f>
        <v>1.0849451611779162</v>
      </c>
      <c r="AH85" s="8">
        <f>Table14[[#This Row],[Column1]]*Table7[[#This Row],[Dominus]]</f>
        <v>1.0908550506158856</v>
      </c>
      <c r="AI85" s="8">
        <f>Table14[[#This Row],[Column1]]*Table7[[#This Row],[Plank]]</f>
        <v>1.0802503044197522</v>
      </c>
      <c r="AJ85" s="8">
        <f>Table14[[#This Row],[Column1]]*Table7[[#This Row],[Batmobile]]</f>
        <v>1.0667181439121292</v>
      </c>
      <c r="AK85" s="8">
        <f>Table14[[#This Row],[Column1]]*Table7[[#This Row],[Breakout]]</f>
        <v>1.0832328656143226</v>
      </c>
      <c r="AL85" s="3">
        <f>Table14[[#This Row],[Column1]]-AE86</f>
        <v>1.5852324458721423E-2</v>
      </c>
      <c r="AW85" s="11">
        <v>0</v>
      </c>
      <c r="AX85" s="2">
        <f>(Table7[[#This Row],[Hybrid]]-Table7[[#This Row],[Octane]])/$B$245</f>
        <v>1.4981149616710468E-2</v>
      </c>
      <c r="AY85" s="2">
        <f>(Table7[[#This Row],[Dominus]]-Table7[[#This Row],[Octane]])/$B$245</f>
        <v>2.0378321228074488E-2</v>
      </c>
      <c r="AZ85" s="2">
        <f>(Table7[[#This Row],[Plank]]-Table7[[#This Row],[Octane]])/$B$245</f>
        <v>1.0693599421306463E-2</v>
      </c>
      <c r="BA85" s="2">
        <f>(Table7[[#This Row],[Batmobile]]-Table7[[#This Row],[Octane]])/$B$245</f>
        <v>-1.664566209158666E-3</v>
      </c>
      <c r="BB85" s="2">
        <f>(Table7[[#This Row],[Breakout]]-Table7[[#This Row],[Octane]])/$B$245</f>
        <v>1.3417405810148504E-2</v>
      </c>
      <c r="BC85" s="2"/>
    </row>
    <row r="86" spans="1:55">
      <c r="A86" s="1">
        <v>0.28333333333333299</v>
      </c>
      <c r="B86" s="13">
        <f>Octane[[#This Row],[angvel_total]]</f>
        <v>1.939000043837029</v>
      </c>
      <c r="C86" s="13">
        <f>Hybrid[[#This Row],[angvel_total]]</f>
        <v>1.9699001345245906</v>
      </c>
      <c r="D86" s="13">
        <f>Dominus[[#This Row],[angvel_total]]</f>
        <v>1.981000042907622</v>
      </c>
      <c r="E86" s="13">
        <f>Plank[[#This Row],[angvel_total]]</f>
        <v>1.9621000815452814</v>
      </c>
      <c r="F86" s="13">
        <f>Batmobile[[#This Row],[angvel_total]]</f>
        <v>1.9371000232306024</v>
      </c>
      <c r="G86" s="13">
        <f>Breakout[[#This Row],[angvel_total]]</f>
        <v>1.9681000330267768</v>
      </c>
      <c r="I86" s="2">
        <f>Table7[[#This Row],[Hybrid]]/Table7[[#This Row],[Octane]] - 1</f>
        <v>1.5936095920046744E-2</v>
      </c>
      <c r="J86" s="2">
        <f>Table7[[#This Row],[Dominus]]/Table7[[#This Row],[Octane]] - 1</f>
        <v>2.166064885046648E-2</v>
      </c>
      <c r="K86" s="2">
        <f>Table7[[#This Row],[Plank]]/Table7[[#This Row],[Octane]] - 1</f>
        <v>1.1913376578651658E-2</v>
      </c>
      <c r="L86" s="2">
        <f>Table7[[#This Row],[Batmobile]]/Table7[[#This Row],[Octane]] - 1</f>
        <v>-9.7989714464719047E-4</v>
      </c>
      <c r="M86" s="2">
        <f>Table7[[#This Row],[Breakout]]/Table7[[#This Row],[Octane]] - 1</f>
        <v>1.5007730031899813E-2</v>
      </c>
      <c r="N86" s="2">
        <f>Table7[[#This Row],[Breakout]]/Table7[[#This Row],[Plank]] - 1</f>
        <v>3.0579232618808128E-3</v>
      </c>
      <c r="P86" s="6">
        <v>34</v>
      </c>
      <c r="Q86" s="4">
        <f>(1-$Y$4)*Q87+$Y$4*Table7[[#This Row],[Octane]]</f>
        <v>1.953106759645969</v>
      </c>
      <c r="R86" s="4">
        <f>(1-$Y$4)*R87+$Y$4*Table7[[#This Row],[Hybrid]]</f>
        <v>1.9884723035609764</v>
      </c>
      <c r="S86" s="4">
        <f>(1-$Y$4)*S87+$Y$4*Table7[[#This Row],[Dominus]]</f>
        <v>2.0010194255618954</v>
      </c>
      <c r="T86" s="4">
        <f>(1-$Y$4)*T87+$Y$4*Table7[[#This Row],[Plank]]</f>
        <v>1.9833050328799173</v>
      </c>
      <c r="U86" s="4">
        <f>(1-$Y$4)*U87+$Y$4*Table7[[#This Row],[Batmobile]]</f>
        <v>1.9566442065989662</v>
      </c>
      <c r="V86" s="4">
        <f>(1-$Y$4)*V87+$Y$4*Table7[[#This Row],[Breakout]]</f>
        <v>1.9920817964660724</v>
      </c>
      <c r="W86" s="11">
        <f>POWER((1-$Y$4),Table714[[#This Row],[X]]-1)*$Y$4</f>
        <v>5.0738359666912917E-4</v>
      </c>
      <c r="Y86">
        <f>Table714[[#This Row],[X]]</f>
        <v>34</v>
      </c>
      <c r="Z86" s="2">
        <f>Table714[[#This Row],[Column1]]</f>
        <v>5.0738359666912917E-4</v>
      </c>
      <c r="AA86">
        <v>0.28333333333333299</v>
      </c>
      <c r="AD86" s="6">
        <v>34</v>
      </c>
      <c r="AE86" s="11">
        <f>(1-_xlfn.NORM.DIST(Table14[[#This Row],[X]],$AB$44,$AB$46,TRUE))/$AE$52</f>
        <v>0.53647932833109058</v>
      </c>
      <c r="AF86" s="8">
        <f>Table14[[#This Row],[Column1]]*Table7[[#This Row],[Octane]]</f>
        <v>1.0402334411516445</v>
      </c>
      <c r="AG86" s="8">
        <f>Table14[[#This Row],[Column1]]*Table7[[#This Row],[Hybrid]]</f>
        <v>1.0568107010490773</v>
      </c>
      <c r="AH86" s="8">
        <f>Table14[[#This Row],[Column1]]*Table7[[#This Row],[Dominus]]</f>
        <v>1.0627655724429426</v>
      </c>
      <c r="AI86" s="8">
        <f>Table14[[#This Row],[Column1]]*Table7[[#This Row],[Plank]]</f>
        <v>1.0526261338657905</v>
      </c>
      <c r="AJ86" s="8">
        <f>Table14[[#This Row],[Column1]]*Table7[[#This Row],[Batmobile]]</f>
        <v>1.0392141193728934</v>
      </c>
      <c r="AK86" s="8">
        <f>Table14[[#This Row],[Column1]]*Table7[[#This Row],[Breakout]]</f>
        <v>1.0558449838066024</v>
      </c>
      <c r="AL86" s="3">
        <f>Table14[[#This Row],[Column1]]-AE87</f>
        <v>1.578203251224386E-2</v>
      </c>
      <c r="AW86" s="11">
        <v>0</v>
      </c>
      <c r="AX86" s="2">
        <f>(Table7[[#This Row],[Hybrid]]-Table7[[#This Row],[Octane]])/$B$245</f>
        <v>1.5586426556495123E-2</v>
      </c>
      <c r="AY86" s="2">
        <f>(Table7[[#This Row],[Dominus]]-Table7[[#This Row],[Octane]])/$B$245</f>
        <v>2.1185371509287312E-2</v>
      </c>
      <c r="AZ86" s="2">
        <f>(Table7[[#This Row],[Plank]]-Table7[[#This Row],[Octane]])/$B$245</f>
        <v>1.1651973608507112E-2</v>
      </c>
      <c r="BA86" s="2">
        <f>(Table7[[#This Row],[Batmobile]]-Table7[[#This Row],[Octane]])/$B$245</f>
        <v>-9.5839626936163296E-4</v>
      </c>
      <c r="BB86" s="2">
        <f>(Table7[[#This Row],[Breakout]]-Table7[[#This Row],[Octane]])/$B$245</f>
        <v>1.467843084626879E-2</v>
      </c>
      <c r="BC86" s="2"/>
    </row>
    <row r="87" spans="1:55">
      <c r="A87" s="1">
        <v>0.29166666666666702</v>
      </c>
      <c r="B87" s="13">
        <f>Octane[[#This Row],[angvel_total]]</f>
        <v>1.9430000257334017</v>
      </c>
      <c r="C87" s="13">
        <f>Hybrid[[#This Row],[angvel_total]]</f>
        <v>1.9750001012658203</v>
      </c>
      <c r="D87" s="13">
        <f>Dominus[[#This Row],[angvel_total]]</f>
        <v>1.9865000226529068</v>
      </c>
      <c r="E87" s="13">
        <f>Plank[[#This Row],[angvel_total]]</f>
        <v>1.9679000635194865</v>
      </c>
      <c r="F87" s="13">
        <f>Batmobile[[#This Row],[angvel_total]]</f>
        <v>1.9425000102960102</v>
      </c>
      <c r="G87" s="13">
        <f>Breakout[[#This Row],[angvel_total]]</f>
        <v>1.9745000126614332</v>
      </c>
      <c r="I87" s="2">
        <f>Table7[[#This Row],[Hybrid]]/Table7[[#This Row],[Octane]] - 1</f>
        <v>1.6469415907670815E-2</v>
      </c>
      <c r="J87" s="2">
        <f>Table7[[#This Row],[Dominus]]/Table7[[#This Row],[Octane]] - 1</f>
        <v>2.2388057819549223E-2</v>
      </c>
      <c r="K87" s="2">
        <f>Table7[[#This Row],[Plank]]/Table7[[#This Row],[Octane]] - 1</f>
        <v>1.2815253451520681E-2</v>
      </c>
      <c r="L87" s="2">
        <f>Table7[[#This Row],[Batmobile]]/Table7[[#This Row],[Octane]] - 1</f>
        <v>-2.5734196128113229E-4</v>
      </c>
      <c r="M87" s="2">
        <f>Table7[[#This Row],[Breakout]]/Table7[[#This Row],[Octane]] - 1</f>
        <v>1.6212036289676046E-2</v>
      </c>
      <c r="N87" s="2">
        <f>Table7[[#This Row],[Breakout]]/Table7[[#This Row],[Plank]] - 1</f>
        <v>3.3538030026498689E-3</v>
      </c>
      <c r="P87" s="6">
        <v>35</v>
      </c>
      <c r="Q87" s="4">
        <f>(1-$Y$4)*Q88+$Y$4*Table7[[#This Row],[Octane]]</f>
        <v>1.9557937531333862</v>
      </c>
      <c r="R87" s="4">
        <f>(1-$Y$4)*R88+$Y$4*Table7[[#This Row],[Hybrid]]</f>
        <v>1.992009859567907</v>
      </c>
      <c r="S87" s="4">
        <f>(1-$Y$4)*S88+$Y$4*Table7[[#This Row],[Dominus]]</f>
        <v>2.0048326413055664</v>
      </c>
      <c r="T87" s="4">
        <f>(1-$Y$4)*T88+$Y$4*Table7[[#This Row],[Plank]]</f>
        <v>1.9873440712293717</v>
      </c>
      <c r="U87" s="4">
        <f>(1-$Y$4)*U88+$Y$4*Table7[[#This Row],[Batmobile]]</f>
        <v>1.9603669081929405</v>
      </c>
      <c r="V87" s="4">
        <f>(1-$Y$4)*V88+$Y$4*Table7[[#This Row],[Breakout]]</f>
        <v>1.9966497514068908</v>
      </c>
      <c r="W87" s="11">
        <f>POWER((1-$Y$4),Table714[[#This Row],[X]]-1)*$Y$4</f>
        <v>4.2620222120206853E-4</v>
      </c>
      <c r="Y87">
        <f>Table714[[#This Row],[X]]</f>
        <v>35</v>
      </c>
      <c r="Z87" s="2">
        <f>Table714[[#This Row],[Column1]]</f>
        <v>4.2620222120206853E-4</v>
      </c>
      <c r="AA87">
        <v>0.29166666666666702</v>
      </c>
      <c r="AD87" s="6">
        <v>35</v>
      </c>
      <c r="AE87" s="11">
        <f>(1-_xlfn.NORM.DIST(Table14[[#This Row],[X]],$AB$44,$AB$46,TRUE))/$AE$52</f>
        <v>0.52069729581884672</v>
      </c>
      <c r="AF87" s="8">
        <f>Table14[[#This Row],[Column1]]*Table7[[#This Row],[Octane]]</f>
        <v>1.0117148591753318</v>
      </c>
      <c r="AG87" s="8">
        <f>Table14[[#This Row],[Column1]]*Table7[[#This Row],[Hybrid]]</f>
        <v>1.028377211971061</v>
      </c>
      <c r="AH87" s="8">
        <f>Table14[[#This Row],[Column1]]*Table7[[#This Row],[Dominus]]</f>
        <v>1.0343651899394464</v>
      </c>
      <c r="AI87" s="8">
        <f>Table14[[#This Row],[Column1]]*Table7[[#This Row],[Plank]]</f>
        <v>1.0246802415163334</v>
      </c>
      <c r="AJ87" s="8">
        <f>Table14[[#This Row],[Column1]]*Table7[[#This Row],[Batmobile]]</f>
        <v>1.0114545024892143</v>
      </c>
      <c r="AK87" s="8">
        <f>Table14[[#This Row],[Column1]]*Table7[[#This Row],[Breakout]]</f>
        <v>1.0281168171870869</v>
      </c>
      <c r="AL87" s="3">
        <f>Table14[[#This Row],[Column1]]-AE88</f>
        <v>1.5694605726385924E-2</v>
      </c>
      <c r="AW87" s="11">
        <v>0</v>
      </c>
      <c r="AX87" s="2">
        <f>(Table7[[#This Row],[Hybrid]]-Table7[[#This Row],[Octane]])/$B$245</f>
        <v>1.6141273892413207E-2</v>
      </c>
      <c r="AY87" s="2">
        <f>(Table7[[#This Row],[Dominus]]-Table7[[#This Row],[Octane]])/$B$245</f>
        <v>2.1941990852038299E-2</v>
      </c>
      <c r="AZ87" s="2">
        <f>(Table7[[#This Row],[Plank]]-Table7[[#This Row],[Octane]])/$B$245</f>
        <v>1.2559918161113686E-2</v>
      </c>
      <c r="BA87" s="2">
        <f>(Table7[[#This Row],[Batmobile]]-Table7[[#This Row],[Octane]])/$B$245</f>
        <v>-2.5221459609353332E-4</v>
      </c>
      <c r="BB87" s="2">
        <f>(Table7[[#This Row],[Breakout]]-Table7[[#This Row],[Octane]])/$B$245</f>
        <v>1.5889022389890678E-2</v>
      </c>
      <c r="BC87" s="2"/>
    </row>
    <row r="88" spans="1:55">
      <c r="A88" s="1">
        <v>0.3</v>
      </c>
      <c r="B88" s="13">
        <f>Octane[[#This Row],[angvel_total]]</f>
        <v>1.9466000256858109</v>
      </c>
      <c r="C88" s="13">
        <f>Hybrid[[#This Row],[angvel_total]]</f>
        <v>1.9797000732434193</v>
      </c>
      <c r="D88" s="13">
        <f>Dominus[[#This Row],[angvel_total]]</f>
        <v>1.9915000100426814</v>
      </c>
      <c r="E88" s="13">
        <f>Plank[[#This Row],[angvel_total]]</f>
        <v>1.9732000329414148</v>
      </c>
      <c r="F88" s="13">
        <f>Batmobile[[#This Row],[angvel_total]]</f>
        <v>1.9474000102701039</v>
      </c>
      <c r="G88" s="13">
        <f>Breakout[[#This Row],[angvel_total]]</f>
        <v>1.9804000050494848</v>
      </c>
      <c r="I88" s="2">
        <f>Table7[[#This Row],[Hybrid]]/Table7[[#This Row],[Octane]] - 1</f>
        <v>1.7004031193283753E-2</v>
      </c>
      <c r="J88" s="2">
        <f>Table7[[#This Row],[Dominus]]/Table7[[#This Row],[Octane]] - 1</f>
        <v>2.3065850079320604E-2</v>
      </c>
      <c r="K88" s="2">
        <f>Table7[[#This Row],[Plank]]/Table7[[#This Row],[Octane]] - 1</f>
        <v>1.3664855083022287E-2</v>
      </c>
      <c r="L88" s="2">
        <f>Table7[[#This Row],[Batmobile]]/Table7[[#This Row],[Octane]] - 1</f>
        <v>4.1096505380511239E-4</v>
      </c>
      <c r="M88" s="2">
        <f>Table7[[#This Row],[Breakout]]/Table7[[#This Row],[Octane]] - 1</f>
        <v>1.736359751241956E-2</v>
      </c>
      <c r="N88" s="2">
        <f>Table7[[#This Row],[Breakout]]/Table7[[#This Row],[Plank]] - 1</f>
        <v>3.6488809993262539E-3</v>
      </c>
      <c r="P88" s="6">
        <v>36</v>
      </c>
      <c r="Q88" s="4">
        <f>(1-$Y$4)*Q89+$Y$4*Table7[[#This Row],[Octane]]</f>
        <v>1.9582306535905261</v>
      </c>
      <c r="R88" s="4">
        <f>(1-$Y$4)*R89+$Y$4*Table7[[#This Row],[Hybrid]]</f>
        <v>1.9952498135302092</v>
      </c>
      <c r="S88" s="4">
        <f>(1-$Y$4)*S89+$Y$4*Table7[[#This Row],[Dominus]]</f>
        <v>2.008324568667978</v>
      </c>
      <c r="T88" s="4">
        <f>(1-$Y$4)*T89+$Y$4*Table7[[#This Row],[Plank]]</f>
        <v>1.9910476917455404</v>
      </c>
      <c r="U88" s="4">
        <f>(1-$Y$4)*U89+$Y$4*Table7[[#This Row],[Batmobile]]</f>
        <v>1.9637701268399748</v>
      </c>
      <c r="V88" s="4">
        <f>(1-$Y$4)*V89+$Y$4*Table7[[#This Row],[Breakout]]</f>
        <v>2.0008687492631685</v>
      </c>
      <c r="W88" s="11">
        <f>POWER((1-$Y$4),Table714[[#This Row],[X]]-1)*$Y$4</f>
        <v>3.580098658097375E-4</v>
      </c>
      <c r="Y88">
        <f>Table714[[#This Row],[X]]</f>
        <v>36</v>
      </c>
      <c r="Z88" s="2">
        <f>Table714[[#This Row],[Column1]]</f>
        <v>3.580098658097375E-4</v>
      </c>
      <c r="AA88">
        <v>0.3</v>
      </c>
      <c r="AD88" s="6">
        <v>36</v>
      </c>
      <c r="AE88" s="11">
        <f>(1-_xlfn.NORM.DIST(Table14[[#This Row],[X]],$AB$44,$AB$46,TRUE))/$AE$52</f>
        <v>0.50500269009246079</v>
      </c>
      <c r="AF88" s="8">
        <f>Table14[[#This Row],[Column1]]*Table7[[#This Row],[Octane]]</f>
        <v>0.98303824950538776</v>
      </c>
      <c r="AG88" s="8">
        <f>Table14[[#This Row],[Column1]]*Table7[[#This Row],[Hybrid]]</f>
        <v>0.99975386256416843</v>
      </c>
      <c r="AH88" s="8">
        <f>Table14[[#This Row],[Column1]]*Table7[[#This Row],[Dominus]]</f>
        <v>1.0057128623907168</v>
      </c>
      <c r="AI88" s="8">
        <f>Table14[[#This Row],[Column1]]*Table7[[#This Row],[Plank]]</f>
        <v>0.99647132472594668</v>
      </c>
      <c r="AJ88" s="8">
        <f>Table14[[#This Row],[Column1]]*Table7[[#This Row],[Batmobile]]</f>
        <v>0.98344224387248824</v>
      </c>
      <c r="AK88" s="8">
        <f>Table14[[#This Row],[Column1]]*Table7[[#This Row],[Breakout]]</f>
        <v>1.0001073300091128</v>
      </c>
      <c r="AL88" s="3">
        <f>Table14[[#This Row],[Column1]]-AE89</f>
        <v>1.5590332640103011E-2</v>
      </c>
      <c r="AW88" s="11">
        <v>0</v>
      </c>
      <c r="AX88" s="2">
        <f>(Table7[[#This Row],[Hybrid]]-Table7[[#This Row],[Octane]])/$B$245</f>
        <v>1.6696114761916615E-2</v>
      </c>
      <c r="AY88" s="2">
        <f>(Table7[[#This Row],[Dominus]]-Table7[[#This Row],[Octane]])/$B$245</f>
        <v>2.2648163581210731E-2</v>
      </c>
      <c r="AZ88" s="2">
        <f>(Table7[[#This Row],[Plank]]-Table7[[#This Row],[Octane]])/$B$245</f>
        <v>1.3417405912617524E-2</v>
      </c>
      <c r="BA88" s="2">
        <f>(Table7[[#This Row],[Batmobile]]-Table7[[#This Row],[Octane]])/$B$245</f>
        <v>4.0352311892825519E-4</v>
      </c>
      <c r="BB88" s="2">
        <f>(Table7[[#This Row],[Breakout]]-Table7[[#This Row],[Octane]])/$B$245</f>
        <v>1.7049169896935529E-2</v>
      </c>
      <c r="BC88" s="2"/>
    </row>
    <row r="89" spans="1:55">
      <c r="A89" s="1">
        <v>0.30833333333333302</v>
      </c>
      <c r="B89" s="13">
        <f>Octane[[#This Row],[angvel_total]]</f>
        <v>1.9499000256423404</v>
      </c>
      <c r="C89" s="13">
        <f>Hybrid[[#This Row],[angvel_total]]</f>
        <v>1.9840000504032251</v>
      </c>
      <c r="D89" s="13">
        <f>Dominus[[#This Row],[angvel_total]]</f>
        <v>1.9961000025048845</v>
      </c>
      <c r="E89" s="13">
        <f>Plank[[#This Row],[angvel_total]]</f>
        <v>1.9781000252767806</v>
      </c>
      <c r="F89" s="13">
        <f>Batmobile[[#This Row],[angvel_total]]</f>
        <v>1.9519000102464266</v>
      </c>
      <c r="G89" s="13">
        <f>Breakout[[#This Row],[angvel_total]]</f>
        <v>1.9859</v>
      </c>
      <c r="I89" s="2">
        <f>Table7[[#This Row],[Hybrid]]/Table7[[#This Row],[Octane]] - 1</f>
        <v>1.7488088780167832E-2</v>
      </c>
      <c r="J89" s="2">
        <f>Table7[[#This Row],[Dominus]]/Table7[[#This Row],[Octane]] - 1</f>
        <v>2.3693510567201814E-2</v>
      </c>
      <c r="K89" s="2">
        <f>Table7[[#This Row],[Plank]]/Table7[[#This Row],[Octane]] - 1</f>
        <v>1.4462279739265282E-2</v>
      </c>
      <c r="L89" s="2">
        <f>Table7[[#This Row],[Batmobile]]/Table7[[#This Row],[Octane]] - 1</f>
        <v>1.0256857160804156E-3</v>
      </c>
      <c r="M89" s="2">
        <f>Table7[[#This Row],[Breakout]]/Table7[[#This Row],[Octane]] - 1</f>
        <v>1.8462471862269236E-2</v>
      </c>
      <c r="N89" s="2">
        <f>Table7[[#This Row],[Breakout]]/Table7[[#This Row],[Plank]] - 1</f>
        <v>3.9431649681760383E-3</v>
      </c>
      <c r="P89" s="6">
        <v>37</v>
      </c>
      <c r="Q89" s="4">
        <f>(1-$Y$4)*Q90+$Y$4*Table7[[#This Row],[Octane]]</f>
        <v>1.9604460112866624</v>
      </c>
      <c r="R89" s="4">
        <f>(1-$Y$4)*R90+$Y$4*Table7[[#This Row],[Hybrid]]</f>
        <v>1.9982116688229312</v>
      </c>
      <c r="S89" s="4">
        <f>(1-$Y$4)*S90+$Y$4*Table7[[#This Row],[Dominus]]</f>
        <v>2.0115292465013681</v>
      </c>
      <c r="T89" s="4">
        <f>(1-$Y$4)*T90+$Y$4*Table7[[#This Row],[Plank]]</f>
        <v>1.9944472458034692</v>
      </c>
      <c r="U89" s="4">
        <f>(1-$Y$4)*U90+$Y$4*Table7[[#This Row],[Batmobile]]</f>
        <v>1.9668882442818547</v>
      </c>
      <c r="V89" s="4">
        <f>(1-$Y$4)*V90+$Y$4*Table7[[#This Row],[Breakout]]</f>
        <v>2.0047675576848225</v>
      </c>
      <c r="W89" s="11">
        <f>POWER((1-$Y$4),Table714[[#This Row],[X]]-1)*$Y$4</f>
        <v>3.0072828728017946E-4</v>
      </c>
      <c r="Y89">
        <f>Table714[[#This Row],[X]]</f>
        <v>37</v>
      </c>
      <c r="Z89" s="2">
        <f>Table714[[#This Row],[Column1]]</f>
        <v>3.0072828728017946E-4</v>
      </c>
      <c r="AA89">
        <v>0.30833333333333302</v>
      </c>
      <c r="AD89" s="6">
        <v>37</v>
      </c>
      <c r="AE89" s="11">
        <f>(1-_xlfn.NORM.DIST(Table14[[#This Row],[X]],$AB$44,$AB$46,TRUE))/$AE$52</f>
        <v>0.48941235745235778</v>
      </c>
      <c r="AF89" s="8">
        <f>Table14[[#This Row],[Column1]]*Table7[[#This Row],[Octane]]</f>
        <v>0.95430516834603074</v>
      </c>
      <c r="AG89" s="8">
        <f>Table14[[#This Row],[Column1]]*Table7[[#This Row],[Hybrid]]</f>
        <v>0.97099414185343913</v>
      </c>
      <c r="AH89" s="8">
        <f>Table14[[#This Row],[Column1]]*Table7[[#This Row],[Dominus]]</f>
        <v>0.97691600793657285</v>
      </c>
      <c r="AI89" s="8">
        <f>Table14[[#This Row],[Column1]]*Table7[[#This Row],[Plank]]</f>
        <v>0.96810659664727772</v>
      </c>
      <c r="AJ89" s="8">
        <f>Table14[[#This Row],[Column1]]*Table7[[#This Row],[Batmobile]]</f>
        <v>0.95528398552598492</v>
      </c>
      <c r="AK89" s="8">
        <f>Table14[[#This Row],[Column1]]*Table7[[#This Row],[Breakout]]</f>
        <v>0.97192400066463736</v>
      </c>
      <c r="AL89" s="3">
        <f>Table14[[#This Row],[Column1]]-AE90</f>
        <v>1.5469555976801275E-2</v>
      </c>
      <c r="AW89" s="11">
        <v>0</v>
      </c>
      <c r="AX89" s="2">
        <f>(Table7[[#This Row],[Hybrid]]-Table7[[#This Row],[Octane]])/$B$245</f>
        <v>1.7200516881464727E-2</v>
      </c>
      <c r="AY89" s="2">
        <f>(Table7[[#This Row],[Dominus]]-Table7[[#This Row],[Octane]])/$B$245</f>
        <v>2.3303897505054252E-2</v>
      </c>
      <c r="AZ89" s="2">
        <f>(Table7[[#This Row],[Plank]]-Table7[[#This Row],[Octane]])/$B$245</f>
        <v>1.422446385804042E-2</v>
      </c>
      <c r="BA89" s="2">
        <f>(Table7[[#This Row],[Batmobile]]-Table7[[#This Row],[Octane]])/$B$245</f>
        <v>1.0088194711434116E-3</v>
      </c>
      <c r="BB89" s="2">
        <f>(Table7[[#This Row],[Breakout]]-Table7[[#This Row],[Octane]])/$B$245</f>
        <v>1.815887733259099E-2</v>
      </c>
      <c r="BC89" s="2"/>
    </row>
    <row r="90" spans="1:55">
      <c r="A90" s="1">
        <v>0.31666666666666698</v>
      </c>
      <c r="B90" s="13">
        <f>Octane[[#This Row],[angvel_total]]</f>
        <v>1.9529000256029492</v>
      </c>
      <c r="C90" s="13">
        <f>Hybrid[[#This Row],[angvel_total]]</f>
        <v>1.9879000326978216</v>
      </c>
      <c r="D90" s="13">
        <f>Dominus[[#This Row],[angvel_total]]</f>
        <v>2.0003000000000002</v>
      </c>
      <c r="E90" s="13">
        <f>Plank[[#This Row],[angvel_total]]</f>
        <v>1.9825000126103405</v>
      </c>
      <c r="F90" s="13">
        <f>Batmobile[[#This Row],[angvel_total]]</f>
        <v>1.9560000102249488</v>
      </c>
      <c r="G90" s="13">
        <f>Breakout[[#This Row],[angvel_total]]</f>
        <v>1.9908999999999999</v>
      </c>
      <c r="I90" s="2">
        <f>Table7[[#This Row],[Hybrid]]/Table7[[#This Row],[Octane]] - 1</f>
        <v>1.7922068019875281E-2</v>
      </c>
      <c r="J90" s="2">
        <f>Table7[[#This Row],[Dominus]]/Table7[[#This Row],[Octane]] - 1</f>
        <v>2.4271582659443292E-2</v>
      </c>
      <c r="K90" s="2">
        <f>Table7[[#This Row],[Plank]]/Table7[[#This Row],[Octane]] - 1</f>
        <v>1.5156939228495592E-2</v>
      </c>
      <c r="L90" s="2">
        <f>Table7[[#This Row],[Batmobile]]/Table7[[#This Row],[Octane]] - 1</f>
        <v>1.5873749712520535E-3</v>
      </c>
      <c r="M90" s="2">
        <f>Table7[[#This Row],[Breakout]]/Table7[[#This Row],[Octane]] - 1</f>
        <v>1.9458228224109142E-2</v>
      </c>
      <c r="N90" s="2">
        <f>Table7[[#This Row],[Breakout]]/Table7[[#This Row],[Plank]] - 1</f>
        <v>4.2370680132299832E-3</v>
      </c>
      <c r="P90" s="6">
        <v>38</v>
      </c>
      <c r="Q90" s="4">
        <f>(1-$Y$4)*Q91+$Y$4*Table7[[#This Row],[Octane]]</f>
        <v>1.9624547704570094</v>
      </c>
      <c r="R90" s="4">
        <f>(1-$Y$4)*R91+$Y$4*Table7[[#This Row],[Hybrid]]</f>
        <v>2.0009186437600182</v>
      </c>
      <c r="S90" s="4">
        <f>(1-$Y$4)*S91+$Y$4*Table7[[#This Row],[Dominus]]</f>
        <v>2.0144681501197459</v>
      </c>
      <c r="T90" s="4">
        <f>(1-$Y$4)*T91+$Y$4*Table7[[#This Row],[Plank]]</f>
        <v>1.9975610020942669</v>
      </c>
      <c r="U90" s="4">
        <f>(1-$Y$4)*U91+$Y$4*Table7[[#This Row],[Batmobile]]</f>
        <v>1.9697431460028887</v>
      </c>
      <c r="V90" s="4">
        <f>(1-$Y$4)*V91+$Y$4*Table7[[#This Row],[Breakout]]</f>
        <v>2.0083613781962173</v>
      </c>
      <c r="W90" s="11">
        <f>POWER((1-$Y$4),Table714[[#This Row],[X]]-1)*$Y$4</f>
        <v>2.5261176131535074E-4</v>
      </c>
      <c r="Y90">
        <f>Table714[[#This Row],[X]]</f>
        <v>38</v>
      </c>
      <c r="Z90" s="2">
        <f>Table714[[#This Row],[Column1]]</f>
        <v>2.5261176131535074E-4</v>
      </c>
      <c r="AA90">
        <v>0.31666666666666698</v>
      </c>
      <c r="AD90" s="6">
        <v>38</v>
      </c>
      <c r="AE90" s="11">
        <f>(1-_xlfn.NORM.DIST(Table14[[#This Row],[X]],$AB$44,$AB$46,TRUE))/$AE$52</f>
        <v>0.47394280147555651</v>
      </c>
      <c r="AF90" s="8">
        <f>Table14[[#This Row],[Column1]]*Table7[[#This Row],[Octane]]</f>
        <v>0.92556290913594774</v>
      </c>
      <c r="AG90" s="8">
        <f>Table14[[#This Row],[Column1]]*Table7[[#This Row],[Hybrid]]</f>
        <v>0.94215091055015598</v>
      </c>
      <c r="AH90" s="8">
        <f>Table14[[#This Row],[Column1]]*Table7[[#This Row],[Dominus]]</f>
        <v>0.94802778579155578</v>
      </c>
      <c r="AI90" s="8">
        <f>Table14[[#This Row],[Column1]]*Table7[[#This Row],[Plank]]</f>
        <v>0.93959160990187085</v>
      </c>
      <c r="AJ90" s="8">
        <f>Table14[[#This Row],[Column1]]*Table7[[#This Row],[Batmobile]]</f>
        <v>0.92703212453222938</v>
      </c>
      <c r="AK90" s="8">
        <f>Table14[[#This Row],[Column1]]*Table7[[#This Row],[Breakout]]</f>
        <v>0.94357272345768539</v>
      </c>
      <c r="AL90" s="3">
        <f>Table14[[#This Row],[Column1]]-AE91</f>
        <v>1.5332670767731094E-2</v>
      </c>
      <c r="AW90" s="11">
        <v>0</v>
      </c>
      <c r="AX90" s="2">
        <f>(Table7[[#This Row],[Hybrid]]-Table7[[#This Row],[Octane]])/$B$245</f>
        <v>1.7654480227160953E-2</v>
      </c>
      <c r="AY90" s="2">
        <f>(Table7[[#This Row],[Dominus]]-Table7[[#This Row],[Octane]])/$B$245</f>
        <v>2.3909192603657203E-2</v>
      </c>
      <c r="AZ90" s="2">
        <f>(Table7[[#This Row],[Plank]]-Table7[[#This Row],[Octane]])/$B$245</f>
        <v>1.4930636554721424E-2</v>
      </c>
      <c r="BA90" s="2">
        <f>(Table7[[#This Row],[Batmobile]]-Table7[[#This Row],[Octane]])/$B$245</f>
        <v>1.5636744605578717E-3</v>
      </c>
      <c r="BB90" s="2">
        <f>(Table7[[#This Row],[Breakout]]-Table7[[#This Row],[Octane]])/$B$245</f>
        <v>1.9167704589512464E-2</v>
      </c>
      <c r="BC90" s="2"/>
    </row>
    <row r="91" spans="1:55">
      <c r="A91" s="1">
        <v>0.32500000000000001</v>
      </c>
      <c r="B91" s="13">
        <f>Octane[[#This Row],[angvel_total]]</f>
        <v>1.9556000255676005</v>
      </c>
      <c r="C91" s="13">
        <f>Hybrid[[#This Row],[angvel_total]]</f>
        <v>1.9915000326387144</v>
      </c>
      <c r="D91" s="13">
        <f>Dominus[[#This Row],[angvel_total]]</f>
        <v>2.0042</v>
      </c>
      <c r="E91" s="13">
        <f>Plank[[#This Row],[angvel_total]]</f>
        <v>1.9866000125843148</v>
      </c>
      <c r="F91" s="13">
        <f>Batmobile[[#This Row],[angvel_total]]</f>
        <v>1.9598000127564037</v>
      </c>
      <c r="G91" s="13">
        <f>Breakout[[#This Row],[angvel_total]]</f>
        <v>1.9955000000000001</v>
      </c>
      <c r="I91" s="2">
        <f>Table7[[#This Row],[Hybrid]]/Table7[[#This Row],[Octane]] - 1</f>
        <v>1.8357540704518227E-2</v>
      </c>
      <c r="J91" s="2">
        <f>Table7[[#This Row],[Dominus]]/Table7[[#This Row],[Octane]] - 1</f>
        <v>2.4851694516772938E-2</v>
      </c>
      <c r="K91" s="2">
        <f>Table7[[#This Row],[Plank]]/Table7[[#This Row],[Octane]] - 1</f>
        <v>1.5851905610257289E-2</v>
      </c>
      <c r="L91" s="2">
        <f>Table7[[#This Row],[Batmobile]]/Table7[[#This Row],[Octane]] - 1</f>
        <v>2.1476718827431185E-3</v>
      </c>
      <c r="M91" s="2">
        <f>Table7[[#This Row],[Breakout]]/Table7[[#This Row],[Octane]] - 1</f>
        <v>2.0402932046811983E-2</v>
      </c>
      <c r="N91" s="2">
        <f>Table7[[#This Row],[Breakout]]/Table7[[#This Row],[Plank]] - 1</f>
        <v>4.4800097449448906E-3</v>
      </c>
      <c r="P91" s="6">
        <v>39</v>
      </c>
      <c r="Q91" s="4">
        <f>(1-$Y$4)*Q92+$Y$4*Table7[[#This Row],[Octane]]</f>
        <v>1.964274721857783</v>
      </c>
      <c r="R91" s="4">
        <f>(1-$Y$4)*R92+$Y$4*Table7[[#This Row],[Hybrid]]</f>
        <v>2.0033983792004366</v>
      </c>
      <c r="S91" s="4">
        <f>(1-$Y$4)*S92+$Y$4*Table7[[#This Row],[Dominus]]</f>
        <v>2.0171668453806499</v>
      </c>
      <c r="T91" s="4">
        <f>(1-$Y$4)*T92+$Y$4*Table7[[#This Row],[Plank]]</f>
        <v>2.0004297619959672</v>
      </c>
      <c r="U91" s="4">
        <f>(1-$Y$4)*U92+$Y$4*Table7[[#This Row],[Batmobile]]</f>
        <v>1.9723608861510677</v>
      </c>
      <c r="V91" s="4">
        <f>(1-$Y$4)*V92+$Y$4*Table7[[#This Row],[Breakout]]</f>
        <v>2.0116873549954968</v>
      </c>
      <c r="W91" s="11">
        <f>POWER((1-$Y$4),Table714[[#This Row],[X]]-1)*$Y$4</f>
        <v>2.1219387950489462E-4</v>
      </c>
      <c r="Y91">
        <f>Table714[[#This Row],[X]]</f>
        <v>39</v>
      </c>
      <c r="Z91" s="2">
        <f>Table714[[#This Row],[Column1]]</f>
        <v>2.1219387950489462E-4</v>
      </c>
      <c r="AA91">
        <v>0.32500000000000001</v>
      </c>
      <c r="AD91" s="6">
        <v>39</v>
      </c>
      <c r="AE91" s="11">
        <f>(1-_xlfn.NORM.DIST(Table14[[#This Row],[X]],$AB$44,$AB$46,TRUE))/$AE$52</f>
        <v>0.45861013070782541</v>
      </c>
      <c r="AF91" s="8">
        <f>Table14[[#This Row],[Column1]]*Table7[[#This Row],[Octane]]</f>
        <v>0.89685798333778399</v>
      </c>
      <c r="AG91" s="8">
        <f>Table14[[#This Row],[Column1]]*Table7[[#This Row],[Hybrid]]</f>
        <v>0.91332209027307942</v>
      </c>
      <c r="AH91" s="8">
        <f>Table14[[#This Row],[Column1]]*Table7[[#This Row],[Dominus]]</f>
        <v>0.91914642396462365</v>
      </c>
      <c r="AI91" s="8">
        <f>Table14[[#This Row],[Column1]]*Table7[[#This Row],[Plank]]</f>
        <v>0.91107489143546028</v>
      </c>
      <c r="AJ91" s="8">
        <f>Table14[[#This Row],[Column1]]*Table7[[#This Row],[Batmobile]]</f>
        <v>0.89878414001141227</v>
      </c>
      <c r="AK91" s="8">
        <f>Table14[[#This Row],[Column1]]*Table7[[#This Row],[Breakout]]</f>
        <v>0.9151565158274656</v>
      </c>
      <c r="AL91" s="3">
        <f>Table14[[#This Row],[Column1]]-AE92</f>
        <v>1.5180122199641044E-2</v>
      </c>
      <c r="AW91" s="11">
        <v>0</v>
      </c>
      <c r="AX91" s="2">
        <f>(Table7[[#This Row],[Hybrid]]-Table7[[#This Row],[Octane]])/$B$245</f>
        <v>1.8108452471850296E-2</v>
      </c>
      <c r="AY91" s="2">
        <f>(Table7[[#This Row],[Dominus]]-Table7[[#This Row],[Octane]])/$B$245</f>
        <v>2.4514488963718682E-2</v>
      </c>
      <c r="AZ91" s="2">
        <f>(Table7[[#This Row],[Plank]]-Table7[[#This Row],[Octane]])/$B$245</f>
        <v>1.5636815625360529E-2</v>
      </c>
      <c r="BA91" s="2">
        <f>(Table7[[#This Row],[Batmobile]]-Table7[[#This Row],[Octane]])/$B$245</f>
        <v>2.1185307356671539E-3</v>
      </c>
      <c r="BB91" s="2">
        <f>(Table7[[#This Row],[Breakout]]-Table7[[#This Row],[Octane]])/$B$245</f>
        <v>2.0126090482542342E-2</v>
      </c>
      <c r="BC91" s="2"/>
    </row>
    <row r="92" spans="1:55">
      <c r="A92" s="1">
        <v>0.33333333333333298</v>
      </c>
      <c r="B92" s="13">
        <f>Octane[[#This Row],[angvel_total]]</f>
        <v>1.9580000255362613</v>
      </c>
      <c r="C92" s="13">
        <f>Hybrid[[#This Row],[angvel_total]]</f>
        <v>1.9948000325847199</v>
      </c>
      <c r="D92" s="13">
        <f>Dominus[[#This Row],[angvel_total]]</f>
        <v>2.0077000024904117</v>
      </c>
      <c r="E92" s="13">
        <f>Plank[[#This Row],[angvel_total]]</f>
        <v>1.9903000050243682</v>
      </c>
      <c r="F92" s="13">
        <f>Batmobile[[#This Row],[angvel_total]]</f>
        <v>1.9632000127343114</v>
      </c>
      <c r="G92" s="13">
        <f>Breakout[[#This Row],[angvel_total]]</f>
        <v>1.9998</v>
      </c>
      <c r="I92" s="2">
        <f>Table7[[#This Row],[Hybrid]]/Table7[[#This Row],[Octane]] - 1</f>
        <v>1.8794691812314746E-2</v>
      </c>
      <c r="J92" s="2">
        <f>Table7[[#This Row],[Dominus]]/Table7[[#This Row],[Octane]] - 1</f>
        <v>2.5383031821227142E-2</v>
      </c>
      <c r="K92" s="2">
        <f>Table7[[#This Row],[Plank]]/Table7[[#This Row],[Octane]] - 1</f>
        <v>1.6496414232303414E-2</v>
      </c>
      <c r="L92" s="2">
        <f>Table7[[#This Row],[Batmobile]]/Table7[[#This Row],[Octane]] - 1</f>
        <v>2.6557646221816444E-3</v>
      </c>
      <c r="M92" s="2">
        <f>Table7[[#This Row],[Breakout]]/Table7[[#This Row],[Octane]] - 1</f>
        <v>2.1348301286303828E-2</v>
      </c>
      <c r="N92" s="2">
        <f>Table7[[#This Row],[Breakout]]/Table7[[#This Row],[Plank]] - 1</f>
        <v>4.7731472399386021E-3</v>
      </c>
      <c r="P92" s="6">
        <v>40</v>
      </c>
      <c r="Q92" s="4">
        <f>(1-$Y$4)*Q93+$Y$4*Table7[[#This Row],[Octane]]</f>
        <v>1.9659270449606749</v>
      </c>
      <c r="R92" s="4">
        <f>(1-$Y$4)*R93+$Y$4*Table7[[#This Row],[Hybrid]]</f>
        <v>2.0056647309264788</v>
      </c>
      <c r="S92" s="4">
        <f>(1-$Y$4)*S93+$Y$4*Table7[[#This Row],[Dominus]]</f>
        <v>2.01963672069125</v>
      </c>
      <c r="T92" s="4">
        <f>(1-$Y$4)*T93+$Y$4*Table7[[#This Row],[Plank]]</f>
        <v>2.0030639999791391</v>
      </c>
      <c r="U92" s="4">
        <f>(1-$Y$4)*U93+$Y$4*Table7[[#This Row],[Batmobile]]</f>
        <v>1.9747534334643373</v>
      </c>
      <c r="V92" s="4">
        <f>(1-$Y$4)*V93+$Y$4*Table7[[#This Row],[Breakout]]</f>
        <v>2.0147706607089249</v>
      </c>
      <c r="W92" s="11">
        <f>POWER((1-$Y$4),Table714[[#This Row],[X]]-1)*$Y$4</f>
        <v>1.7824285878411148E-4</v>
      </c>
      <c r="Y92">
        <f>Table714[[#This Row],[X]]</f>
        <v>40</v>
      </c>
      <c r="Z92" s="2">
        <f>Table714[[#This Row],[Column1]]</f>
        <v>1.7824285878411148E-4</v>
      </c>
      <c r="AA92">
        <v>0.33333333333333298</v>
      </c>
      <c r="AD92" s="6">
        <v>40</v>
      </c>
      <c r="AE92" s="11">
        <f>(1-_xlfn.NORM.DIST(Table14[[#This Row],[X]],$AB$44,$AB$46,TRUE))/$AE$52</f>
        <v>0.44343000850818437</v>
      </c>
      <c r="AF92" s="8">
        <f>Table14[[#This Row],[Column1]]*Table7[[#This Row],[Octane]]</f>
        <v>0.86823596798256952</v>
      </c>
      <c r="AG92" s="8">
        <f>Table14[[#This Row],[Column1]]*Table7[[#This Row],[Hybrid]]</f>
        <v>0.88455419542116887</v>
      </c>
      <c r="AH92" s="8">
        <f>Table14[[#This Row],[Column1]]*Table7[[#This Row],[Dominus]]</f>
        <v>0.89027442918620503</v>
      </c>
      <c r="AI92" s="8">
        <f>Table14[[#This Row],[Column1]]*Table7[[#This Row],[Plank]]</f>
        <v>0.88255874816179503</v>
      </c>
      <c r="AJ92" s="8">
        <f>Table14[[#This Row],[Column1]]*Table7[[#This Row],[Batmobile]]</f>
        <v>0.87054179835004342</v>
      </c>
      <c r="AK92" s="8">
        <f>Table14[[#This Row],[Column1]]*Table7[[#This Row],[Breakout]]</f>
        <v>0.8867713310146671</v>
      </c>
      <c r="AL92" s="3">
        <f>Table14[[#This Row],[Column1]]-AE93</f>
        <v>1.5012403203111646E-2</v>
      </c>
      <c r="AW92" s="11">
        <v>0</v>
      </c>
      <c r="AX92" s="2">
        <f>(Table7[[#This Row],[Hybrid]]-Table7[[#This Row],[Octane]])/$B$245</f>
        <v>1.8562424717096068E-2</v>
      </c>
      <c r="AY92" s="2">
        <f>(Table7[[#This Row],[Dominus]]-Table7[[#This Row],[Octane]])/$B$245</f>
        <v>2.5069345216102806E-2</v>
      </c>
      <c r="AZ92" s="2">
        <f>(Table7[[#This Row],[Plank]]-Table7[[#This Row],[Octane]])/$B$245</f>
        <v>1.6292549531912233E-2</v>
      </c>
      <c r="BA92" s="2">
        <f>(Table7[[#This Row],[Batmobile]]-Table7[[#This Row],[Octane]])/$B$245</f>
        <v>2.6229443588574549E-3</v>
      </c>
      <c r="BB92" s="2">
        <f>(Table7[[#This Row],[Breakout]]-Table7[[#This Row],[Octane]])/$B$245</f>
        <v>2.1084476373549682E-2</v>
      </c>
      <c r="BC92" s="2"/>
    </row>
    <row r="93" spans="1:55">
      <c r="A93" s="1">
        <v>0.34166666666666701</v>
      </c>
      <c r="B93" s="13">
        <f>Octane[[#This Row],[angvel_total]]</f>
        <v>1.9602000255076011</v>
      </c>
      <c r="C93" s="13">
        <f>Hybrid[[#This Row],[angvel_total]]</f>
        <v>1.9978000325357892</v>
      </c>
      <c r="D93" s="13">
        <f>Dominus[[#This Row],[angvel_total]]</f>
        <v>2.0110000024863255</v>
      </c>
      <c r="E93" s="13">
        <f>Plank[[#This Row],[angvel_total]]</f>
        <v>1.9938000050155482</v>
      </c>
      <c r="F93" s="13">
        <f>Batmobile[[#This Row],[angvel_total]]</f>
        <v>1.9664000127135881</v>
      </c>
      <c r="G93" s="13">
        <f>Breakout[[#This Row],[angvel_total]]</f>
        <v>2.0038</v>
      </c>
      <c r="I93" s="2">
        <f>Table7[[#This Row],[Hybrid]]/Table7[[#This Row],[Octane]] - 1</f>
        <v>1.9181719487250559E-2</v>
      </c>
      <c r="J93" s="2">
        <f>Table7[[#This Row],[Dominus]]/Table7[[#This Row],[Octane]] - 1</f>
        <v>2.5915710803834813E-2</v>
      </c>
      <c r="K93" s="2">
        <f>Table7[[#This Row],[Plank]]/Table7[[#This Row],[Octane]] - 1</f>
        <v>1.7141097373083891E-2</v>
      </c>
      <c r="L93" s="2">
        <f>Table7[[#This Row],[Batmobile]]/Table7[[#This Row],[Octane]] - 1</f>
        <v>3.1629359888318831E-3</v>
      </c>
      <c r="M93" s="2">
        <f>Table7[[#This Row],[Breakout]]/Table7[[#This Row],[Octane]] - 1</f>
        <v>2.224261500104241E-2</v>
      </c>
      <c r="N93" s="2">
        <f>Table7[[#This Row],[Breakout]]/Table7[[#This Row],[Plank]] - 1</f>
        <v>5.0155456712288604E-3</v>
      </c>
      <c r="P93" s="6">
        <v>41</v>
      </c>
      <c r="Q93" s="4">
        <f>(1-$Y$4)*Q94+$Y$4*Table7[[#This Row],[Octane]]</f>
        <v>1.967436953422468</v>
      </c>
      <c r="R93" s="4">
        <f>(1-$Y$4)*R94+$Y$4*Table7[[#This Row],[Hybrid]]</f>
        <v>2.0077341972772902</v>
      </c>
      <c r="S93" s="4">
        <f>(1-$Y$4)*S94+$Y$4*Table7[[#This Row],[Dominus]]</f>
        <v>2.0219103813009336</v>
      </c>
      <c r="T93" s="4">
        <f>(1-$Y$4)*T94+$Y$4*Table7[[#This Row],[Plank]]</f>
        <v>2.0054952371133812</v>
      </c>
      <c r="U93" s="4">
        <f>(1-$Y$4)*U94+$Y$4*Table7[[#This Row],[Batmobile]]</f>
        <v>1.9769540850319611</v>
      </c>
      <c r="V93" s="4">
        <f>(1-$Y$4)*V94+$Y$4*Table7[[#This Row],[Breakout]]</f>
        <v>2.0176222151296725</v>
      </c>
      <c r="W93" s="11">
        <f>POWER((1-$Y$4),Table714[[#This Row],[X]]-1)*$Y$4</f>
        <v>1.4972400137865363E-4</v>
      </c>
      <c r="Y93">
        <f>Table714[[#This Row],[X]]</f>
        <v>41</v>
      </c>
      <c r="Z93" s="2">
        <f>Table714[[#This Row],[Column1]]</f>
        <v>1.4972400137865363E-4</v>
      </c>
      <c r="AA93">
        <v>0.34166666666666701</v>
      </c>
      <c r="AD93" s="6">
        <v>41</v>
      </c>
      <c r="AE93" s="11">
        <f>(1-_xlfn.NORM.DIST(Table14[[#This Row],[X]],$AB$44,$AB$46,TRUE))/$AE$52</f>
        <v>0.42841760530507272</v>
      </c>
      <c r="AF93" s="8">
        <f>Table14[[#This Row],[Column1]]*Table7[[#This Row],[Octane]]</f>
        <v>0.83978420084690897</v>
      </c>
      <c r="AG93" s="8">
        <f>Table14[[#This Row],[Column1]]*Table7[[#This Row],[Hybrid]]</f>
        <v>0.8558927058173792</v>
      </c>
      <c r="AH93" s="8">
        <f>Table14[[#This Row],[Column1]]*Table7[[#This Row],[Dominus]]</f>
        <v>0.86154780533368691</v>
      </c>
      <c r="AI93" s="8">
        <f>Table14[[#This Row],[Column1]]*Table7[[#This Row],[Plank]]</f>
        <v>0.85417902360600317</v>
      </c>
      <c r="AJ93" s="8">
        <f>Table14[[#This Row],[Column1]]*Table7[[#This Row],[Batmobile]]</f>
        <v>0.84244038451862002</v>
      </c>
      <c r="AK93" s="8">
        <f>Table14[[#This Row],[Column1]]*Table7[[#This Row],[Breakout]]</f>
        <v>0.85846319751030475</v>
      </c>
      <c r="AL93" s="3">
        <f>Table14[[#This Row],[Column1]]-AE94</f>
        <v>1.4830051799842092E-2</v>
      </c>
      <c r="AW93" s="11">
        <v>0</v>
      </c>
      <c r="AX93" s="2">
        <f>(Table7[[#This Row],[Hybrid]]-Table7[[#This Row],[Octane]])/$B$245</f>
        <v>1.8965955601692147E-2</v>
      </c>
      <c r="AY93" s="2">
        <f>(Table7[[#This Row],[Dominus]]-Table7[[#This Row],[Octane]])/$B$245</f>
        <v>2.5624200208876888E-2</v>
      </c>
      <c r="AZ93" s="2">
        <f>(Table7[[#This Row],[Plank]]-Table7[[#This Row],[Octane]])/$B$245</f>
        <v>1.6948287246003731E-2</v>
      </c>
      <c r="BA93" s="2">
        <f>(Table7[[#This Row],[Batmobile]]-Table7[[#This Row],[Octane]])/$B$245</f>
        <v>3.1273579813869425E-3</v>
      </c>
      <c r="BB93" s="2">
        <f>(Table7[[#This Row],[Breakout]]-Table7[[#This Row],[Octane]])/$B$245</f>
        <v>2.1992420901353119E-2</v>
      </c>
      <c r="BC93" s="2"/>
    </row>
    <row r="94" spans="1:55">
      <c r="A94" s="1">
        <v>0.35</v>
      </c>
      <c r="B94" s="13">
        <f>Octane[[#This Row],[angvel_total]]</f>
        <v>1.9622000254816021</v>
      </c>
      <c r="C94" s="13">
        <f>Hybrid[[#This Row],[angvel_total]]</f>
        <v>2.0005000324918769</v>
      </c>
      <c r="D94" s="13">
        <f>Dominus[[#This Row],[angvel_total]]</f>
        <v>2.0140000099304864</v>
      </c>
      <c r="E94" s="13">
        <f>Plank[[#This Row],[angvel_total]]</f>
        <v>1.9970000025037558</v>
      </c>
      <c r="F94" s="13">
        <f>Batmobile[[#This Row],[angvel_total]]</f>
        <v>1.9693000126948663</v>
      </c>
      <c r="G94" s="13">
        <f>Breakout[[#This Row],[angvel_total]]</f>
        <v>2.0074999999999998</v>
      </c>
      <c r="I94" s="2">
        <f>Table7[[#This Row],[Hybrid]]/Table7[[#This Row],[Octane]] - 1</f>
        <v>1.9518910668077538E-2</v>
      </c>
      <c r="J94" s="2">
        <f>Table7[[#This Row],[Dominus]]/Table7[[#This Row],[Octane]] - 1</f>
        <v>2.6398931697175332E-2</v>
      </c>
      <c r="K94" s="2">
        <f>Table7[[#This Row],[Plank]]/Table7[[#This Row],[Octane]] - 1</f>
        <v>1.7735183248513309E-2</v>
      </c>
      <c r="L94" s="2">
        <f>Table7[[#This Row],[Batmobile]]/Table7[[#This Row],[Octane]] - 1</f>
        <v>3.6183809606880057E-3</v>
      </c>
      <c r="M94" s="2">
        <f>Table7[[#This Row],[Breakout]]/Table7[[#This Row],[Octane]] - 1</f>
        <v>2.3086318382489646E-2</v>
      </c>
      <c r="N94" s="2">
        <f>Table7[[#This Row],[Breakout]]/Table7[[#This Row],[Plank]] - 1</f>
        <v>5.2578855698945937E-3</v>
      </c>
      <c r="P94" s="6">
        <v>42</v>
      </c>
      <c r="Q94" s="4">
        <f>(1-$Y$4)*Q95+$Y$4*Table7[[#This Row],[Octane]]</f>
        <v>1.9688154158824429</v>
      </c>
      <c r="R94" s="4">
        <f>(1-$Y$4)*R95+$Y$4*Table7[[#This Row],[Hybrid]]</f>
        <v>2.0096264191328141</v>
      </c>
      <c r="S94" s="4">
        <f>(1-$Y$4)*S95+$Y$4*Table7[[#This Row],[Dominus]]</f>
        <v>2.0239885486941924</v>
      </c>
      <c r="T94" s="4">
        <f>(1-$Y$4)*T95+$Y$4*Table7[[#This Row],[Plank]]</f>
        <v>2.0077229003701111</v>
      </c>
      <c r="U94" s="4">
        <f>(1-$Y$4)*U95+$Y$4*Table7[[#This Row],[Batmobile]]</f>
        <v>1.9789643845211751</v>
      </c>
      <c r="V94" s="4">
        <f>(1-$Y$4)*V95+$Y$4*Table7[[#This Row],[Breakout]]</f>
        <v>2.0202550180115151</v>
      </c>
      <c r="W94" s="11">
        <f>POWER((1-$Y$4),Table714[[#This Row],[X]]-1)*$Y$4</f>
        <v>1.2576816115806905E-4</v>
      </c>
      <c r="Y94">
        <f>Table714[[#This Row],[X]]</f>
        <v>42</v>
      </c>
      <c r="Z94" s="2">
        <f>Table714[[#This Row],[Column1]]</f>
        <v>1.2576816115806905E-4</v>
      </c>
      <c r="AA94">
        <v>0.35</v>
      </c>
      <c r="AD94" s="6">
        <v>42</v>
      </c>
      <c r="AE94" s="11">
        <f>(1-_xlfn.NORM.DIST(Table14[[#This Row],[X]],$AB$44,$AB$46,TRUE))/$AE$52</f>
        <v>0.41358755350523063</v>
      </c>
      <c r="AF94" s="8">
        <f>Table14[[#This Row],[Column1]]*Table7[[#This Row],[Octane]]</f>
        <v>0.811541508026837</v>
      </c>
      <c r="AG94" s="8">
        <f>Table14[[#This Row],[Column1]]*Table7[[#This Row],[Hybrid]]</f>
        <v>0.82738191422544971</v>
      </c>
      <c r="AH94" s="8">
        <f>Table14[[#This Row],[Column1]]*Table7[[#This Row],[Dominus]]</f>
        <v>0.83296533686666008</v>
      </c>
      <c r="AI94" s="8">
        <f>Table14[[#This Row],[Column1]]*Table7[[#This Row],[Plank]]</f>
        <v>0.82593434538546784</v>
      </c>
      <c r="AJ94" s="8">
        <f>Table14[[#This Row],[Column1]]*Table7[[#This Row],[Batmobile]]</f>
        <v>0.81447797436828939</v>
      </c>
      <c r="AK94" s="8">
        <f>Table14[[#This Row],[Column1]]*Table7[[#This Row],[Breakout]]</f>
        <v>0.83027701366175044</v>
      </c>
      <c r="AL94" s="3">
        <f>Table14[[#This Row],[Column1]]-AE95</f>
        <v>1.463364822886043E-2</v>
      </c>
      <c r="AW94" s="11">
        <v>0</v>
      </c>
      <c r="AX94" s="2">
        <f>(Table7[[#This Row],[Hybrid]]-Table7[[#This Row],[Octane]])/$B$245</f>
        <v>1.9319045125624646E-2</v>
      </c>
      <c r="AY94" s="2">
        <f>(Table7[[#This Row],[Dominus]]-Table7[[#This Row],[Octane]])/$B$245</f>
        <v>2.6128617595453311E-2</v>
      </c>
      <c r="AZ94" s="2">
        <f>(Table7[[#This Row],[Plank]]-Table7[[#This Row],[Octane]])/$B$245</f>
        <v>1.7553582334366869E-2</v>
      </c>
      <c r="BA94" s="2">
        <f>(Table7[[#This Row],[Batmobile]]-Table7[[#This Row],[Octane]])/$B$245</f>
        <v>3.5813302417310746E-3</v>
      </c>
      <c r="BB94" s="2">
        <f>(Table7[[#This Row],[Breakout]]-Table7[[#This Row],[Octane]])/$B$245</f>
        <v>2.2849924065961497E-2</v>
      </c>
      <c r="BC94" s="2"/>
    </row>
    <row r="95" spans="1:55">
      <c r="A95" s="1">
        <v>0.358333333333333</v>
      </c>
      <c r="B95" s="13">
        <f>Octane[[#This Row],[angvel_total]]</f>
        <v>1.9641000254569521</v>
      </c>
      <c r="C95" s="13">
        <f>Hybrid[[#This Row],[angvel_total]]</f>
        <v>2.0030000324513231</v>
      </c>
      <c r="D95" s="13">
        <f>Dominus[[#This Row],[angvel_total]]</f>
        <v>2.0167000223136808</v>
      </c>
      <c r="E95" s="13">
        <f>Plank[[#This Row],[angvel_total]]</f>
        <v>1.999900002500125</v>
      </c>
      <c r="F95" s="13">
        <f>Batmobile[[#This Row],[angvel_total]]</f>
        <v>1.971900005071251</v>
      </c>
      <c r="G95" s="13">
        <f>Breakout[[#This Row],[angvel_total]]</f>
        <v>2.0108999999999999</v>
      </c>
      <c r="I95" s="2">
        <f>Table7[[#This Row],[Hybrid]]/Table7[[#This Row],[Octane]] - 1</f>
        <v>1.9805512188882046E-2</v>
      </c>
      <c r="J95" s="2">
        <f>Table7[[#This Row],[Dominus]]/Table7[[#This Row],[Octane]] - 1</f>
        <v>2.6780711865471929E-2</v>
      </c>
      <c r="K95" s="2">
        <f>Table7[[#This Row],[Plank]]/Table7[[#This Row],[Octane]] - 1</f>
        <v>1.8227165917807042E-2</v>
      </c>
      <c r="L95" s="2">
        <f>Table7[[#This Row],[Batmobile]]/Table7[[#This Row],[Octane]] - 1</f>
        <v>3.9712741271842322E-3</v>
      </c>
      <c r="M95" s="2">
        <f>Table7[[#This Row],[Breakout]]/Table7[[#This Row],[Octane]] - 1</f>
        <v>2.3827694076914208E-2</v>
      </c>
      <c r="N95" s="2">
        <f>Table7[[#This Row],[Breakout]]/Table7[[#This Row],[Plank]] - 1</f>
        <v>5.5002737567495519E-3</v>
      </c>
      <c r="P95" s="6">
        <v>43</v>
      </c>
      <c r="Q95" s="4">
        <f>(1-$Y$4)*Q96+$Y$4*Table7[[#This Row],[Octane]]</f>
        <v>1.9700754902445077</v>
      </c>
      <c r="R95" s="4">
        <f>(1-$Y$4)*R96+$Y$4*Table7[[#This Row],[Hybrid]]</f>
        <v>2.0113647784929927</v>
      </c>
      <c r="S95" s="4">
        <f>(1-$Y$4)*S96+$Y$4*Table7[[#This Row],[Dominus]]</f>
        <v>2.0258911275063269</v>
      </c>
      <c r="T95" s="4">
        <f>(1-$Y$4)*T96+$Y$4*Table7[[#This Row],[Plank]]</f>
        <v>2.0097653571065601</v>
      </c>
      <c r="U95" s="4">
        <f>(1-$Y$4)*U96+$Y$4*Table7[[#This Row],[Batmobile]]</f>
        <v>1.9808052172499959</v>
      </c>
      <c r="V95" s="4">
        <f>(1-$Y$4)*V96+$Y$4*Table7[[#This Row],[Breakout]]</f>
        <v>2.0226845452518036</v>
      </c>
      <c r="W95" s="11">
        <f>POWER((1-$Y$4),Table714[[#This Row],[X]]-1)*$Y$4</f>
        <v>1.0564525537277799E-4</v>
      </c>
      <c r="Y95">
        <f>Table714[[#This Row],[X]]</f>
        <v>43</v>
      </c>
      <c r="Z95" s="2">
        <f>Table714[[#This Row],[Column1]]</f>
        <v>1.0564525537277799E-4</v>
      </c>
      <c r="AA95">
        <v>0.358333333333333</v>
      </c>
      <c r="AD95" s="6">
        <v>43</v>
      </c>
      <c r="AE95" s="11">
        <f>(1-_xlfn.NORM.DIST(Table14[[#This Row],[X]],$AB$44,$AB$46,TRUE))/$AE$52</f>
        <v>0.3989539052763702</v>
      </c>
      <c r="AF95" s="8">
        <f>Table14[[#This Row],[Column1]]*Table7[[#This Row],[Octane]]</f>
        <v>0.78358537550946916</v>
      </c>
      <c r="AG95" s="8">
        <f>Table14[[#This Row],[Column1]]*Table7[[#This Row],[Hybrid]]</f>
        <v>0.79910468521515154</v>
      </c>
      <c r="AH95" s="8">
        <f>Table14[[#This Row],[Column1]]*Table7[[#This Row],[Dominus]]</f>
        <v>0.80457034967298591</v>
      </c>
      <c r="AI95" s="8">
        <f>Table14[[#This Row],[Column1]]*Table7[[#This Row],[Plank]]</f>
        <v>0.79786791615964736</v>
      </c>
      <c r="AJ95" s="8">
        <f>Table14[[#This Row],[Column1]]*Table7[[#This Row],[Batmobile]]</f>
        <v>0.78669720783766983</v>
      </c>
      <c r="AK95" s="8">
        <f>Table14[[#This Row],[Column1]]*Table7[[#This Row],[Breakout]]</f>
        <v>0.80225640812025278</v>
      </c>
      <c r="AL95" s="3">
        <f>Table14[[#This Row],[Column1]]-AE96</f>
        <v>1.4423811873133574E-2</v>
      </c>
      <c r="AW95" s="11">
        <v>0</v>
      </c>
      <c r="AX95" s="2">
        <f>(Table7[[#This Row],[Hybrid]]-Table7[[#This Row],[Octane]])/$B$245</f>
        <v>1.962169328871817E-2</v>
      </c>
      <c r="AY95" s="2">
        <f>(Table7[[#This Row],[Dominus]]-Table7[[#This Row],[Octane]])/$B$245</f>
        <v>2.6532154748959841E-2</v>
      </c>
      <c r="AZ95" s="2">
        <f>(Table7[[#This Row],[Plank]]-Table7[[#This Row],[Octane]])/$B$245</f>
        <v>1.8057995963495312E-2</v>
      </c>
      <c r="BA95" s="2">
        <f>(Table7[[#This Row],[Batmobile]]-Table7[[#This Row],[Octane]])/$B$245</f>
        <v>3.9344159416776986E-3</v>
      </c>
      <c r="BB95" s="2">
        <f>(Table7[[#This Row],[Breakout]]-Table7[[#This Row],[Octane]])/$B$245</f>
        <v>2.3606544506184383E-2</v>
      </c>
      <c r="BC95" s="2"/>
    </row>
    <row r="96" spans="1:55">
      <c r="A96" s="1">
        <v>0.36666666666666697</v>
      </c>
      <c r="B96" s="13">
        <f>Octane[[#This Row],[angvel_total]]</f>
        <v>1.9658000228914436</v>
      </c>
      <c r="C96" s="13">
        <f>Hybrid[[#This Row],[angvel_total]]</f>
        <v>2.0053000249339252</v>
      </c>
      <c r="D96" s="13">
        <f>Dominus[[#This Row],[angvel_total]]</f>
        <v>2.019200022286054</v>
      </c>
      <c r="E96" s="13">
        <f>Plank[[#This Row],[angvel_total]]</f>
        <v>2.0026000024967545</v>
      </c>
      <c r="F96" s="13">
        <f>Batmobile[[#This Row],[angvel_total]]</f>
        <v>1.974300002532543</v>
      </c>
      <c r="G96" s="13">
        <f>Breakout[[#This Row],[angvel_total]]</f>
        <v>2.0139999999999998</v>
      </c>
      <c r="I96" s="2">
        <f>Table7[[#This Row],[Hybrid]]/Table7[[#This Row],[Octane]] - 1</f>
        <v>2.0093601374763459E-2</v>
      </c>
      <c r="J96" s="2">
        <f>Table7[[#This Row],[Dominus]]/Table7[[#This Row],[Octane]] - 1</f>
        <v>2.7164512551010045E-2</v>
      </c>
      <c r="K96" s="2">
        <f>Table7[[#This Row],[Plank]]/Table7[[#This Row],[Octane]] - 1</f>
        <v>1.8720103355774009E-2</v>
      </c>
      <c r="L96" s="2">
        <f>Table7[[#This Row],[Batmobile]]/Table7[[#This Row],[Octane]] - 1</f>
        <v>4.3239289562104766E-3</v>
      </c>
      <c r="M96" s="2">
        <f>Table7[[#This Row],[Breakout]]/Table7[[#This Row],[Octane]] - 1</f>
        <v>2.4519267752199925E-2</v>
      </c>
      <c r="N96" s="2">
        <f>Table7[[#This Row],[Breakout]]/Table7[[#This Row],[Plank]] - 1</f>
        <v>5.6925983666396007E-3</v>
      </c>
      <c r="P96" s="6">
        <v>44</v>
      </c>
      <c r="Q96" s="4">
        <f>(1-$Y$4)*Q97+$Y$4*Table7[[#This Row],[Octane]]</f>
        <v>1.971213674013566</v>
      </c>
      <c r="R96" s="4">
        <f>(1-$Y$4)*R97+$Y$4*Table7[[#This Row],[Hybrid]]</f>
        <v>2.0129580634533109</v>
      </c>
      <c r="S96" s="4">
        <f>(1-$Y$4)*S97+$Y$4*Table7[[#This Row],[Dominus]]</f>
        <v>2.0276418142096881</v>
      </c>
      <c r="T96" s="4">
        <f>(1-$Y$4)*T97+$Y$4*Table7[[#This Row],[Plank]]</f>
        <v>2.0116444722696909</v>
      </c>
      <c r="U96" s="4">
        <f>(1-$Y$4)*U97+$Y$4*Table7[[#This Row],[Batmobile]]</f>
        <v>1.9825014481411856</v>
      </c>
      <c r="V96" s="4">
        <f>(1-$Y$4)*V97+$Y$4*Table7[[#This Row],[Breakout]]</f>
        <v>2.0249292205378615</v>
      </c>
      <c r="W96" s="11">
        <f>POWER((1-$Y$4),Table714[[#This Row],[X]]-1)*$Y$4</f>
        <v>8.8742014513133491E-5</v>
      </c>
      <c r="Y96">
        <f>Table714[[#This Row],[X]]</f>
        <v>44</v>
      </c>
      <c r="Z96" s="2">
        <f>Table714[[#This Row],[Column1]]</f>
        <v>8.8742014513133491E-5</v>
      </c>
      <c r="AA96">
        <v>0.36666666666666697</v>
      </c>
      <c r="AD96" s="6">
        <v>44</v>
      </c>
      <c r="AE96" s="11">
        <f>(1-_xlfn.NORM.DIST(Table14[[#This Row],[X]],$AB$44,$AB$46,TRUE))/$AE$52</f>
        <v>0.38453009340323663</v>
      </c>
      <c r="AF96" s="8">
        <f>Table14[[#This Row],[Column1]]*Table7[[#This Row],[Octane]]</f>
        <v>0.75590926641453149</v>
      </c>
      <c r="AG96" s="8">
        <f>Table14[[#This Row],[Column1]]*Table7[[#This Row],[Hybrid]]</f>
        <v>0.77109820588935496</v>
      </c>
      <c r="AH96" s="8">
        <f>Table14[[#This Row],[Column1]]*Table7[[#This Row],[Dominus]]</f>
        <v>0.77644317316947387</v>
      </c>
      <c r="AI96" s="8">
        <f>Table14[[#This Row],[Column1]]*Table7[[#This Row],[Plank]]</f>
        <v>0.77005996600939897</v>
      </c>
      <c r="AJ96" s="8">
        <f>Table14[[#This Row],[Column1]]*Table7[[#This Row],[Batmobile]]</f>
        <v>0.75917776437984907</v>
      </c>
      <c r="AK96" s="8">
        <f>Table14[[#This Row],[Column1]]*Table7[[#This Row],[Breakout]]</f>
        <v>0.7744436081141185</v>
      </c>
      <c r="AL96" s="3">
        <f>Table14[[#This Row],[Column1]]-AE97</f>
        <v>1.4201198009325566E-2</v>
      </c>
      <c r="AW96" s="11">
        <v>0</v>
      </c>
      <c r="AX96" s="2">
        <f>(Table7[[#This Row],[Hybrid]]-Table7[[#This Row],[Octane]])/$B$245</f>
        <v>1.9924338962033328E-2</v>
      </c>
      <c r="AY96" s="2">
        <f>(Table7[[#This Row],[Dominus]]-Table7[[#This Row],[Octane]])/$B$245</f>
        <v>2.6935686923922692E-2</v>
      </c>
      <c r="AZ96" s="2">
        <f>(Table7[[#This Row],[Plank]]-Table7[[#This Row],[Octane]])/$B$245</f>
        <v>1.8562410874398604E-2</v>
      </c>
      <c r="BA96" s="2">
        <f>(Table7[[#This Row],[Batmobile]]-Table7[[#This Row],[Octane]])/$B$245</f>
        <v>4.2875054881644416E-3</v>
      </c>
      <c r="BB96" s="2">
        <f>(Table7[[#This Row],[Breakout]]-Table7[[#This Row],[Octane]])/$B$245</f>
        <v>2.4312724866198145E-2</v>
      </c>
      <c r="BC96" s="2"/>
    </row>
    <row r="97" spans="1:55">
      <c r="A97" s="1">
        <v>0.375</v>
      </c>
      <c r="B97" s="13">
        <f>Octane[[#This Row],[angvel_total]]</f>
        <v>1.9673000228739896</v>
      </c>
      <c r="C97" s="13">
        <f>Hybrid[[#This Row],[angvel_total]]</f>
        <v>2.0074000249078412</v>
      </c>
      <c r="D97" s="13">
        <f>Dominus[[#This Row],[angvel_total]]</f>
        <v>2.0215000222606974</v>
      </c>
      <c r="E97" s="13">
        <f>Plank[[#This Row],[angvel_total]]</f>
        <v>2.0050000024937655</v>
      </c>
      <c r="F97" s="13">
        <f>Batmobile[[#This Row],[angvel_total]]</f>
        <v>1.9765000025297241</v>
      </c>
      <c r="G97" s="13">
        <f>Breakout[[#This Row],[angvel_total]]</f>
        <v>2.0169000000000001</v>
      </c>
      <c r="I97" s="2">
        <f>Table7[[#This Row],[Hybrid]]/Table7[[#This Row],[Octane]] - 1</f>
        <v>2.0383267202564337E-2</v>
      </c>
      <c r="J97" s="2">
        <f>Table7[[#This Row],[Dominus]]/Table7[[#This Row],[Octane]] - 1</f>
        <v>2.7550449223056495E-2</v>
      </c>
      <c r="K97" s="2">
        <f>Table7[[#This Row],[Plank]]/Table7[[#This Row],[Octane]] - 1</f>
        <v>1.9163309704383957E-2</v>
      </c>
      <c r="L97" s="2">
        <f>Table7[[#This Row],[Batmobile]]/Table7[[#This Row],[Octane]] - 1</f>
        <v>4.6764497274260908E-3</v>
      </c>
      <c r="M97" s="2">
        <f>Table7[[#This Row],[Breakout]]/Table7[[#This Row],[Octane]] - 1</f>
        <v>2.5212207873383186E-2</v>
      </c>
      <c r="N97" s="2">
        <f>Table7[[#This Row],[Breakout]]/Table7[[#This Row],[Plank]] - 1</f>
        <v>5.9351608436077896E-3</v>
      </c>
      <c r="P97" s="6">
        <v>45</v>
      </c>
      <c r="Q97" s="4">
        <f>(1-$Y$4)*Q98+$Y$4*Table7[[#This Row],[Octane]]</f>
        <v>1.972244845655875</v>
      </c>
      <c r="R97" s="4">
        <f>(1-$Y$4)*R98+$Y$4*Table7[[#This Row],[Hybrid]]</f>
        <v>2.0144167374570032</v>
      </c>
      <c r="S97" s="4">
        <f>(1-$Y$4)*S98+$Y$4*Table7[[#This Row],[Dominus]]</f>
        <v>2.0292497745760949</v>
      </c>
      <c r="T97" s="4">
        <f>(1-$Y$4)*T98+$Y$4*Table7[[#This Row],[Plank]]</f>
        <v>2.0133672284169171</v>
      </c>
      <c r="U97" s="4">
        <f>(1-$Y$4)*U98+$Y$4*Table7[[#This Row],[Batmobile]]</f>
        <v>1.9840636282571176</v>
      </c>
      <c r="V97" s="4">
        <f>(1-$Y$4)*V98+$Y$4*Table7[[#This Row],[Breakout]]</f>
        <v>2.0270109768307876</v>
      </c>
      <c r="W97" s="11">
        <f>POWER((1-$Y$4),Table714[[#This Row],[X]]-1)*$Y$4</f>
        <v>7.4543292191032133E-5</v>
      </c>
      <c r="Y97">
        <f>Table714[[#This Row],[X]]</f>
        <v>45</v>
      </c>
      <c r="Z97" s="2">
        <f>Table714[[#This Row],[Column1]]</f>
        <v>7.4543292191032133E-5</v>
      </c>
      <c r="AA97">
        <v>0.375</v>
      </c>
      <c r="AD97" s="6">
        <v>45</v>
      </c>
      <c r="AE97" s="11">
        <f>(1-_xlfn.NORM.DIST(Table14[[#This Row],[X]],$AB$44,$AB$46,TRUE))/$AE$52</f>
        <v>0.37032889539391106</v>
      </c>
      <c r="AF97" s="8">
        <f>Table14[[#This Row],[Column1]]*Table7[[#This Row],[Octane]]</f>
        <v>0.72854804437934051</v>
      </c>
      <c r="AG97" s="8">
        <f>Table14[[#This Row],[Column1]]*Table7[[#This Row],[Hybrid]]</f>
        <v>0.74339823383783044</v>
      </c>
      <c r="AH97" s="8">
        <f>Table14[[#This Row],[Column1]]*Table7[[#This Row],[Dominus]]</f>
        <v>0.74861987028257071</v>
      </c>
      <c r="AI97" s="8">
        <f>Table14[[#This Row],[Column1]]*Table7[[#This Row],[Plank]]</f>
        <v>0.74250943618830512</v>
      </c>
      <c r="AJ97" s="8">
        <f>Table14[[#This Row],[Column1]]*Table7[[#This Row],[Batmobile]]</f>
        <v>0.73195506268289512</v>
      </c>
      <c r="AK97" s="8">
        <f>Table14[[#This Row],[Column1]]*Table7[[#This Row],[Breakout]]</f>
        <v>0.74691634911997928</v>
      </c>
      <c r="AL97" s="3">
        <f>Table14[[#This Row],[Column1]]-AE98</f>
        <v>1.3966494404557495E-2</v>
      </c>
      <c r="AW97" s="11">
        <v>0</v>
      </c>
      <c r="AX97" s="2">
        <f>(Table7[[#This Row],[Hybrid]]-Table7[[#This Row],[Octane]])/$B$245</f>
        <v>2.0226987128795823E-2</v>
      </c>
      <c r="AY97" s="2">
        <f>(Table7[[#This Row],[Dominus]]-Table7[[#This Row],[Octane]])/$B$245</f>
        <v>2.7339217814757302E-2</v>
      </c>
      <c r="AZ97" s="2">
        <f>(Table7[[#This Row],[Plank]]-Table7[[#This Row],[Octane]])/$B$245</f>
        <v>1.9016383138368363E-2</v>
      </c>
      <c r="BA97" s="2">
        <f>(Table7[[#This Row],[Batmobile]]-Table7[[#This Row],[Octane]])/$B$245</f>
        <v>4.6405950285148025E-3</v>
      </c>
      <c r="BB97" s="2">
        <f>(Table7[[#This Row],[Breakout]]-Table7[[#This Row],[Octane]])/$B$245</f>
        <v>2.5018903940938773E-2</v>
      </c>
      <c r="BC97" s="2"/>
    </row>
    <row r="98" spans="1:55">
      <c r="A98" s="1">
        <v>0.38333333333333303</v>
      </c>
      <c r="B98" s="13">
        <f>Octane[[#This Row],[angvel_total]]</f>
        <v>1.9687000228577232</v>
      </c>
      <c r="C98" s="13">
        <f>Hybrid[[#This Row],[angvel_total]]</f>
        <v>2.0093000223958595</v>
      </c>
      <c r="D98" s="13">
        <f>Dominus[[#This Row],[angvel_total]]</f>
        <v>2.0236000395335041</v>
      </c>
      <c r="E98" s="13">
        <f>Plank[[#This Row],[angvel_total]]</f>
        <v>2.0073000024909082</v>
      </c>
      <c r="F98" s="13">
        <f>Batmobile[[#This Row],[angvel_total]]</f>
        <v>1.9786000025270392</v>
      </c>
      <c r="G98" s="13">
        <f>Breakout[[#This Row],[angvel_total]]</f>
        <v>2.0196000000000001</v>
      </c>
      <c r="I98" s="2">
        <f>Table7[[#This Row],[Hybrid]]/Table7[[#This Row],[Octane]] - 1</f>
        <v>2.062274550045573E-2</v>
      </c>
      <c r="J98" s="2">
        <f>Table7[[#This Row],[Dominus]]/Table7[[#This Row],[Octane]] - 1</f>
        <v>2.7886430658993655E-2</v>
      </c>
      <c r="K98" s="2">
        <f>Table7[[#This Row],[Plank]]/Table7[[#This Row],[Octane]] - 1</f>
        <v>1.9606836585065013E-2</v>
      </c>
      <c r="L98" s="2">
        <f>Table7[[#This Row],[Batmobile]]/Table7[[#This Row],[Octane]] - 1</f>
        <v>5.0286887562207561E-3</v>
      </c>
      <c r="M98" s="2">
        <f>Table7[[#This Row],[Breakout]]/Table7[[#This Row],[Octane]] - 1</f>
        <v>2.5854612968608359E-2</v>
      </c>
      <c r="N98" s="2">
        <f>Table7[[#This Row],[Breakout]]/Table7[[#This Row],[Plank]] - 1</f>
        <v>6.1276328868771213E-3</v>
      </c>
      <c r="P98" s="6">
        <v>46</v>
      </c>
      <c r="Q98" s="4">
        <f>(1-$Y$4)*Q99+$Y$4*Table7[[#This Row],[Octane]]</f>
        <v>1.9731867166619486</v>
      </c>
      <c r="R98" s="4">
        <f>(1-$Y$4)*R99+$Y$4*Table7[[#This Row],[Hybrid]]</f>
        <v>2.0157532541330343</v>
      </c>
      <c r="S98" s="4">
        <f>(1-$Y$4)*S99+$Y$4*Table7[[#This Row],[Dominus]]</f>
        <v>2.0307259178742658</v>
      </c>
      <c r="T98" s="4">
        <f>(1-$Y$4)*T99+$Y$4*Table7[[#This Row],[Plank]]</f>
        <v>2.0149609857356126</v>
      </c>
      <c r="U98" s="4">
        <f>(1-$Y$4)*U99+$Y$4*Table7[[#This Row],[Batmobile]]</f>
        <v>1.9855043188718593</v>
      </c>
      <c r="V98" s="4">
        <f>(1-$Y$4)*V99+$Y$4*Table7[[#This Row],[Breakout]]</f>
        <v>2.0289368771795089</v>
      </c>
      <c r="W98" s="11">
        <f>POWER((1-$Y$4),Table714[[#This Row],[X]]-1)*$Y$4</f>
        <v>6.2616365440466989E-5</v>
      </c>
      <c r="Y98">
        <f>Table714[[#This Row],[X]]</f>
        <v>46</v>
      </c>
      <c r="Z98" s="2">
        <f>Table714[[#This Row],[Column1]]</f>
        <v>6.2616365440466989E-5</v>
      </c>
      <c r="AA98">
        <v>0.38333333333333303</v>
      </c>
      <c r="AD98" s="6">
        <v>46</v>
      </c>
      <c r="AE98" s="11">
        <f>(1-_xlfn.NORM.DIST(Table14[[#This Row],[X]],$AB$44,$AB$46,TRUE))/$AE$52</f>
        <v>0.35636240098935357</v>
      </c>
      <c r="AF98" s="8">
        <f>Table14[[#This Row],[Column1]]*Table7[[#This Row],[Octane]]</f>
        <v>0.70157066697337345</v>
      </c>
      <c r="AG98" s="8">
        <f>Table14[[#This Row],[Column1]]*Table7[[#This Row],[Hybrid]]</f>
        <v>0.71603898028895041</v>
      </c>
      <c r="AH98" s="8">
        <f>Table14[[#This Row],[Column1]]*Table7[[#This Row],[Dominus]]</f>
        <v>0.72113496873031036</v>
      </c>
      <c r="AI98" s="8">
        <f>Table14[[#This Row],[Column1]]*Table7[[#This Row],[Plank]]</f>
        <v>0.71532624839359549</v>
      </c>
      <c r="AJ98" s="8">
        <f>Table14[[#This Row],[Column1]]*Table7[[#This Row],[Batmobile]]</f>
        <v>0.70509864749807671</v>
      </c>
      <c r="AK98" s="8">
        <f>Table14[[#This Row],[Column1]]*Table7[[#This Row],[Breakout]]</f>
        <v>0.7197095050380985</v>
      </c>
      <c r="AL98" s="3">
        <f>Table14[[#This Row],[Column1]]-AE99</f>
        <v>1.3720417784843397E-2</v>
      </c>
      <c r="AW98" s="11">
        <v>0</v>
      </c>
      <c r="AX98" s="2">
        <f>(Table7[[#This Row],[Hybrid]]-Table7[[#This Row],[Octane]])/$B$245</f>
        <v>2.0479192679186076E-2</v>
      </c>
      <c r="AY98" s="2">
        <f>(Table7[[#This Row],[Dominus]]-Table7[[#This Row],[Octane]])/$B$245</f>
        <v>2.7692316068569495E-2</v>
      </c>
      <c r="AZ98" s="2">
        <f>(Table7[[#This Row],[Plank]]-Table7[[#This Row],[Octane]])/$B$245</f>
        <v>1.9470355401805552E-2</v>
      </c>
      <c r="BA98" s="2">
        <f>(Table7[[#This Row],[Batmobile]]-Table7[[#This Row],[Octane]])/$B$245</f>
        <v>4.9936845683337108E-3</v>
      </c>
      <c r="BB98" s="2">
        <f>(Table7[[#This Row],[Breakout]]-Table7[[#This Row],[Octane]])/$B$245</f>
        <v>2.5674641653227595E-2</v>
      </c>
      <c r="BC98" s="2"/>
    </row>
    <row r="99" spans="1:55">
      <c r="A99" s="1">
        <v>0.391666666666666</v>
      </c>
      <c r="B99" s="13">
        <f>Octane[[#This Row],[angvel_total]]</f>
        <v>1.9700000228426395</v>
      </c>
      <c r="C99" s="13">
        <f>Hybrid[[#This Row],[angvel_total]]</f>
        <v>2.0111000397792247</v>
      </c>
      <c r="D99" s="13">
        <f>Dominus[[#This Row],[angvel_total]]</f>
        <v>2.0255000394964204</v>
      </c>
      <c r="E99" s="13">
        <f>Plank[[#This Row],[angvel_total]]</f>
        <v>2.009400002488305</v>
      </c>
      <c r="F99" s="13">
        <f>Batmobile[[#This Row],[angvel_total]]</f>
        <v>1.9805000025246149</v>
      </c>
      <c r="G99" s="13">
        <f>Breakout[[#This Row],[angvel_total]]</f>
        <v>2.0221</v>
      </c>
      <c r="I99" s="2">
        <f>Table7[[#This Row],[Hybrid]]/Table7[[#This Row],[Octane]] - 1</f>
        <v>2.0862952517776812E-2</v>
      </c>
      <c r="J99" s="2">
        <f>Table7[[#This Row],[Dominus]]/Table7[[#This Row],[Octane]] - 1</f>
        <v>2.8172596959515017E-2</v>
      </c>
      <c r="K99" s="2">
        <f>Table7[[#This Row],[Plank]]/Table7[[#This Row],[Octane]] - 1</f>
        <v>1.999998943594572E-2</v>
      </c>
      <c r="L99" s="2">
        <f>Table7[[#This Row],[Batmobile]]/Table7[[#This Row],[Octane]] - 1</f>
        <v>5.3299388630585476E-3</v>
      </c>
      <c r="M99" s="2">
        <f>Table7[[#This Row],[Breakout]]/Table7[[#This Row],[Octane]] - 1</f>
        <v>2.6446688605709756E-2</v>
      </c>
      <c r="N99" s="2">
        <f>Table7[[#This Row],[Breakout]]/Table7[[#This Row],[Plank]] - 1</f>
        <v>6.320293369149077E-3</v>
      </c>
      <c r="P99" s="6">
        <v>47</v>
      </c>
      <c r="Q99" s="4">
        <f>(1-$Y$4)*Q100+$Y$4*Table7[[#This Row],[Octane]]</f>
        <v>1.9740413250056106</v>
      </c>
      <c r="R99" s="4">
        <f>(1-$Y$4)*R100+$Y$4*Table7[[#This Row],[Hybrid]]</f>
        <v>2.0169824411305917</v>
      </c>
      <c r="S99" s="4">
        <f>(1-$Y$4)*S100+$Y$4*Table7[[#This Row],[Dominus]]</f>
        <v>2.032083228034411</v>
      </c>
      <c r="T99" s="4">
        <f>(1-$Y$4)*T100+$Y$4*Table7[[#This Row],[Plank]]</f>
        <v>2.0164202206393655</v>
      </c>
      <c r="U99" s="4">
        <f>(1-$Y$4)*U100+$Y$4*Table7[[#This Row],[Batmobile]]</f>
        <v>1.9868194267470631</v>
      </c>
      <c r="V99" s="4">
        <f>(1-$Y$4)*V100+$Y$4*Table7[[#This Row],[Breakout]]</f>
        <v>2.0307153299756058</v>
      </c>
      <c r="W99" s="11">
        <f>POWER((1-$Y$4),Table714[[#This Row],[X]]-1)*$Y$4</f>
        <v>5.2597746969992274E-5</v>
      </c>
      <c r="Y99">
        <f>Table714[[#This Row],[X]]</f>
        <v>47</v>
      </c>
      <c r="Z99" s="2">
        <f>Table714[[#This Row],[Column1]]</f>
        <v>5.2597746969992274E-5</v>
      </c>
      <c r="AA99">
        <v>0.391666666666666</v>
      </c>
      <c r="AD99" s="6">
        <v>47</v>
      </c>
      <c r="AE99" s="11">
        <f>(1-_xlfn.NORM.DIST(Table14[[#This Row],[X]],$AB$44,$AB$46,TRUE))/$AE$52</f>
        <v>0.34264198320451017</v>
      </c>
      <c r="AF99" s="8">
        <f>Table14[[#This Row],[Column1]]*Table7[[#This Row],[Octane]]</f>
        <v>0.67500471473973234</v>
      </c>
      <c r="AG99" s="8">
        <f>Table14[[#This Row],[Column1]]*Table7[[#This Row],[Hybrid]]</f>
        <v>0.68908730605262281</v>
      </c>
      <c r="AH99" s="8">
        <f>Table14[[#This Row],[Column1]]*Table7[[#This Row],[Dominus]]</f>
        <v>0.69402135051386715</v>
      </c>
      <c r="AI99" s="8">
        <f>Table14[[#This Row],[Column1]]*Table7[[#This Row],[Plank]]</f>
        <v>0.68850480190374053</v>
      </c>
      <c r="AJ99" s="8">
        <f>Table14[[#This Row],[Column1]]*Table7[[#This Row],[Batmobile]]</f>
        <v>0.67860244860157148</v>
      </c>
      <c r="AK99" s="8">
        <f>Table14[[#This Row],[Column1]]*Table7[[#This Row],[Breakout]]</f>
        <v>0.69285635423783998</v>
      </c>
      <c r="AL99" s="3">
        <f>Table14[[#This Row],[Column1]]-AE100</f>
        <v>1.3463710200523671E-2</v>
      </c>
      <c r="AW99" s="11">
        <v>0</v>
      </c>
      <c r="AX99" s="2">
        <f>(Table7[[#This Row],[Hybrid]]-Table7[[#This Row],[Octane]])/$B$245</f>
        <v>2.0731408264463624E-2</v>
      </c>
      <c r="AY99" s="2">
        <f>(Table7[[#This Row],[Dominus]]-Table7[[#This Row],[Octane]])/$B$245</f>
        <v>2.7994964228587993E-2</v>
      </c>
      <c r="AZ99" s="2">
        <f>(Table7[[#This Row],[Plank]]-Table7[[#This Row],[Octane]])/$B$245</f>
        <v>1.9873886302921636E-2</v>
      </c>
      <c r="BA99" s="2">
        <f>(Table7[[#This Row],[Batmobile]]-Table7[[#This Row],[Octane]])/$B$245</f>
        <v>5.2963327458348782E-3</v>
      </c>
      <c r="BB99" s="2">
        <f>(Table7[[#This Row],[Breakout]]-Table7[[#This Row],[Octane]])/$B$245</f>
        <v>2.6279938003067181E-2</v>
      </c>
      <c r="BC99" s="2"/>
    </row>
    <row r="100" spans="1:55">
      <c r="A100" s="1">
        <v>0.4</v>
      </c>
      <c r="B100" s="13">
        <f>Octane[[#This Row],[angvel_total]]</f>
        <v>1.9711000228298918</v>
      </c>
      <c r="C100" s="13">
        <f>Hybrid[[#This Row],[angvel_total]]</f>
        <v>2.0127000397476027</v>
      </c>
      <c r="D100" s="13">
        <f>Dominus[[#This Row],[angvel_total]]</f>
        <v>2.0273000394613523</v>
      </c>
      <c r="E100" s="13">
        <f>Plank[[#This Row],[angvel_total]]</f>
        <v>2.0113000024859544</v>
      </c>
      <c r="F100" s="13">
        <f>Batmobile[[#This Row],[angvel_total]]</f>
        <v>1.9822000025224498</v>
      </c>
      <c r="G100" s="13">
        <f>Breakout[[#This Row],[angvel_total]]</f>
        <v>2.0244</v>
      </c>
      <c r="I100" s="2">
        <f>Table7[[#This Row],[Hybrid]]/Table7[[#This Row],[Octane]] - 1</f>
        <v>2.1104975108257706E-2</v>
      </c>
      <c r="J100" s="2">
        <f>Table7[[#This Row],[Dominus]]/Table7[[#This Row],[Octane]] - 1</f>
        <v>2.851200648396035E-2</v>
      </c>
      <c r="K100" s="2">
        <f>Table7[[#This Row],[Plank]]/Table7[[#This Row],[Octane]] - 1</f>
        <v>2.0394692907743872E-2</v>
      </c>
      <c r="L100" s="2">
        <f>Table7[[#This Row],[Batmobile]]/Table7[[#This Row],[Octane]] - 1</f>
        <v>5.6313629770150531E-3</v>
      </c>
      <c r="M100" s="2">
        <f>Table7[[#This Row],[Breakout]]/Table7[[#This Row],[Octane]] - 1</f>
        <v>2.704072677833258E-2</v>
      </c>
      <c r="N100" s="2">
        <f>Table7[[#This Row],[Breakout]]/Table7[[#This Row],[Plank]] - 1</f>
        <v>6.5131991735962735E-3</v>
      </c>
      <c r="P100" s="6">
        <v>48</v>
      </c>
      <c r="Q100" s="4">
        <f>(1-$Y$4)*Q101+$Y$4*Table7[[#This Row],[Octane]]</f>
        <v>1.9748110968461765</v>
      </c>
      <c r="R100" s="4">
        <f>(1-$Y$4)*R101+$Y$4*Table7[[#This Row],[Hybrid]]</f>
        <v>2.0181028985308522</v>
      </c>
      <c r="S100" s="4">
        <f>(1-$Y$4)*S101+$Y$4*Table7[[#This Row],[Dominus]]</f>
        <v>2.0333371687083139</v>
      </c>
      <c r="T100" s="4">
        <f>(1-$Y$4)*T101+$Y$4*Table7[[#This Row],[Plank]]</f>
        <v>2.0177574050490916</v>
      </c>
      <c r="U100" s="4">
        <f>(1-$Y$4)*U101+$Y$4*Table7[[#This Row],[Batmobile]]</f>
        <v>1.9880231265989583</v>
      </c>
      <c r="V100" s="4">
        <f>(1-$Y$4)*V101+$Y$4*Table7[[#This Row],[Breakout]]</f>
        <v>2.0323563452090547</v>
      </c>
      <c r="W100" s="11">
        <f>POWER((1-$Y$4),Table714[[#This Row],[X]]-1)*$Y$4</f>
        <v>4.4182107454793508E-5</v>
      </c>
      <c r="Y100">
        <f>Table714[[#This Row],[X]]</f>
        <v>48</v>
      </c>
      <c r="Z100" s="2">
        <f>Table714[[#This Row],[Column1]]</f>
        <v>4.4182107454793508E-5</v>
      </c>
      <c r="AA100">
        <v>0.4</v>
      </c>
      <c r="AD100" s="6">
        <v>48</v>
      </c>
      <c r="AE100" s="11">
        <f>(1-_xlfn.NORM.DIST(Table14[[#This Row],[X]],$AB$44,$AB$46,TRUE))/$AE$52</f>
        <v>0.3291782730039865</v>
      </c>
      <c r="AF100" s="8">
        <f>Table14[[#This Row],[Column1]]*Table7[[#This Row],[Octane]]</f>
        <v>0.64884330143326219</v>
      </c>
      <c r="AG100" s="8">
        <f>Table14[[#This Row],[Column1]]*Table7[[#This Row],[Hybrid]]</f>
        <v>0.66253712315917079</v>
      </c>
      <c r="AH100" s="8">
        <f>Table14[[#This Row],[Column1]]*Table7[[#This Row],[Dominus]]</f>
        <v>0.66734312585080158</v>
      </c>
      <c r="AI100" s="8">
        <f>Table14[[#This Row],[Column1]]*Table7[[#This Row],[Plank]]</f>
        <v>0.6620762613112402</v>
      </c>
      <c r="AJ100" s="8">
        <f>Table14[[#This Row],[Column1]]*Table7[[#This Row],[Batmobile]]</f>
        <v>0.65249717357883774</v>
      </c>
      <c r="AK100" s="8">
        <f>Table14[[#This Row],[Column1]]*Table7[[#This Row],[Breakout]]</f>
        <v>0.66638849586927029</v>
      </c>
      <c r="AL100" s="3">
        <f>Table14[[#This Row],[Column1]]-AE101</f>
        <v>1.3197135314388653E-2</v>
      </c>
      <c r="AW100" s="11">
        <v>0</v>
      </c>
      <c r="AX100" s="2">
        <f>(Table7[[#This Row],[Hybrid]]-Table7[[#This Row],[Octane]])/$B$245</f>
        <v>2.0983615064206186E-2</v>
      </c>
      <c r="AY100" s="2">
        <f>(Table7[[#This Row],[Dominus]]-Table7[[#This Row],[Octane]])/$B$245</f>
        <v>2.8348053750297472E-2</v>
      </c>
      <c r="AZ100" s="2">
        <f>(Table7[[#This Row],[Plank]]-Table7[[#This Row],[Octane]])/$B$245</f>
        <v>2.0277417202986918E-2</v>
      </c>
      <c r="BA100" s="2">
        <f>(Table7[[#This Row],[Batmobile]]-Table7[[#This Row],[Octane]])/$B$245</f>
        <v>5.5989809222884877E-3</v>
      </c>
      <c r="BB100" s="2">
        <f>(Table7[[#This Row],[Breakout]]-Table7[[#This Row],[Octane]])/$B$245</f>
        <v>2.6885234351728505E-2</v>
      </c>
      <c r="BC100" s="2"/>
    </row>
    <row r="101" spans="1:55">
      <c r="A101" s="1">
        <v>0.40833333333333299</v>
      </c>
      <c r="B101" s="13">
        <f>Octane[[#This Row],[angvel_total]]</f>
        <v>1.9721000228183154</v>
      </c>
      <c r="C101" s="13">
        <f>Hybrid[[#This Row],[angvel_total]]</f>
        <v>2.014200039718002</v>
      </c>
      <c r="D101" s="13">
        <f>Dominus[[#This Row],[angvel_total]]</f>
        <v>2.028900039430233</v>
      </c>
      <c r="E101" s="13">
        <f>Plank[[#This Row],[angvel_total]]</f>
        <v>2.0130000024838548</v>
      </c>
      <c r="F101" s="13">
        <f>Batmobile[[#This Row],[angvel_total]]</f>
        <v>1.9838000050408306</v>
      </c>
      <c r="G101" s="13">
        <f>Breakout[[#This Row],[angvel_total]]</f>
        <v>2.0265</v>
      </c>
      <c r="I101" s="2">
        <f>Table7[[#This Row],[Hybrid]]/Table7[[#This Row],[Octane]] - 1</f>
        <v>2.1347810157986702E-2</v>
      </c>
      <c r="J101" s="2">
        <f>Table7[[#This Row],[Dominus]]/Table7[[#This Row],[Octane]] - 1</f>
        <v>2.8801792989558983E-2</v>
      </c>
      <c r="K101" s="2">
        <f>Table7[[#This Row],[Plank]]/Table7[[#This Row],[Octane]] - 1</f>
        <v>2.0739302871205068E-2</v>
      </c>
      <c r="L101" s="2">
        <f>Table7[[#This Row],[Batmobile]]/Table7[[#This Row],[Octane]] - 1</f>
        <v>5.9327529471830953E-3</v>
      </c>
      <c r="M101" s="2">
        <f>Table7[[#This Row],[Breakout]]/Table7[[#This Row],[Octane]] - 1</f>
        <v>2.7584796182874127E-2</v>
      </c>
      <c r="N101" s="2">
        <f>Table7[[#This Row],[Breakout]]/Table7[[#This Row],[Plank]] - 1</f>
        <v>6.7064071035705108E-3</v>
      </c>
      <c r="P101" s="6">
        <v>49</v>
      </c>
      <c r="Q101" s="4">
        <f>(1-$Y$4)*Q102+$Y$4*Table7[[#This Row],[Octane]]</f>
        <v>1.9755179680873738</v>
      </c>
      <c r="R101" s="4">
        <f>(1-$Y$4)*R102+$Y$4*Table7[[#This Row],[Hybrid]]</f>
        <v>2.0191320144895664</v>
      </c>
      <c r="S101" s="4">
        <f>(1-$Y$4)*S102+$Y$4*Table7[[#This Row],[Dominus]]</f>
        <v>2.0344870980886878</v>
      </c>
      <c r="T101" s="4">
        <f>(1-$Y$4)*T102+$Y$4*Table7[[#This Row],[Plank]]</f>
        <v>2.0189873864896892</v>
      </c>
      <c r="U101" s="4">
        <f>(1-$Y$4)*U102+$Y$4*Table7[[#This Row],[Batmobile]]</f>
        <v>1.9891322930897219</v>
      </c>
      <c r="V101" s="4">
        <f>(1-$Y$4)*V102+$Y$4*Table7[[#This Row],[Breakout]]</f>
        <v>2.0338718395345889</v>
      </c>
      <c r="W101" s="11">
        <f>POWER((1-$Y$4),Table714[[#This Row],[X]]-1)*$Y$4</f>
        <v>3.7112970262026545E-5</v>
      </c>
      <c r="Y101">
        <f>Table714[[#This Row],[X]]</f>
        <v>49</v>
      </c>
      <c r="Z101" s="2">
        <f>Table714[[#This Row],[Column1]]</f>
        <v>3.7112970262026545E-5</v>
      </c>
      <c r="AA101">
        <v>0.40833333333333299</v>
      </c>
      <c r="AD101" s="6">
        <v>49</v>
      </c>
      <c r="AE101" s="11">
        <f>(1-_xlfn.NORM.DIST(Table14[[#This Row],[X]],$AB$44,$AB$46,TRUE))/$AE$52</f>
        <v>0.31598113768959785</v>
      </c>
      <c r="AF101" s="8">
        <f>Table14[[#This Row],[Column1]]*Table7[[#This Row],[Octane]]</f>
        <v>0.62314640884781314</v>
      </c>
      <c r="AG101" s="8">
        <f>Table14[[#This Row],[Column1]]*Table7[[#This Row],[Hybrid]]</f>
        <v>0.63644922008452742</v>
      </c>
      <c r="AH101" s="8">
        <f>Table14[[#This Row],[Column1]]*Table7[[#This Row],[Dominus]]</f>
        <v>0.64109414271763498</v>
      </c>
      <c r="AI101" s="8">
        <f>Table14[[#This Row],[Column1]]*Table7[[#This Row],[Plank]]</f>
        <v>0.63607003095401171</v>
      </c>
      <c r="AJ101" s="8">
        <f>Table14[[#This Row],[Column1]]*Table7[[#This Row],[Batmobile]]</f>
        <v>0.62684338254143157</v>
      </c>
      <c r="AK101" s="8">
        <f>Table14[[#This Row],[Column1]]*Table7[[#This Row],[Breakout]]</f>
        <v>0.64033577552797005</v>
      </c>
      <c r="AL101" s="3">
        <f>Table14[[#This Row],[Column1]]-AE102</f>
        <v>1.2921474638354358E-2</v>
      </c>
      <c r="AW101" s="11">
        <v>0</v>
      </c>
      <c r="AX101" s="2">
        <f>(Table7[[#This Row],[Hybrid]]-Table7[[#This Row],[Octane]])/$B$245</f>
        <v>2.1235821864377492E-2</v>
      </c>
      <c r="AY101" s="2">
        <f>(Table7[[#This Row],[Dominus]]-Table7[[#This Row],[Octane]])/$B$245</f>
        <v>2.8650701911555391E-2</v>
      </c>
      <c r="AZ101" s="2">
        <f>(Table7[[#This Row],[Plank]]-Table7[[#This Row],[Octane]])/$B$245</f>
        <v>2.0630506740735351E-2</v>
      </c>
      <c r="BA101" s="2">
        <f>(Table7[[#This Row],[Batmobile]]-Table7[[#This Row],[Octane]])/$B$245</f>
        <v>5.90163036954901E-3</v>
      </c>
      <c r="BB101" s="2">
        <f>(Table7[[#This Row],[Breakout]]-Table7[[#This Row],[Octane]])/$B$245</f>
        <v>2.7440089337946418E-2</v>
      </c>
      <c r="BC101" s="2"/>
    </row>
    <row r="102" spans="1:55">
      <c r="A102" s="1">
        <v>0.41666666666666602</v>
      </c>
      <c r="B102" s="13">
        <f>Octane[[#This Row],[angvel_total]]</f>
        <v>1.9731000228067508</v>
      </c>
      <c r="C102" s="13">
        <f>Hybrid[[#This Row],[angvel_total]]</f>
        <v>2.0156000223258581</v>
      </c>
      <c r="D102" s="13">
        <f>Dominus[[#This Row],[angvel_total]]</f>
        <v>2.030400039401103</v>
      </c>
      <c r="E102" s="13">
        <f>Plank[[#This Row],[angvel_total]]</f>
        <v>2.0146000024818824</v>
      </c>
      <c r="F102" s="13">
        <f>Batmobile[[#This Row],[angvel_total]]</f>
        <v>1.9853000125925553</v>
      </c>
      <c r="G102" s="13">
        <f>Breakout[[#This Row],[angvel_total]]</f>
        <v>2.0285000000000002</v>
      </c>
      <c r="I102" s="2">
        <f>Table7[[#This Row],[Hybrid]]/Table7[[#This Row],[Octane]] - 1</f>
        <v>2.1539708594524587E-2</v>
      </c>
      <c r="J102" s="2">
        <f>Table7[[#This Row],[Dominus]]/Table7[[#This Row],[Octane]] - 1</f>
        <v>2.904060409103959E-2</v>
      </c>
      <c r="K102" s="2">
        <f>Table7[[#This Row],[Plank]]/Table7[[#This Row],[Octane]] - 1</f>
        <v>2.1032881858719765E-2</v>
      </c>
      <c r="L102" s="2">
        <f>Table7[[#This Row],[Batmobile]]/Table7[[#This Row],[Octane]] - 1</f>
        <v>6.1831583015492519E-3</v>
      </c>
      <c r="M102" s="2">
        <f>Table7[[#This Row],[Breakout]]/Table7[[#This Row],[Octane]] - 1</f>
        <v>2.8077632432664146E-2</v>
      </c>
      <c r="N102" s="2">
        <f>Table7[[#This Row],[Breakout]]/Table7[[#This Row],[Plank]] - 1</f>
        <v>6.899631440977716E-3</v>
      </c>
      <c r="P102" s="6">
        <v>50</v>
      </c>
      <c r="Q102" s="4">
        <f>(1-$Y$4)*Q103+$Y$4*Table7[[#This Row],[Octane]]</f>
        <v>1.9761690052814802</v>
      </c>
      <c r="R102" s="4">
        <f>(1-$Y$4)*R103+$Y$4*Table7[[#This Row],[Hybrid]]</f>
        <v>2.0200714382555787</v>
      </c>
      <c r="S102" s="4">
        <f>(1-$Y$4)*S103+$Y$4*Table7[[#This Row],[Dominus]]</f>
        <v>2.035551299737917</v>
      </c>
      <c r="T102" s="4">
        <f>(1-$Y$4)*T103+$Y$4*Table7[[#This Row],[Plank]]</f>
        <v>2.0201278405860386</v>
      </c>
      <c r="U102" s="4">
        <f>(1-$Y$4)*U103+$Y$4*Table7[[#This Row],[Batmobile]]</f>
        <v>1.9901479670037965</v>
      </c>
      <c r="V102" s="4">
        <f>(1-$Y$4)*V103+$Y$4*Table7[[#This Row],[Breakout]]</f>
        <v>2.0352759994459393</v>
      </c>
      <c r="W102" s="11">
        <f>POWER((1-$Y$4),Table714[[#This Row],[X]]-1)*$Y$4</f>
        <v>3.1174895020102292E-5</v>
      </c>
      <c r="Y102">
        <f>Table714[[#This Row],[X]]</f>
        <v>50</v>
      </c>
      <c r="Z102" s="2">
        <f>Table714[[#This Row],[Column1]]</f>
        <v>3.1174895020102292E-5</v>
      </c>
      <c r="AA102">
        <v>0.41666666666666602</v>
      </c>
      <c r="AD102" s="6">
        <v>50</v>
      </c>
      <c r="AE102" s="11">
        <f>(1-_xlfn.NORM.DIST(Table14[[#This Row],[X]],$AB$44,$AB$46,TRUE))/$AE$52</f>
        <v>0.30305966305124349</v>
      </c>
      <c r="AF102" s="8">
        <f>Table14[[#This Row],[Column1]]*Table7[[#This Row],[Octane]]</f>
        <v>0.59796702807821478</v>
      </c>
      <c r="AG102" s="8">
        <f>Table14[[#This Row],[Column1]]*Table7[[#This Row],[Hybrid]]</f>
        <v>0.61084706361215346</v>
      </c>
      <c r="AH102" s="8">
        <f>Table14[[#This Row],[Column1]]*Table7[[#This Row],[Dominus]]</f>
        <v>0.6153323518001298</v>
      </c>
      <c r="AI102" s="8">
        <f>Table14[[#This Row],[Column1]]*Table7[[#This Row],[Plank]]</f>
        <v>0.61054399793519354</v>
      </c>
      <c r="AJ102" s="8">
        <f>Table14[[#This Row],[Column1]]*Table7[[#This Row],[Batmobile]]</f>
        <v>0.60166435287192921</v>
      </c>
      <c r="AK102" s="8">
        <f>Table14[[#This Row],[Column1]]*Table7[[#This Row],[Breakout]]</f>
        <v>0.61475652649944745</v>
      </c>
      <c r="AL102" s="3">
        <f>Table14[[#This Row],[Column1]]-AE103</f>
        <v>1.2637523744471579E-2</v>
      </c>
      <c r="AW102" s="11">
        <v>0</v>
      </c>
      <c r="AX102" s="2">
        <f>(Table7[[#This Row],[Hybrid]]-Table7[[#This Row],[Octane]])/$B$245</f>
        <v>2.1437578544787034E-2</v>
      </c>
      <c r="AY102" s="2">
        <f>(Table7[[#This Row],[Dominus]]-Table7[[#This Row],[Octane]])/$B$245</f>
        <v>2.8902908711958206E-2</v>
      </c>
      <c r="AZ102" s="2">
        <f>(Table7[[#This Row],[Plank]]-Table7[[#This Row],[Octane]])/$B$245</f>
        <v>2.0933154916689432E-2</v>
      </c>
      <c r="BA102" s="2">
        <f>(Table7[[#This Row],[Batmobile]]-Table7[[#This Row],[Octane]])/$B$245</f>
        <v>6.1538409938381305E-3</v>
      </c>
      <c r="BB102" s="2">
        <f>(Table7[[#This Row],[Breakout]]-Table7[[#This Row],[Octane]])/$B$245</f>
        <v>2.7944502962305912E-2</v>
      </c>
      <c r="BC102" s="2"/>
    </row>
    <row r="103" spans="1:55">
      <c r="A103" s="1">
        <v>0.42499999999999999</v>
      </c>
      <c r="B103" s="13">
        <f>Octane[[#This Row],[angvel_total]]</f>
        <v>1.9740000227963523</v>
      </c>
      <c r="C103" s="13">
        <f>Hybrid[[#This Row],[angvel_total]]</f>
        <v>2.0168000099166994</v>
      </c>
      <c r="D103" s="13">
        <f>Dominus[[#This Row],[angvel_total]]</f>
        <v>2.0318000393739539</v>
      </c>
      <c r="E103" s="13">
        <f>Plank[[#This Row],[angvel_total]]</f>
        <v>2.0161000024800355</v>
      </c>
      <c r="F103" s="13">
        <f>Batmobile[[#This Row],[angvel_total]]</f>
        <v>1.9866000125843148</v>
      </c>
      <c r="G103" s="13">
        <f>Breakout[[#This Row],[angvel_total]]</f>
        <v>2.0303</v>
      </c>
      <c r="I103" s="2">
        <f>Table7[[#This Row],[Hybrid]]/Table7[[#This Row],[Octane]] - 1</f>
        <v>2.168185746002016E-2</v>
      </c>
      <c r="J103" s="2">
        <f>Table7[[#This Row],[Dominus]]/Table7[[#This Row],[Octane]] - 1</f>
        <v>2.9280656489417245E-2</v>
      </c>
      <c r="K103" s="2">
        <f>Table7[[#This Row],[Plank]]/Table7[[#This Row],[Octane]] - 1</f>
        <v>2.1327243767730319E-2</v>
      </c>
      <c r="L103" s="2">
        <f>Table7[[#This Row],[Batmobile]]/Table7[[#This Row],[Octane]] - 1</f>
        <v>6.3829734764204726E-3</v>
      </c>
      <c r="M103" s="2">
        <f>Table7[[#This Row],[Breakout]]/Table7[[#This Row],[Octane]] - 1</f>
        <v>2.8520758132461133E-2</v>
      </c>
      <c r="N103" s="2">
        <f>Table7[[#This Row],[Breakout]]/Table7[[#This Row],[Plank]] - 1</f>
        <v>7.0433001847611809E-3</v>
      </c>
      <c r="P103" s="6">
        <v>51</v>
      </c>
      <c r="Q103" s="4">
        <f>(1-$Y$4)*Q104+$Y$4*Table7[[#This Row],[Octane]]</f>
        <v>1.976753573371905</v>
      </c>
      <c r="R103" s="4">
        <f>(1-$Y$4)*R104+$Y$4*Table7[[#This Row],[Hybrid]]</f>
        <v>2.0209231365279066</v>
      </c>
      <c r="S103" s="4">
        <f>(1-$Y$4)*S104+$Y$4*Table7[[#This Row],[Dominus]]</f>
        <v>2.0365324921830243</v>
      </c>
      <c r="T103" s="4">
        <f>(1-$Y$4)*T104+$Y$4*Table7[[#This Row],[Plank]]</f>
        <v>2.0211807621296876</v>
      </c>
      <c r="U103" s="4">
        <f>(1-$Y$4)*U104+$Y$4*Table7[[#This Row],[Batmobile]]</f>
        <v>1.9910713868916519</v>
      </c>
      <c r="V103" s="4">
        <f>(1-$Y$4)*V104+$Y$4*Table7[[#This Row],[Breakout]]</f>
        <v>2.0365666660070705</v>
      </c>
      <c r="W103" s="11">
        <f>POWER((1-$Y$4),Table714[[#This Row],[X]]-1)*$Y$4</f>
        <v>2.6186911816885925E-5</v>
      </c>
      <c r="Y103">
        <f>Table714[[#This Row],[X]]</f>
        <v>51</v>
      </c>
      <c r="Z103" s="2">
        <f>Table714[[#This Row],[Column1]]</f>
        <v>2.6186911816885925E-5</v>
      </c>
      <c r="AA103">
        <v>0.42499999999999999</v>
      </c>
      <c r="AD103" s="6">
        <v>51</v>
      </c>
      <c r="AE103" s="11">
        <f>(1-_xlfn.NORM.DIST(Table14[[#This Row],[X]],$AB$44,$AB$46,TRUE))/$AE$52</f>
        <v>0.29042213930677191</v>
      </c>
      <c r="AF103" s="8">
        <f>Table14[[#This Row],[Column1]]*Table7[[#This Row],[Octane]]</f>
        <v>0.57329330961213321</v>
      </c>
      <c r="AG103" s="8">
        <f>Table14[[#This Row],[Column1]]*Table7[[#This Row],[Hybrid]]</f>
        <v>0.58572337343392666</v>
      </c>
      <c r="AH103" s="8">
        <f>Table14[[#This Row],[Column1]]*Table7[[#This Row],[Dominus]]</f>
        <v>0.59007971407856707</v>
      </c>
      <c r="AI103" s="8">
        <f>Table14[[#This Row],[Column1]]*Table7[[#This Row],[Plank]]</f>
        <v>0.58552007577664011</v>
      </c>
      <c r="AJ103" s="8">
        <f>Table14[[#This Row],[Column1]]*Table7[[#This Row],[Batmobile]]</f>
        <v>0.57695262560159677</v>
      </c>
      <c r="AK103" s="8">
        <f>Table14[[#This Row],[Column1]]*Table7[[#This Row],[Breakout]]</f>
        <v>0.58964406943453895</v>
      </c>
      <c r="AL103" s="3">
        <f>Table14[[#This Row],[Column1]]-AE104</f>
        <v>1.2346088475752304E-2</v>
      </c>
      <c r="AW103" s="11">
        <v>0</v>
      </c>
      <c r="AX103" s="2">
        <f>(Table7[[#This Row],[Hybrid]]-Table7[[#This Row],[Octane]])/$B$245</f>
        <v>2.1588896376241302E-2</v>
      </c>
      <c r="AY103" s="2">
        <f>(Table7[[#This Row],[Dominus]]-Table7[[#This Row],[Octane]])/$B$245</f>
        <v>2.9155115512771956E-2</v>
      </c>
      <c r="AZ103" s="2">
        <f>(Table7[[#This Row],[Plank]]-Table7[[#This Row],[Octane]])/$B$245</f>
        <v>2.1235803092118553E-2</v>
      </c>
      <c r="BA103" s="2">
        <f>(Table7[[#This Row],[Batmobile]]-Table7[[#This Row],[Octane]])/$B$245</f>
        <v>6.3556064423370669E-3</v>
      </c>
      <c r="BB103" s="2">
        <f>(Table7[[#This Row],[Breakout]]-Table7[[#This Row],[Octane]])/$B$245</f>
        <v>2.8398475224224347E-2</v>
      </c>
      <c r="BC103" s="2"/>
    </row>
    <row r="104" spans="1:55">
      <c r="A104" s="1">
        <v>0.43333333333333302</v>
      </c>
      <c r="B104" s="13">
        <f>Octane[[#This Row],[angvel_total]]</f>
        <v>1.9748000405104311</v>
      </c>
      <c r="C104" s="13">
        <f>Hybrid[[#This Row],[angvel_total]]</f>
        <v>2.0179000024778233</v>
      </c>
      <c r="D104" s="13">
        <f>Dominus[[#This Row],[angvel_total]]</f>
        <v>2.0331000393487777</v>
      </c>
      <c r="E104" s="13">
        <f>Plank[[#This Row],[angvel_total]]</f>
        <v>2.017500002478315</v>
      </c>
      <c r="F104" s="13">
        <f>Batmobile[[#This Row],[angvel_total]]</f>
        <v>1.9878000125767179</v>
      </c>
      <c r="G104" s="13">
        <f>Breakout[[#This Row],[angvel_total]]</f>
        <v>2.032</v>
      </c>
      <c r="I104" s="2">
        <f>Table7[[#This Row],[Hybrid]]/Table7[[#This Row],[Octane]] - 1</f>
        <v>2.182497522951854E-2</v>
      </c>
      <c r="J104" s="2">
        <f>Table7[[#This Row],[Dominus]]/Table7[[#This Row],[Octane]] - 1</f>
        <v>2.952197571521098E-2</v>
      </c>
      <c r="K104" s="2">
        <f>Table7[[#This Row],[Plank]]/Table7[[#This Row],[Octane]] - 1</f>
        <v>2.1622423076742114E-2</v>
      </c>
      <c r="L104" s="2">
        <f>Table7[[#This Row],[Batmobile]]/Table7[[#This Row],[Octane]] - 1</f>
        <v>6.5829308282405741E-3</v>
      </c>
      <c r="M104" s="2">
        <f>Table7[[#This Row],[Breakout]]/Table7[[#This Row],[Octane]] - 1</f>
        <v>2.8964937368942012E-2</v>
      </c>
      <c r="N104" s="2">
        <f>Table7[[#This Row],[Breakout]]/Table7[[#This Row],[Plank]] - 1</f>
        <v>7.1871115260833118E-3</v>
      </c>
      <c r="P104" s="6">
        <v>52</v>
      </c>
      <c r="Q104" s="4">
        <f>(1-$Y$4)*Q105+$Y$4*Table7[[#This Row],[Octane]]</f>
        <v>1.9772780591958199</v>
      </c>
      <c r="R104" s="4">
        <f>(1-$Y$4)*R105+$Y$4*Table7[[#This Row],[Hybrid]]</f>
        <v>2.0217084939776604</v>
      </c>
      <c r="S104" s="4">
        <f>(1-$Y$4)*S105+$Y$4*Table7[[#This Row],[Dominus]]</f>
        <v>2.0374339117657048</v>
      </c>
      <c r="T104" s="4">
        <f>(1-$Y$4)*T105+$Y$4*Table7[[#This Row],[Plank]]</f>
        <v>2.0221485258724785</v>
      </c>
      <c r="U104" s="4">
        <f>(1-$Y$4)*U105+$Y$4*Table7[[#This Row],[Batmobile]]</f>
        <v>1.9919230772359067</v>
      </c>
      <c r="V104" s="4">
        <f>(1-$Y$4)*V105+$Y$4*Table7[[#This Row],[Breakout]]</f>
        <v>2.0377603166750839</v>
      </c>
      <c r="W104" s="11">
        <f>POWER((1-$Y$4),Table714[[#This Row],[X]]-1)*$Y$4</f>
        <v>2.1997005926184178E-5</v>
      </c>
      <c r="Y104">
        <f>Table714[[#This Row],[X]]</f>
        <v>52</v>
      </c>
      <c r="Z104" s="2">
        <f>Table714[[#This Row],[Column1]]</f>
        <v>2.1997005926184178E-5</v>
      </c>
      <c r="AA104">
        <v>0.43333333333333302</v>
      </c>
      <c r="AD104" s="6">
        <v>52</v>
      </c>
      <c r="AE104" s="11">
        <f>(1-_xlfn.NORM.DIST(Table14[[#This Row],[X]],$AB$44,$AB$46,TRUE))/$AE$52</f>
        <v>0.27807605083101961</v>
      </c>
      <c r="AF104" s="8">
        <f>Table14[[#This Row],[Column1]]*Table7[[#This Row],[Octane]]</f>
        <v>0.54914459644607827</v>
      </c>
      <c r="AG104" s="8">
        <f>Table14[[#This Row],[Column1]]*Table7[[#This Row],[Hybrid]]</f>
        <v>0.56112966366093775</v>
      </c>
      <c r="AH104" s="8">
        <f>Table14[[#This Row],[Column1]]*Table7[[#This Row],[Dominus]]</f>
        <v>0.5653564298864987</v>
      </c>
      <c r="AI104" s="8">
        <f>Table14[[#This Row],[Column1]]*Table7[[#This Row],[Plank]]</f>
        <v>0.56101843324074208</v>
      </c>
      <c r="AJ104" s="8">
        <f>Table14[[#This Row],[Column1]]*Table7[[#This Row],[Batmobile]]</f>
        <v>0.55275957733918479</v>
      </c>
      <c r="AK104" s="8">
        <f>Table14[[#This Row],[Column1]]*Table7[[#This Row],[Breakout]]</f>
        <v>0.56505053528863181</v>
      </c>
      <c r="AL104" s="3">
        <f>Table14[[#This Row],[Column1]]-AE105</f>
        <v>1.2047981181782685E-2</v>
      </c>
      <c r="AW104" s="11">
        <v>0</v>
      </c>
      <c r="AX104" s="2">
        <f>(Table7[[#This Row],[Hybrid]]-Table7[[#This Row],[Octane]])/$B$245</f>
        <v>2.1740207774306131E-2</v>
      </c>
      <c r="AY104" s="2">
        <f>(Table7[[#This Row],[Dominus]]-Table7[[#This Row],[Octane]])/$B$245</f>
        <v>2.9407313374113158E-2</v>
      </c>
      <c r="AZ104" s="2">
        <f>(Table7[[#This Row],[Plank]]-Table7[[#This Row],[Octane]])/$B$245</f>
        <v>2.1538442327143716E-2</v>
      </c>
      <c r="BA104" s="2">
        <f>(Table7[[#This Row],[Batmobile]]-Table7[[#This Row],[Octane]])/$B$245</f>
        <v>6.5573629506928948E-3</v>
      </c>
      <c r="BB104" s="2">
        <f>(Table7[[#This Row],[Breakout]]-Table7[[#This Row],[Octane]])/$B$245</f>
        <v>2.8852438545675204E-2</v>
      </c>
      <c r="BC104" s="2"/>
    </row>
    <row r="105" spans="1:55">
      <c r="A105" s="1">
        <v>0.44166666666666599</v>
      </c>
      <c r="B105" s="13">
        <f>Octane[[#This Row],[angvel_total]]</f>
        <v>1.9755000430270813</v>
      </c>
      <c r="C105" s="13">
        <f>Hybrid[[#This Row],[angvel_total]]</f>
        <v>2.0189000024765962</v>
      </c>
      <c r="D105" s="13">
        <f>Dominus[[#This Row],[angvel_total]]</f>
        <v>2.0343000393255659</v>
      </c>
      <c r="E105" s="13">
        <f>Plank[[#This Row],[angvel_total]]</f>
        <v>2.0187000024768413</v>
      </c>
      <c r="F105" s="13">
        <f>Batmobile[[#This Row],[angvel_total]]</f>
        <v>1.988900012569762</v>
      </c>
      <c r="G105" s="13">
        <f>Breakout[[#This Row],[angvel_total]]</f>
        <v>2.0335000000000001</v>
      </c>
      <c r="I105" s="2">
        <f>Table7[[#This Row],[Hybrid]]/Table7[[#This Row],[Octane]] - 1</f>
        <v>2.1969100736142E-2</v>
      </c>
      <c r="J105" s="2">
        <f>Table7[[#This Row],[Dominus]]/Table7[[#This Row],[Octane]] - 1</f>
        <v>2.9764614030777015E-2</v>
      </c>
      <c r="K105" s="2">
        <f>Table7[[#This Row],[Plank]]/Table7[[#This Row],[Octane]] - 1</f>
        <v>2.1867860546114892E-2</v>
      </c>
      <c r="L105" s="2">
        <f>Table7[[#This Row],[Batmobile]]/Table7[[#This Row],[Octane]] - 1</f>
        <v>6.7830773226142949E-3</v>
      </c>
      <c r="M105" s="2">
        <f>Table7[[#This Row],[Breakout]]/Table7[[#This Row],[Octane]] - 1</f>
        <v>2.9359633363533089E-2</v>
      </c>
      <c r="N105" s="2">
        <f>Table7[[#This Row],[Breakout]]/Table7[[#This Row],[Plank]] - 1</f>
        <v>7.3314496978253985E-3</v>
      </c>
      <c r="P105" s="6">
        <v>53</v>
      </c>
      <c r="Q105" s="4">
        <f>(1-$Y$4)*Q106+$Y$4*Table7[[#This Row],[Octane]]</f>
        <v>1.9777500627549416</v>
      </c>
      <c r="R105" s="4">
        <f>(1-$Y$4)*R106+$Y$4*Table7[[#This Row],[Hybrid]]</f>
        <v>2.0224339209300104</v>
      </c>
      <c r="S105" s="4">
        <f>(1-$Y$4)*S106+$Y$4*Table7[[#This Row],[Dominus]]</f>
        <v>2.0382594112736907</v>
      </c>
      <c r="T105" s="4">
        <f>(1-$Y$4)*T106+$Y$4*Table7[[#This Row],[Plank]]</f>
        <v>2.0230339588999384</v>
      </c>
      <c r="U105" s="4">
        <f>(1-$Y$4)*U106+$Y$4*Table7[[#This Row],[Batmobile]]</f>
        <v>1.9927084228852761</v>
      </c>
      <c r="V105" s="4">
        <f>(1-$Y$4)*V106+$Y$4*Table7[[#This Row],[Breakout]]</f>
        <v>2.0388575198512906</v>
      </c>
      <c r="W105" s="11">
        <f>POWER((1-$Y$4),Table714[[#This Row],[X]]-1)*$Y$4</f>
        <v>1.8477484977994707E-5</v>
      </c>
      <c r="Y105">
        <f>Table714[[#This Row],[X]]</f>
        <v>53</v>
      </c>
      <c r="Z105" s="2">
        <f>Table714[[#This Row],[Column1]]</f>
        <v>1.8477484977994707E-5</v>
      </c>
      <c r="AA105">
        <v>0.44166666666666599</v>
      </c>
      <c r="AD105" s="6">
        <v>53</v>
      </c>
      <c r="AE105" s="11">
        <f>(1-_xlfn.NORM.DIST(Table14[[#This Row],[X]],$AB$44,$AB$46,TRUE))/$AE$52</f>
        <v>0.26602806964923692</v>
      </c>
      <c r="AF105" s="8">
        <f>Table14[[#This Row],[Column1]]*Table7[[#This Row],[Octane]]</f>
        <v>0.52553846303847895</v>
      </c>
      <c r="AG105" s="8">
        <f>Table14[[#This Row],[Column1]]*Table7[[#This Row],[Hybrid]]</f>
        <v>0.53708407047368856</v>
      </c>
      <c r="AH105" s="8">
        <f>Table14[[#This Row],[Column1]]*Table7[[#This Row],[Dominus]]</f>
        <v>0.54118091254914702</v>
      </c>
      <c r="AI105" s="8">
        <f>Table14[[#This Row],[Column1]]*Table7[[#This Row],[Plank]]</f>
        <v>0.53703086485982388</v>
      </c>
      <c r="AJ105" s="8">
        <f>Table14[[#This Row],[Column1]]*Table7[[#This Row],[Batmobile]]</f>
        <v>0.52910323106927681</v>
      </c>
      <c r="AK105" s="8">
        <f>Table14[[#This Row],[Column1]]*Table7[[#This Row],[Breakout]]</f>
        <v>0.54096807963172333</v>
      </c>
      <c r="AL105" s="3">
        <f>Table14[[#This Row],[Column1]]-AE106</f>
        <v>1.1744017003366858E-2</v>
      </c>
      <c r="AW105" s="11">
        <v>0</v>
      </c>
      <c r="AX105" s="2">
        <f>(Table7[[#This Row],[Hybrid]]-Table7[[#This Row],[Octane]])/$B$245</f>
        <v>2.1891530589812351E-2</v>
      </c>
      <c r="AY105" s="2">
        <f>(Table7[[#This Row],[Dominus]]-Table7[[#This Row],[Octane]])/$B$245</f>
        <v>2.965951890223522E-2</v>
      </c>
      <c r="AZ105" s="2">
        <f>(Table7[[#This Row],[Plank]]-Table7[[#This Row],[Octane]])/$B$245</f>
        <v>2.1790647866230809E-2</v>
      </c>
      <c r="BA105" s="2">
        <f>(Table7[[#This Row],[Batmobile]]-Table7[[#This Row],[Octane]])/$B$245</f>
        <v>6.7591271251620511E-3</v>
      </c>
      <c r="BB105" s="2">
        <f>(Table7[[#This Row],[Breakout]]-Table7[[#This Row],[Octane]])/$B$245</f>
        <v>2.9255968171063445E-2</v>
      </c>
      <c r="BC105" s="2"/>
    </row>
    <row r="106" spans="1:55">
      <c r="A106" s="1">
        <v>0.45</v>
      </c>
      <c r="B106" s="13">
        <f>Octane[[#This Row],[angvel_total]]</f>
        <v>1.976100043014017</v>
      </c>
      <c r="C106" s="13">
        <f>Hybrid[[#This Row],[angvel_total]]</f>
        <v>2.0199000024753699</v>
      </c>
      <c r="D106" s="13">
        <f>Dominus[[#This Row],[angvel_total]]</f>
        <v>2.0354000393043132</v>
      </c>
      <c r="E106" s="13">
        <f>Plank[[#This Row],[angvel_total]]</f>
        <v>2.0199000024753699</v>
      </c>
      <c r="F106" s="13">
        <f>Batmobile[[#This Row],[angvel_total]]</f>
        <v>1.9899000125634454</v>
      </c>
      <c r="G106" s="13">
        <f>Breakout[[#This Row],[angvel_total]]</f>
        <v>2.0348999999999999</v>
      </c>
      <c r="I106" s="2">
        <f>Table7[[#This Row],[Hybrid]]/Table7[[#This Row],[Octane]] - 1</f>
        <v>2.2164849201939951E-2</v>
      </c>
      <c r="J106" s="2">
        <f>Table7[[#This Row],[Dominus]]/Table7[[#This Row],[Octane]] - 1</f>
        <v>3.0008600273015551E-2</v>
      </c>
      <c r="K106" s="2">
        <f>Table7[[#This Row],[Plank]]/Table7[[#This Row],[Octane]] - 1</f>
        <v>2.2164849201939951E-2</v>
      </c>
      <c r="L106" s="2">
        <f>Table7[[#This Row],[Batmobile]]/Table7[[#This Row],[Octane]] - 1</f>
        <v>6.9834366930028313E-3</v>
      </c>
      <c r="M106" s="2">
        <f>Table7[[#This Row],[Breakout]]/Table7[[#This Row],[Octane]] - 1</f>
        <v>2.9755556756275947E-2</v>
      </c>
      <c r="N106" s="2">
        <f>Table7[[#This Row],[Breakout]]/Table7[[#This Row],[Plank]] - 1</f>
        <v>7.4261089688834048E-3</v>
      </c>
      <c r="P106" s="6">
        <v>54</v>
      </c>
      <c r="Q106" s="4">
        <f>(1-$Y$4)*Q107+$Y$4*Table7[[#This Row],[Octane]]</f>
        <v>1.9781786379412007</v>
      </c>
      <c r="R106" s="4">
        <f>(1-$Y$4)*R107+$Y$4*Table7[[#This Row],[Hybrid]]</f>
        <v>2.0231070482544702</v>
      </c>
      <c r="S106" s="4">
        <f>(1-$Y$4)*S107+$Y$4*Table7[[#This Row],[Dominus]]</f>
        <v>2.0390135773590479</v>
      </c>
      <c r="T106" s="4">
        <f>(1-$Y$4)*T107+$Y$4*Table7[[#This Row],[Plank]]</f>
        <v>2.0238594744090999</v>
      </c>
      <c r="U106" s="4">
        <f>(1-$Y$4)*U107+$Y$4*Table7[[#This Row],[Batmobile]]</f>
        <v>1.9934338343739455</v>
      </c>
      <c r="V106" s="4">
        <f>(1-$Y$4)*V107+$Y$4*Table7[[#This Row],[Breakout]]</f>
        <v>2.039877999822965</v>
      </c>
      <c r="W106" s="11">
        <f>POWER((1-$Y$4),Table714[[#This Row],[X]]-1)*$Y$4</f>
        <v>1.5521087381515549E-5</v>
      </c>
      <c r="Y106">
        <f>Table714[[#This Row],[X]]</f>
        <v>54</v>
      </c>
      <c r="Z106" s="2">
        <f>Table714[[#This Row],[Column1]]</f>
        <v>1.5521087381515549E-5</v>
      </c>
      <c r="AA106">
        <v>0.45</v>
      </c>
      <c r="AD106" s="6">
        <v>54</v>
      </c>
      <c r="AE106" s="11">
        <f>(1-_xlfn.NORM.DIST(Table14[[#This Row],[X]],$AB$44,$AB$46,TRUE))/$AE$52</f>
        <v>0.25428405264587006</v>
      </c>
      <c r="AF106" s="8">
        <f>Table14[[#This Row],[Column1]]*Table7[[#This Row],[Octane]]</f>
        <v>0.50249072737128242</v>
      </c>
      <c r="AG106" s="8">
        <f>Table14[[#This Row],[Column1]]*Table7[[#This Row],[Hybrid]]</f>
        <v>0.51362835856884004</v>
      </c>
      <c r="AH106" s="8">
        <f>Table14[[#This Row],[Column1]]*Table7[[#This Row],[Dominus]]</f>
        <v>0.51756977074986399</v>
      </c>
      <c r="AI106" s="8">
        <f>Table14[[#This Row],[Column1]]*Table7[[#This Row],[Plank]]</f>
        <v>0.51362835856884004</v>
      </c>
      <c r="AJ106" s="8">
        <f>Table14[[#This Row],[Column1]]*Table7[[#This Row],[Batmobile]]</f>
        <v>0.50599983955470063</v>
      </c>
      <c r="AK106" s="8">
        <f>Table14[[#This Row],[Column1]]*Table7[[#This Row],[Breakout]]</f>
        <v>0.51744261872908093</v>
      </c>
      <c r="AL106" s="3">
        <f>Table14[[#This Row],[Column1]]-AE107</f>
        <v>1.1435010229517067E-2</v>
      </c>
      <c r="AW106" s="11">
        <v>0</v>
      </c>
      <c r="AX106" s="2">
        <f>(Table7[[#This Row],[Hybrid]]-Table7[[#This Row],[Octane]])/$B$245</f>
        <v>2.2093296043194027E-2</v>
      </c>
      <c r="AY106" s="2">
        <f>(Table7[[#This Row],[Dominus]]-Table7[[#This Row],[Octane]])/$B$245</f>
        <v>2.9911725707367894E-2</v>
      </c>
      <c r="AZ106" s="2">
        <f>(Table7[[#This Row],[Plank]]-Table7[[#This Row],[Octane]])/$B$245</f>
        <v>2.2093296043194027E-2</v>
      </c>
      <c r="BA106" s="2">
        <f>(Table7[[#This Row],[Batmobile]]-Table7[[#This Row],[Octane]])/$B$245</f>
        <v>6.9608925759760756E-3</v>
      </c>
      <c r="BB106" s="2">
        <f>(Table7[[#This Row],[Breakout]]-Table7[[#This Row],[Octane]])/$B$245</f>
        <v>2.9659499072473984E-2</v>
      </c>
      <c r="BC106" s="2"/>
    </row>
    <row r="107" spans="1:55">
      <c r="A107" s="1">
        <v>0.45833333333333298</v>
      </c>
      <c r="B107" s="13">
        <f>Octane[[#This Row],[angvel_total]]</f>
        <v>1.9767000430009607</v>
      </c>
      <c r="C107" s="13">
        <f>Hybrid[[#This Row],[angvel_total]]</f>
        <v>2.0208000024742674</v>
      </c>
      <c r="D107" s="13">
        <f>Dominus[[#This Row],[angvel_total]]</f>
        <v>2.0364000392850121</v>
      </c>
      <c r="E107" s="13">
        <f>Plank[[#This Row],[angvel_total]]</f>
        <v>2.0210000024740227</v>
      </c>
      <c r="F107" s="13">
        <f>Batmobile[[#This Row],[angvel_total]]</f>
        <v>1.9909000125571348</v>
      </c>
      <c r="G107" s="13">
        <f>Breakout[[#This Row],[angvel_total]]</f>
        <v>2.0362</v>
      </c>
      <c r="I107" s="2">
        <f>Table7[[#This Row],[Hybrid]]/Table7[[#This Row],[Octane]] - 1</f>
        <v>2.2309889469297239E-2</v>
      </c>
      <c r="J107" s="2">
        <f>Table7[[#This Row],[Dominus]]/Table7[[#This Row],[Octane]] - 1</f>
        <v>3.020184903391665E-2</v>
      </c>
      <c r="K107" s="2">
        <f>Table7[[#This Row],[Plank]]/Table7[[#This Row],[Octane]] - 1</f>
        <v>2.241106819920291E-2</v>
      </c>
      <c r="L107" s="2">
        <f>Table7[[#This Row],[Batmobile]]/Table7[[#This Row],[Octane]] - 1</f>
        <v>7.1836744307529621E-3</v>
      </c>
      <c r="M107" s="2">
        <f>Table7[[#This Row],[Breakout]]/Table7[[#This Row],[Octane]] - 1</f>
        <v>3.0100650429848885E-2</v>
      </c>
      <c r="N107" s="2">
        <f>Table7[[#This Row],[Breakout]]/Table7[[#This Row],[Plank]] - 1</f>
        <v>7.5210279601038987E-3</v>
      </c>
      <c r="P107" s="6">
        <v>55</v>
      </c>
      <c r="Q107" s="4">
        <f>(1-$Y$4)*Q108+$Y$4*Table7[[#This Row],[Octane]]</f>
        <v>1.9785745607844738</v>
      </c>
      <c r="R107" s="4">
        <f>(1-$Y$4)*R108+$Y$4*Table7[[#This Row],[Hybrid]]</f>
        <v>2.0237179141171562</v>
      </c>
      <c r="S107" s="4">
        <f>(1-$Y$4)*S108+$Y$4*Table7[[#This Row],[Dominus]]</f>
        <v>2.0397018703218546</v>
      </c>
      <c r="T107" s="4">
        <f>(1-$Y$4)*T108+$Y$4*Table7[[#This Row],[Plank]]</f>
        <v>2.0246136595393343</v>
      </c>
      <c r="U107" s="4">
        <f>(1-$Y$4)*U108+$Y$4*Table7[[#This Row],[Batmobile]]</f>
        <v>1.9941069432902312</v>
      </c>
      <c r="V107" s="4">
        <f>(1-$Y$4)*V108+$Y$4*Table7[[#This Row],[Breakout]]</f>
        <v>2.0408261902654345</v>
      </c>
      <c r="W107" s="11">
        <f>POWER((1-$Y$4),Table714[[#This Row],[X]]-1)*$Y$4</f>
        <v>1.3037713400473064E-5</v>
      </c>
      <c r="Y107">
        <f>Table714[[#This Row],[X]]</f>
        <v>55</v>
      </c>
      <c r="Z107" s="2">
        <f>Table714[[#This Row],[Column1]]</f>
        <v>1.3037713400473064E-5</v>
      </c>
      <c r="AA107">
        <v>0.45833333333333298</v>
      </c>
      <c r="AD107" s="6">
        <v>55</v>
      </c>
      <c r="AE107" s="11">
        <f>(1-_xlfn.NORM.DIST(Table14[[#This Row],[X]],$AB$44,$AB$46,TRUE))/$AE$52</f>
        <v>0.24284904241635299</v>
      </c>
      <c r="AF107" s="8">
        <f>Table14[[#This Row],[Column1]]*Table7[[#This Row],[Octane]]</f>
        <v>0.48003971258714712</v>
      </c>
      <c r="AG107" s="8">
        <f>Table14[[#This Row],[Column1]]*Table7[[#This Row],[Hybrid]]</f>
        <v>0.4907493455158396</v>
      </c>
      <c r="AH107" s="8">
        <f>Table14[[#This Row],[Column1]]*Table7[[#This Row],[Dominus]]</f>
        <v>0.49453779951698884</v>
      </c>
      <c r="AI107" s="8">
        <f>Table14[[#This Row],[Column1]]*Table7[[#This Row],[Plank]]</f>
        <v>0.49079791532426342</v>
      </c>
      <c r="AJ107" s="8">
        <f>Table14[[#This Row],[Column1]]*Table7[[#This Row],[Batmobile]]</f>
        <v>0.48348816159620533</v>
      </c>
      <c r="AK107" s="8">
        <f>Table14[[#This Row],[Column1]]*Table7[[#This Row],[Breakout]]</f>
        <v>0.49448922016817798</v>
      </c>
      <c r="AL107" s="3">
        <f>Table14[[#This Row],[Column1]]-AE108</f>
        <v>1.1121770749012883E-2</v>
      </c>
      <c r="AW107" s="11">
        <v>0</v>
      </c>
      <c r="AX107" s="2">
        <f>(Table7[[#This Row],[Hybrid]]-Table7[[#This Row],[Octane]])/$B$245</f>
        <v>2.2244620134781463E-2</v>
      </c>
      <c r="AY107" s="2">
        <f>(Table7[[#This Row],[Dominus]]-Table7[[#This Row],[Octane]])/$B$245</f>
        <v>3.0113491151628324E-2</v>
      </c>
      <c r="AZ107" s="2">
        <f>(Table7[[#This Row],[Plank]]-Table7[[#This Row],[Octane]])/$B$245</f>
        <v>2.2345502858363227E-2</v>
      </c>
      <c r="BA107" s="2">
        <f>(Table7[[#This Row],[Batmobile]]-Table7[[#This Row],[Octane]])/$B$245</f>
        <v>7.1626580267890923E-3</v>
      </c>
      <c r="BB107" s="2">
        <f>(Table7[[#This Row],[Breakout]]-Table7[[#This Row],[Octane]])/$B$245</f>
        <v>3.0012588612028008E-2</v>
      </c>
      <c r="BC107" s="2"/>
    </row>
    <row r="108" spans="1:55">
      <c r="A108" s="1">
        <v>0.46666666666666601</v>
      </c>
      <c r="B108" s="13">
        <f>Octane[[#This Row],[angvel_total]]</f>
        <v>1.9772000252882864</v>
      </c>
      <c r="C108" s="13">
        <f>Hybrid[[#This Row],[angvel_total]]</f>
        <v>2.0216000024732881</v>
      </c>
      <c r="D108" s="13">
        <f>Dominus[[#This Row],[angvel_total]]</f>
        <v>2.0373000392676577</v>
      </c>
      <c r="E108" s="13">
        <f>Plank[[#This Row],[angvel_total]]</f>
        <v>2.0220000024727991</v>
      </c>
      <c r="F108" s="13">
        <f>Batmobile[[#This Row],[angvel_total]]</f>
        <v>1.9918000100411688</v>
      </c>
      <c r="G108" s="13">
        <f>Breakout[[#This Row],[angvel_total]]</f>
        <v>2.0373999999999999</v>
      </c>
      <c r="I108" s="2">
        <f>Table7[[#This Row],[Hybrid]]/Table7[[#This Row],[Octane]] - 1</f>
        <v>2.245598655529446E-2</v>
      </c>
      <c r="J108" s="2">
        <f>Table7[[#This Row],[Dominus]]/Table7[[#This Row],[Octane]] - 1</f>
        <v>3.0396527013299091E-2</v>
      </c>
      <c r="K108" s="2">
        <f>Table7[[#This Row],[Plank]]/Table7[[#This Row],[Octane]] - 1</f>
        <v>2.2658292844185413E-2</v>
      </c>
      <c r="L108" s="2">
        <f>Table7[[#This Row],[Batmobile]]/Table7[[#This Row],[Octane]] - 1</f>
        <v>7.3841718420744051E-3</v>
      </c>
      <c r="M108" s="2">
        <f>Table7[[#This Row],[Breakout]]/Table7[[#This Row],[Octane]] - 1</f>
        <v>3.0447083725348323E-2</v>
      </c>
      <c r="N108" s="2">
        <f>Table7[[#This Row],[Breakout]]/Table7[[#This Row],[Plank]] - 1</f>
        <v>7.6162203305476517E-3</v>
      </c>
      <c r="P108" s="6">
        <v>56</v>
      </c>
      <c r="Q108" s="4">
        <f>(1-$Y$4)*Q109+$Y$4*Table7[[#This Row],[Octane]]</f>
        <v>1.9789316117908573</v>
      </c>
      <c r="R108" s="4">
        <f>(1-$Y$4)*R109+$Y$4*Table7[[#This Row],[Hybrid]]</f>
        <v>2.0242737068110399</v>
      </c>
      <c r="S108" s="4">
        <f>(1-$Y$4)*S109+$Y$4*Table7[[#This Row],[Dominus]]</f>
        <v>2.0403307905193482</v>
      </c>
      <c r="T108" s="4">
        <f>(1-$Y$4)*T109+$Y$4*Table7[[#This Row],[Plank]]</f>
        <v>2.0253019751708221</v>
      </c>
      <c r="U108" s="4">
        <f>(1-$Y$4)*U109+$Y$4*Table7[[#This Row],[Batmobile]]</f>
        <v>1.9947177872393924</v>
      </c>
      <c r="V108" s="4">
        <f>(1-$Y$4)*V109+$Y$4*Table7[[#This Row],[Breakout]]</f>
        <v>2.0417073693636127</v>
      </c>
      <c r="W108" s="11">
        <f>POWER((1-$Y$4),Table714[[#This Row],[X]]-1)*$Y$4</f>
        <v>1.0951679256397374E-5</v>
      </c>
      <c r="Y108">
        <f>Table714[[#This Row],[X]]</f>
        <v>56</v>
      </c>
      <c r="Z108" s="2">
        <f>Table714[[#This Row],[Column1]]</f>
        <v>1.0951679256397374E-5</v>
      </c>
      <c r="AA108">
        <v>0.46666666666666601</v>
      </c>
      <c r="AD108" s="6">
        <v>56</v>
      </c>
      <c r="AE108" s="11">
        <f>(1-_xlfn.NORM.DIST(Table14[[#This Row],[X]],$AB$44,$AB$46,TRUE))/$AE$52</f>
        <v>0.23172727166734011</v>
      </c>
      <c r="AF108" s="8">
        <f>Table14[[#This Row],[Column1]]*Table7[[#This Row],[Octane]]</f>
        <v>0.4581711674006505</v>
      </c>
      <c r="AG108" s="8">
        <f>Table14[[#This Row],[Column1]]*Table7[[#This Row],[Hybrid]]</f>
        <v>0.46845985297582304</v>
      </c>
      <c r="AH108" s="8">
        <f>Table14[[#This Row],[Column1]]*Table7[[#This Row],[Dominus]]</f>
        <v>0.47209797966725919</v>
      </c>
      <c r="AI108" s="8">
        <f>Table14[[#This Row],[Column1]]*Table7[[#This Row],[Plank]]</f>
        <v>0.46855254388437667</v>
      </c>
      <c r="AJ108" s="8">
        <f>Table14[[#This Row],[Column1]]*Table7[[#This Row],[Batmobile]]</f>
        <v>0.46155438203382071</v>
      </c>
      <c r="AK108" s="8">
        <f>Table14[[#This Row],[Column1]]*Table7[[#This Row],[Breakout]]</f>
        <v>0.47212114329503874</v>
      </c>
      <c r="AL108" s="3">
        <f>Table14[[#This Row],[Column1]]-AE109</f>
        <v>1.0805100617463953E-2</v>
      </c>
      <c r="AW108" s="11">
        <v>0</v>
      </c>
      <c r="AX108" s="2">
        <f>(Table7[[#This Row],[Hybrid]]-Table7[[#This Row],[Octane]])/$B$245</f>
        <v>2.2395953154359417E-2</v>
      </c>
      <c r="AY108" s="2">
        <f>(Table7[[#This Row],[Dominus]]-Table7[[#This Row],[Octane]])/$B$245</f>
        <v>3.0315265524799039E-2</v>
      </c>
      <c r="AZ108" s="2">
        <f>(Table7[[#This Row],[Plank]]-Table7[[#This Row],[Octane]])/$B$245</f>
        <v>2.2597718601523174E-2</v>
      </c>
      <c r="BA108" s="2">
        <f>(Table7[[#This Row],[Batmobile]]-Table7[[#This Row],[Octane]])/$B$245</f>
        <v>7.3644311396261191E-3</v>
      </c>
      <c r="BB108" s="2">
        <f>(Table7[[#This Row],[Breakout]]-Table7[[#This Row],[Octane]])/$B$245</f>
        <v>3.0365687079510279E-2</v>
      </c>
      <c r="BC108" s="2"/>
    </row>
    <row r="109" spans="1:55">
      <c r="A109" s="1">
        <v>0.47499999999999998</v>
      </c>
      <c r="B109" s="13">
        <f>Octane[[#This Row],[angvel_total]]</f>
        <v>1.9777000126409465</v>
      </c>
      <c r="C109" s="13">
        <f>Hybrid[[#This Row],[angvel_total]]</f>
        <v>2.0223000024724325</v>
      </c>
      <c r="D109" s="13">
        <f>Dominus[[#This Row],[angvel_total]]</f>
        <v>2.0381000392522446</v>
      </c>
      <c r="E109" s="13">
        <f>Plank[[#This Row],[angvel_total]]</f>
        <v>2.0228999999999999</v>
      </c>
      <c r="F109" s="13">
        <f>Batmobile[[#This Row],[angvel_total]]</f>
        <v>1.9926000025092843</v>
      </c>
      <c r="G109" s="13">
        <f>Breakout[[#This Row],[angvel_total]]</f>
        <v>2.0385</v>
      </c>
      <c r="I109" s="2">
        <f>Table7[[#This Row],[Hybrid]]/Table7[[#This Row],[Octane]] - 1</f>
        <v>2.2551443366746415E-2</v>
      </c>
      <c r="J109" s="2">
        <f>Table7[[#This Row],[Dominus]]/Table7[[#This Row],[Octane]] - 1</f>
        <v>3.0540540135125083E-2</v>
      </c>
      <c r="K109" s="2">
        <f>Table7[[#This Row],[Plank]]/Table7[[#This Row],[Octane]] - 1</f>
        <v>2.2854824831949561E-2</v>
      </c>
      <c r="L109" s="2">
        <f>Table7[[#This Row],[Batmobile]]/Table7[[#This Row],[Octane]] - 1</f>
        <v>7.5339989751230796E-3</v>
      </c>
      <c r="M109" s="2">
        <f>Table7[[#This Row],[Breakout]]/Table7[[#This Row],[Octane]] - 1</f>
        <v>3.074277543127657E-2</v>
      </c>
      <c r="N109" s="2">
        <f>Table7[[#This Row],[Breakout]]/Table7[[#This Row],[Plank]] - 1</f>
        <v>7.711701023283446E-3</v>
      </c>
      <c r="P109" s="6">
        <v>57</v>
      </c>
      <c r="Q109" s="4">
        <f>(1-$Y$4)*Q110+$Y$4*Table7[[#This Row],[Octane]]</f>
        <v>1.9792614377913471</v>
      </c>
      <c r="R109" s="4">
        <f>(1-$Y$4)*R110+$Y$4*Table7[[#This Row],[Hybrid]]</f>
        <v>2.0247829838277545</v>
      </c>
      <c r="S109" s="4">
        <f>(1-$Y$4)*S110+$Y$4*Table7[[#This Row],[Dominus]]</f>
        <v>2.0409080764720513</v>
      </c>
      <c r="T109" s="4">
        <f>(1-$Y$4)*T110+$Y$4*Table7[[#This Row],[Plank]]</f>
        <v>2.0259309223513982</v>
      </c>
      <c r="U109" s="4">
        <f>(1-$Y$4)*U110+$Y$4*Table7[[#This Row],[Batmobile]]</f>
        <v>1.9952735543247686</v>
      </c>
      <c r="V109" s="4">
        <f>(1-$Y$4)*V110+$Y$4*Table7[[#This Row],[Breakout]]</f>
        <v>2.0425278206709678</v>
      </c>
      <c r="W109" s="11">
        <f>POWER((1-$Y$4),Table714[[#This Row],[X]]-1)*$Y$4</f>
        <v>9.1994105753737917E-6</v>
      </c>
      <c r="Y109">
        <f>Table714[[#This Row],[X]]</f>
        <v>57</v>
      </c>
      <c r="Z109" s="2">
        <f>Table714[[#This Row],[Column1]]</f>
        <v>9.1994105753737917E-6</v>
      </c>
      <c r="AA109">
        <v>0.47499999999999998</v>
      </c>
      <c r="AD109" s="6">
        <v>57</v>
      </c>
      <c r="AE109" s="11">
        <f>(1-_xlfn.NORM.DIST(Table14[[#This Row],[X]],$AB$44,$AB$46,TRUE))/$AE$52</f>
        <v>0.22092217104987616</v>
      </c>
      <c r="AF109" s="8">
        <f>Table14[[#This Row],[Column1]]*Table7[[#This Row],[Octane]]</f>
        <v>0.43691778047800545</v>
      </c>
      <c r="AG109" s="8">
        <f>Table14[[#This Row],[Column1]]*Table7[[#This Row],[Hybrid]]</f>
        <v>0.4467709070603797</v>
      </c>
      <c r="AH109" s="8">
        <f>Table14[[#This Row],[Column1]]*Table7[[#This Row],[Dominus]]</f>
        <v>0.45026148548844369</v>
      </c>
      <c r="AI109" s="8">
        <f>Table14[[#This Row],[Column1]]*Table7[[#This Row],[Plank]]</f>
        <v>0.44690345981679447</v>
      </c>
      <c r="AJ109" s="8">
        <f>Table14[[#This Row],[Column1]]*Table7[[#This Row],[Batmobile]]</f>
        <v>0.44020951858833979</v>
      </c>
      <c r="AK109" s="8">
        <f>Table14[[#This Row],[Column1]]*Table7[[#This Row],[Breakout]]</f>
        <v>0.45034984568517256</v>
      </c>
      <c r="AL109" s="3">
        <f>Table14[[#This Row],[Column1]]-AE110</f>
        <v>1.0485790759400565E-2</v>
      </c>
      <c r="AW109" s="11">
        <v>0</v>
      </c>
      <c r="AX109" s="2">
        <f>(Table7[[#This Row],[Hybrid]]-Table7[[#This Row],[Octane]])/$B$245</f>
        <v>2.249684225712352E-2</v>
      </c>
      <c r="AY109" s="2">
        <f>(Table7[[#This Row],[Dominus]]-Table7[[#This Row],[Octane]])/$B$245</f>
        <v>3.0466595982072756E-2</v>
      </c>
      <c r="AZ109" s="2">
        <f>(Table7[[#This Row],[Plank]]-Table7[[#This Row],[Octane]])/$B$245</f>
        <v>2.2799489181110483E-2</v>
      </c>
      <c r="BA109" s="2">
        <f>(Table7[[#This Row],[Batmobile]]-Table7[[#This Row],[Octane]])/$B$245</f>
        <v>7.5157578054892739E-3</v>
      </c>
      <c r="BB109" s="2">
        <f>(Table7[[#This Row],[Breakout]]-Table7[[#This Row],[Octane]])/$B$245</f>
        <v>3.0668341630116423E-2</v>
      </c>
      <c r="BC109" s="2"/>
    </row>
    <row r="110" spans="1:55">
      <c r="A110" s="1">
        <v>0.483333333333333</v>
      </c>
      <c r="B110" s="13">
        <f>Octane[[#This Row],[angvel_total]]</f>
        <v>1.9781000126383903</v>
      </c>
      <c r="C110" s="13">
        <f>Hybrid[[#This Row],[angvel_total]]</f>
        <v>2.0230000098863075</v>
      </c>
      <c r="D110" s="13">
        <f>Dominus[[#This Row],[angvel_total]]</f>
        <v>2.038900039236843</v>
      </c>
      <c r="E110" s="13">
        <f>Plank[[#This Row],[angvel_total]]</f>
        <v>2.0236999999999998</v>
      </c>
      <c r="F110" s="13">
        <f>Batmobile[[#This Row],[angvel_total]]</f>
        <v>1.9933000025084031</v>
      </c>
      <c r="G110" s="13">
        <f>Breakout[[#This Row],[angvel_total]]</f>
        <v>2.0396000000000001</v>
      </c>
      <c r="I110" s="2">
        <f>Table7[[#This Row],[Hybrid]]/Table7[[#This Row],[Octane]] - 1</f>
        <v>2.2698547576484485E-2</v>
      </c>
      <c r="J110" s="2">
        <f>Table7[[#This Row],[Dominus]]/Table7[[#This Row],[Octane]] - 1</f>
        <v>3.073657864111623E-2</v>
      </c>
      <c r="K110" s="2">
        <f>Table7[[#This Row],[Plank]]/Table7[[#This Row],[Octane]] - 1</f>
        <v>2.3052417506831846E-2</v>
      </c>
      <c r="L110" s="2">
        <f>Table7[[#This Row],[Batmobile]]/Table7[[#This Row],[Octane]] - 1</f>
        <v>7.684136177593448E-3</v>
      </c>
      <c r="M110" s="2">
        <f>Table7[[#This Row],[Breakout]]/Table7[[#This Row],[Octane]] - 1</f>
        <v>3.1090433733722556E-2</v>
      </c>
      <c r="N110" s="2">
        <f>Table7[[#This Row],[Breakout]]/Table7[[#This Row],[Plank]] - 1</f>
        <v>7.8568957849485255E-3</v>
      </c>
      <c r="P110" s="6">
        <v>58</v>
      </c>
      <c r="Q110" s="4">
        <f>(1-$Y$4)*Q111+$Y$4*Table7[[#This Row],[Octane]]</f>
        <v>1.979558852105709</v>
      </c>
      <c r="R110" s="4">
        <f>(1-$Y$4)*R111+$Y$4*Table7[[#This Row],[Hybrid]]</f>
        <v>2.0252559326573398</v>
      </c>
      <c r="S110" s="4">
        <f>(1-$Y$4)*S111+$Y$4*Table7[[#This Row],[Dominus]]</f>
        <v>2.0414429407043952</v>
      </c>
      <c r="T110" s="4">
        <f>(1-$Y$4)*T111+$Y$4*Table7[[#This Row],[Plank]]</f>
        <v>2.0265082408945219</v>
      </c>
      <c r="U110" s="4">
        <f>(1-$Y$4)*U111+$Y$4*Table7[[#This Row],[Batmobile]]</f>
        <v>1.9957828022896229</v>
      </c>
      <c r="V110" s="4">
        <f>(1-$Y$4)*V111+$Y$4*Table7[[#This Row],[Breakout]]</f>
        <v>2.043295024608295</v>
      </c>
      <c r="W110" s="11">
        <f>POWER((1-$Y$4),Table714[[#This Row],[X]]-1)*$Y$4</f>
        <v>7.7275048833139851E-6</v>
      </c>
      <c r="Y110">
        <f>Table714[[#This Row],[X]]</f>
        <v>58</v>
      </c>
      <c r="Z110" s="2">
        <f>Table714[[#This Row],[Column1]]</f>
        <v>7.7275048833139851E-6</v>
      </c>
      <c r="AA110">
        <v>0.483333333333333</v>
      </c>
      <c r="AD110" s="6">
        <v>58</v>
      </c>
      <c r="AE110" s="11">
        <f>(1-_xlfn.NORM.DIST(Table14[[#This Row],[X]],$AB$44,$AB$46,TRUE))/$AE$52</f>
        <v>0.21043638029047559</v>
      </c>
      <c r="AF110" s="8">
        <f>Table14[[#This Row],[Column1]]*Table7[[#This Row],[Octane]]</f>
        <v>0.41626420651216689</v>
      </c>
      <c r="AG110" s="8">
        <f>Table14[[#This Row],[Column1]]*Table7[[#This Row],[Hybrid]]</f>
        <v>0.42571279940807089</v>
      </c>
      <c r="AH110" s="8">
        <f>Table14[[#This Row],[Column1]]*Table7[[#This Row],[Dominus]]</f>
        <v>0.42905874403110994</v>
      </c>
      <c r="AI110" s="8">
        <f>Table14[[#This Row],[Column1]]*Table7[[#This Row],[Plank]]</f>
        <v>0.4258601027938354</v>
      </c>
      <c r="AJ110" s="8">
        <f>Table14[[#This Row],[Column1]]*Table7[[#This Row],[Batmobile]]</f>
        <v>0.41946283736086426</v>
      </c>
      <c r="AK110" s="8">
        <f>Table14[[#This Row],[Column1]]*Table7[[#This Row],[Breakout]]</f>
        <v>0.42920604124045403</v>
      </c>
      <c r="AL110" s="3">
        <f>Table14[[#This Row],[Column1]]-AE111</f>
        <v>1.0164617823344269E-2</v>
      </c>
      <c r="AW110" s="11">
        <v>0</v>
      </c>
      <c r="AX110" s="2">
        <f>(Table7[[#This Row],[Hybrid]]-Table7[[#This Row],[Octane]])/$B$245</f>
        <v>2.264817008363023E-2</v>
      </c>
      <c r="AY110" s="2">
        <f>(Table7[[#This Row],[Dominus]]-Table7[[#This Row],[Octane]])/$B$245</f>
        <v>3.0668361423003807E-2</v>
      </c>
      <c r="AZ110" s="2">
        <f>(Table7[[#This Row],[Plank]]-Table7[[#This Row],[Octane]])/$B$245</f>
        <v>2.3001254629810241E-2</v>
      </c>
      <c r="BA110" s="2">
        <f>(Table7[[#This Row],[Batmobile]]-Table7[[#This Row],[Octane]])/$B$245</f>
        <v>7.6670818918920082E-3</v>
      </c>
      <c r="BB110" s="2">
        <f>(Table7[[#This Row],[Breakout]]-Table7[[#This Row],[Octane]])/$B$245</f>
        <v>3.1021431164374082E-2</v>
      </c>
      <c r="BC110" s="2"/>
    </row>
    <row r="111" spans="1:55">
      <c r="A111" s="1">
        <v>0.49166666666666597</v>
      </c>
      <c r="B111" s="13">
        <f>Octane[[#This Row],[angvel_total]]</f>
        <v>1.9785000126358352</v>
      </c>
      <c r="C111" s="13">
        <f>Hybrid[[#This Row],[angvel_total]]</f>
        <v>2.0236000222375963</v>
      </c>
      <c r="D111" s="13">
        <f>Dominus[[#This Row],[angvel_total]]</f>
        <v>2.0396000392233766</v>
      </c>
      <c r="E111" s="13">
        <f>Plank[[#This Row],[angvel_total]]</f>
        <v>2.0245000000000002</v>
      </c>
      <c r="F111" s="13">
        <f>Batmobile[[#This Row],[angvel_total]]</f>
        <v>1.994</v>
      </c>
      <c r="G111" s="13">
        <f>Breakout[[#This Row],[angvel_total]]</f>
        <v>2.0406000024502595</v>
      </c>
      <c r="I111" s="2">
        <f>Table7[[#This Row],[Hybrid]]/Table7[[#This Row],[Octane]] - 1</f>
        <v>2.2795051460059002E-2</v>
      </c>
      <c r="J111" s="2">
        <f>Table7[[#This Row],[Dominus]]/Table7[[#This Row],[Octane]] - 1</f>
        <v>3.0881994539965429E-2</v>
      </c>
      <c r="K111" s="2">
        <f>Table7[[#This Row],[Plank]]/Table7[[#This Row],[Octane]] - 1</f>
        <v>2.3249930285763387E-2</v>
      </c>
      <c r="L111" s="2">
        <f>Table7[[#This Row],[Batmobile]]/Table7[[#This Row],[Octane]] - 1</f>
        <v>7.8342114051923595E-3</v>
      </c>
      <c r="M111" s="2">
        <f>Table7[[#This Row],[Breakout]]/Table7[[#This Row],[Octane]] - 1</f>
        <v>3.1387409359523888E-2</v>
      </c>
      <c r="N111" s="2">
        <f>Table7[[#This Row],[Breakout]]/Table7[[#This Row],[Plank]] - 1</f>
        <v>7.9525820944723602E-3</v>
      </c>
      <c r="P111" s="6">
        <v>59</v>
      </c>
      <c r="Q111" s="4">
        <f>(1-$Y$4)*Q112+$Y$4*Table7[[#This Row],[Octane]]</f>
        <v>1.9798367262899603</v>
      </c>
      <c r="R111" s="4">
        <f>(1-$Y$4)*R112+$Y$4*Table7[[#This Row],[Hybrid]]</f>
        <v>2.0256856322327748</v>
      </c>
      <c r="S111" s="4">
        <f>(1-$Y$4)*S112+$Y$4*Table7[[#This Row],[Dominus]]</f>
        <v>2.0419273028886913</v>
      </c>
      <c r="T111" s="4">
        <f>(1-$Y$4)*T112+$Y$4*Table7[[#This Row],[Plank]]</f>
        <v>2.0270431439220498</v>
      </c>
      <c r="U111" s="4">
        <f>(1-$Y$4)*U112+$Y$4*Table7[[#This Row],[Batmobile]]</f>
        <v>1.996255716533665</v>
      </c>
      <c r="V111" s="4">
        <f>(1-$Y$4)*V112+$Y$4*Table7[[#This Row],[Breakout]]</f>
        <v>2.0439988388193986</v>
      </c>
      <c r="W111" s="11">
        <f>POWER((1-$Y$4),Table714[[#This Row],[X]]-1)*$Y$4</f>
        <v>6.4911041019837465E-6</v>
      </c>
      <c r="Y111">
        <f>Table714[[#This Row],[X]]</f>
        <v>59</v>
      </c>
      <c r="Z111" s="2">
        <f>Table714[[#This Row],[Column1]]</f>
        <v>6.4911041019837465E-6</v>
      </c>
      <c r="AA111">
        <v>0.49166666666666597</v>
      </c>
      <c r="AD111" s="6">
        <v>59</v>
      </c>
      <c r="AE111" s="11">
        <f>(1-_xlfn.NORM.DIST(Table14[[#This Row],[X]],$AB$44,$AB$46,TRUE))/$AE$52</f>
        <v>0.20027176246713133</v>
      </c>
      <c r="AF111" s="8">
        <f>Table14[[#This Row],[Column1]]*Table7[[#This Row],[Octane]]</f>
        <v>0.39623768457182029</v>
      </c>
      <c r="AG111" s="8">
        <f>Table14[[#This Row],[Column1]]*Table7[[#This Row],[Hybrid]]</f>
        <v>0.40526994298204955</v>
      </c>
      <c r="AH111" s="8">
        <f>Table14[[#This Row],[Column1]]*Table7[[#This Row],[Dominus]]</f>
        <v>0.40847429458329582</v>
      </c>
      <c r="AI111" s="8">
        <f>Table14[[#This Row],[Column1]]*Table7[[#This Row],[Plank]]</f>
        <v>0.40545018311470743</v>
      </c>
      <c r="AJ111" s="8">
        <f>Table14[[#This Row],[Column1]]*Table7[[#This Row],[Batmobile]]</f>
        <v>0.39934189435945988</v>
      </c>
      <c r="AK111" s="8">
        <f>Table14[[#This Row],[Column1]]*Table7[[#This Row],[Breakout]]</f>
        <v>0.40867455898114596</v>
      </c>
      <c r="AL111" s="3">
        <f>Table14[[#This Row],[Column1]]-AE112</f>
        <v>9.8423412061512117E-3</v>
      </c>
      <c r="AW111" s="11">
        <v>0</v>
      </c>
      <c r="AX111" s="2">
        <f>(Table7[[#This Row],[Hybrid]]-Table7[[#This Row],[Octane]])/$B$245</f>
        <v>2.2749059038782552E-2</v>
      </c>
      <c r="AY111" s="2">
        <f>(Table7[[#This Row],[Dominus]]-Table7[[#This Row],[Octane]])/$B$245</f>
        <v>3.08196855030578E-2</v>
      </c>
      <c r="AZ111" s="2">
        <f>(Table7[[#This Row],[Plank]]-Table7[[#This Row],[Octane]])/$B$245</f>
        <v>2.3203020078509658E-2</v>
      </c>
      <c r="BA111" s="2">
        <f>(Table7[[#This Row],[Batmobile]]-Table7[[#This Row],[Octane]])/$B$245</f>
        <v>7.818404713465954E-3</v>
      </c>
      <c r="BB111" s="2">
        <f>(Table7[[#This Row],[Breakout]]-Table7[[#This Row],[Octane]])/$B$245</f>
        <v>3.1324080572722755E-2</v>
      </c>
      <c r="BC111" s="2"/>
    </row>
    <row r="112" spans="1:55">
      <c r="A112" s="1">
        <v>0.5</v>
      </c>
      <c r="B112" s="13">
        <f>Octane[[#This Row],[angvel_total]]</f>
        <v>1.9789000126332812</v>
      </c>
      <c r="C112" s="13">
        <f>Hybrid[[#This Row],[angvel_total]]</f>
        <v>2.0242000222310046</v>
      </c>
      <c r="D112" s="13">
        <f>Dominus[[#This Row],[angvel_total]]</f>
        <v>2.0402000392118418</v>
      </c>
      <c r="E112" s="13">
        <f>Plank[[#This Row],[angvel_total]]</f>
        <v>2.0251999999999999</v>
      </c>
      <c r="F112" s="13">
        <f>Batmobile[[#This Row],[angvel_total]]</f>
        <v>1.9945999999999999</v>
      </c>
      <c r="G112" s="13">
        <f>Breakout[[#This Row],[angvel_total]]</f>
        <v>2.0415000097967182</v>
      </c>
      <c r="I112" s="2">
        <f>Table7[[#This Row],[Hybrid]]/Table7[[#This Row],[Octane]] - 1</f>
        <v>2.2891510085668143E-2</v>
      </c>
      <c r="J112" s="2">
        <f>Table7[[#This Row],[Dominus]]/Table7[[#This Row],[Octane]] - 1</f>
        <v>3.0976818529092842E-2</v>
      </c>
      <c r="K112" s="2">
        <f>Table7[[#This Row],[Plank]]/Table7[[#This Row],[Octane]] - 1</f>
        <v>2.3396830093051602E-2</v>
      </c>
      <c r="L112" s="2">
        <f>Table7[[#This Row],[Batmobile]]/Table7[[#This Row],[Octane]] - 1</f>
        <v>7.9336941060641486E-3</v>
      </c>
      <c r="M112" s="2">
        <f>Table7[[#This Row],[Breakout]]/Table7[[#This Row],[Octane]] - 1</f>
        <v>3.1633734278538217E-2</v>
      </c>
      <c r="N112" s="2">
        <f>Table7[[#This Row],[Breakout]]/Table7[[#This Row],[Plank]] - 1</f>
        <v>8.0485926312059419E-3</v>
      </c>
      <c r="P112" s="6">
        <v>60</v>
      </c>
      <c r="Q112" s="4">
        <f>(1-$Y$4)*Q113+$Y$4*Table7[[#This Row],[Octane]]</f>
        <v>1.9800913384145558</v>
      </c>
      <c r="R112" s="4">
        <f>(1-$Y$4)*R113+$Y$4*Table7[[#This Row],[Hybrid]]</f>
        <v>2.0260828912794753</v>
      </c>
      <c r="S112" s="4">
        <f>(1-$Y$4)*S113+$Y$4*Table7[[#This Row],[Dominus]]</f>
        <v>2.042370591205894</v>
      </c>
      <c r="T112" s="4">
        <f>(1-$Y$4)*T113+$Y$4*Table7[[#This Row],[Plank]]</f>
        <v>2.0275275522881544</v>
      </c>
      <c r="U112" s="4">
        <f>(1-$Y$4)*U113+$Y$4*Table7[[#This Row],[Batmobile]]</f>
        <v>1.9966853768257917</v>
      </c>
      <c r="V112" s="4">
        <f>(1-$Y$4)*V113+$Y$4*Table7[[#This Row],[Breakout]]</f>
        <v>2.0446462362230444</v>
      </c>
      <c r="W112" s="11">
        <f>POWER((1-$Y$4),Table714[[#This Row],[X]]-1)*$Y$4</f>
        <v>5.4525274456663467E-6</v>
      </c>
      <c r="Y112">
        <f>Table714[[#This Row],[X]]</f>
        <v>60</v>
      </c>
      <c r="Z112" s="2">
        <f>Table714[[#This Row],[Column1]]</f>
        <v>5.4525274456663467E-6</v>
      </c>
      <c r="AA112">
        <v>0.5</v>
      </c>
      <c r="AD112" s="6">
        <v>60</v>
      </c>
      <c r="AE112" s="11">
        <f>(1-_xlfn.NORM.DIST(Table14[[#This Row],[X]],$AB$44,$AB$46,TRUE))/$AE$52</f>
        <v>0.19042942126098011</v>
      </c>
      <c r="AF112" s="8">
        <f>Table14[[#This Row],[Column1]]*Table7[[#This Row],[Octane]]</f>
        <v>0.37684078413910199</v>
      </c>
      <c r="AG112" s="8">
        <f>Table14[[#This Row],[Column1]]*Table7[[#This Row],[Hybrid]]</f>
        <v>0.38546723874991329</v>
      </c>
      <c r="AH112" s="8">
        <f>Table14[[#This Row],[Column1]]*Table7[[#This Row],[Dominus]]</f>
        <v>0.38851411272373998</v>
      </c>
      <c r="AI112" s="8">
        <f>Table14[[#This Row],[Column1]]*Table7[[#This Row],[Plank]]</f>
        <v>0.38565766393773693</v>
      </c>
      <c r="AJ112" s="8">
        <f>Table14[[#This Row],[Column1]]*Table7[[#This Row],[Batmobile]]</f>
        <v>0.37983052364715092</v>
      </c>
      <c r="AK112" s="8">
        <f>Table14[[#This Row],[Column1]]*Table7[[#This Row],[Breakout]]</f>
        <v>0.38876166536987428</v>
      </c>
      <c r="AL112" s="3">
        <f>Table14[[#This Row],[Column1]]-AE113</f>
        <v>9.5197002611400461E-3</v>
      </c>
      <c r="AW112" s="11">
        <v>0</v>
      </c>
      <c r="AX112" s="2">
        <f>(Table7[[#This Row],[Hybrid]]-Table7[[#This Row],[Octane]])/$B$245</f>
        <v>2.2849941760451093E-2</v>
      </c>
      <c r="AY112" s="2">
        <f>(Table7[[#This Row],[Dominus]]-Table7[[#This Row],[Octane]])/$B$245</f>
        <v>3.0920568222232946E-2</v>
      </c>
      <c r="AZ112" s="2">
        <f>(Table7[[#This Row],[Plank]]-Table7[[#This Row],[Octane]])/$B$245</f>
        <v>2.3354344165355589E-2</v>
      </c>
      <c r="BA112" s="2">
        <f>(Table7[[#This Row],[Batmobile]]-Table7[[#This Row],[Octane]])/$B$245</f>
        <v>7.9192874384593978E-3</v>
      </c>
      <c r="BB112" s="2">
        <f>(Table7[[#This Row],[Breakout]]-Table7[[#This Row],[Octane]])/$B$245</f>
        <v>3.1576291088927844E-2</v>
      </c>
      <c r="BC112" s="2"/>
    </row>
    <row r="113" spans="1:55">
      <c r="A113" s="1">
        <v>0.50833333333333297</v>
      </c>
      <c r="B113" s="13">
        <f>Octane[[#This Row],[angvel_total]]</f>
        <v>1.9792000126313662</v>
      </c>
      <c r="C113" s="13">
        <f>Hybrid[[#This Row],[angvel_total]]</f>
        <v>2.0247000222255149</v>
      </c>
      <c r="D113" s="13">
        <f>Dominus[[#This Row],[angvel_total]]</f>
        <v>2.0408000392003132</v>
      </c>
      <c r="E113" s="13">
        <f>Plank[[#This Row],[angvel_total]]</f>
        <v>2.0257999999999998</v>
      </c>
      <c r="F113" s="13">
        <f>Batmobile[[#This Row],[angvel_total]]</f>
        <v>1.9952000000000001</v>
      </c>
      <c r="G113" s="13">
        <f>Breakout[[#This Row],[angvel_total]]</f>
        <v>2.0423000097928803</v>
      </c>
      <c r="I113" s="2">
        <f>Table7[[#This Row],[Hybrid]]/Table7[[#This Row],[Octane]] - 1</f>
        <v>2.2989091200366296E-2</v>
      </c>
      <c r="J113" s="2">
        <f>Table7[[#This Row],[Dominus]]/Table7[[#This Row],[Octane]] - 1</f>
        <v>3.1123699563365026E-2</v>
      </c>
      <c r="K113" s="2">
        <f>Table7[[#This Row],[Plank]]/Table7[[#This Row],[Octane]] - 1</f>
        <v>2.3544860080451535E-2</v>
      </c>
      <c r="L113" s="2">
        <f>Table7[[#This Row],[Batmobile]]/Table7[[#This Row],[Octane]] - 1</f>
        <v>8.0840679398348492E-3</v>
      </c>
      <c r="M113" s="2">
        <f>Table7[[#This Row],[Breakout]]/Table7[[#This Row],[Octane]] - 1</f>
        <v>3.1881566672800288E-2</v>
      </c>
      <c r="N113" s="2">
        <f>Table7[[#This Row],[Breakout]]/Table7[[#This Row],[Plank]] - 1</f>
        <v>8.1449352319480361E-3</v>
      </c>
      <c r="P113" s="6">
        <v>61</v>
      </c>
      <c r="Q113" s="4">
        <f>(1-$Y$4)*Q114+$Y$4*Table7[[#This Row],[Octane]]</f>
        <v>1.980318257610989</v>
      </c>
      <c r="R113" s="4">
        <f>(1-$Y$4)*R114+$Y$4*Table7[[#This Row],[Hybrid]]</f>
        <v>2.0264415330029935</v>
      </c>
      <c r="S113" s="4">
        <f>(1-$Y$4)*S114+$Y$4*Table7[[#This Row],[Dominus]]</f>
        <v>2.0427840296809516</v>
      </c>
      <c r="T113" s="4">
        <f>(1-$Y$4)*T114+$Y$4*Table7[[#This Row],[Plank]]</f>
        <v>2.0279708955811362</v>
      </c>
      <c r="U113" s="4">
        <f>(1-$Y$4)*U114+$Y$4*Table7[[#This Row],[Batmobile]]</f>
        <v>1.9970825914592758</v>
      </c>
      <c r="V113" s="4">
        <f>(1-$Y$4)*V114+$Y$4*Table7[[#This Row],[Breakout]]</f>
        <v>2.0452455174471065</v>
      </c>
      <c r="W113" s="11">
        <f>POWER((1-$Y$4),Table714[[#This Row],[X]]-1)*$Y$4</f>
        <v>4.5801230543597311E-6</v>
      </c>
      <c r="Y113">
        <f>Table714[[#This Row],[X]]</f>
        <v>61</v>
      </c>
      <c r="Z113" s="2">
        <f>Table714[[#This Row],[Column1]]</f>
        <v>4.5801230543597311E-6</v>
      </c>
      <c r="AA113">
        <v>0.50833333333333297</v>
      </c>
      <c r="AD113" s="6">
        <v>61</v>
      </c>
      <c r="AE113" s="11">
        <f>(1-_xlfn.NORM.DIST(Table14[[#This Row],[X]],$AB$44,$AB$46,TRUE))/$AE$52</f>
        <v>0.18090972099984007</v>
      </c>
      <c r="AF113" s="8">
        <f>Table14[[#This Row],[Column1]]*Table7[[#This Row],[Octane]]</f>
        <v>0.35805652208802041</v>
      </c>
      <c r="AG113" s="8">
        <f>Table14[[#This Row],[Column1]]*Table7[[#This Row],[Hybrid]]</f>
        <v>0.36628791612918787</v>
      </c>
      <c r="AH113" s="8">
        <f>Table14[[#This Row],[Column1]]*Table7[[#This Row],[Dominus]]</f>
        <v>0.36920056570819132</v>
      </c>
      <c r="AI113" s="8">
        <f>Table14[[#This Row],[Column1]]*Table7[[#This Row],[Plank]]</f>
        <v>0.36648691280147599</v>
      </c>
      <c r="AJ113" s="8">
        <f>Table14[[#This Row],[Column1]]*Table7[[#This Row],[Batmobile]]</f>
        <v>0.36095107533888093</v>
      </c>
      <c r="AK113" s="8">
        <f>Table14[[#This Row],[Column1]]*Table7[[#This Row],[Breakout]]</f>
        <v>0.36947192496960063</v>
      </c>
      <c r="AL113" s="3">
        <f>Table14[[#This Row],[Column1]]-AE114</f>
        <v>9.1974117026873969E-3</v>
      </c>
      <c r="AW113" s="11">
        <v>0</v>
      </c>
      <c r="AX113" s="2">
        <f>(Table7[[#This Row],[Hybrid]]-Table7[[#This Row],[Octane]])/$B$245</f>
        <v>2.2950824482353162E-2</v>
      </c>
      <c r="AY113" s="2">
        <f>(Table7[[#This Row],[Dominus]]-Table7[[#This Row],[Octane]])/$B$245</f>
        <v>3.1071892302941485E-2</v>
      </c>
      <c r="AZ113" s="2">
        <f>(Table7[[#This Row],[Plank]]-Table7[[#This Row],[Octane]])/$B$245</f>
        <v>2.3505668251879285E-2</v>
      </c>
      <c r="BA113" s="2">
        <f>(Table7[[#This Row],[Batmobile]]-Table7[[#This Row],[Octane]])/$B$245</f>
        <v>8.0706115249832063E-3</v>
      </c>
      <c r="BB113" s="2">
        <f>(Table7[[#This Row],[Breakout]]-Table7[[#This Row],[Octane]])/$B$245</f>
        <v>3.1828497897220885E-2</v>
      </c>
      <c r="BC113" s="2"/>
    </row>
    <row r="114" spans="1:55">
      <c r="A114" s="1">
        <v>0.51666666666666605</v>
      </c>
      <c r="B114" s="13">
        <f>Octane[[#This Row],[angvel_total]]</f>
        <v>1.9795000101035616</v>
      </c>
      <c r="C114" s="13">
        <f>Hybrid[[#This Row],[angvel_total]]</f>
        <v>2.0252000222200275</v>
      </c>
      <c r="D114" s="13">
        <f>Dominus[[#This Row],[angvel_total]]</f>
        <v>2.0413000391907112</v>
      </c>
      <c r="E114" s="13">
        <f>Plank[[#This Row],[angvel_total]]</f>
        <v>2.0264000000000002</v>
      </c>
      <c r="F114" s="13">
        <f>Batmobile[[#This Row],[angvel_total]]</f>
        <v>1.9957</v>
      </c>
      <c r="G114" s="13">
        <f>Breakout[[#This Row],[angvel_total]]</f>
        <v>2.0431000097890459</v>
      </c>
      <c r="I114" s="2">
        <f>Table7[[#This Row],[Hybrid]]/Table7[[#This Row],[Octane]] - 1</f>
        <v>2.3086644043045501E-2</v>
      </c>
      <c r="J114" s="2">
        <f>Table7[[#This Row],[Dominus]]/Table7[[#This Row],[Octane]] - 1</f>
        <v>3.1220019586621017E-2</v>
      </c>
      <c r="K114" s="2">
        <f>Table7[[#This Row],[Plank]]/Table7[[#This Row],[Octane]] - 1</f>
        <v>2.3692846505206644E-2</v>
      </c>
      <c r="L114" s="2">
        <f>Table7[[#This Row],[Batmobile]]/Table7[[#This Row],[Octane]] - 1</f>
        <v>8.183879673529848E-3</v>
      </c>
      <c r="M114" s="2">
        <f>Table7[[#This Row],[Breakout]]/Table7[[#This Row],[Octane]] - 1</f>
        <v>3.2129325264391939E-2</v>
      </c>
      <c r="N114" s="2">
        <f>Table7[[#This Row],[Breakout]]/Table7[[#This Row],[Plank]] - 1</f>
        <v>8.2412207802238235E-3</v>
      </c>
      <c r="P114" s="6">
        <v>62</v>
      </c>
      <c r="Q114" s="4">
        <f>(1-$Y$4)*Q115+$Y$4*Table7[[#This Row],[Octane]]</f>
        <v>1.9805312566547268</v>
      </c>
      <c r="R114" s="4">
        <f>(1-$Y$4)*R115+$Y$4*Table7[[#This Row],[Hybrid]]</f>
        <v>2.0267732493415607</v>
      </c>
      <c r="S114" s="4">
        <f>(1-$Y$4)*S115+$Y$4*Table7[[#This Row],[Dominus]]</f>
        <v>2.0431619326296446</v>
      </c>
      <c r="T114" s="4">
        <f>(1-$Y$4)*T115+$Y$4*Table7[[#This Row],[Plank]]</f>
        <v>2.0283843995013524</v>
      </c>
      <c r="U114" s="4">
        <f>(1-$Y$4)*U115+$Y$4*Table7[[#This Row],[Batmobile]]</f>
        <v>1.9974411803086618</v>
      </c>
      <c r="V114" s="4">
        <f>(1-$Y$4)*V115+$Y$4*Table7[[#This Row],[Breakout]]</f>
        <v>2.0458065665241021</v>
      </c>
      <c r="W114" s="11">
        <f>POWER((1-$Y$4),Table714[[#This Row],[X]]-1)*$Y$4</f>
        <v>3.8473033656621737E-6</v>
      </c>
      <c r="Y114">
        <f>Table714[[#This Row],[X]]</f>
        <v>62</v>
      </c>
      <c r="Z114" s="2">
        <f>Table714[[#This Row],[Column1]]</f>
        <v>3.8473033656621737E-6</v>
      </c>
      <c r="AA114">
        <v>0.51666666666666605</v>
      </c>
      <c r="AD114" s="6">
        <v>62</v>
      </c>
      <c r="AE114" s="11">
        <f>(1-_xlfn.NORM.DIST(Table14[[#This Row],[X]],$AB$44,$AB$46,TRUE))/$AE$52</f>
        <v>0.17171230929715267</v>
      </c>
      <c r="AF114" s="8">
        <f>Table14[[#This Row],[Column1]]*Table7[[#This Row],[Octane]]</f>
        <v>0.33990451798861959</v>
      </c>
      <c r="AG114" s="8">
        <f>Table14[[#This Row],[Column1]]*Table7[[#This Row],[Hybrid]]</f>
        <v>0.34775177260404583</v>
      </c>
      <c r="AH114" s="8">
        <f>Table14[[#This Row],[Column1]]*Table7[[#This Row],[Dominus]]</f>
        <v>0.35051634369780527</v>
      </c>
      <c r="AI114" s="8">
        <f>Table14[[#This Row],[Column1]]*Table7[[#This Row],[Plank]]</f>
        <v>0.34795782355975019</v>
      </c>
      <c r="AJ114" s="8">
        <f>Table14[[#This Row],[Column1]]*Table7[[#This Row],[Batmobile]]</f>
        <v>0.34268625566432759</v>
      </c>
      <c r="AK114" s="8">
        <f>Table14[[#This Row],[Column1]]*Table7[[#This Row],[Breakout]]</f>
        <v>0.35082542080591228</v>
      </c>
      <c r="AL114" s="3">
        <f>Table14[[#This Row],[Column1]]-AE115</f>
        <v>8.8761672180646956E-3</v>
      </c>
      <c r="AW114" s="11">
        <v>0</v>
      </c>
      <c r="AX114" s="2">
        <f>(Table7[[#This Row],[Hybrid]]-Table7[[#This Row],[Octane]])/$B$245</f>
        <v>2.305170847834952E-2</v>
      </c>
      <c r="AY114" s="2">
        <f>(Table7[[#This Row],[Dominus]]-Table7[[#This Row],[Octane]])/$B$245</f>
        <v>3.1172776296862444E-2</v>
      </c>
      <c r="AZ114" s="2">
        <f>(Table7[[#This Row],[Plank]]-Table7[[#This Row],[Octane]])/$B$245</f>
        <v>2.3656993612496381E-2</v>
      </c>
      <c r="BA114" s="2">
        <f>(Table7[[#This Row],[Batmobile]]-Table7[[#This Row],[Octane]])/$B$245</f>
        <v>8.171495523747482E-3</v>
      </c>
      <c r="BB114" s="2">
        <f>(Table7[[#This Row],[Breakout]]-Table7[[#This Row],[Octane]])/$B$245</f>
        <v>3.2080705979608895E-2</v>
      </c>
      <c r="BC114" s="2"/>
    </row>
    <row r="115" spans="1:55">
      <c r="A115" s="1">
        <v>0.52500000000000002</v>
      </c>
      <c r="B115" s="13">
        <f>Octane[[#This Row],[angvel_total]]</f>
        <v>1.9798000227295685</v>
      </c>
      <c r="C115" s="13">
        <f>Hybrid[[#This Row],[angvel_total]]</f>
        <v>2.0256000098736173</v>
      </c>
      <c r="D115" s="13">
        <f>Dominus[[#This Row],[angvel_total]]</f>
        <v>2.0418000391811142</v>
      </c>
      <c r="E115" s="13">
        <f>Plank[[#This Row],[angvel_total]]</f>
        <v>2.0268999999999999</v>
      </c>
      <c r="F115" s="13">
        <f>Batmobile[[#This Row],[angvel_total]]</f>
        <v>1.9962</v>
      </c>
      <c r="G115" s="13">
        <f>Breakout[[#This Row],[angvel_total]]</f>
        <v>2.0438000097856932</v>
      </c>
      <c r="I115" s="2">
        <f>Table7[[#This Row],[Hybrid]]/Table7[[#This Row],[Octane]] - 1</f>
        <v>2.3133643104470636E-2</v>
      </c>
      <c r="J115" s="2">
        <f>Table7[[#This Row],[Dominus]]/Table7[[#This Row],[Octane]] - 1</f>
        <v>3.1316302525376205E-2</v>
      </c>
      <c r="K115" s="2">
        <f>Table7[[#This Row],[Plank]]/Table7[[#This Row],[Octane]] - 1</f>
        <v>2.3790270092781451E-2</v>
      </c>
      <c r="L115" s="2">
        <f>Table7[[#This Row],[Batmobile]]/Table7[[#This Row],[Octane]] - 1</f>
        <v>8.2836534408261553E-3</v>
      </c>
      <c r="M115" s="2">
        <f>Table7[[#This Row],[Breakout]]/Table7[[#This Row],[Octane]] - 1</f>
        <v>3.232649071691962E-2</v>
      </c>
      <c r="N115" s="2">
        <f>Table7[[#This Row],[Breakout]]/Table7[[#This Row],[Plank]] - 1</f>
        <v>8.3378606668771393E-3</v>
      </c>
      <c r="P115" s="6">
        <v>63</v>
      </c>
      <c r="Q115" s="4">
        <f>(1-$Y$4)*Q116+$Y$4*Table7[[#This Row],[Octane]]</f>
        <v>1.9807276845692345</v>
      </c>
      <c r="R115" s="4">
        <f>(1-$Y$4)*R116+$Y$4*Table7[[#This Row],[Hybrid]]</f>
        <v>2.027072911650424</v>
      </c>
      <c r="S115" s="4">
        <f>(1-$Y$4)*S116+$Y$4*Table7[[#This Row],[Dominus]]</f>
        <v>2.0435165789989651</v>
      </c>
      <c r="T115" s="4">
        <f>(1-$Y$4)*T116+$Y$4*Table7[[#This Row],[Plank]]</f>
        <v>2.0287623803587529</v>
      </c>
      <c r="U115" s="4">
        <f>(1-$Y$4)*U116+$Y$4*Table7[[#This Row],[Batmobile]]</f>
        <v>1.9977728337007878</v>
      </c>
      <c r="V115" s="4">
        <f>(1-$Y$4)*V116+$Y$4*Table7[[#This Row],[Breakout]]</f>
        <v>2.0463221011403032</v>
      </c>
      <c r="W115" s="11">
        <f>POWER((1-$Y$4),Table714[[#This Row],[X]]-1)*$Y$4</f>
        <v>3.2317348271562265E-6</v>
      </c>
      <c r="Y115">
        <f>Table714[[#This Row],[X]]</f>
        <v>63</v>
      </c>
      <c r="Z115" s="2">
        <f>Table714[[#This Row],[Column1]]</f>
        <v>3.2317348271562265E-6</v>
      </c>
      <c r="AA115">
        <v>0.52500000000000002</v>
      </c>
      <c r="AD115" s="6">
        <v>63</v>
      </c>
      <c r="AE115" s="11">
        <f>(1-_xlfn.NORM.DIST(Table14[[#This Row],[X]],$AB$44,$AB$46,TRUE))/$AE$52</f>
        <v>0.16283614207908798</v>
      </c>
      <c r="AF115" s="8">
        <f>Table14[[#This Row],[Column1]]*Table7[[#This Row],[Octane]]</f>
        <v>0.32238299778937363</v>
      </c>
      <c r="AG115" s="8">
        <f>Table14[[#This Row],[Column1]]*Table7[[#This Row],[Hybrid]]</f>
        <v>0.32984089100318237</v>
      </c>
      <c r="AH115" s="8">
        <f>Table14[[#This Row],[Column1]]*Table7[[#This Row],[Dominus]]</f>
        <v>0.3324788412771833</v>
      </c>
      <c r="AI115" s="8">
        <f>Table14[[#This Row],[Column1]]*Table7[[#This Row],[Plank]]</f>
        <v>0.33005257638010338</v>
      </c>
      <c r="AJ115" s="8">
        <f>Table14[[#This Row],[Column1]]*Table7[[#This Row],[Batmobile]]</f>
        <v>0.32505350681827544</v>
      </c>
      <c r="AK115" s="8">
        <f>Table14[[#This Row],[Column1]]*Table7[[#This Row],[Breakout]]</f>
        <v>0.33280450877470452</v>
      </c>
      <c r="AL115" s="3">
        <f>Table14[[#This Row],[Column1]]-AE116</f>
        <v>8.5566312953666568E-3</v>
      </c>
      <c r="AW115" s="11">
        <v>0</v>
      </c>
      <c r="AX115" s="2">
        <f>(Table7[[#This Row],[Hybrid]]-Table7[[#This Row],[Octane]])/$B$245</f>
        <v>2.3102137243774884E-2</v>
      </c>
      <c r="AY115" s="2">
        <f>(Table7[[#This Row],[Dominus]]-Table7[[#This Row],[Octane]])/$B$245</f>
        <v>3.1273652646996955E-2</v>
      </c>
      <c r="AZ115" s="2">
        <f>(Table7[[#This Row],[Plank]]-Table7[[#This Row],[Octane]])/$B$245</f>
        <v>2.3757869967471628E-2</v>
      </c>
      <c r="BA115" s="2">
        <f>(Table7[[#This Row],[Batmobile]]-Table7[[#This Row],[Octane]])/$B$245</f>
        <v>8.2723718787228433E-3</v>
      </c>
      <c r="BB115" s="2">
        <f>(Table7[[#This Row],[Breakout]]-Table7[[#This Row],[Octane]])/$B$245</f>
        <v>3.2282465056598326E-2</v>
      </c>
      <c r="BC115" s="2"/>
    </row>
    <row r="116" spans="1:55">
      <c r="A116" s="1">
        <v>0.53333333333333299</v>
      </c>
      <c r="B116" s="13">
        <f>Octane[[#This Row],[angvel_total]]</f>
        <v>1.9801000227261247</v>
      </c>
      <c r="C116" s="13">
        <f>Hybrid[[#This Row],[angvel_total]]</f>
        <v>2.0260000024679168</v>
      </c>
      <c r="D116" s="13">
        <f>Dominus[[#This Row],[angvel_total]]</f>
        <v>2.0423000220339813</v>
      </c>
      <c r="E116" s="13">
        <f>Plank[[#This Row],[angvel_total]]</f>
        <v>2.0274000000000001</v>
      </c>
      <c r="F116" s="13">
        <f>Batmobile[[#This Row],[angvel_total]]</f>
        <v>1.9965999999999999</v>
      </c>
      <c r="G116" s="13">
        <f>Breakout[[#This Row],[angvel_total]]</f>
        <v>2.0445000024455857</v>
      </c>
      <c r="I116" s="2">
        <f>Table7[[#This Row],[Hybrid]]/Table7[[#This Row],[Octane]] - 1</f>
        <v>2.3180636945096644E-2</v>
      </c>
      <c r="J116" s="2">
        <f>Table7[[#This Row],[Dominus]]/Table7[[#This Row],[Octane]] - 1</f>
        <v>3.1412554211388777E-2</v>
      </c>
      <c r="K116" s="2">
        <f>Table7[[#This Row],[Plank]]/Table7[[#This Row],[Octane]] - 1</f>
        <v>2.3887670688854667E-2</v>
      </c>
      <c r="L116" s="2">
        <f>Table7[[#This Row],[Batmobile]]/Table7[[#This Row],[Octane]] - 1</f>
        <v>8.3329009062675929E-3</v>
      </c>
      <c r="M116" s="2">
        <f>Table7[[#This Row],[Breakout]]/Table7[[#This Row],[Octane]] - 1</f>
        <v>3.2523599303230011E-2</v>
      </c>
      <c r="N116" s="2">
        <f>Table7[[#This Row],[Breakout]]/Table7[[#This Row],[Plank]] - 1</f>
        <v>8.4344492678236627E-3</v>
      </c>
      <c r="P116" s="6">
        <v>64</v>
      </c>
      <c r="Q116" s="4">
        <f>(1-$Y$4)*Q117+$Y$4*Table7[[#This Row],[Octane]]</f>
        <v>1.9809043820625045</v>
      </c>
      <c r="R116" s="4">
        <f>(1-$Y$4)*R117+$Y$4*Table7[[#This Row],[Hybrid]]</f>
        <v>2.0273534643698157</v>
      </c>
      <c r="S116" s="4">
        <f>(1-$Y$4)*S117+$Y$4*Table7[[#This Row],[Dominus]]</f>
        <v>2.04384353896427</v>
      </c>
      <c r="T116" s="4">
        <f>(1-$Y$4)*T117+$Y$4*Table7[[#This Row],[Plank]]</f>
        <v>2.029117119474706</v>
      </c>
      <c r="U116" s="4">
        <f>(1-$Y$4)*U117+$Y$4*Table7[[#This Row],[Batmobile]]</f>
        <v>1.9980724210723664</v>
      </c>
      <c r="V116" s="4">
        <f>(1-$Y$4)*V117+$Y$4*Table7[[#This Row],[Breakout]]</f>
        <v>2.0468024994935621</v>
      </c>
      <c r="W116" s="11">
        <f>POWER((1-$Y$4),Table714[[#This Row],[X]]-1)*$Y$4</f>
        <v>2.7146572548112295E-6</v>
      </c>
      <c r="Y116">
        <f>Table714[[#This Row],[X]]</f>
        <v>64</v>
      </c>
      <c r="Z116" s="2">
        <f>Table714[[#This Row],[Column1]]</f>
        <v>2.7146572548112295E-6</v>
      </c>
      <c r="AA116">
        <v>0.53333333333333299</v>
      </c>
      <c r="AD116" s="6">
        <v>64</v>
      </c>
      <c r="AE116" s="11">
        <f>(1-_xlfn.NORM.DIST(Table14[[#This Row],[X]],$AB$44,$AB$46,TRUE))/$AE$52</f>
        <v>0.15427951078372132</v>
      </c>
      <c r="AF116" s="8">
        <f>Table14[[#This Row],[Column1]]*Table7[[#This Row],[Octane]]</f>
        <v>0.30548886280902199</v>
      </c>
      <c r="AG116" s="8">
        <f>Table14[[#This Row],[Column1]]*Table7[[#This Row],[Hybrid]]</f>
        <v>0.31257028922856839</v>
      </c>
      <c r="AH116" s="8">
        <f>Table14[[#This Row],[Column1]]*Table7[[#This Row],[Dominus]]</f>
        <v>0.31508504827298589</v>
      </c>
      <c r="AI116" s="8">
        <f>Table14[[#This Row],[Column1]]*Table7[[#This Row],[Plank]]</f>
        <v>0.3127862801629166</v>
      </c>
      <c r="AJ116" s="8">
        <f>Table14[[#This Row],[Column1]]*Table7[[#This Row],[Batmobile]]</f>
        <v>0.30803447123077798</v>
      </c>
      <c r="AK116" s="8">
        <f>Table14[[#This Row],[Column1]]*Table7[[#This Row],[Breakout]]</f>
        <v>0.315424460174622</v>
      </c>
      <c r="AL116" s="3">
        <f>Table14[[#This Row],[Column1]]-AE117</f>
        <v>8.239439274438598E-3</v>
      </c>
      <c r="AW116" s="11">
        <v>0</v>
      </c>
      <c r="AX116" s="2">
        <f>(Table7[[#This Row],[Hybrid]]-Table7[[#This Row],[Octane]])/$B$245</f>
        <v>2.3152574871828341E-2</v>
      </c>
      <c r="AY116" s="2">
        <f>(Table7[[#This Row],[Dominus]]-Table7[[#This Row],[Octane]])/$B$245</f>
        <v>3.1374526723191874E-2</v>
      </c>
      <c r="AZ116" s="2">
        <f>(Table7[[#This Row],[Plank]]-Table7[[#This Row],[Octane]])/$B$245</f>
        <v>2.385875269291398E-2</v>
      </c>
      <c r="BA116" s="2">
        <f>(Table7[[#This Row],[Batmobile]]-Table7[[#This Row],[Octane]])/$B$245</f>
        <v>8.3228132423124827E-3</v>
      </c>
      <c r="BB116" s="2">
        <f>(Table7[[#This Row],[Breakout]]-Table7[[#This Row],[Octane]])/$B$245</f>
        <v>3.2484226803295616E-2</v>
      </c>
      <c r="BC116" s="2"/>
    </row>
    <row r="117" spans="1:55">
      <c r="A117" s="1">
        <v>0.54166666666666596</v>
      </c>
      <c r="B117" s="13">
        <f>Octane[[#This Row],[angvel_total]]</f>
        <v>1.9803000227238294</v>
      </c>
      <c r="C117" s="13">
        <f>Hybrid[[#This Row],[angvel_total]]</f>
        <v>2.0264000000000002</v>
      </c>
      <c r="D117" s="13">
        <f>Dominus[[#This Row],[angvel_total]]</f>
        <v>2.0427000220296665</v>
      </c>
      <c r="E117" s="13">
        <f>Plank[[#This Row],[angvel_total]]</f>
        <v>2.0279000024656044</v>
      </c>
      <c r="F117" s="13">
        <f>Batmobile[[#This Row],[angvel_total]]</f>
        <v>1.9970000000000001</v>
      </c>
      <c r="G117" s="13">
        <f>Breakout[[#This Row],[angvel_total]]</f>
        <v>2.0451000000000001</v>
      </c>
      <c r="I117" s="2">
        <f>Table7[[#This Row],[Hybrid]]/Table7[[#This Row],[Octane]] - 1</f>
        <v>2.3279289373921097E-2</v>
      </c>
      <c r="J117" s="2">
        <f>Table7[[#This Row],[Dominus]]/Table7[[#This Row],[Octane]] - 1</f>
        <v>3.1510376503459447E-2</v>
      </c>
      <c r="K117" s="2">
        <f>Table7[[#This Row],[Plank]]/Table7[[#This Row],[Octane]] - 1</f>
        <v>2.4036751601054451E-2</v>
      </c>
      <c r="L117" s="2">
        <f>Table7[[#This Row],[Batmobile]]/Table7[[#This Row],[Octane]] - 1</f>
        <v>8.4330541254049596E-3</v>
      </c>
      <c r="M117" s="2">
        <f>Table7[[#This Row],[Breakout]]/Table7[[#This Row],[Octane]] - 1</f>
        <v>3.2722302950358273E-2</v>
      </c>
      <c r="N117" s="2">
        <f>Table7[[#This Row],[Breakout]]/Table7[[#This Row],[Plank]] - 1</f>
        <v>8.481679330086811E-3</v>
      </c>
      <c r="P117" s="6">
        <v>65</v>
      </c>
      <c r="Q117" s="4">
        <f>(1-$Y$4)*Q118+$Y$4*Table7[[#This Row],[Octane]]</f>
        <v>1.9810575933646721</v>
      </c>
      <c r="R117" s="4">
        <f>(1-$Y$4)*R118+$Y$4*Table7[[#This Row],[Hybrid]]</f>
        <v>2.027611266636844</v>
      </c>
      <c r="S117" s="4">
        <f>(1-$Y$4)*S118+$Y$4*Table7[[#This Row],[Dominus]]</f>
        <v>2.0441375421890871</v>
      </c>
      <c r="T117" s="4">
        <f>(1-$Y$4)*T118+$Y$4*Table7[[#This Row],[Plank]]</f>
        <v>2.0294441898508402</v>
      </c>
      <c r="U117" s="4">
        <f>(1-$Y$4)*U118+$Y$4*Table7[[#This Row],[Batmobile]]</f>
        <v>1.9983528822290078</v>
      </c>
      <c r="V117" s="4">
        <f>(1-$Y$4)*V118+$Y$4*Table7[[#This Row],[Breakout]]</f>
        <v>2.0472410703598434</v>
      </c>
      <c r="W117" s="11">
        <f>POWER((1-$Y$4),Table714[[#This Row],[X]]-1)*$Y$4</f>
        <v>2.2803120940414327E-6</v>
      </c>
      <c r="Y117">
        <f>Table714[[#This Row],[X]]</f>
        <v>65</v>
      </c>
      <c r="Z117" s="2">
        <f>Table714[[#This Row],[Column1]]</f>
        <v>2.2803120940414327E-6</v>
      </c>
      <c r="AA117">
        <v>0.54166666666666596</v>
      </c>
      <c r="AD117" s="6">
        <v>65</v>
      </c>
      <c r="AE117" s="11">
        <f>(1-_xlfn.NORM.DIST(Table14[[#This Row],[X]],$AB$44,$AB$46,TRUE))/$AE$52</f>
        <v>0.14604007150928272</v>
      </c>
      <c r="AF117" s="8">
        <f>Table14[[#This Row],[Column1]]*Table7[[#This Row],[Octane]]</f>
        <v>0.28920315692842224</v>
      </c>
      <c r="AG117" s="8">
        <f>Table14[[#This Row],[Column1]]*Table7[[#This Row],[Hybrid]]</f>
        <v>0.29593560090641052</v>
      </c>
      <c r="AH117" s="8">
        <f>Table14[[#This Row],[Column1]]*Table7[[#This Row],[Dominus]]</f>
        <v>0.29831605728922589</v>
      </c>
      <c r="AI117" s="8">
        <f>Table14[[#This Row],[Column1]]*Table7[[#This Row],[Plank]]</f>
        <v>0.29615466137375146</v>
      </c>
      <c r="AJ117" s="8">
        <f>Table14[[#This Row],[Column1]]*Table7[[#This Row],[Batmobile]]</f>
        <v>0.29164202280403762</v>
      </c>
      <c r="AK117" s="8">
        <f>Table14[[#This Row],[Column1]]*Table7[[#This Row],[Breakout]]</f>
        <v>0.29866655024363409</v>
      </c>
      <c r="AL117" s="3">
        <f>Table14[[#This Row],[Column1]]-AE118</f>
        <v>7.9251956257614109E-3</v>
      </c>
      <c r="AW117" s="11">
        <v>0</v>
      </c>
      <c r="AX117" s="2">
        <f>(Table7[[#This Row],[Hybrid]]-Table7[[#This Row],[Octane]])/$B$245</f>
        <v>2.325345635184059E-2</v>
      </c>
      <c r="AY117" s="2">
        <f>(Table7[[#This Row],[Dominus]]-Table7[[#This Row],[Octane]])/$B$245</f>
        <v>3.1475409445878406E-2</v>
      </c>
      <c r="AZ117" s="2">
        <f>(Table7[[#This Row],[Plank]]-Table7[[#This Row],[Octane]])/$B$245</f>
        <v>2.4010078023313966E-2</v>
      </c>
      <c r="BA117" s="2">
        <f>(Table7[[#This Row],[Batmobile]]-Table7[[#This Row],[Octane]])/$B$245</f>
        <v>8.4236959671755568E-3</v>
      </c>
      <c r="BB117" s="2">
        <f>(Table7[[#This Row],[Breakout]]-Table7[[#This Row],[Octane]])/$B$245</f>
        <v>3.2685991018277134E-2</v>
      </c>
      <c r="BC117" s="2"/>
    </row>
    <row r="118" spans="1:55">
      <c r="A118" s="1">
        <v>0.55000000000000004</v>
      </c>
      <c r="B118" s="13">
        <f>Octane[[#This Row],[angvel_total]]</f>
        <v>1.9805000227215348</v>
      </c>
      <c r="C118" s="13">
        <f>Hybrid[[#This Row],[angvel_total]]</f>
        <v>2.0266999999999999</v>
      </c>
      <c r="D118" s="13">
        <f>Dominus[[#This Row],[angvel_total]]</f>
        <v>2.0431000097890459</v>
      </c>
      <c r="E118" s="13">
        <f>Plank[[#This Row],[angvel_total]]</f>
        <v>2.0283000024651185</v>
      </c>
      <c r="F118" s="13">
        <f>Batmobile[[#This Row],[angvel_total]]</f>
        <v>1.9974000000000001</v>
      </c>
      <c r="G118" s="13">
        <f>Breakout[[#This Row],[angvel_total]]</f>
        <v>2.0457000000000001</v>
      </c>
      <c r="I118" s="2">
        <f>Table7[[#This Row],[Hybrid]]/Table7[[#This Row],[Octane]] - 1</f>
        <v>2.3327430824756412E-2</v>
      </c>
      <c r="J118" s="2">
        <f>Table7[[#This Row],[Dominus]]/Table7[[#This Row],[Octane]] - 1</f>
        <v>3.1608172860047912E-2</v>
      </c>
      <c r="K118" s="2">
        <f>Table7[[#This Row],[Plank]]/Table7[[#This Row],[Octane]] - 1</f>
        <v>2.4135308858971305E-2</v>
      </c>
      <c r="L118" s="2">
        <f>Table7[[#This Row],[Batmobile]]/Table7[[#This Row],[Octane]] - 1</f>
        <v>8.5331871166767215E-3</v>
      </c>
      <c r="M118" s="2">
        <f>Table7[[#This Row],[Breakout]]/Table7[[#This Row],[Octane]] - 1</f>
        <v>3.2920967700303061E-2</v>
      </c>
      <c r="N118" s="2">
        <f>Table7[[#This Row],[Breakout]]/Table7[[#This Row],[Plank]] - 1</f>
        <v>8.5786114054795526E-3</v>
      </c>
      <c r="P118" s="6">
        <v>66</v>
      </c>
      <c r="Q118" s="4">
        <f>(1-$Y$4)*Q119+$Y$4*Table7[[#This Row],[Octane]]</f>
        <v>1.9812018925343564</v>
      </c>
      <c r="R118" s="4">
        <f>(1-$Y$4)*R119+$Y$4*Table7[[#This Row],[Hybrid]]</f>
        <v>2.0278419840914812</v>
      </c>
      <c r="S118" s="4">
        <f>(1-$Y$4)*S119+$Y$4*Table7[[#This Row],[Dominus]]</f>
        <v>2.0444113555527861</v>
      </c>
      <c r="T118" s="4">
        <f>(1-$Y$4)*T119+$Y$4*Table7[[#This Row],[Plank]]</f>
        <v>2.0297383207813615</v>
      </c>
      <c r="U118" s="4">
        <f>(1-$Y$4)*U119+$Y$4*Table7[[#This Row],[Batmobile]]</f>
        <v>1.998610574082152</v>
      </c>
      <c r="V118" s="4">
        <f>(1-$Y$4)*V119+$Y$4*Table7[[#This Row],[Breakout]]</f>
        <v>2.0476488932855279</v>
      </c>
      <c r="W118" s="11">
        <f>POWER((1-$Y$4),Table714[[#This Row],[X]]-1)*$Y$4</f>
        <v>1.9154621589948032E-6</v>
      </c>
      <c r="Y118">
        <f>Table714[[#This Row],[X]]</f>
        <v>66</v>
      </c>
      <c r="Z118" s="2">
        <f>Table714[[#This Row],[Column1]]</f>
        <v>1.9154621589948032E-6</v>
      </c>
      <c r="AA118">
        <v>0.55000000000000004</v>
      </c>
      <c r="AD118" s="6">
        <v>66</v>
      </c>
      <c r="AE118" s="11">
        <f>(1-_xlfn.NORM.DIST(Table14[[#This Row],[X]],$AB$44,$AB$46,TRUE))/$AE$52</f>
        <v>0.13811487588352131</v>
      </c>
      <c r="AF118" s="8">
        <f>Table14[[#This Row],[Column1]]*Table7[[#This Row],[Octane]]</f>
        <v>0.2735365148254959</v>
      </c>
      <c r="AG118" s="8">
        <f>Table14[[#This Row],[Column1]]*Table7[[#This Row],[Hybrid]]</f>
        <v>0.27991741895313266</v>
      </c>
      <c r="AH118" s="8">
        <f>Table14[[#This Row],[Column1]]*Table7[[#This Row],[Dominus]]</f>
        <v>0.28218250426963526</v>
      </c>
      <c r="AI118" s="8">
        <f>Table14[[#This Row],[Column1]]*Table7[[#This Row],[Plank]]</f>
        <v>0.28013840309501581</v>
      </c>
      <c r="AJ118" s="8">
        <f>Table14[[#This Row],[Column1]]*Table7[[#This Row],[Batmobile]]</f>
        <v>0.27587065308974545</v>
      </c>
      <c r="AK118" s="8">
        <f>Table14[[#This Row],[Column1]]*Table7[[#This Row],[Breakout]]</f>
        <v>0.28254160159491953</v>
      </c>
      <c r="AL118" s="3">
        <f>Table14[[#This Row],[Column1]]-AE119</f>
        <v>7.6144724603486313E-3</v>
      </c>
      <c r="AW118" s="11">
        <v>0</v>
      </c>
      <c r="AX118" s="2">
        <f>(Table7[[#This Row],[Hybrid]]-Table7[[#This Row],[Octane]])/$B$245</f>
        <v>2.3303897714850506E-2</v>
      </c>
      <c r="AY118" s="2">
        <f>(Table7[[#This Row],[Dominus]]-Table7[[#This Row],[Octane]])/$B$245</f>
        <v>3.1576285996405343E-2</v>
      </c>
      <c r="AZ118" s="2">
        <f>(Table7[[#This Row],[Plank]]-Table7[[#This Row],[Octane]])/$B$245</f>
        <v>2.411096074793153E-2</v>
      </c>
      <c r="BA118" s="2">
        <f>(Table7[[#This Row],[Batmobile]]-Table7[[#This Row],[Octane]])/$B$245</f>
        <v>8.5245786920381816E-3</v>
      </c>
      <c r="BB118" s="2">
        <f>(Table7[[#This Row],[Breakout]]-Table7[[#This Row],[Octane]])/$B$245</f>
        <v>3.2887756466844949E-2</v>
      </c>
      <c r="BC118" s="2"/>
    </row>
    <row r="119" spans="1:55">
      <c r="A119" s="1">
        <v>0.55833333333333302</v>
      </c>
      <c r="B119" s="13">
        <f>Octane[[#This Row],[angvel_total]]</f>
        <v>1.9807000227192404</v>
      </c>
      <c r="C119" s="13">
        <f>Hybrid[[#This Row],[angvel_total]]</f>
        <v>2.0270000000000001</v>
      </c>
      <c r="D119" s="13">
        <f>Dominus[[#This Row],[angvel_total]]</f>
        <v>2.0435000097871296</v>
      </c>
      <c r="E119" s="13">
        <f>Plank[[#This Row],[angvel_total]]</f>
        <v>2.0287000024646327</v>
      </c>
      <c r="F119" s="13">
        <f>Batmobile[[#This Row],[angvel_total]]</f>
        <v>1.9977000025028784</v>
      </c>
      <c r="G119" s="13">
        <f>Breakout[[#This Row],[angvel_total]]</f>
        <v>2.0461999999999998</v>
      </c>
      <c r="I119" s="2">
        <f>Table7[[#This Row],[Hybrid]]/Table7[[#This Row],[Octane]] - 1</f>
        <v>2.3375562553483498E-2</v>
      </c>
      <c r="J119" s="2">
        <f>Table7[[#This Row],[Dominus]]/Table7[[#This Row],[Octane]] - 1</f>
        <v>3.1705955645758621E-2</v>
      </c>
      <c r="K119" s="2">
        <f>Table7[[#This Row],[Plank]]/Table7[[#This Row],[Octane]] - 1</f>
        <v>2.4233846213367771E-2</v>
      </c>
      <c r="L119" s="2">
        <f>Table7[[#This Row],[Batmobile]]/Table7[[#This Row],[Octane]] - 1</f>
        <v>8.5828139489285693E-3</v>
      </c>
      <c r="M119" s="2">
        <f>Table7[[#This Row],[Breakout]]/Table7[[#This Row],[Octane]] - 1</f>
        <v>3.306910512922423E-2</v>
      </c>
      <c r="N119" s="2">
        <f>Table7[[#This Row],[Breakout]]/Table7[[#This Row],[Plank]] - 1</f>
        <v>8.626212606154926E-3</v>
      </c>
      <c r="P119" s="6">
        <v>67</v>
      </c>
      <c r="Q119" s="4">
        <f>(1-$Y$4)*Q120+$Y$4*Table7[[#This Row],[Octane]]</f>
        <v>1.9813355820225129</v>
      </c>
      <c r="R119" s="4">
        <f>(1-$Y$4)*R120+$Y$4*Table7[[#This Row],[Hybrid]]</f>
        <v>2.0280595048708112</v>
      </c>
      <c r="S119" s="4">
        <f>(1-$Y$4)*S120+$Y$4*Table7[[#This Row],[Dominus]]</f>
        <v>2.0446611356982602</v>
      </c>
      <c r="T119" s="4">
        <f>(1-$Y$4)*T120+$Y$4*Table7[[#This Row],[Plank]]</f>
        <v>2.0300122861749319</v>
      </c>
      <c r="U119" s="4">
        <f>(1-$Y$4)*U120+$Y$4*Table7[[#This Row],[Batmobile]]</f>
        <v>1.9988411596216096</v>
      </c>
      <c r="V119" s="4">
        <f>(1-$Y$4)*V120+$Y$4*Table7[[#This Row],[Breakout]]</f>
        <v>2.0480201110541998</v>
      </c>
      <c r="W119" s="11">
        <f>POWER((1-$Y$4),Table714[[#This Row],[X]]-1)*$Y$4</f>
        <v>1.6089882135556346E-6</v>
      </c>
      <c r="Y119">
        <f>Table714[[#This Row],[X]]</f>
        <v>67</v>
      </c>
      <c r="Z119" s="2">
        <f>Table714[[#This Row],[Column1]]</f>
        <v>1.6089882135556346E-6</v>
      </c>
      <c r="AA119">
        <v>0.55833333333333302</v>
      </c>
      <c r="AD119" s="6">
        <v>67</v>
      </c>
      <c r="AE119" s="11">
        <f>(1-_xlfn.NORM.DIST(Table14[[#This Row],[X]],$AB$44,$AB$46,TRUE))/$AE$52</f>
        <v>0.13050040342317268</v>
      </c>
      <c r="AF119" s="8">
        <f>Table14[[#This Row],[Column1]]*Table7[[#This Row],[Octane]]</f>
        <v>0.25848215202514818</v>
      </c>
      <c r="AG119" s="8">
        <f>Table14[[#This Row],[Column1]]*Table7[[#This Row],[Hybrid]]</f>
        <v>0.26452431773877105</v>
      </c>
      <c r="AH119" s="8">
        <f>Table14[[#This Row],[Column1]]*Table7[[#This Row],[Dominus]]</f>
        <v>0.26667757567247774</v>
      </c>
      <c r="AI119" s="8">
        <f>Table14[[#This Row],[Column1]]*Table7[[#This Row],[Plank]]</f>
        <v>0.26474616874622597</v>
      </c>
      <c r="AJ119" s="8">
        <f>Table14[[#This Row],[Column1]]*Table7[[#This Row],[Batmobile]]</f>
        <v>0.26070065624509869</v>
      </c>
      <c r="AK119" s="8">
        <f>Table14[[#This Row],[Column1]]*Table7[[#This Row],[Breakout]]</f>
        <v>0.26702992548449589</v>
      </c>
      <c r="AL119" s="3">
        <f>Table14[[#This Row],[Column1]]-AE120</f>
        <v>7.3078082718322501E-3</v>
      </c>
      <c r="AW119" s="11">
        <v>0</v>
      </c>
      <c r="AX119" s="2">
        <f>(Table7[[#This Row],[Hybrid]]-Table7[[#This Row],[Octane]])/$B$245</f>
        <v>2.3354339077860536E-2</v>
      </c>
      <c r="AY119" s="2">
        <f>(Table7[[#This Row],[Dominus]]-Table7[[#This Row],[Octane]])/$B$245</f>
        <v>3.1677168720301276E-2</v>
      </c>
      <c r="AZ119" s="2">
        <f>(Table7[[#This Row],[Plank]]-Table7[[#This Row],[Octane]])/$B$245</f>
        <v>2.4211843472548983E-2</v>
      </c>
      <c r="BA119" s="2">
        <f>(Table7[[#This Row],[Batmobile]]-Table7[[#This Row],[Octane]])/$B$245</f>
        <v>8.575021317534022E-3</v>
      </c>
      <c r="BB119" s="2">
        <f>(Table7[[#This Row],[Breakout]]-Table7[[#This Row],[Octane]])/$B$245</f>
        <v>3.3039080553559946E-2</v>
      </c>
      <c r="BC119" s="2"/>
    </row>
    <row r="120" spans="1:55">
      <c r="A120" s="1">
        <v>0.56666666666666599</v>
      </c>
      <c r="B120" s="13">
        <f>Octane[[#This Row],[angvel_total]]</f>
        <v>1.9809000100964209</v>
      </c>
      <c r="C120" s="13">
        <f>Hybrid[[#This Row],[angvel_total]]</f>
        <v>2.0272999999999999</v>
      </c>
      <c r="D120" s="13">
        <f>Dominus[[#This Row],[angvel_total]]</f>
        <v>2.0438000024464231</v>
      </c>
      <c r="E120" s="13">
        <f>Plank[[#This Row],[angvel_total]]</f>
        <v>2.0291000024641468</v>
      </c>
      <c r="F120" s="13">
        <f>Batmobile[[#This Row],[angvel_total]]</f>
        <v>1.9980000025025024</v>
      </c>
      <c r="G120" s="13">
        <f>Breakout[[#This Row],[angvel_total]]</f>
        <v>2.0467</v>
      </c>
      <c r="I120" s="2">
        <f>Table7[[#This Row],[Hybrid]]/Table7[[#This Row],[Octane]] - 1</f>
        <v>2.3423691083388043E-2</v>
      </c>
      <c r="J120" s="2">
        <f>Table7[[#This Row],[Dominus]]/Table7[[#This Row],[Octane]] - 1</f>
        <v>3.1753239451465465E-2</v>
      </c>
      <c r="K120" s="2">
        <f>Table7[[#This Row],[Plank]]/Table7[[#This Row],[Octane]] - 1</f>
        <v>2.4332370196403774E-2</v>
      </c>
      <c r="L120" s="2">
        <f>Table7[[#This Row],[Batmobile]]/Table7[[#This Row],[Octane]] - 1</f>
        <v>8.6324359225224967E-3</v>
      </c>
      <c r="M120" s="2">
        <f>Table7[[#This Row],[Breakout]]/Table7[[#This Row],[Octane]] - 1</f>
        <v>3.3217219227726691E-2</v>
      </c>
      <c r="N120" s="2">
        <f>Table7[[#This Row],[Breakout]]/Table7[[#This Row],[Plank]] - 1</f>
        <v>8.6737950394162322E-3</v>
      </c>
      <c r="P120" s="6">
        <v>68</v>
      </c>
      <c r="Q120" s="4">
        <f>(1-$Y$4)*Q121+$Y$4*Table7[[#This Row],[Octane]]</f>
        <v>1.9814566409374219</v>
      </c>
      <c r="R120" s="4">
        <f>(1-$Y$4)*R121+$Y$4*Table7[[#This Row],[Hybrid]]</f>
        <v>2.0282613153223945</v>
      </c>
      <c r="S120" s="4">
        <f>(1-$Y$4)*S121+$Y$4*Table7[[#This Row],[Dominus]]</f>
        <v>2.0448823025384759</v>
      </c>
      <c r="T120" s="4">
        <f>(1-$Y$4)*T121+$Y$4*Table7[[#This Row],[Plank]]</f>
        <v>2.0302622449768934</v>
      </c>
      <c r="U120" s="4">
        <f>(1-$Y$4)*U121+$Y$4*Table7[[#This Row],[Batmobile]]</f>
        <v>1.9990585228823206</v>
      </c>
      <c r="V120" s="4">
        <f>(1-$Y$4)*V121+$Y$4*Table7[[#This Row],[Breakout]]</f>
        <v>2.0483667988740475</v>
      </c>
      <c r="W120" s="11">
        <f>POWER((1-$Y$4),Table714[[#This Row],[X]]-1)*$Y$4</f>
        <v>1.3515500993867333E-6</v>
      </c>
      <c r="AA120">
        <v>0.56666666666666599</v>
      </c>
      <c r="AD120" s="6">
        <v>68</v>
      </c>
      <c r="AE120" s="11">
        <f>(1-_xlfn.NORM.DIST(Table14[[#This Row],[X]],$AB$44,$AB$46,TRUE))/$AE$52</f>
        <v>0.12319259515134043</v>
      </c>
      <c r="AF120" s="8">
        <f>Table14[[#This Row],[Column1]]*Table7[[#This Row],[Octane]]</f>
        <v>0.24403221297909455</v>
      </c>
      <c r="AG120" s="8">
        <f>Table14[[#This Row],[Column1]]*Table7[[#This Row],[Hybrid]]</f>
        <v>0.24974834815031244</v>
      </c>
      <c r="AH120" s="8">
        <f>Table14[[#This Row],[Column1]]*Table7[[#This Row],[Dominus]]</f>
        <v>0.2517810262716908</v>
      </c>
      <c r="AI120" s="8">
        <f>Table14[[#This Row],[Column1]]*Table7[[#This Row],[Plank]]</f>
        <v>0.24997009512514951</v>
      </c>
      <c r="AJ120" s="8">
        <f>Table14[[#This Row],[Column1]]*Table7[[#This Row],[Batmobile]]</f>
        <v>0.24613880542066793</v>
      </c>
      <c r="AK120" s="8">
        <f>Table14[[#This Row],[Column1]]*Table7[[#This Row],[Breakout]]</f>
        <v>0.25213828449624848</v>
      </c>
      <c r="AL120" s="3">
        <f>Table14[[#This Row],[Column1]]-AE121</f>
        <v>7.0057069100975672E-3</v>
      </c>
      <c r="AW120" s="11">
        <v>0</v>
      </c>
      <c r="AX120" s="2">
        <f>(Table7[[#This Row],[Hybrid]]-Table7[[#This Row],[Octane]])/$B$245</f>
        <v>2.3404786806835057E-2</v>
      </c>
      <c r="AY120" s="2">
        <f>(Table7[[#This Row],[Dominus]]-Table7[[#This Row],[Octane]])/$B$245</f>
        <v>3.1727612746523588E-2</v>
      </c>
      <c r="AZ120" s="2">
        <f>(Table7[[#This Row],[Plank]]-Table7[[#This Row],[Octane]])/$B$245</f>
        <v>2.4312732563131153E-2</v>
      </c>
      <c r="BA120" s="2">
        <f>(Table7[[#This Row],[Batmobile]]-Table7[[#This Row],[Octane]])/$B$245</f>
        <v>8.6254690463190373E-3</v>
      </c>
      <c r="BB120" s="2">
        <f>(Table7[[#This Row],[Breakout]]-Table7[[#This Row],[Octane]])/$B$245</f>
        <v>3.3190411006239887E-2</v>
      </c>
      <c r="BC120" s="2"/>
    </row>
    <row r="121" spans="1:55">
      <c r="A121" s="1">
        <v>0.57499999999999996</v>
      </c>
      <c r="B121" s="13">
        <f>Octane[[#This Row],[angvel_total]]</f>
        <v>1.9811000025238505</v>
      </c>
      <c r="C121" s="13">
        <f>Hybrid[[#This Row],[angvel_total]]</f>
        <v>2.0276000000000001</v>
      </c>
      <c r="D121" s="13">
        <f>Dominus[[#This Row],[angvel_total]]</f>
        <v>2.044100002446064</v>
      </c>
      <c r="E121" s="13">
        <f>Plank[[#This Row],[angvel_total]]</f>
        <v>2.0294000098551295</v>
      </c>
      <c r="F121" s="13">
        <f>Batmobile[[#This Row],[angvel_total]]</f>
        <v>1.9983000050042536</v>
      </c>
      <c r="G121" s="13">
        <f>Breakout[[#This Row],[angvel_total]]</f>
        <v>2.0470999999999999</v>
      </c>
      <c r="I121" s="2">
        <f>Table7[[#This Row],[Hybrid]]/Table7[[#This Row],[Octane]] - 1</f>
        <v>2.3471807287320345E-2</v>
      </c>
      <c r="J121" s="2">
        <f>Table7[[#This Row],[Dominus]]/Table7[[#This Row],[Octane]] - 1</f>
        <v>3.1800514785701672E-2</v>
      </c>
      <c r="K121" s="2">
        <f>Table7[[#This Row],[Plank]]/Table7[[#This Row],[Octane]] - 1</f>
        <v>2.4380398399750813E-2</v>
      </c>
      <c r="L121" s="2">
        <f>Table7[[#This Row],[Batmobile]]/Table7[[#This Row],[Octane]] - 1</f>
        <v>8.6820465693255855E-3</v>
      </c>
      <c r="M121" s="2">
        <f>Table7[[#This Row],[Breakout]]/Table7[[#This Row],[Octane]] - 1</f>
        <v>3.3314823780762115E-2</v>
      </c>
      <c r="N121" s="2">
        <f>Table7[[#This Row],[Breakout]]/Table7[[#This Row],[Plank]] - 1</f>
        <v>8.7217847930010084E-3</v>
      </c>
      <c r="P121" s="6">
        <v>69</v>
      </c>
      <c r="Q121" s="4">
        <f>(1-$Y$4)*Q122+$Y$4*Table7[[#This Row],[Octane]]</f>
        <v>1.9815626658595176</v>
      </c>
      <c r="R121" s="4">
        <f>(1-$Y$4)*R122+$Y$4*Table7[[#This Row],[Hybrid]]</f>
        <v>2.0284444230028509</v>
      </c>
      <c r="S121" s="4">
        <f>(1-$Y$4)*S122+$Y$4*Table7[[#This Row],[Dominus]]</f>
        <v>2.0450884549369621</v>
      </c>
      <c r="T121" s="4">
        <f>(1-$Y$4)*T122+$Y$4*Table7[[#This Row],[Plank]]</f>
        <v>2.0304836245031308</v>
      </c>
      <c r="U121" s="4">
        <f>(1-$Y$4)*U122+$Y$4*Table7[[#This Row],[Batmobile]]</f>
        <v>1.9992601458118098</v>
      </c>
      <c r="V121" s="4">
        <f>(1-$Y$4)*V122+$Y$4*Table7[[#This Row],[Breakout]]</f>
        <v>2.048684284373866</v>
      </c>
      <c r="W121" s="11">
        <f>POWER((1-$Y$4),Table714[[#This Row],[X]]-1)*$Y$4</f>
        <v>1.1353020834848556E-6</v>
      </c>
      <c r="AA121">
        <v>0.57499999999999896</v>
      </c>
      <c r="AD121" s="6">
        <v>69</v>
      </c>
      <c r="AE121" s="11">
        <f>(1-_xlfn.NORM.DIST(Table14[[#This Row],[X]],$AB$44,$AB$46,TRUE))/$AE$52</f>
        <v>0.11618688824124286</v>
      </c>
      <c r="AF121" s="8">
        <f>Table14[[#This Row],[Column1]]*Table7[[#This Row],[Octane]]</f>
        <v>0.23017784458796459</v>
      </c>
      <c r="AG121" s="8">
        <f>Table14[[#This Row],[Column1]]*Table7[[#This Row],[Hybrid]]</f>
        <v>0.23558053459794404</v>
      </c>
      <c r="AH121" s="8">
        <f>Table14[[#This Row],[Column1]]*Table7[[#This Row],[Dominus]]</f>
        <v>0.23749761853812509</v>
      </c>
      <c r="AI121" s="8">
        <f>Table14[[#This Row],[Column1]]*Table7[[#This Row],[Plank]]</f>
        <v>0.23578967214181509</v>
      </c>
      <c r="AJ121" s="8">
        <f>Table14[[#This Row],[Column1]]*Table7[[#This Row],[Batmobile]]</f>
        <v>0.23217625935390426</v>
      </c>
      <c r="AK121" s="8">
        <f>Table14[[#This Row],[Column1]]*Table7[[#This Row],[Breakout]]</f>
        <v>0.23784617891864826</v>
      </c>
      <c r="AL121" s="3">
        <f>Table14[[#This Row],[Column1]]-AE122</f>
        <v>6.7086367840986511E-3</v>
      </c>
      <c r="AW121" s="11">
        <v>0</v>
      </c>
      <c r="AX121" s="2">
        <f>(Table7[[#This Row],[Hybrid]]-Table7[[#This Row],[Octane]])/$B$245</f>
        <v>2.3455231988395376E-2</v>
      </c>
      <c r="AY121" s="2">
        <f>(Table7[[#This Row],[Dominus]]-Table7[[#This Row],[Octane]])/$B$245</f>
        <v>3.1778057927902684E-2</v>
      </c>
      <c r="AZ121" s="2">
        <f>(Table7[[#This Row],[Plank]]-Table7[[#This Row],[Octane]])/$B$245</f>
        <v>2.4363181472803697E-2</v>
      </c>
      <c r="BA121" s="2">
        <f>(Table7[[#This Row],[Batmobile]]-Table7[[#This Row],[Octane]])/$B$245</f>
        <v>8.6759154897966453E-3</v>
      </c>
      <c r="BB121" s="2">
        <f>(Table7[[#This Row],[Breakout]]-Table7[[#This Row],[Octane]])/$B$245</f>
        <v>3.3291297549652689E-2</v>
      </c>
      <c r="BC121" s="2"/>
    </row>
    <row r="122" spans="1:55">
      <c r="A122" s="1">
        <v>0.58333333333333304</v>
      </c>
      <c r="B122" s="13">
        <f>Octane[[#This Row],[angvel_total]]</f>
        <v>1.9812000025237231</v>
      </c>
      <c r="C122" s="13">
        <f>Hybrid[[#This Row],[angvel_total]]</f>
        <v>2.0278</v>
      </c>
      <c r="D122" s="13">
        <f>Dominus[[#This Row],[angvel_total]]</f>
        <v>2.0444000024457054</v>
      </c>
      <c r="E122" s="13">
        <f>Plank[[#This Row],[angvel_total]]</f>
        <v>2.029700009853673</v>
      </c>
      <c r="F122" s="13">
        <f>Batmobile[[#This Row],[angvel_total]]</f>
        <v>1.9986000050035024</v>
      </c>
      <c r="G122" s="13">
        <f>Breakout[[#This Row],[angvel_total]]</f>
        <v>2.0475000024420025</v>
      </c>
      <c r="I122" s="2">
        <f>Table7[[#This Row],[Hybrid]]/Table7[[#This Row],[Octane]] - 1</f>
        <v>2.3521097020450243E-2</v>
      </c>
      <c r="J122" s="2">
        <f>Table7[[#This Row],[Dominus]]/Table7[[#This Row],[Octane]] - 1</f>
        <v>3.189985859149802E-2</v>
      </c>
      <c r="K122" s="2">
        <f>Table7[[#This Row],[Plank]]/Table7[[#This Row],[Octane]] - 1</f>
        <v>2.4480116731359303E-2</v>
      </c>
      <c r="L122" s="2">
        <f>Table7[[#This Row],[Batmobile]]/Table7[[#This Row],[Octane]] - 1</f>
        <v>8.7825572671182961E-3</v>
      </c>
      <c r="M122" s="2">
        <f>Table7[[#This Row],[Breakout]]/Table7[[#This Row],[Octane]] - 1</f>
        <v>3.346456684525756E-2</v>
      </c>
      <c r="N122" s="2">
        <f>Table7[[#This Row],[Breakout]]/Table7[[#This Row],[Plank]] - 1</f>
        <v>8.7697652371854229E-3</v>
      </c>
      <c r="P122" s="6">
        <v>70</v>
      </c>
      <c r="Q122" s="4">
        <f>(1-$Y$4)*Q123+$Y$4*Table7[[#This Row],[Octane]]</f>
        <v>1.9816507922091686</v>
      </c>
      <c r="R122" s="4">
        <f>(1-$Y$4)*R123+$Y$4*Table7[[#This Row],[Hybrid]]</f>
        <v>2.0286052654795843</v>
      </c>
      <c r="S122" s="4">
        <f>(1-$Y$4)*S123+$Y$4*Table7[[#This Row],[Dominus]]</f>
        <v>2.0452767316018954</v>
      </c>
      <c r="T122" s="4">
        <f>(1-$Y$4)*T123+$Y$4*Table7[[#This Row],[Plank]]</f>
        <v>2.0306900272932267</v>
      </c>
      <c r="U122" s="4">
        <f>(1-$Y$4)*U123+$Y$4*Table7[[#This Row],[Batmobile]]</f>
        <v>1.9994430297751538</v>
      </c>
      <c r="V122" s="4">
        <f>(1-$Y$4)*V123+$Y$4*Table7[[#This Row],[Breakout]]</f>
        <v>2.0489860528260313</v>
      </c>
      <c r="W122" s="11">
        <f>POWER((1-$Y$4),Table714[[#This Row],[X]]-1)*$Y$4</f>
        <v>9.5365375012727868E-7</v>
      </c>
      <c r="AA122">
        <v>0.58333333333333204</v>
      </c>
      <c r="AD122" s="6">
        <v>70</v>
      </c>
      <c r="AE122" s="11">
        <f>(1-_xlfn.NORM.DIST(Table14[[#This Row],[X]],$AB$44,$AB$46,TRUE))/$AE$52</f>
        <v>0.10947825145714421</v>
      </c>
      <c r="AF122" s="8">
        <f>Table14[[#This Row],[Column1]]*Table7[[#This Row],[Octane]]</f>
        <v>0.21689831206318691</v>
      </c>
      <c r="AG122" s="8">
        <f>Table14[[#This Row],[Column1]]*Table7[[#This Row],[Hybrid]]</f>
        <v>0.22199999830479702</v>
      </c>
      <c r="AH122" s="8">
        <f>Table14[[#This Row],[Column1]]*Table7[[#This Row],[Dominus]]</f>
        <v>0.22381733754673719</v>
      </c>
      <c r="AI122" s="8">
        <f>Table14[[#This Row],[Column1]]*Table7[[#This Row],[Plank]]</f>
        <v>0.22220800806132851</v>
      </c>
      <c r="AJ122" s="8">
        <f>Table14[[#This Row],[Column1]]*Table7[[#This Row],[Batmobile]]</f>
        <v>0.21880323391002313</v>
      </c>
      <c r="AK122" s="8">
        <f>Table14[[#This Row],[Column1]]*Table7[[#This Row],[Breakout]]</f>
        <v>0.22415672012584892</v>
      </c>
      <c r="AL122" s="3">
        <f>Table14[[#This Row],[Column1]]-AE123</f>
        <v>6.4170302898243908E-3</v>
      </c>
      <c r="AW122" s="11">
        <v>0</v>
      </c>
      <c r="AX122" s="2">
        <f>(Table7[[#This Row],[Hybrid]]-Table7[[#This Row],[Octane]])/$B$245</f>
        <v>2.3505673350312263E-2</v>
      </c>
      <c r="AY122" s="2">
        <f>(Table7[[#This Row],[Dominus]]-Table7[[#This Row],[Octane]])/$B$245</f>
        <v>3.1878940651491286E-2</v>
      </c>
      <c r="AZ122" s="2">
        <f>(Table7[[#This Row],[Plank]]-Table7[[#This Row],[Octane]])/$B$245</f>
        <v>2.4464064195838554E-2</v>
      </c>
      <c r="BA122" s="2">
        <f>(Table7[[#This Row],[Batmobile]]-Table7[[#This Row],[Octane]])/$B$245</f>
        <v>8.7767982131872237E-3</v>
      </c>
      <c r="BB122" s="2">
        <f>(Table7[[#This Row],[Breakout]]-Table7[[#This Row],[Octane]])/$B$245</f>
        <v>3.3442622867054135E-2</v>
      </c>
      <c r="BC122" s="2"/>
    </row>
    <row r="123" spans="1:55">
      <c r="A123" s="1">
        <v>0.59166666666666601</v>
      </c>
      <c r="B123" s="13">
        <f>Octane[[#This Row],[angvel_total]]</f>
        <v>1.9813000025235956</v>
      </c>
      <c r="C123" s="13">
        <f>Hybrid[[#This Row],[angvel_total]]</f>
        <v>2.0280000024654834</v>
      </c>
      <c r="D123" s="13">
        <f>Dominus[[#This Row],[angvel_total]]</f>
        <v>2.044600002445466</v>
      </c>
      <c r="E123" s="13">
        <f>Plank[[#This Row],[angvel_total]]</f>
        <v>2.0300000098522162</v>
      </c>
      <c r="F123" s="13">
        <f>Batmobile[[#This Row],[angvel_total]]</f>
        <v>1.9988000125075045</v>
      </c>
      <c r="G123" s="13">
        <f>Breakout[[#This Row],[angvel_total]]</f>
        <v>2.0479000097661015</v>
      </c>
      <c r="I123" s="2">
        <f>Table7[[#This Row],[Hybrid]]/Table7[[#This Row],[Octane]] - 1</f>
        <v>2.3570383022462948E-2</v>
      </c>
      <c r="J123" s="2">
        <f>Table7[[#This Row],[Dominus]]/Table7[[#This Row],[Octane]] - 1</f>
        <v>3.1948720456894231E-2</v>
      </c>
      <c r="K123" s="2">
        <f>Table7[[#This Row],[Plank]]/Table7[[#This Row],[Octane]] - 1</f>
        <v>2.4579824997017719E-2</v>
      </c>
      <c r="L123" s="2">
        <f>Table7[[#This Row],[Batmobile]]/Table7[[#This Row],[Octane]] - 1</f>
        <v>8.8325896944525528E-3</v>
      </c>
      <c r="M123" s="2">
        <f>Table7[[#This Row],[Breakout]]/Table7[[#This Row],[Octane]] - 1</f>
        <v>3.3614297258202752E-2</v>
      </c>
      <c r="N123" s="2">
        <f>Table7[[#This Row],[Breakout]]/Table7[[#This Row],[Plank]] - 1</f>
        <v>8.8177339049315684E-3</v>
      </c>
      <c r="P123" s="6">
        <v>71</v>
      </c>
      <c r="Q123" s="4">
        <f>(1-$Y$4)*Q124+$Y$4*Table7[[#This Row],[Octane]]</f>
        <v>1.9817366569111585</v>
      </c>
      <c r="R123" s="4">
        <f>(1-$Y$4)*R124+$Y$4*Table7[[#This Row],[Hybrid]]</f>
        <v>2.0287586493804577</v>
      </c>
      <c r="S123" s="4">
        <f>(1-$Y$4)*S124+$Y$4*Table7[[#This Row],[Dominus]]</f>
        <v>2.0454437276316457</v>
      </c>
      <c r="T123" s="4">
        <f>(1-$Y$4)*T124+$Y$4*Table7[[#This Row],[Plank]]</f>
        <v>2.030878602043618</v>
      </c>
      <c r="U123" s="4">
        <f>(1-$Y$4)*U124+$Y$4*Table7[[#This Row],[Batmobile]]</f>
        <v>1.9996036059221352</v>
      </c>
      <c r="V123" s="4">
        <f>(1-$Y$4)*V124+$Y$4*Table7[[#This Row],[Breakout]]</f>
        <v>2.049269110042037</v>
      </c>
      <c r="W123" s="11">
        <f>POWER((1-$Y$4),Table714[[#This Row],[X]]-1)*$Y$4</f>
        <v>8.0106915010691414E-7</v>
      </c>
      <c r="AA123">
        <v>0.59166666666666501</v>
      </c>
      <c r="AD123" s="6">
        <v>71</v>
      </c>
      <c r="AE123" s="11">
        <f>(1-_xlfn.NORM.DIST(Table14[[#This Row],[X]],$AB$44,$AB$46,TRUE))/$AE$52</f>
        <v>0.10306122116731982</v>
      </c>
      <c r="AF123" s="8">
        <f>Table14[[#This Row],[Column1]]*Table7[[#This Row],[Octane]]</f>
        <v>0.20419519775889561</v>
      </c>
      <c r="AG123" s="8">
        <f>Table14[[#This Row],[Column1]]*Table7[[#This Row],[Hybrid]]</f>
        <v>0.20900815678142032</v>
      </c>
      <c r="AH123" s="8">
        <f>Table14[[#This Row],[Column1]]*Table7[[#This Row],[Dominus]]</f>
        <v>0.21071897305073481</v>
      </c>
      <c r="AI123" s="8">
        <f>Table14[[#This Row],[Column1]]*Table7[[#This Row],[Plank]]</f>
        <v>0.20921427998504066</v>
      </c>
      <c r="AJ123" s="8">
        <f>Table14[[#This Row],[Column1]]*Table7[[#This Row],[Batmobile]]</f>
        <v>0.20599877015827756</v>
      </c>
      <c r="AK123" s="8">
        <f>Table14[[#This Row],[Column1]]*Table7[[#This Row],[Breakout]]</f>
        <v>0.21105907583506062</v>
      </c>
      <c r="AL123" s="3">
        <f>Table14[[#This Row],[Column1]]-AE124</f>
        <v>6.1312834578438891E-3</v>
      </c>
      <c r="AW123" s="11">
        <v>0</v>
      </c>
      <c r="AX123" s="2">
        <f>(Table7[[#This Row],[Hybrid]]-Table7[[#This Row],[Octane]])/$B$245</f>
        <v>2.3556115955852538E-2</v>
      </c>
      <c r="AY123" s="2">
        <f>(Table7[[#This Row],[Dominus]]-Table7[[#This Row],[Octane]])/$B$245</f>
        <v>3.1929382013287433E-2</v>
      </c>
      <c r="AZ123" s="2">
        <f>(Table7[[#This Row],[Plank]]-Table7[[#This Row],[Octane]])/$B$245</f>
        <v>2.456494691887319E-2</v>
      </c>
      <c r="BA123" s="2">
        <f>(Table7[[#This Row],[Batmobile]]-Table7[[#This Row],[Octane]])/$B$245</f>
        <v>8.8272433602249543E-3</v>
      </c>
      <c r="BB123" s="2">
        <f>(Table7[[#This Row],[Breakout]]-Table7[[#This Row],[Octane]])/$B$245</f>
        <v>3.3593950647051549E-2</v>
      </c>
      <c r="BC123" s="2"/>
    </row>
    <row r="124" spans="1:55">
      <c r="A124" s="1">
        <v>0.6</v>
      </c>
      <c r="B124" s="13">
        <f>Octane[[#This Row],[angvel_total]]</f>
        <v>1.9814000025234684</v>
      </c>
      <c r="C124" s="13">
        <f>Hybrid[[#This Row],[angvel_total]]</f>
        <v>2.0282000098609605</v>
      </c>
      <c r="D124" s="13">
        <f>Dominus[[#This Row],[angvel_total]]</f>
        <v>2.0448000024452266</v>
      </c>
      <c r="E124" s="13">
        <f>Plank[[#This Row],[angvel_total]]</f>
        <v>2.0302000098512458</v>
      </c>
      <c r="F124" s="13">
        <f>Batmobile[[#This Row],[angvel_total]]</f>
        <v>1.9990000125062533</v>
      </c>
      <c r="G124" s="13">
        <f>Breakout[[#This Row],[angvel_total]]</f>
        <v>2.0483000097641946</v>
      </c>
      <c r="I124" s="2">
        <f>Table7[[#This Row],[Hybrid]]/Table7[[#This Row],[Octane]] - 1</f>
        <v>2.3619666537745276E-2</v>
      </c>
      <c r="J124" s="2">
        <f>Table7[[#This Row],[Dominus]]/Table7[[#This Row],[Octane]] - 1</f>
        <v>3.1997577390235898E-2</v>
      </c>
      <c r="K124" s="2">
        <f>Table7[[#This Row],[Plank]]/Table7[[#This Row],[Octane]] - 1</f>
        <v>2.4629053833464587E-2</v>
      </c>
      <c r="L124" s="2">
        <f>Table7[[#This Row],[Batmobile]]/Table7[[#This Row],[Octane]] - 1</f>
        <v>8.8826132837236393E-3</v>
      </c>
      <c r="M124" s="2">
        <f>Table7[[#This Row],[Breakout]]/Table7[[#This Row],[Octane]] - 1</f>
        <v>3.3764008860161399E-2</v>
      </c>
      <c r="N124" s="2">
        <f>Table7[[#This Row],[Breakout]]/Table7[[#This Row],[Plank]] - 1</f>
        <v>8.9153777091524056E-3</v>
      </c>
      <c r="P124" s="6">
        <v>72</v>
      </c>
      <c r="Q124" s="4">
        <f>(1-$Y$4)*Q125+$Y$4*Table7[[#This Row],[Octane]]</f>
        <v>1.9818198291754565</v>
      </c>
      <c r="R124" s="4">
        <f>(1-$Y$4)*R125+$Y$4*Table7[[#This Row],[Hybrid]]</f>
        <v>2.0289031535547384</v>
      </c>
      <c r="S124" s="4">
        <f>(1-$Y$4)*S125+$Y$4*Table7[[#This Row],[Dominus]]</f>
        <v>2.0456044371909181</v>
      </c>
      <c r="T124" s="4">
        <f>(1-$Y$4)*T125+$Y$4*Table7[[#This Row],[Plank]]</f>
        <v>2.0310459529372187</v>
      </c>
      <c r="U124" s="4">
        <f>(1-$Y$4)*U125+$Y$4*Table7[[#This Row],[Batmobile]]</f>
        <v>1.9997566713344457</v>
      </c>
      <c r="V124" s="4">
        <f>(1-$Y$4)*V125+$Y$4*Table7[[#This Row],[Breakout]]</f>
        <v>2.0495298910469772</v>
      </c>
      <c r="W124" s="11">
        <f>POWER((1-$Y$4),Table714[[#This Row],[X]]-1)*$Y$4</f>
        <v>6.7289808608980782E-7</v>
      </c>
      <c r="AA124">
        <v>0.59999999999999798</v>
      </c>
      <c r="AD124" s="6">
        <v>72</v>
      </c>
      <c r="AE124" s="11">
        <f>(1-_xlfn.NORM.DIST(Table14[[#This Row],[X]],$AB$44,$AB$46,TRUE))/$AE$52</f>
        <v>9.692993770947593E-2</v>
      </c>
      <c r="AF124" s="8">
        <f>Table14[[#This Row],[Column1]]*Table7[[#This Row],[Octane]]</f>
        <v>0.19205697882215525</v>
      </c>
      <c r="AG124" s="8">
        <f>Table14[[#This Row],[Column1]]*Table7[[#This Row],[Hybrid]]</f>
        <v>0.19659330061818137</v>
      </c>
      <c r="AH124" s="8">
        <f>Table14[[#This Row],[Column1]]*Table7[[#This Row],[Dominus]]</f>
        <v>0.19820233686535205</v>
      </c>
      <c r="AI124" s="8">
        <f>Table14[[#This Row],[Column1]]*Table7[[#This Row],[Plank]]</f>
        <v>0.19678716049265868</v>
      </c>
      <c r="AJ124" s="8">
        <f>Table14[[#This Row],[Column1]]*Table7[[#This Row],[Batmobile]]</f>
        <v>0.19376294669347274</v>
      </c>
      <c r="AK124" s="8">
        <f>Table14[[#This Row],[Column1]]*Table7[[#This Row],[Breakout]]</f>
        <v>0.19854159235676233</v>
      </c>
      <c r="AL124" s="3">
        <f>Table14[[#This Row],[Column1]]-AE125</f>
        <v>5.8517558134222186E-3</v>
      </c>
      <c r="AW124" s="11">
        <v>0</v>
      </c>
      <c r="AX124" s="2">
        <f>(Table7[[#This Row],[Hybrid]]-Table7[[#This Row],[Octane]])/$B$245</f>
        <v>2.3606561048148685E-2</v>
      </c>
      <c r="AY124" s="2">
        <f>(Table7[[#This Row],[Dominus]]-Table7[[#This Row],[Octane]])/$B$245</f>
        <v>3.1979823375083469E-2</v>
      </c>
      <c r="AZ124" s="2">
        <f>(Table7[[#This Row],[Plank]]-Table7[[#This Row],[Octane]])/$B$245</f>
        <v>2.4615388280300514E-2</v>
      </c>
      <c r="BA124" s="2">
        <f>(Table7[[#This Row],[Batmobile]]-Table7[[#This Row],[Octane]])/$B$245</f>
        <v>8.8776847215105963E-3</v>
      </c>
      <c r="BB124" s="2">
        <f>(Table7[[#This Row],[Breakout]]-Table7[[#This Row],[Octane]])/$B$245</f>
        <v>3.3745274731711634E-2</v>
      </c>
      <c r="BC124" s="2"/>
    </row>
    <row r="125" spans="1:55">
      <c r="A125" s="1">
        <v>0.60833333333333295</v>
      </c>
      <c r="B125" s="13">
        <f>Octane[[#This Row],[angvel_total]]</f>
        <v>1.9815000025233409</v>
      </c>
      <c r="C125" s="13">
        <f>Hybrid[[#This Row],[angvel_total]]</f>
        <v>2.0284000098599879</v>
      </c>
      <c r="D125" s="13">
        <f>Dominus[[#This Row],[angvel_total]]</f>
        <v>2.0450000024449877</v>
      </c>
      <c r="E125" s="13">
        <f>Plank[[#This Row],[angvel_total]]</f>
        <v>2.0304000098502759</v>
      </c>
      <c r="F125" s="13">
        <f>Batmobile[[#This Row],[angvel_total]]</f>
        <v>1.999200012505002</v>
      </c>
      <c r="G125" s="13">
        <f>Breakout[[#This Row],[angvel_total]]</f>
        <v>2.0486000097627648</v>
      </c>
      <c r="I125" s="2">
        <f>Table7[[#This Row],[Hybrid]]/Table7[[#This Row],[Octane]] - 1</f>
        <v>2.3668941345910799E-2</v>
      </c>
      <c r="J125" s="2">
        <f>Table7[[#This Row],[Dominus]]/Table7[[#This Row],[Octane]] - 1</f>
        <v>3.204642939226976E-2</v>
      </c>
      <c r="K125" s="2">
        <f>Table7[[#This Row],[Plank]]/Table7[[#This Row],[Octane]] - 1</f>
        <v>2.4678277701066564E-2</v>
      </c>
      <c r="L125" s="2">
        <f>Table7[[#This Row],[Batmobile]]/Table7[[#This Row],[Octane]] - 1</f>
        <v>8.9326318239317803E-3</v>
      </c>
      <c r="M125" s="2">
        <f>Table7[[#This Row],[Breakout]]/Table7[[#This Row],[Octane]] - 1</f>
        <v>3.386323853342188E-2</v>
      </c>
      <c r="N125" s="2">
        <f>Table7[[#This Row],[Breakout]]/Table7[[#This Row],[Plank]] - 1</f>
        <v>8.9637508984403702E-3</v>
      </c>
      <c r="P125" s="6">
        <v>73</v>
      </c>
      <c r="Q125" s="4">
        <f>(1-$Y$4)*Q126+$Y$4*Table7[[#This Row],[Octane]]</f>
        <v>1.9818997961567875</v>
      </c>
      <c r="R125" s="4">
        <f>(1-$Y$4)*R126+$Y$4*Table7[[#This Row],[Hybrid]]</f>
        <v>2.0290370856868867</v>
      </c>
      <c r="S125" s="4">
        <f>(1-$Y$4)*S126+$Y$4*Table7[[#This Row],[Dominus]]</f>
        <v>2.0457576628567642</v>
      </c>
      <c r="T125" s="4">
        <f>(1-$Y$4)*T126+$Y$4*Table7[[#This Row],[Plank]]</f>
        <v>2.0312070849535946</v>
      </c>
      <c r="U125" s="4">
        <f>(1-$Y$4)*U126+$Y$4*Table7[[#This Row],[Batmobile]]</f>
        <v>1.99990079682553</v>
      </c>
      <c r="V125" s="4">
        <f>(1-$Y$4)*V126+$Y$4*Table7[[#This Row],[Breakout]]</f>
        <v>2.0497641541484599</v>
      </c>
      <c r="W125" s="11">
        <f>POWER((1-$Y$4),Table714[[#This Row],[X]]-1)*$Y$4</f>
        <v>5.6523439231543849E-7</v>
      </c>
      <c r="AA125">
        <v>0.60833333333333095</v>
      </c>
      <c r="AD125" s="6">
        <v>73</v>
      </c>
      <c r="AE125" s="11">
        <f>(1-_xlfn.NORM.DIST(Table14[[#This Row],[X]],$AB$44,$AB$46,TRUE))/$AE$52</f>
        <v>9.1078181896053712E-2</v>
      </c>
      <c r="AF125" s="8">
        <f>Table14[[#This Row],[Column1]]*Table7[[#This Row],[Octane]]</f>
        <v>0.18047141765685173</v>
      </c>
      <c r="AG125" s="8">
        <f>Table14[[#This Row],[Column1]]*Table7[[#This Row],[Hybrid]]</f>
        <v>0.18474298505598513</v>
      </c>
      <c r="AH125" s="8">
        <f>Table14[[#This Row],[Column1]]*Table7[[#This Row],[Dominus]]</f>
        <v>0.18625488220011488</v>
      </c>
      <c r="AI125" s="8">
        <f>Table14[[#This Row],[Column1]]*Table7[[#This Row],[Plank]]</f>
        <v>0.18492514141889269</v>
      </c>
      <c r="AJ125" s="8">
        <f>Table14[[#This Row],[Column1]]*Table7[[#This Row],[Batmobile]]</f>
        <v>0.18208350238552343</v>
      </c>
      <c r="AK125" s="8">
        <f>Table14[[#This Row],[Column1]]*Table7[[#This Row],[Breakout]]</f>
        <v>0.18658276432143051</v>
      </c>
      <c r="AL125" s="3">
        <f>Table14[[#This Row],[Column1]]-AE126</f>
        <v>5.5787704408823274E-3</v>
      </c>
      <c r="AW125" s="11">
        <v>0</v>
      </c>
      <c r="AX125" s="2">
        <f>(Table7[[#This Row],[Hybrid]]-Table7[[#This Row],[Octane]])/$B$245</f>
        <v>2.3657002409575002E-2</v>
      </c>
      <c r="AY125" s="2">
        <f>(Table7[[#This Row],[Dominus]]-Table7[[#This Row],[Octane]])/$B$245</f>
        <v>3.2030264736879838E-2</v>
      </c>
      <c r="AZ125" s="2">
        <f>(Table7[[#This Row],[Plank]]-Table7[[#This Row],[Octane]])/$B$245</f>
        <v>2.4665829641728171E-2</v>
      </c>
      <c r="BA125" s="2">
        <f>(Table7[[#This Row],[Batmobile]]-Table7[[#This Row],[Octane]])/$B$245</f>
        <v>8.9281260827963477E-3</v>
      </c>
      <c r="BB125" s="2">
        <f>(Table7[[#This Row],[Breakout]]-Table7[[#This Row],[Octane]])/$B$245</f>
        <v>3.384615745475994E-2</v>
      </c>
      <c r="BC125" s="2"/>
    </row>
    <row r="126" spans="1:55">
      <c r="A126" s="1">
        <v>0.61666666666666603</v>
      </c>
      <c r="B126" s="13">
        <f>Octane[[#This Row],[angvel_total]]</f>
        <v>1.9816000025232134</v>
      </c>
      <c r="C126" s="13">
        <f>Hybrid[[#This Row],[angvel_total]]</f>
        <v>2.0286000098590158</v>
      </c>
      <c r="D126" s="13">
        <f>Dominus[[#This Row],[angvel_total]]</f>
        <v>2.0452000024447488</v>
      </c>
      <c r="E126" s="13">
        <f>Plank[[#This Row],[angvel_total]]</f>
        <v>2.0306000098493056</v>
      </c>
      <c r="F126" s="13">
        <f>Batmobile[[#This Row],[angvel_total]]</f>
        <v>1.9994000125037512</v>
      </c>
      <c r="G126" s="13">
        <f>Breakout[[#This Row],[angvel_total]]</f>
        <v>2.0489000024403339</v>
      </c>
      <c r="I126" s="2">
        <f>Table7[[#This Row],[Hybrid]]/Table7[[#This Row],[Octane]] - 1</f>
        <v>2.3718211180841831E-2</v>
      </c>
      <c r="J126" s="2">
        <f>Table7[[#This Row],[Dominus]]/Table7[[#This Row],[Octane]] - 1</f>
        <v>3.209527646374255E-2</v>
      </c>
      <c r="K126" s="2">
        <f>Table7[[#This Row],[Plank]]/Table7[[#This Row],[Octane]] - 1</f>
        <v>2.472749660057505E-2</v>
      </c>
      <c r="L126" s="2">
        <f>Table7[[#This Row],[Batmobile]]/Table7[[#This Row],[Octane]] - 1</f>
        <v>8.9826453158421415E-3</v>
      </c>
      <c r="M126" s="2">
        <f>Table7[[#This Row],[Breakout]]/Table7[[#This Row],[Octane]] - 1</f>
        <v>3.3962454497086236E-2</v>
      </c>
      <c r="N126" s="2">
        <f>Table7[[#This Row],[Breakout]]/Table7[[#This Row],[Plank]] - 1</f>
        <v>9.012110953543484E-3</v>
      </c>
      <c r="P126" s="6">
        <v>74</v>
      </c>
      <c r="Q126" s="4">
        <f>(1-$Y$4)*Q127+$Y$4*Table7[[#This Row],[Octane]]</f>
        <v>1.9819759473250631</v>
      </c>
      <c r="R126" s="4">
        <f>(1-$Y$4)*R127+$Y$4*Table7[[#This Row],[Hybrid]]</f>
        <v>2.0291584334634387</v>
      </c>
      <c r="S126" s="4">
        <f>(1-$Y$4)*S127+$Y$4*Table7[[#This Row],[Dominus]]</f>
        <v>2.0459019791256741</v>
      </c>
      <c r="T126" s="4">
        <f>(1-$Y$4)*T127+$Y$4*Table7[[#This Row],[Plank]]</f>
        <v>2.031360813544703</v>
      </c>
      <c r="U126" s="4">
        <f>(1-$Y$4)*U127+$Y$4*Table7[[#This Row],[Batmobile]]</f>
        <v>2.0000342795532497</v>
      </c>
      <c r="V126" s="4">
        <f>(1-$Y$4)*V127+$Y$4*Table7[[#This Row],[Breakout]]</f>
        <v>2.0499858959362114</v>
      </c>
      <c r="W126" s="11">
        <f>POWER((1-$Y$4),Table714[[#This Row],[X]]-1)*$Y$4</f>
        <v>4.7479688954496833E-7</v>
      </c>
      <c r="AA126">
        <v>0.61666666666666403</v>
      </c>
      <c r="AD126" s="6">
        <v>74</v>
      </c>
      <c r="AE126" s="11">
        <f>(1-_xlfn.NORM.DIST(Table14[[#This Row],[X]],$AB$44,$AB$46,TRUE))/$AE$52</f>
        <v>8.5499411455171384E-2</v>
      </c>
      <c r="AF126" s="8">
        <f>Table14[[#This Row],[Column1]]*Table7[[#This Row],[Octane]]</f>
        <v>0.16942563395530089</v>
      </c>
      <c r="AG126" s="8">
        <f>Table14[[#This Row],[Column1]]*Table7[[#This Row],[Hybrid]]</f>
        <v>0.1734441069209007</v>
      </c>
      <c r="AH126" s="8">
        <f>Table14[[#This Row],[Column1]]*Table7[[#This Row],[Dominus]]</f>
        <v>0.17486339651714108</v>
      </c>
      <c r="AI126" s="8">
        <f>Table14[[#This Row],[Column1]]*Table7[[#This Row],[Plank]]</f>
        <v>0.17361510574298084</v>
      </c>
      <c r="AJ126" s="8">
        <f>Table14[[#This Row],[Column1]]*Table7[[#This Row],[Batmobile]]</f>
        <v>0.17094752433253305</v>
      </c>
      <c r="AK126" s="8">
        <f>Table14[[#This Row],[Column1]]*Table7[[#This Row],[Breakout]]</f>
        <v>0.17517974433914776</v>
      </c>
      <c r="AL126" s="3">
        <f>Table14[[#This Row],[Column1]]-AE127</f>
        <v>5.3126142427027123E-3</v>
      </c>
      <c r="AW126" s="11">
        <v>0</v>
      </c>
      <c r="AX126" s="2">
        <f>(Table7[[#This Row],[Hybrid]]-Table7[[#This Row],[Octane]])/$B$245</f>
        <v>2.3707443771001542E-2</v>
      </c>
      <c r="AY126" s="2">
        <f>(Table7[[#This Row],[Dominus]]-Table7[[#This Row],[Octane]])/$B$245</f>
        <v>3.2080706098676214E-2</v>
      </c>
      <c r="AZ126" s="2">
        <f>(Table7[[#This Row],[Plank]]-Table7[[#This Row],[Octane]])/$B$245</f>
        <v>2.4716271003155609E-2</v>
      </c>
      <c r="BA126" s="2">
        <f>(Table7[[#This Row],[Batmobile]]-Table7[[#This Row],[Octane]])/$B$245</f>
        <v>8.9785674440823245E-3</v>
      </c>
      <c r="BB126" s="2">
        <f>(Table7[[#This Row],[Breakout]]-Table7[[#This Row],[Octane]])/$B$245</f>
        <v>3.3947036484995557E-2</v>
      </c>
      <c r="BC126" s="2"/>
    </row>
    <row r="127" spans="1:55">
      <c r="A127" s="1">
        <v>0.625</v>
      </c>
      <c r="B127" s="13">
        <f>Octane[[#This Row],[angvel_total]]</f>
        <v>1.9817000025230862</v>
      </c>
      <c r="C127" s="13">
        <f>Hybrid[[#This Row],[angvel_total]]</f>
        <v>2.0288000098580441</v>
      </c>
      <c r="D127" s="13">
        <f>Dominus[[#This Row],[angvel_total]]</f>
        <v>2.0454000024445094</v>
      </c>
      <c r="E127" s="13">
        <f>Plank[[#This Row],[angvel_total]]</f>
        <v>2.0308000098483356</v>
      </c>
      <c r="F127" s="13">
        <f>Batmobile[[#This Row],[angvel_total]]</f>
        <v>1.9996000125025004</v>
      </c>
      <c r="G127" s="13">
        <f>Breakout[[#This Row],[angvel_total]]</f>
        <v>2.0491999999999999</v>
      </c>
      <c r="I127" s="2">
        <f>Table7[[#This Row],[Hybrid]]/Table7[[#This Row],[Octane]] - 1</f>
        <v>2.3767476043291325E-2</v>
      </c>
      <c r="J127" s="2">
        <f>Table7[[#This Row],[Dominus]]/Table7[[#This Row],[Octane]] - 1</f>
        <v>3.2144118605399896E-2</v>
      </c>
      <c r="K127" s="2">
        <f>Table7[[#This Row],[Plank]]/Table7[[#This Row],[Octane]] - 1</f>
        <v>2.477671053274233E-2</v>
      </c>
      <c r="L127" s="2">
        <f>Table7[[#This Row],[Batmobile]]/Table7[[#This Row],[Octane]] - 1</f>
        <v>9.0326537602181123E-3</v>
      </c>
      <c r="M127" s="2">
        <f>Table7[[#This Row],[Breakout]]/Table7[[#This Row],[Octane]] - 1</f>
        <v>3.4061662911123447E-2</v>
      </c>
      <c r="N127" s="2">
        <f>Table7[[#This Row],[Breakout]]/Table7[[#This Row],[Plank]] - 1</f>
        <v>9.0604638873517107E-3</v>
      </c>
      <c r="P127" s="6">
        <v>75</v>
      </c>
      <c r="Q127" s="4">
        <f>(1-$Y$4)*Q128+$Y$4*Table7[[#This Row],[Octane]]</f>
        <v>1.9820475558587489</v>
      </c>
      <c r="R127" s="4">
        <f>(1-$Y$4)*R128+$Y$4*Table7[[#This Row],[Hybrid]]</f>
        <v>2.0292647998642814</v>
      </c>
      <c r="S127" s="4">
        <f>(1-$Y$4)*S128+$Y$4*Table7[[#This Row],[Dominus]]</f>
        <v>2.0460356889696598</v>
      </c>
      <c r="T127" s="4">
        <f>(1-$Y$4)*T128+$Y$4*Table7[[#This Row],[Plank]]</f>
        <v>2.0315057285343028</v>
      </c>
      <c r="U127" s="4">
        <f>(1-$Y$4)*U128+$Y$4*Table7[[#This Row],[Batmobile]]</f>
        <v>2.000155092324583</v>
      </c>
      <c r="V127" s="4">
        <f>(1-$Y$4)*V128+$Y$4*Table7[[#This Row],[Breakout]]</f>
        <v>2.0501927327925693</v>
      </c>
      <c r="W127" s="11">
        <f>POWER((1-$Y$4),Table714[[#This Row],[X]]-1)*$Y$4</f>
        <v>3.9882938721777337E-7</v>
      </c>
      <c r="AA127">
        <v>0.624999999999997</v>
      </c>
      <c r="AD127" s="6">
        <v>75</v>
      </c>
      <c r="AE127" s="11">
        <f>(1-_xlfn.NORM.DIST(Table14[[#This Row],[X]],$AB$44,$AB$46,TRUE))/$AE$52</f>
        <v>8.0186797212468672E-2</v>
      </c>
      <c r="AF127" s="8">
        <f>Table14[[#This Row],[Column1]]*Table7[[#This Row],[Octane]]</f>
        <v>0.15890617623826736</v>
      </c>
      <c r="AG127" s="8">
        <f>Table14[[#This Row],[Column1]]*Table7[[#This Row],[Hybrid]]</f>
        <v>0.16268297497514142</v>
      </c>
      <c r="AH127" s="8">
        <f>Table14[[#This Row],[Column1]]*Table7[[#This Row],[Dominus]]</f>
        <v>0.16401407521440081</v>
      </c>
      <c r="AI127" s="8">
        <f>Table14[[#This Row],[Column1]]*Table7[[#This Row],[Plank]]</f>
        <v>0.16284334856878788</v>
      </c>
      <c r="AJ127" s="8">
        <f>Table14[[#This Row],[Column1]]*Table7[[#This Row],[Batmobile]]</f>
        <v>0.16034152070858781</v>
      </c>
      <c r="AK127" s="8">
        <f>Table14[[#This Row],[Column1]]*Table7[[#This Row],[Breakout]]</f>
        <v>0.16431878484779081</v>
      </c>
      <c r="AL127" s="3">
        <f>Table14[[#This Row],[Column1]]-AE128</f>
        <v>5.0535383827962077E-3</v>
      </c>
      <c r="AW127" s="11">
        <v>0</v>
      </c>
      <c r="AX127" s="2">
        <f>(Table7[[#This Row],[Hybrid]]-Table7[[#This Row],[Octane]])/$B$245</f>
        <v>2.3757885132428193E-2</v>
      </c>
      <c r="AY127" s="2">
        <f>(Table7[[#This Row],[Dominus]]-Table7[[#This Row],[Octane]])/$B$245</f>
        <v>3.2131147460472242E-2</v>
      </c>
      <c r="AZ127" s="2">
        <f>(Table7[[#This Row],[Plank]]-Table7[[#This Row],[Octane]])/$B$245</f>
        <v>2.4766712364583155E-2</v>
      </c>
      <c r="BA127" s="2">
        <f>(Table7[[#This Row],[Batmobile]]-Table7[[#This Row],[Octane]])/$B$245</f>
        <v>9.0290088053681904E-3</v>
      </c>
      <c r="BB127" s="2">
        <f>(Table7[[#This Row],[Breakout]]-Table7[[#This Row],[Octane]])/$B$245</f>
        <v>3.4047917977827261E-2</v>
      </c>
      <c r="BC127" s="2"/>
    </row>
    <row r="128" spans="1:55">
      <c r="A128" s="1">
        <v>0.63333333333333297</v>
      </c>
      <c r="B128" s="13">
        <f>Octane[[#This Row],[angvel_total]]</f>
        <v>1.9818000100918358</v>
      </c>
      <c r="C128" s="13">
        <f>Hybrid[[#This Row],[angvel_total]]</f>
        <v>2.0289000024643897</v>
      </c>
      <c r="D128" s="13">
        <f>Dominus[[#This Row],[angvel_total]]</f>
        <v>2.0455999999999999</v>
      </c>
      <c r="E128" s="13">
        <f>Plank[[#This Row],[angvel_total]]</f>
        <v>2.0310000098473657</v>
      </c>
      <c r="F128" s="13">
        <f>Batmobile[[#This Row],[angvel_total]]</f>
        <v>1.9998000125012503</v>
      </c>
      <c r="G128" s="13">
        <f>Breakout[[#This Row],[angvel_total]]</f>
        <v>2.0495000000000001</v>
      </c>
      <c r="I128" s="2">
        <f>Table7[[#This Row],[Hybrid]]/Table7[[#This Row],[Octane]] - 1</f>
        <v>2.3766269115303551E-2</v>
      </c>
      <c r="J128" s="2">
        <f>Table7[[#This Row],[Dominus]]/Table7[[#This Row],[Octane]] - 1</f>
        <v>3.2192950642485618E-2</v>
      </c>
      <c r="K128" s="2">
        <f>Table7[[#This Row],[Plank]]/Table7[[#This Row],[Octane]] - 1</f>
        <v>2.4825915584312686E-2</v>
      </c>
      <c r="L128" s="2">
        <f>Table7[[#This Row],[Batmobile]]/Table7[[#This Row],[Octane]] - 1</f>
        <v>9.0826533039427559E-3</v>
      </c>
      <c r="M128" s="2">
        <f>Table7[[#This Row],[Breakout]]/Table7[[#This Row],[Octane]] - 1</f>
        <v>3.4160858594923127E-2</v>
      </c>
      <c r="N128" s="2">
        <f>Table7[[#This Row],[Breakout]]/Table7[[#This Row],[Plank]] - 1</f>
        <v>9.1088084997226204E-3</v>
      </c>
      <c r="P128" s="6">
        <v>76</v>
      </c>
      <c r="Q128" s="4">
        <f>(1-$Y$4)*Q129+$Y$4*Table7[[#This Row],[Octane]]</f>
        <v>1.9821137564941134</v>
      </c>
      <c r="R128" s="4">
        <f>(1-$Y$4)*R129+$Y$4*Table7[[#This Row],[Hybrid]]</f>
        <v>2.0293533312940411</v>
      </c>
      <c r="S128" s="4">
        <f>(1-$Y$4)*S129+$Y$4*Table7[[#This Row],[Dominus]]</f>
        <v>2.0461567721173077</v>
      </c>
      <c r="T128" s="4">
        <f>(1-$Y$4)*T129+$Y$4*Table7[[#This Row],[Plank]]</f>
        <v>2.0316401511411537</v>
      </c>
      <c r="U128" s="4">
        <f>(1-$Y$4)*U129+$Y$4*Table7[[#This Row],[Batmobile]]</f>
        <v>2.0002608218145035</v>
      </c>
      <c r="V128" s="4">
        <f>(1-$Y$4)*V129+$Y$4*Table7[[#This Row],[Breakout]]</f>
        <v>2.050381824753059</v>
      </c>
      <c r="W128" s="11">
        <f>POWER((1-$Y$4),Table714[[#This Row],[X]]-1)*$Y$4</f>
        <v>3.3501668526292955E-7</v>
      </c>
      <c r="AA128">
        <v>0.63333333333332997</v>
      </c>
      <c r="AD128" s="6">
        <v>76</v>
      </c>
      <c r="AE128" s="11">
        <f>(1-_xlfn.NORM.DIST(Table14[[#This Row],[X]],$AB$44,$AB$46,TRUE))/$AE$52</f>
        <v>7.5133258829672464E-2</v>
      </c>
      <c r="AF128" s="8">
        <f>Table14[[#This Row],[Column1]]*Table7[[#This Row],[Octane]]</f>
        <v>0.14889909310687741</v>
      </c>
      <c r="AG128" s="8">
        <f>Table14[[#This Row],[Column1]]*Table7[[#This Row],[Hybrid]]</f>
        <v>0.15243786902468009</v>
      </c>
      <c r="AH128" s="8">
        <f>Table14[[#This Row],[Column1]]*Table7[[#This Row],[Dominus]]</f>
        <v>0.15369259426197798</v>
      </c>
      <c r="AI128" s="8">
        <f>Table14[[#This Row],[Column1]]*Table7[[#This Row],[Plank]]</f>
        <v>0.15259564942292944</v>
      </c>
      <c r="AJ128" s="8">
        <f>Table14[[#This Row],[Column1]]*Table7[[#This Row],[Batmobile]]</f>
        <v>0.15025149194683868</v>
      </c>
      <c r="AK128" s="8">
        <f>Table14[[#This Row],[Column1]]*Table7[[#This Row],[Breakout]]</f>
        <v>0.15398561397141372</v>
      </c>
      <c r="AL128" s="3">
        <f>Table14[[#This Row],[Column1]]-AE129</f>
        <v>4.801758902492903E-3</v>
      </c>
      <c r="AW128" s="11">
        <v>0</v>
      </c>
      <c r="AX128" s="2">
        <f>(Table7[[#This Row],[Hybrid]]-Table7[[#This Row],[Octane]])/$B$245</f>
        <v>2.3757877585187857E-2</v>
      </c>
      <c r="AY128" s="2">
        <f>(Table7[[#This Row],[Dominus]]-Table7[[#This Row],[Octane]])/$B$245</f>
        <v>3.2181583771500578E-2</v>
      </c>
      <c r="AZ128" s="2">
        <f>(Table7[[#This Row],[Plank]]-Table7[[#This Row],[Octane]])/$B$245</f>
        <v>2.481714990816614E-2</v>
      </c>
      <c r="BA128" s="2">
        <f>(Table7[[#This Row],[Batmobile]]-Table7[[#This Row],[Octane]])/$B$245</f>
        <v>9.0794463488098262E-3</v>
      </c>
      <c r="BB128" s="2">
        <f>(Table7[[#This Row],[Breakout]]-Table7[[#This Row],[Octane]])/$B$245</f>
        <v>3.4148796883752178E-2</v>
      </c>
      <c r="BC128" s="2"/>
    </row>
    <row r="129" spans="1:55">
      <c r="A129" s="1">
        <v>0.64166666666666605</v>
      </c>
      <c r="B129" s="13">
        <f>Octane[[#This Row],[angvel_total]]</f>
        <v>1.9819000100913264</v>
      </c>
      <c r="C129" s="13">
        <f>Hybrid[[#This Row],[angvel_total]]</f>
        <v>2.0289999999999999</v>
      </c>
      <c r="D129" s="13">
        <f>Dominus[[#This Row],[angvel_total]]</f>
        <v>2.0457999999999998</v>
      </c>
      <c r="E129" s="13">
        <f>Plank[[#This Row],[angvel_total]]</f>
        <v>2.0312000098463963</v>
      </c>
      <c r="F129" s="13">
        <f>Batmobile[[#This Row],[angvel_total]]</f>
        <v>1.99990000500025</v>
      </c>
      <c r="G129" s="13">
        <f>Breakout[[#This Row],[angvel_total]]</f>
        <v>2.0497000000000001</v>
      </c>
      <c r="I129" s="2">
        <f>Table7[[#This Row],[Hybrid]]/Table7[[#This Row],[Octane]] - 1</f>
        <v>2.3765068706217418E-2</v>
      </c>
      <c r="J129" s="2">
        <f>Table7[[#This Row],[Dominus]]/Table7[[#This Row],[Octane]] - 1</f>
        <v>3.224178292714619E-2</v>
      </c>
      <c r="K129" s="2">
        <f>Table7[[#This Row],[Plank]]/Table7[[#This Row],[Octane]] - 1</f>
        <v>2.4875119584260919E-2</v>
      </c>
      <c r="L129" s="2">
        <f>Table7[[#This Row],[Batmobile]]/Table7[[#This Row],[Octane]] - 1</f>
        <v>9.0821912393521664E-3</v>
      </c>
      <c r="M129" s="2">
        <f>Table7[[#This Row],[Breakout]]/Table7[[#This Row],[Octane]] - 1</f>
        <v>3.4209591585576238E-2</v>
      </c>
      <c r="N129" s="2">
        <f>Table7[[#This Row],[Breakout]]/Table7[[#This Row],[Plank]] - 1</f>
        <v>9.1079116108327973E-3</v>
      </c>
      <c r="P129" s="6">
        <v>77</v>
      </c>
      <c r="Q129" s="4">
        <f>(1-$Y$4)*Q130+$Y$4*Table7[[#This Row],[Octane]]</f>
        <v>1.9821735177135948</v>
      </c>
      <c r="R129" s="4">
        <f>(1-$Y$4)*R130+$Y$4*Table7[[#This Row],[Hybrid]]</f>
        <v>2.0294396796425462</v>
      </c>
      <c r="S129" s="4">
        <f>(1-$Y$4)*S130+$Y$4*Table7[[#This Row],[Dominus]]</f>
        <v>2.046262823949176</v>
      </c>
      <c r="T129" s="4">
        <f>(1-$Y$4)*T130+$Y$4*Table7[[#This Row],[Plank]]</f>
        <v>2.0317620828161611</v>
      </c>
      <c r="U129" s="4">
        <f>(1-$Y$4)*U130+$Y$4*Table7[[#This Row],[Batmobile]]</f>
        <v>2.0003485950170283</v>
      </c>
      <c r="V129" s="4">
        <f>(1-$Y$4)*V130+$Y$4*Table7[[#This Row],[Breakout]]</f>
        <v>2.0505497913726893</v>
      </c>
      <c r="W129" s="11">
        <f>POWER((1-$Y$4),Table714[[#This Row],[X]]-1)*$Y$4</f>
        <v>2.8141401562086084E-7</v>
      </c>
      <c r="AA129">
        <v>0.64166666666666305</v>
      </c>
      <c r="AD129" s="6">
        <v>77</v>
      </c>
      <c r="AE129" s="11">
        <f>(1-_xlfn.NORM.DIST(Table14[[#This Row],[X]],$AB$44,$AB$46,TRUE))/$AE$52</f>
        <v>7.0331499927179561E-2</v>
      </c>
      <c r="AF129" s="8">
        <f>Table14[[#This Row],[Column1]]*Table7[[#This Row],[Octane]]</f>
        <v>0.1393900004154153</v>
      </c>
      <c r="AG129" s="8">
        <f>Table14[[#This Row],[Column1]]*Table7[[#This Row],[Hybrid]]</f>
        <v>0.14270261335224732</v>
      </c>
      <c r="AH129" s="8">
        <f>Table14[[#This Row],[Column1]]*Table7[[#This Row],[Dominus]]</f>
        <v>0.14388418255102395</v>
      </c>
      <c r="AI129" s="8">
        <f>Table14[[#This Row],[Column1]]*Table7[[#This Row],[Plank]]</f>
        <v>0.14285734334459893</v>
      </c>
      <c r="AJ129" s="8">
        <f>Table14[[#This Row],[Column1]]*Table7[[#This Row],[Batmobile]]</f>
        <v>0.1406559670560415</v>
      </c>
      <c r="AK129" s="8">
        <f>Table14[[#This Row],[Column1]]*Table7[[#This Row],[Breakout]]</f>
        <v>0.14415847540073995</v>
      </c>
      <c r="AL129" s="3">
        <f>Table14[[#This Row],[Column1]]-AE130</f>
        <v>4.5574574970006498E-3</v>
      </c>
      <c r="AW129" s="11">
        <v>0</v>
      </c>
      <c r="AX129" s="2">
        <f>(Table7[[#This Row],[Hybrid]]-Table7[[#This Row],[Octane]])/$B$245</f>
        <v>2.3757876342373013E-2</v>
      </c>
      <c r="AY129" s="2">
        <f>(Table7[[#This Row],[Dominus]]-Table7[[#This Row],[Octane]])/$B$245</f>
        <v>3.2232025133610114E-2</v>
      </c>
      <c r="AZ129" s="2">
        <f>(Table7[[#This Row],[Plank]]-Table7[[#This Row],[Octane]])/$B$245</f>
        <v>2.4867591269786667E-2</v>
      </c>
      <c r="BA129" s="2">
        <f>(Table7[[#This Row],[Batmobile]]-Table7[[#This Row],[Octane]])/$B$245</f>
        <v>9.0794425654600729E-3</v>
      </c>
      <c r="BB129" s="2">
        <f>(Table7[[#This Row],[Breakout]]-Table7[[#This Row],[Octane]])/$B$245</f>
        <v>3.4199238245861706E-2</v>
      </c>
      <c r="BC129" s="2"/>
    </row>
    <row r="130" spans="1:55">
      <c r="A130" s="1">
        <v>0.65</v>
      </c>
      <c r="B130" s="13">
        <f>Octane[[#This Row],[angvel_total]]</f>
        <v>1.9820000227043388</v>
      </c>
      <c r="C130" s="13">
        <f>Hybrid[[#This Row],[angvel_total]]</f>
        <v>2.0291000000000001</v>
      </c>
      <c r="D130" s="13">
        <f>Dominus[[#This Row],[angvel_total]]</f>
        <v>2.0459000000000001</v>
      </c>
      <c r="E130" s="13">
        <f>Plank[[#This Row],[angvel_total]]</f>
        <v>2.0314000098454268</v>
      </c>
      <c r="F130" s="13">
        <f>Batmobile[[#This Row],[angvel_total]]</f>
        <v>2.0000000024999998</v>
      </c>
      <c r="G130" s="13">
        <f>Breakout[[#This Row],[angvel_total]]</f>
        <v>2.0499000000000001</v>
      </c>
      <c r="I130" s="2">
        <f>Table7[[#This Row],[Hybrid]]/Table7[[#This Row],[Octane]] - 1</f>
        <v>2.3763863146376574E-2</v>
      </c>
      <c r="J130" s="2">
        <f>Table7[[#This Row],[Dominus]]/Table7[[#This Row],[Octane]] - 1</f>
        <v>3.2240149628491421E-2</v>
      </c>
      <c r="K130" s="2">
        <f>Table7[[#This Row],[Plank]]/Table7[[#This Row],[Octane]] - 1</f>
        <v>2.4924312096467061E-2</v>
      </c>
      <c r="L130" s="2">
        <f>Table7[[#This Row],[Batmobile]]/Table7[[#This Row],[Octane]] - 1</f>
        <v>9.0817253226369576E-3</v>
      </c>
      <c r="M130" s="2">
        <f>Table7[[#This Row],[Breakout]]/Table7[[#This Row],[Octane]] - 1</f>
        <v>3.4258313076613867E-2</v>
      </c>
      <c r="N130" s="2">
        <f>Table7[[#This Row],[Breakout]]/Table7[[#This Row],[Plank]] - 1</f>
        <v>9.1070148985481492E-3</v>
      </c>
      <c r="P130" s="6">
        <v>78</v>
      </c>
      <c r="Q130" s="4">
        <f>(1-$Y$4)*Q131+$Y$4*Table7[[#This Row],[Octane]]</f>
        <v>1.9822256144035508</v>
      </c>
      <c r="R130" s="4">
        <f>(1-$Y$4)*R131+$Y$4*Table7[[#This Row],[Hybrid]]</f>
        <v>2.0295234281458887</v>
      </c>
      <c r="S130" s="4">
        <f>(1-$Y$4)*S131+$Y$4*Table7[[#This Row],[Dominus]]</f>
        <v>2.0463509808918765</v>
      </c>
      <c r="T130" s="4">
        <f>(1-$Y$4)*T131+$Y$4*Table7[[#This Row],[Plank]]</f>
        <v>2.0318691443342116</v>
      </c>
      <c r="U130" s="4">
        <f>(1-$Y$4)*U131+$Y$4*Table7[[#This Row],[Batmobile]]</f>
        <v>2.0004340407345103</v>
      </c>
      <c r="V130" s="4">
        <f>(1-$Y$4)*V131+$Y$4*Table7[[#This Row],[Breakout]]</f>
        <v>2.0507116563960586</v>
      </c>
      <c r="W130" s="11">
        <f>POWER((1-$Y$4),Table714[[#This Row],[X]]-1)*$Y$4</f>
        <v>2.3638777312152311E-7</v>
      </c>
      <c r="AA130">
        <v>0.64999999999999603</v>
      </c>
      <c r="AD130" s="6">
        <v>78</v>
      </c>
      <c r="AE130" s="11">
        <f>(1-_xlfn.NORM.DIST(Table14[[#This Row],[X]],$AB$44,$AB$46,TRUE))/$AE$52</f>
        <v>6.5774042430178911E-2</v>
      </c>
      <c r="AF130" s="8">
        <f>Table14[[#This Row],[Column1]]*Table7[[#This Row],[Octane]]</f>
        <v>0.13036415358997075</v>
      </c>
      <c r="AG130" s="8">
        <f>Table14[[#This Row],[Column1]]*Table7[[#This Row],[Hybrid]]</f>
        <v>0.13346210949507603</v>
      </c>
      <c r="AH130" s="8">
        <f>Table14[[#This Row],[Column1]]*Table7[[#This Row],[Dominus]]</f>
        <v>0.13456711340790303</v>
      </c>
      <c r="AI130" s="8">
        <f>Table14[[#This Row],[Column1]]*Table7[[#This Row],[Plank]]</f>
        <v>0.13361339044023895</v>
      </c>
      <c r="AJ130" s="8">
        <f>Table14[[#This Row],[Column1]]*Table7[[#This Row],[Batmobile]]</f>
        <v>0.1315480850247929</v>
      </c>
      <c r="AK130" s="8">
        <f>Table14[[#This Row],[Column1]]*Table7[[#This Row],[Breakout]]</f>
        <v>0.13483020957762376</v>
      </c>
      <c r="AL130" s="3">
        <f>Table14[[#This Row],[Column1]]-AE131</f>
        <v>4.3207824394654176E-3</v>
      </c>
      <c r="AW130" s="11">
        <v>0</v>
      </c>
      <c r="AX130" s="2">
        <f>(Table7[[#This Row],[Hybrid]]-Table7[[#This Row],[Octane]])/$B$245</f>
        <v>2.3757869980197893E-2</v>
      </c>
      <c r="AY130" s="2">
        <f>(Table7[[#This Row],[Dominus]]-Table7[[#This Row],[Octane]])/$B$245</f>
        <v>3.2232018771434993E-2</v>
      </c>
      <c r="AZ130" s="2">
        <f>(Table7[[#This Row],[Plank]]-Table7[[#This Row],[Octane]])/$B$245</f>
        <v>2.4918026268975029E-2</v>
      </c>
      <c r="BA130" s="2">
        <f>(Table7[[#This Row],[Batmobile]]-Table7[[#This Row],[Octane]])/$B$245</f>
        <v>9.0794349421245771E-3</v>
      </c>
      <c r="BB130" s="2">
        <f>(Table7[[#This Row],[Breakout]]-Table7[[#This Row],[Octane]])/$B$245</f>
        <v>3.424967324553907E-2</v>
      </c>
      <c r="BC130" s="2"/>
    </row>
    <row r="131" spans="1:55">
      <c r="A131" s="1">
        <v>0.65833333333333299</v>
      </c>
      <c r="B131" s="13">
        <f>Octane[[#This Row],[angvel_total]]</f>
        <v>1.9821000227031935</v>
      </c>
      <c r="C131" s="13">
        <f>Hybrid[[#This Row],[angvel_total]]</f>
        <v>2.0291999999999999</v>
      </c>
      <c r="D131" s="13">
        <f>Dominus[[#This Row],[angvel_total]]</f>
        <v>2.0460000024437925</v>
      </c>
      <c r="E131" s="13">
        <f>Plank[[#This Row],[angvel_total]]</f>
        <v>2.0315000098449421</v>
      </c>
      <c r="F131" s="13">
        <f>Batmobile[[#This Row],[angvel_total]]</f>
        <v>2.0001000024998752</v>
      </c>
      <c r="G131" s="13">
        <f>Breakout[[#This Row],[angvel_total]]</f>
        <v>2.0501</v>
      </c>
      <c r="I131" s="2">
        <f>Table7[[#This Row],[Hybrid]]/Table7[[#This Row],[Octane]] - 1</f>
        <v>2.3762664223458962E-2</v>
      </c>
      <c r="J131" s="2">
        <f>Table7[[#This Row],[Dominus]]/Table7[[#This Row],[Octane]] - 1</f>
        <v>3.2238524296797078E-2</v>
      </c>
      <c r="K131" s="2">
        <f>Table7[[#This Row],[Plank]]/Table7[[#This Row],[Octane]] - 1</f>
        <v>2.4923054626868169E-2</v>
      </c>
      <c r="L131" s="2">
        <f>Table7[[#This Row],[Batmobile]]/Table7[[#This Row],[Octane]] - 1</f>
        <v>9.0812671361222286E-3</v>
      </c>
      <c r="M131" s="2">
        <f>Table7[[#This Row],[Breakout]]/Table7[[#This Row],[Octane]] - 1</f>
        <v>3.4307036233251154E-2</v>
      </c>
      <c r="N131" s="2">
        <f>Table7[[#This Row],[Breakout]]/Table7[[#This Row],[Plank]] - 1</f>
        <v>9.155791319182649E-3</v>
      </c>
      <c r="P131" s="6">
        <v>79</v>
      </c>
      <c r="Q131" s="4">
        <f>(1-$Y$4)*Q132+$Y$4*Table7[[#This Row],[Octane]]</f>
        <v>1.9822685842510199</v>
      </c>
      <c r="R131" s="4">
        <f>(1-$Y$4)*R132+$Y$4*Table7[[#This Row],[Hybrid]]</f>
        <v>2.0296040811260583</v>
      </c>
      <c r="S131" s="4">
        <f>(1-$Y$4)*S132+$Y$4*Table7[[#This Row],[Dominus]]</f>
        <v>2.046436882014139</v>
      </c>
      <c r="T131" s="4">
        <f>(1-$Y$4)*T132+$Y$4*Table7[[#This Row],[Plank]]</f>
        <v>2.0319585032844563</v>
      </c>
      <c r="U131" s="4">
        <f>(1-$Y$4)*U132+$Y$4*Table7[[#This Row],[Batmobile]]</f>
        <v>2.0005167146839407</v>
      </c>
      <c r="V131" s="4">
        <f>(1-$Y$4)*V132+$Y$4*Table7[[#This Row],[Breakout]]</f>
        <v>2.0508662576143557</v>
      </c>
      <c r="W131" s="11">
        <f>POWER((1-$Y$4),Table714[[#This Row],[X]]-1)*$Y$4</f>
        <v>1.9856572942207941E-7</v>
      </c>
      <c r="AA131">
        <v>0.658333333333329</v>
      </c>
      <c r="AD131" s="6">
        <v>79</v>
      </c>
      <c r="AE131" s="11">
        <f>(1-_xlfn.NORM.DIST(Table14[[#This Row],[X]],$AB$44,$AB$46,TRUE))/$AE$52</f>
        <v>6.1453259990713494E-2</v>
      </c>
      <c r="AF131" s="8">
        <f>Table14[[#This Row],[Column1]]*Table7[[#This Row],[Octane]]</f>
        <v>0.12180650802277847</v>
      </c>
      <c r="AG131" s="8">
        <f>Table14[[#This Row],[Column1]]*Table7[[#This Row],[Hybrid]]</f>
        <v>0.12470095517315581</v>
      </c>
      <c r="AH131" s="8">
        <f>Table14[[#This Row],[Column1]]*Table7[[#This Row],[Dominus]]</f>
        <v>0.12573337009117883</v>
      </c>
      <c r="AI131" s="8">
        <f>Table14[[#This Row],[Column1]]*Table7[[#This Row],[Plank]]</f>
        <v>0.12484229827613824</v>
      </c>
      <c r="AJ131" s="8">
        <f>Table14[[#This Row],[Column1]]*Table7[[#This Row],[Batmobile]]</f>
        <v>0.12291266546105153</v>
      </c>
      <c r="AK131" s="8">
        <f>Table14[[#This Row],[Column1]]*Table7[[#This Row],[Breakout]]</f>
        <v>0.12598532830696174</v>
      </c>
      <c r="AL131" s="3">
        <f>Table14[[#This Row],[Column1]]-AE132</f>
        <v>4.0918496392971238E-3</v>
      </c>
      <c r="AW131" s="11">
        <v>0</v>
      </c>
      <c r="AX131" s="2">
        <f>(Table7[[#This Row],[Hybrid]]-Table7[[#This Row],[Octane]])/$B$245</f>
        <v>2.375786998077549E-2</v>
      </c>
      <c r="AY131" s="2">
        <f>(Table7[[#This Row],[Dominus]]-Table7[[#This Row],[Octane]])/$B$245</f>
        <v>3.2232020004694918E-2</v>
      </c>
      <c r="AZ131" s="2">
        <f>(Table7[[#This Row],[Plank]]-Table7[[#This Row],[Octane]])/$B$245</f>
        <v>2.4918026269308235E-2</v>
      </c>
      <c r="BA131" s="2">
        <f>(Table7[[#This Row],[Batmobile]]-Table7[[#This Row],[Octane]])/$B$245</f>
        <v>9.0794349426394517E-3</v>
      </c>
      <c r="BB131" s="2">
        <f>(Table7[[#This Row],[Breakout]]-Table7[[#This Row],[Octane]])/$B$245</f>
        <v>3.4300114607969376E-2</v>
      </c>
      <c r="BC131" s="2"/>
    </row>
    <row r="132" spans="1:55">
      <c r="A132" s="1">
        <v>0.66666666666666596</v>
      </c>
      <c r="B132" s="13">
        <f>Octane[[#This Row],[angvel_total]]</f>
        <v>1.982200022702048</v>
      </c>
      <c r="C132" s="13">
        <f>Hybrid[[#This Row],[angvel_total]]</f>
        <v>2.0293000000000001</v>
      </c>
      <c r="D132" s="13">
        <f>Dominus[[#This Row],[angvel_total]]</f>
        <v>2.0461000024436733</v>
      </c>
      <c r="E132" s="13">
        <f>Plank[[#This Row],[angvel_total]]</f>
        <v>2.0316000098444578</v>
      </c>
      <c r="F132" s="13">
        <f>Batmobile[[#This Row],[angvel_total]]</f>
        <v>2.0002000024997497</v>
      </c>
      <c r="G132" s="13">
        <f>Breakout[[#This Row],[angvel_total]]</f>
        <v>2.0503000024386675</v>
      </c>
      <c r="I132" s="2">
        <f>Table7[[#This Row],[Hybrid]]/Table7[[#This Row],[Octane]] - 1</f>
        <v>2.3761465421510586E-2</v>
      </c>
      <c r="J132" s="2">
        <f>Table7[[#This Row],[Dominus]]/Table7[[#This Row],[Octane]] - 1</f>
        <v>3.2236897896166683E-2</v>
      </c>
      <c r="K132" s="2">
        <f>Table7[[#This Row],[Plank]]/Table7[[#This Row],[Octane]] - 1</f>
        <v>2.4921797284145786E-2</v>
      </c>
      <c r="L132" s="2">
        <f>Table7[[#This Row],[Batmobile]]/Table7[[#This Row],[Octane]] - 1</f>
        <v>9.0808089958374083E-3</v>
      </c>
      <c r="M132" s="2">
        <f>Table7[[#This Row],[Breakout]]/Table7[[#This Row],[Octane]] - 1</f>
        <v>3.4355755704103208E-2</v>
      </c>
      <c r="N132" s="2">
        <f>Table7[[#This Row],[Breakout]]/Table7[[#This Row],[Plank]] - 1</f>
        <v>9.2045641384110866E-3</v>
      </c>
      <c r="P132" s="6">
        <v>80</v>
      </c>
      <c r="Q132" s="4">
        <f>(1-$Y$4)*Q133+$Y$4*Table7[[#This Row],[Octane]]</f>
        <v>1.9823006912125107</v>
      </c>
      <c r="R132" s="4">
        <f>(1-$Y$4)*R133+$Y$4*Table7[[#This Row],[Hybrid]]</f>
        <v>2.0296810489595933</v>
      </c>
      <c r="S132" s="4">
        <f>(1-$Y$4)*S133+$Y$4*Table7[[#This Row],[Dominus]]</f>
        <v>2.0465200971703954</v>
      </c>
      <c r="T132" s="4">
        <f>(1-$Y$4)*T133+$Y$4*Table7[[#This Row],[Plank]]</f>
        <v>2.0320458353681734</v>
      </c>
      <c r="U132" s="4">
        <f>(1-$Y$4)*U133+$Y$4*Table7[[#This Row],[Batmobile]]</f>
        <v>2.0005960884332863</v>
      </c>
      <c r="V132" s="4">
        <f>(1-$Y$4)*V133+$Y$4*Table7[[#This Row],[Breakout]]</f>
        <v>2.0510122114456615</v>
      </c>
      <c r="W132" s="11">
        <f>POWER((1-$Y$4),Table714[[#This Row],[X]]-1)*$Y$4</f>
        <v>1.6679521271454668E-7</v>
      </c>
      <c r="AA132">
        <v>0.66666666666666197</v>
      </c>
      <c r="AD132" s="6">
        <v>80</v>
      </c>
      <c r="AE132" s="11">
        <f>(1-_xlfn.NORM.DIST(Table14[[#This Row],[X]],$AB$44,$AB$46,TRUE))/$AE$52</f>
        <v>5.736141035141637E-2</v>
      </c>
      <c r="AF132" s="8">
        <f>Table14[[#This Row],[Column1]]*Table7[[#This Row],[Octane]]</f>
        <v>0.11370178890079902</v>
      </c>
      <c r="AG132" s="8">
        <f>Table14[[#This Row],[Column1]]*Table7[[#This Row],[Hybrid]]</f>
        <v>0.11640351002612924</v>
      </c>
      <c r="AH132" s="8">
        <f>Table14[[#This Row],[Column1]]*Table7[[#This Row],[Dominus]]</f>
        <v>0.11736718186020557</v>
      </c>
      <c r="AI132" s="8">
        <f>Table14[[#This Row],[Column1]]*Table7[[#This Row],[Plank]]</f>
        <v>0.11653544183462948</v>
      </c>
      <c r="AJ132" s="8">
        <f>Table14[[#This Row],[Column1]]*Table7[[#This Row],[Batmobile]]</f>
        <v>0.1147342931282922</v>
      </c>
      <c r="AK132" s="8">
        <f>Table14[[#This Row],[Column1]]*Table7[[#This Row],[Breakout]]</f>
        <v>0.11760809978339438</v>
      </c>
      <c r="AL132" s="3">
        <f>Table14[[#This Row],[Column1]]-AE133</f>
        <v>3.8707438210566492E-3</v>
      </c>
      <c r="AW132" s="11">
        <v>0</v>
      </c>
      <c r="AX132" s="2">
        <f>(Table7[[#This Row],[Hybrid]]-Table7[[#This Row],[Octane]])/$B$245</f>
        <v>2.3757869981353423E-2</v>
      </c>
      <c r="AY132" s="2">
        <f>(Table7[[#This Row],[Dominus]]-Table7[[#This Row],[Octane]])/$B$245</f>
        <v>3.2232020005212594E-2</v>
      </c>
      <c r="AZ132" s="2">
        <f>(Table7[[#This Row],[Plank]]-Table7[[#This Row],[Octane]])/$B$245</f>
        <v>2.491802626964178E-2</v>
      </c>
      <c r="BA132" s="2">
        <f>(Table7[[#This Row],[Batmobile]]-Table7[[#This Row],[Octane]])/$B$245</f>
        <v>9.0794349431539897E-3</v>
      </c>
      <c r="BB132" s="2">
        <f>(Table7[[#This Row],[Breakout]]-Table7[[#This Row],[Octane]])/$B$245</f>
        <v>3.4350557200496887E-2</v>
      </c>
      <c r="BC132" s="2"/>
    </row>
    <row r="133" spans="1:55">
      <c r="A133" s="1">
        <v>0.67500000000000004</v>
      </c>
      <c r="B133" s="13">
        <f>Octane[[#This Row],[angvel_total]]</f>
        <v>1.9823000252232252</v>
      </c>
      <c r="C133" s="13">
        <f>Hybrid[[#This Row],[angvel_total]]</f>
        <v>2.0293999999999999</v>
      </c>
      <c r="D133" s="13">
        <f>Dominus[[#This Row],[angvel_total]]</f>
        <v>2.0462000097742155</v>
      </c>
      <c r="E133" s="13">
        <f>Plank[[#This Row],[angvel_total]]</f>
        <v>2.031700002460993</v>
      </c>
      <c r="F133" s="13">
        <f>Batmobile[[#This Row],[angvel_total]]</f>
        <v>2.0003000024996251</v>
      </c>
      <c r="G133" s="13">
        <f>Breakout[[#This Row],[angvel_total]]</f>
        <v>2.0505000097537183</v>
      </c>
      <c r="I133" s="2">
        <f>Table7[[#This Row],[Hybrid]]/Table7[[#This Row],[Octane]] - 1</f>
        <v>2.3760265437857031E-2</v>
      </c>
      <c r="J133" s="2">
        <f>Table7[[#This Row],[Dominus]]/Table7[[#This Row],[Octane]] - 1</f>
        <v>3.2235274044247975E-2</v>
      </c>
      <c r="K133" s="2">
        <f>Table7[[#This Row],[Plank]]/Table7[[#This Row],[Octane]] - 1</f>
        <v>2.4920535039697045E-2</v>
      </c>
      <c r="L133" s="2">
        <f>Table7[[#This Row],[Batmobile]]/Table7[[#This Row],[Octane]] - 1</f>
        <v>9.0803496177995768E-3</v>
      </c>
      <c r="M133" s="2">
        <f>Table7[[#This Row],[Breakout]]/Table7[[#This Row],[Octane]] - 1</f>
        <v>3.4404471403269632E-2</v>
      </c>
      <c r="N133" s="2">
        <f>Table7[[#This Row],[Breakout]]/Table7[[#This Row],[Plank]] - 1</f>
        <v>9.253338224123997E-3</v>
      </c>
      <c r="P133" s="6">
        <v>81</v>
      </c>
      <c r="Q133" s="4">
        <f>(1-$Y$4)*Q134+$Y$4*Table7[[#This Row],[Octane]]</f>
        <v>1.9823198661668848</v>
      </c>
      <c r="R133" s="4">
        <f>(1-$Y$4)*R134+$Y$4*Table7[[#This Row],[Hybrid]]</f>
        <v>2.0297536297138015</v>
      </c>
      <c r="S133" s="4">
        <f>(1-$Y$4)*S134+$Y$4*Table7[[#This Row],[Dominus]]</f>
        <v>2.0466001152135807</v>
      </c>
      <c r="T133" s="4">
        <f>(1-$Y$4)*T134+$Y$4*Table7[[#This Row],[Plank]]</f>
        <v>2.0321307545155478</v>
      </c>
      <c r="U133" s="4">
        <f>(1-$Y$4)*U134+$Y$4*Table7[[#This Row],[Batmobile]]</f>
        <v>2.0006715333730076</v>
      </c>
      <c r="V133" s="4">
        <f>(1-$Y$4)*V134+$Y$4*Table7[[#This Row],[Breakout]]</f>
        <v>2.0511478703041366</v>
      </c>
      <c r="W133" s="11">
        <f>POWER((1-$Y$4),Table714[[#This Row],[X]]-1)*$Y$4</f>
        <v>1.401079786802192E-7</v>
      </c>
      <c r="AA133">
        <v>0.67499999999999505</v>
      </c>
      <c r="AD133" s="6">
        <v>81</v>
      </c>
      <c r="AE133" s="11">
        <f>(1-_xlfn.NORM.DIST(Table14[[#This Row],[X]],$AB$44,$AB$46,TRUE))/$AE$52</f>
        <v>5.3490666530359721E-2</v>
      </c>
      <c r="AF133" s="8">
        <f>Table14[[#This Row],[Column1]]*Table7[[#This Row],[Octane]]</f>
        <v>0.1060345496123392</v>
      </c>
      <c r="AG133" s="8">
        <f>Table14[[#This Row],[Column1]]*Table7[[#This Row],[Hybrid]]</f>
        <v>0.10855395865671201</v>
      </c>
      <c r="AH133" s="8">
        <f>Table14[[#This Row],[Column1]]*Table7[[#This Row],[Dominus]]</f>
        <v>0.10945260237725137</v>
      </c>
      <c r="AI133" s="8">
        <f>Table14[[#This Row],[Column1]]*Table7[[#This Row],[Plank]]</f>
        <v>0.108676987321372</v>
      </c>
      <c r="AJ133" s="8">
        <f>Table14[[#This Row],[Column1]]*Table7[[#This Row],[Batmobile]]</f>
        <v>0.10699738039438517</v>
      </c>
      <c r="AK133" s="8">
        <f>Table14[[#This Row],[Column1]]*Table7[[#This Row],[Breakout]]</f>
        <v>0.10968261224223549</v>
      </c>
      <c r="AL133" s="3">
        <f>Table14[[#This Row],[Column1]]-AE134</f>
        <v>3.6575198100112644E-3</v>
      </c>
      <c r="AW133" s="11">
        <v>0</v>
      </c>
      <c r="AX133" s="2">
        <f>(Table7[[#This Row],[Hybrid]]-Table7[[#This Row],[Octane]])/$B$245</f>
        <v>2.3757868709637163E-2</v>
      </c>
      <c r="AY133" s="2">
        <f>(Table7[[#This Row],[Dominus]]-Table7[[#This Row],[Octane]])/$B$245</f>
        <v>3.2232022431121748E-2</v>
      </c>
      <c r="AZ133" s="2">
        <f>(Table7[[#This Row],[Plank]]-Table7[[#This Row],[Octane]])/$B$245</f>
        <v>2.491802127360547E-2</v>
      </c>
      <c r="BA133" s="2">
        <f>(Table7[[#This Row],[Batmobile]]-Table7[[#This Row],[Octane]])/$B$245</f>
        <v>9.079433671375009E-3</v>
      </c>
      <c r="BB133" s="2">
        <f>(Table7[[#This Row],[Breakout]]-Table7[[#This Row],[Octane]])/$B$245</f>
        <v>3.4401000980444574E-2</v>
      </c>
      <c r="BC133" s="2"/>
    </row>
    <row r="134" spans="1:55">
      <c r="A134" s="1">
        <v>0.68333333333333302</v>
      </c>
      <c r="B134" s="13">
        <f>Octane[[#This Row],[angvel_total]]</f>
        <v>1.9823000126116126</v>
      </c>
      <c r="C134" s="13">
        <f>Hybrid[[#This Row],[angvel_total]]</f>
        <v>2.0295000000000001</v>
      </c>
      <c r="D134" s="13">
        <f>Dominus[[#This Row],[angvel_total]]</f>
        <v>2.0463000097737378</v>
      </c>
      <c r="E134" s="13">
        <f>Plank[[#This Row],[angvel_total]]</f>
        <v>2.0318000000000001</v>
      </c>
      <c r="F134" s="13">
        <f>Batmobile[[#This Row],[angvel_total]]</f>
        <v>2.0004</v>
      </c>
      <c r="G134" s="13">
        <f>Breakout[[#This Row],[angvel_total]]</f>
        <v>2.0507000097527674</v>
      </c>
      <c r="I134" s="2">
        <f>Table7[[#This Row],[Hybrid]]/Table7[[#This Row],[Octane]] - 1</f>
        <v>2.381071840190474E-2</v>
      </c>
      <c r="J134" s="2">
        <f>Table7[[#This Row],[Dominus]]/Table7[[#This Row],[Octane]] - 1</f>
        <v>3.2285727061973635E-2</v>
      </c>
      <c r="K134" s="2">
        <f>Table7[[#This Row],[Plank]]/Table7[[#This Row],[Octane]] - 1</f>
        <v>2.4970986769642822E-2</v>
      </c>
      <c r="L134" s="2">
        <f>Table7[[#This Row],[Batmobile]]/Table7[[#This Row],[Octane]] - 1</f>
        <v>9.130801227479779E-3</v>
      </c>
      <c r="M134" s="2">
        <f>Table7[[#This Row],[Breakout]]/Table7[[#This Row],[Octane]] - 1</f>
        <v>3.4505370885328457E-2</v>
      </c>
      <c r="N134" s="2">
        <f>Table7[[#This Row],[Breakout]]/Table7[[#This Row],[Plank]] - 1</f>
        <v>9.3021014631200494E-3</v>
      </c>
      <c r="P134" s="6">
        <v>82</v>
      </c>
      <c r="Q134" s="4">
        <f>(1-$Y$4)*Q135+$Y$4*Table7[[#This Row],[Octane]]</f>
        <v>1.9823236453942485</v>
      </c>
      <c r="R134" s="4">
        <f>(1-$Y$4)*R135+$Y$4*Table7[[#This Row],[Hybrid]]</f>
        <v>2.0298209877545257</v>
      </c>
      <c r="S134" s="4">
        <f>(1-$Y$4)*S135+$Y$4*Table7[[#This Row],[Dominus]]</f>
        <v>2.0466763257734595</v>
      </c>
      <c r="T134" s="4">
        <f>(1-$Y$4)*T135+$Y$4*Table7[[#This Row],[Plank]]</f>
        <v>2.0322128025259389</v>
      </c>
      <c r="U134" s="4">
        <f>(1-$Y$4)*U135+$Y$4*Table7[[#This Row],[Batmobile]]</f>
        <v>2.0007423011584136</v>
      </c>
      <c r="V134" s="4">
        <f>(1-$Y$4)*V135+$Y$4*Table7[[#This Row],[Breakout]]</f>
        <v>2.0512712723137403</v>
      </c>
      <c r="W134" s="11">
        <f>POWER((1-$Y$4),Table714[[#This Row],[X]]-1)*$Y$4</f>
        <v>1.1769070209138412E-7</v>
      </c>
      <c r="AA134">
        <v>0.68333333333332802</v>
      </c>
      <c r="AD134" s="6">
        <v>82</v>
      </c>
      <c r="AE134" s="11">
        <f>(1-_xlfn.NORM.DIST(Table14[[#This Row],[X]],$AB$44,$AB$46,TRUE))/$AE$52</f>
        <v>4.9833146720348456E-2</v>
      </c>
      <c r="AF134" s="8">
        <f>Table14[[#This Row],[Column1]]*Table7[[#This Row],[Octane]]</f>
        <v>9.8784247372223091E-2</v>
      </c>
      <c r="AG134" s="8">
        <f>Table14[[#This Row],[Column1]]*Table7[[#This Row],[Hybrid]]</f>
        <v>0.1011363712689472</v>
      </c>
      <c r="AH134" s="8">
        <f>Table14[[#This Row],[Column1]]*Table7[[#This Row],[Dominus]]</f>
        <v>0.10197356862090516</v>
      </c>
      <c r="AI134" s="8">
        <f>Table14[[#This Row],[Column1]]*Table7[[#This Row],[Plank]]</f>
        <v>0.101250987506404</v>
      </c>
      <c r="AJ134" s="8">
        <f>Table14[[#This Row],[Column1]]*Table7[[#This Row],[Batmobile]]</f>
        <v>9.9686226699385053E-2</v>
      </c>
      <c r="AK134" s="8">
        <f>Table14[[#This Row],[Column1]]*Table7[[#This Row],[Breakout]]</f>
        <v>0.10219283446542968</v>
      </c>
      <c r="AL134" s="3">
        <f>Table14[[#This Row],[Column1]]-AE135</f>
        <v>3.4522039103739854E-3</v>
      </c>
      <c r="AW134" s="11">
        <v>0</v>
      </c>
      <c r="AX134" s="2">
        <f>(Table7[[#This Row],[Hybrid]]-Table7[[#This Row],[Octane]])/$B$245</f>
        <v>2.380831643295904E-2</v>
      </c>
      <c r="AY134" s="2">
        <f>(Table7[[#This Row],[Dominus]]-Table7[[#This Row],[Octane]])/$B$245</f>
        <v>3.2282470154202596E-2</v>
      </c>
      <c r="AZ134" s="2">
        <f>(Table7[[#This Row],[Plank]]-Table7[[#This Row],[Octane]])/$B$245</f>
        <v>2.4968467755568869E-2</v>
      </c>
      <c r="BA134" s="2">
        <f>(Table7[[#This Row],[Batmobile]]-Table7[[#This Row],[Octane]])/$B$245</f>
        <v>9.1298801338517942E-3</v>
      </c>
      <c r="BB134" s="2">
        <f>(Table7[[#This Row],[Breakout]]-Table7[[#This Row],[Octane]])/$B$245</f>
        <v>3.4501890065139339E-2</v>
      </c>
      <c r="BC134" s="2"/>
    </row>
    <row r="135" spans="1:55">
      <c r="A135" s="1">
        <v>0.69166666666666599</v>
      </c>
      <c r="B135" s="13">
        <f>Octane[[#This Row],[angvel_total]]</f>
        <v>1.9823000050446449</v>
      </c>
      <c r="C135" s="13">
        <f>Hybrid[[#This Row],[angvel_total]]</f>
        <v>2.0296000024635394</v>
      </c>
      <c r="D135" s="13">
        <f>Dominus[[#This Row],[angvel_total]]</f>
        <v>2.0464000097732606</v>
      </c>
      <c r="E135" s="13">
        <f>Plank[[#This Row],[angvel_total]]</f>
        <v>2.0318999999999998</v>
      </c>
      <c r="F135" s="13">
        <f>Batmobile[[#This Row],[angvel_total]]</f>
        <v>2.0005000000000002</v>
      </c>
      <c r="G135" s="13">
        <f>Breakout[[#This Row],[angvel_total]]</f>
        <v>2.0509000097518162</v>
      </c>
      <c r="I135" s="2">
        <f>Table7[[#This Row],[Hybrid]]/Table7[[#This Row],[Octane]] - 1</f>
        <v>2.3861170003795396E-2</v>
      </c>
      <c r="J135" s="2">
        <f>Table7[[#This Row],[Dominus]]/Table7[[#This Row],[Octane]] - 1</f>
        <v>3.2336177453206494E-2</v>
      </c>
      <c r="K135" s="2">
        <f>Table7[[#This Row],[Plank]]/Table7[[#This Row],[Octane]] - 1</f>
        <v>2.5021437133194047E-2</v>
      </c>
      <c r="L135" s="2">
        <f>Table7[[#This Row],[Batmobile]]/Table7[[#This Row],[Octane]] - 1</f>
        <v>9.1812515305651488E-3</v>
      </c>
      <c r="M135" s="2">
        <f>Table7[[#This Row],[Breakout]]/Table7[[#This Row],[Octane]] - 1</f>
        <v>3.4606267735759033E-2</v>
      </c>
      <c r="N135" s="2">
        <f>Table7[[#This Row],[Breakout]]/Table7[[#This Row],[Plank]] - 1</f>
        <v>9.3508586799628812E-3</v>
      </c>
      <c r="P135" s="6">
        <v>83</v>
      </c>
      <c r="Q135" s="4">
        <f>(1-$Y$4)*Q136+$Y$4*Table7[[#This Row],[Octane]]</f>
        <v>1.9823281468766556</v>
      </c>
      <c r="R135" s="4">
        <f>(1-$Y$4)*R136+$Y$4*Table7[[#This Row],[Hybrid]]</f>
        <v>2.0298821282791972</v>
      </c>
      <c r="S135" s="4">
        <f>(1-$Y$4)*S136+$Y$4*Table7[[#This Row],[Dominus]]</f>
        <v>2.0467480050115019</v>
      </c>
      <c r="T135" s="4">
        <f>(1-$Y$4)*T136+$Y$4*Table7[[#This Row],[Plank]]</f>
        <v>2.032291431578499</v>
      </c>
      <c r="U135" s="4">
        <f>(1-$Y$4)*U136+$Y$4*Table7[[#This Row],[Batmobile]]</f>
        <v>2.000807501379064</v>
      </c>
      <c r="V135" s="4">
        <f>(1-$Y$4)*V136+$Y$4*Table7[[#This Row],[Breakout]]</f>
        <v>2.0513800842301162</v>
      </c>
      <c r="W135" s="11">
        <f>POWER((1-$Y$4),Table714[[#This Row],[X]]-1)*$Y$4</f>
        <v>9.8860189756762658E-8</v>
      </c>
      <c r="AA135">
        <v>0.69166666666666099</v>
      </c>
      <c r="AD135" s="6">
        <v>83</v>
      </c>
      <c r="AE135" s="11">
        <f>(1-_xlfn.NORM.DIST(Table14[[#This Row],[X]],$AB$44,$AB$46,TRUE))/$AE$52</f>
        <v>4.6380942809974471E-2</v>
      </c>
      <c r="AF135" s="8">
        <f>Table14[[#This Row],[Column1]]*Table7[[#This Row],[Octane]]</f>
        <v>9.1940943166187783E-2</v>
      </c>
      <c r="AG135" s="8">
        <f>Table14[[#This Row],[Column1]]*Table7[[#This Row],[Hybrid]]</f>
        <v>9.413476164138547E-2</v>
      </c>
      <c r="AH135" s="8">
        <f>Table14[[#This Row],[Column1]]*Table7[[#This Row],[Dominus]]</f>
        <v>9.4913961819624804E-2</v>
      </c>
      <c r="AI135" s="8">
        <f>Table14[[#This Row],[Column1]]*Table7[[#This Row],[Plank]]</f>
        <v>9.4241437695587113E-2</v>
      </c>
      <c r="AJ135" s="8">
        <f>Table14[[#This Row],[Column1]]*Table7[[#This Row],[Batmobile]]</f>
        <v>9.2785076091353932E-2</v>
      </c>
      <c r="AK135" s="8">
        <f>Table14[[#This Row],[Column1]]*Table7[[#This Row],[Breakout]]</f>
        <v>9.5122676061275072E-2</v>
      </c>
      <c r="AL135" s="3">
        <f>Table14[[#This Row],[Column1]]-AE136</f>
        <v>3.2547953622966072E-3</v>
      </c>
      <c r="AW135" s="11">
        <v>0</v>
      </c>
      <c r="AX135" s="2">
        <f>(Table7[[#This Row],[Hybrid]]-Table7[[#This Row],[Octane]])/$B$245</f>
        <v>2.3858762854336014E-2</v>
      </c>
      <c r="AY135" s="2">
        <f>(Table7[[#This Row],[Dominus]]-Table7[[#This Row],[Octane]])/$B$245</f>
        <v>3.2332915332696069E-2</v>
      </c>
      <c r="AZ135" s="2">
        <f>(Table7[[#This Row],[Plank]]-Table7[[#This Row],[Octane]])/$B$245</f>
        <v>2.5018912934302921E-2</v>
      </c>
      <c r="BA135" s="2">
        <f>(Table7[[#This Row],[Batmobile]]-Table7[[#This Row],[Octane]])/$B$245</f>
        <v>9.1803253125860712E-3</v>
      </c>
      <c r="BB135" s="2">
        <f>(Table7[[#This Row],[Breakout]]-Table7[[#This Row],[Octane]])/$B$245</f>
        <v>3.4602776605246285E-2</v>
      </c>
      <c r="BC135" s="2"/>
    </row>
    <row r="136" spans="1:55">
      <c r="A136" s="1">
        <v>0.7</v>
      </c>
      <c r="B136" s="13">
        <f>Octane[[#This Row],[angvel_total]]</f>
        <v>1.9823000050446449</v>
      </c>
      <c r="C136" s="13">
        <f>Hybrid[[#This Row],[angvel_total]]</f>
        <v>2.0297000024634184</v>
      </c>
      <c r="D136" s="13">
        <f>Dominus[[#This Row],[angvel_total]]</f>
        <v>2.046500021988761</v>
      </c>
      <c r="E136" s="13">
        <f>Plank[[#This Row],[angvel_total]]</f>
        <v>2.032</v>
      </c>
      <c r="F136" s="13">
        <f>Batmobile[[#This Row],[angvel_total]]</f>
        <v>2.0006000024992501</v>
      </c>
      <c r="G136" s="13">
        <f>Breakout[[#This Row],[angvel_total]]</f>
        <v>2.0510000024378354</v>
      </c>
      <c r="I136" s="2">
        <f>Table7[[#This Row],[Hybrid]]/Table7[[#This Row],[Octane]] - 1</f>
        <v>2.391161645469797E-2</v>
      </c>
      <c r="J136" s="2">
        <f>Table7[[#This Row],[Dominus]]/Table7[[#This Row],[Octane]] - 1</f>
        <v>3.238663006645659E-2</v>
      </c>
      <c r="K136" s="2">
        <f>Table7[[#This Row],[Plank]]/Table7[[#This Row],[Octane]] - 1</f>
        <v>2.5071883584157906E-2</v>
      </c>
      <c r="L136" s="2">
        <f>Table7[[#This Row],[Batmobile]]/Table7[[#This Row],[Octane]] - 1</f>
        <v>9.2316992423118194E-3</v>
      </c>
      <c r="M136" s="2">
        <f>Table7[[#This Row],[Breakout]]/Table7[[#This Row],[Octane]] - 1</f>
        <v>3.4656710497078969E-2</v>
      </c>
      <c r="N136" s="2">
        <f>Table7[[#This Row],[Breakout]]/Table7[[#This Row],[Plank]] - 1</f>
        <v>9.3503949005095954E-3</v>
      </c>
      <c r="P136" s="6">
        <v>84</v>
      </c>
      <c r="Q136" s="4">
        <f>(1-$Y$4)*Q137+$Y$4*Table7[[#This Row],[Octane]]</f>
        <v>1.9823335072256101</v>
      </c>
      <c r="R136" s="4">
        <f>(1-$Y$4)*R137+$Y$4*Table7[[#This Row],[Hybrid]]</f>
        <v>2.0299358665297986</v>
      </c>
      <c r="S136" s="4">
        <f>(1-$Y$4)*S137+$Y$4*Table7[[#This Row],[Dominus]]</f>
        <v>2.0468142898187862</v>
      </c>
      <c r="T136" s="4">
        <f>(1-$Y$4)*T137+$Y$4*Table7[[#This Row],[Plank]]</f>
        <v>2.0323659899744038</v>
      </c>
      <c r="U136" s="4">
        <f>(1-$Y$4)*U137+$Y$4*Table7[[#This Row],[Batmobile]]</f>
        <v>2.0008660730703145</v>
      </c>
      <c r="V136" s="4">
        <f>(1-$Y$4)*V137+$Y$4*Table7[[#This Row],[Breakout]]</f>
        <v>2.0514715269878874</v>
      </c>
      <c r="W136" s="11">
        <f>POWER((1-$Y$4),Table714[[#This Row],[X]]-1)*$Y$4</f>
        <v>8.3042559395680628E-8</v>
      </c>
      <c r="AA136">
        <v>0.69999999999999296</v>
      </c>
      <c r="AD136" s="6">
        <v>84</v>
      </c>
      <c r="AE136" s="11">
        <f>(1-_xlfn.NORM.DIST(Table14[[#This Row],[X]],$AB$44,$AB$46,TRUE))/$AE$52</f>
        <v>4.3126147447677864E-2</v>
      </c>
      <c r="AF136" s="8">
        <f>Table14[[#This Row],[Column1]]*Table7[[#This Row],[Octane]]</f>
        <v>8.5488962303087931E-2</v>
      </c>
      <c r="AG136" s="8">
        <f>Table14[[#This Row],[Column1]]*Table7[[#This Row],[Hybrid]]</f>
        <v>8.7533141580789509E-2</v>
      </c>
      <c r="AH136" s="8">
        <f>Table14[[#This Row],[Column1]]*Table7[[#This Row],[Dominus]]</f>
        <v>8.8257661699963297E-2</v>
      </c>
      <c r="AI136" s="8">
        <f>Table14[[#This Row],[Column1]]*Table7[[#This Row],[Plank]]</f>
        <v>8.7632331613681419E-2</v>
      </c>
      <c r="AJ136" s="8">
        <f>Table14[[#This Row],[Column1]]*Table7[[#This Row],[Batmobile]]</f>
        <v>8.6278170691607356E-2</v>
      </c>
      <c r="AK136" s="8">
        <f>Table14[[#This Row],[Column1]]*Table7[[#This Row],[Breakout]]</f>
        <v>8.8451728520321751E-2</v>
      </c>
      <c r="AL136" s="3">
        <f>Table14[[#This Row],[Column1]]-AE137</f>
        <v>3.0652678638516881E-3</v>
      </c>
      <c r="AW136" s="11">
        <v>0</v>
      </c>
      <c r="AX136" s="2">
        <f>(Table7[[#This Row],[Hybrid]]-Table7[[#This Row],[Octane]])/$B$245</f>
        <v>2.3909204216127567E-2</v>
      </c>
      <c r="AY136" s="2">
        <f>(Table7[[#This Row],[Dominus]]-Table7[[#This Row],[Octane]])/$B$245</f>
        <v>3.2383362856213418E-2</v>
      </c>
      <c r="AZ136" s="2">
        <f>(Table7[[#This Row],[Plank]]-Table7[[#This Row],[Octane]])/$B$245</f>
        <v>2.506935429615563E-2</v>
      </c>
      <c r="BA136" s="2">
        <f>(Table7[[#This Row],[Batmobile]]-Table7[[#This Row],[Octane]])/$B$245</f>
        <v>9.2307679350943622E-3</v>
      </c>
      <c r="BB136" s="2">
        <f>(Table7[[#This Row],[Breakout]]-Table7[[#This Row],[Octane]])/$B$245</f>
        <v>3.4653214277827381E-2</v>
      </c>
      <c r="BC136" s="2"/>
    </row>
    <row r="137" spans="1:55">
      <c r="A137" s="1">
        <v>0.70833333333333304</v>
      </c>
      <c r="B137" s="13">
        <f>Octane[[#This Row],[angvel_total]]</f>
        <v>1.9823000025223225</v>
      </c>
      <c r="C137" s="13">
        <f>Hybrid[[#This Row],[angvel_total]]</f>
        <v>2.0298000024632969</v>
      </c>
      <c r="D137" s="13">
        <f>Dominus[[#This Row],[angvel_total]]</f>
        <v>2.046600021987687</v>
      </c>
      <c r="E137" s="13">
        <f>Plank[[#This Row],[angvel_total]]</f>
        <v>2.0320999999999998</v>
      </c>
      <c r="F137" s="13">
        <f>Batmobile[[#This Row],[angvel_total]]</f>
        <v>2.0007000024991255</v>
      </c>
      <c r="G137" s="13">
        <f>Breakout[[#This Row],[angvel_total]]</f>
        <v>2.0510999999999999</v>
      </c>
      <c r="I137" s="2">
        <f>Table7[[#This Row],[Hybrid]]/Table7[[#This Row],[Octane]] - 1</f>
        <v>2.3962064208512546E-2</v>
      </c>
      <c r="J137" s="2">
        <f>Table7[[#This Row],[Dominus]]/Table7[[#This Row],[Octane]] - 1</f>
        <v>3.2437077830574479E-2</v>
      </c>
      <c r="K137" s="2">
        <f>Table7[[#This Row],[Plank]]/Table7[[#This Row],[Octane]] - 1</f>
        <v>2.5122331339509918E-2</v>
      </c>
      <c r="L137" s="2">
        <f>Table7[[#This Row],[Batmobile]]/Table7[[#This Row],[Octane]] - 1</f>
        <v>9.2821469774455601E-3</v>
      </c>
      <c r="M137" s="2">
        <f>Table7[[#This Row],[Breakout]]/Table7[[#This Row],[Octane]] - 1</f>
        <v>3.4707157034825631E-2</v>
      </c>
      <c r="N137" s="2">
        <f>Table7[[#This Row],[Breakout]]/Table7[[#This Row],[Plank]] - 1</f>
        <v>9.3499335662614591E-3</v>
      </c>
      <c r="P137" s="6">
        <v>85</v>
      </c>
      <c r="Q137" s="4">
        <f>(1-$Y$4)*Q138+$Y$4*Table7[[#This Row],[Octane]]</f>
        <v>1.9823398885934131</v>
      </c>
      <c r="R137" s="4">
        <f>(1-$Y$4)*R138+$Y$4*Table7[[#This Row],[Hybrid]]</f>
        <v>2.0299807930186331</v>
      </c>
      <c r="S137" s="4">
        <f>(1-$Y$4)*S138+$Y$4*Table7[[#This Row],[Dominus]]</f>
        <v>2.0468741503578389</v>
      </c>
      <c r="T137" s="4">
        <f>(1-$Y$4)*T138+$Y$4*Table7[[#This Row],[Plank]]</f>
        <v>2.0324357023504809</v>
      </c>
      <c r="U137" s="4">
        <f>(1-$Y$4)*U138+$Y$4*Table7[[#This Row],[Batmobile]]</f>
        <v>2.000916753179089</v>
      </c>
      <c r="V137" s="4">
        <f>(1-$Y$4)*V138+$Y$4*Table7[[#This Row],[Breakout]]</f>
        <v>2.0515613411878975</v>
      </c>
      <c r="W137" s="11">
        <f>POWER((1-$Y$4),Table714[[#This Row],[X]]-1)*$Y$4</f>
        <v>6.9755749892371718E-8</v>
      </c>
      <c r="AA137">
        <v>0.70833333333332604</v>
      </c>
      <c r="AD137" s="6">
        <v>85</v>
      </c>
      <c r="AE137" s="11">
        <f>(1-_xlfn.NORM.DIST(Table14[[#This Row],[X]],$AB$44,$AB$46,TRUE))/$AE$52</f>
        <v>4.0060879583826176E-2</v>
      </c>
      <c r="AF137" s="8">
        <f>Table14[[#This Row],[Column1]]*Table7[[#This Row],[Octane]]</f>
        <v>7.9412681700065088E-2</v>
      </c>
      <c r="AG137" s="8">
        <f>Table14[[#This Row],[Column1]]*Table7[[#This Row],[Hybrid]]</f>
        <v>8.131557347793221E-2</v>
      </c>
      <c r="AH137" s="8">
        <f>Table14[[#This Row],[Column1]]*Table7[[#This Row],[Dominus]]</f>
        <v>8.1988597037104732E-2</v>
      </c>
      <c r="AI137" s="8">
        <f>Table14[[#This Row],[Column1]]*Table7[[#This Row],[Plank]]</f>
        <v>8.1407713402293164E-2</v>
      </c>
      <c r="AJ137" s="8">
        <f>Table14[[#This Row],[Column1]]*Table7[[#This Row],[Batmobile]]</f>
        <v>8.01498018834782E-2</v>
      </c>
      <c r="AK137" s="8">
        <f>Table14[[#This Row],[Column1]]*Table7[[#This Row],[Breakout]]</f>
        <v>8.2168870114385867E-2</v>
      </c>
      <c r="AL137" s="3">
        <f>Table14[[#This Row],[Column1]]-AE138</f>
        <v>2.8835711445062764E-3</v>
      </c>
      <c r="AW137" s="11">
        <v>0</v>
      </c>
      <c r="AX137" s="2">
        <f>(Table7[[#This Row],[Hybrid]]-Table7[[#This Row],[Octane]])/$B$245</f>
        <v>2.3959646850212644E-2</v>
      </c>
      <c r="AY137" s="2">
        <f>(Table7[[#This Row],[Dominus]]-Table7[[#This Row],[Octane]])/$B$245</f>
        <v>3.2433805489818002E-2</v>
      </c>
      <c r="AZ137" s="2">
        <f>(Table7[[#This Row],[Plank]]-Table7[[#This Row],[Octane]])/$B$245</f>
        <v>2.511979693030186E-2</v>
      </c>
      <c r="BA137" s="2">
        <f>(Table7[[#This Row],[Batmobile]]-Table7[[#This Row],[Octane]])/$B$245</f>
        <v>9.2812105691778696E-3</v>
      </c>
      <c r="BB137" s="2">
        <f>(Table7[[#This Row],[Breakout]]-Table7[[#This Row],[Octane]])/$B$245</f>
        <v>3.4703655682296303E-2</v>
      </c>
      <c r="BC137" s="2"/>
    </row>
    <row r="138" spans="1:55">
      <c r="A138" s="1">
        <v>0.71666666666666601</v>
      </c>
      <c r="B138" s="13">
        <f>Octane[[#This Row],[angvel_total]]</f>
        <v>1.9823000025223225</v>
      </c>
      <c r="C138" s="13">
        <f>Hybrid[[#This Row],[angvel_total]]</f>
        <v>2.0299000024631755</v>
      </c>
      <c r="D138" s="13">
        <f>Dominus[[#This Row],[angvel_total]]</f>
        <v>2.0467000219866125</v>
      </c>
      <c r="E138" s="13">
        <f>Plank[[#This Row],[angvel_total]]</f>
        <v>2.0322</v>
      </c>
      <c r="F138" s="13">
        <f>Batmobile[[#This Row],[angvel_total]]</f>
        <v>2.000800002499</v>
      </c>
      <c r="G138" s="13">
        <f>Breakout[[#This Row],[angvel_total]]</f>
        <v>2.0512000000000001</v>
      </c>
      <c r="I138" s="2">
        <f>Table7[[#This Row],[Hybrid]]/Table7[[#This Row],[Octane]] - 1</f>
        <v>2.4012510659479291E-2</v>
      </c>
      <c r="J138" s="2">
        <f>Table7[[#This Row],[Dominus]]/Table7[[#This Row],[Octane]] - 1</f>
        <v>3.2487524281060276E-2</v>
      </c>
      <c r="K138" s="2">
        <f>Table7[[#This Row],[Plank]]/Table7[[#This Row],[Octane]] - 1</f>
        <v>2.517277779053817E-2</v>
      </c>
      <c r="L138" s="2">
        <f>Table7[[#This Row],[Batmobile]]/Table7[[#This Row],[Octane]] - 1</f>
        <v>9.3325934284103074E-3</v>
      </c>
      <c r="M138" s="2">
        <f>Table7[[#This Row],[Breakout]]/Table7[[#This Row],[Octane]] - 1</f>
        <v>3.4757603485853661E-2</v>
      </c>
      <c r="N138" s="2">
        <f>Table7[[#This Row],[Breakout]]/Table7[[#This Row],[Plank]] - 1</f>
        <v>9.3494734770200871E-3</v>
      </c>
      <c r="P138" s="6">
        <v>86</v>
      </c>
      <c r="Q138" s="4">
        <f>(1-$Y$4)*Q139+$Y$4*Table7[[#This Row],[Octane]]</f>
        <v>1.9823474859402874</v>
      </c>
      <c r="R138" s="4">
        <f>(1-$Y$4)*R139+$Y$4*Table7[[#This Row],[Hybrid]]</f>
        <v>2.0300152293148876</v>
      </c>
      <c r="S138" s="4">
        <f>(1-$Y$4)*S139+$Y$4*Table7[[#This Row],[Dominus]]</f>
        <v>2.0469263652854872</v>
      </c>
      <c r="T138" s="4">
        <f>(1-$Y$4)*T139+$Y$4*Table7[[#This Row],[Plank]]</f>
        <v>2.0324996456553346</v>
      </c>
      <c r="U138" s="4">
        <f>(1-$Y$4)*U139+$Y$4*Table7[[#This Row],[Batmobile]]</f>
        <v>2.0009580390228918</v>
      </c>
      <c r="V138" s="4">
        <f>(1-$Y$4)*V139+$Y$4*Table7[[#This Row],[Breakout]]</f>
        <v>2.0516492156998782</v>
      </c>
      <c r="W138" s="11">
        <f>POWER((1-$Y$4),Table714[[#This Row],[X]]-1)*$Y$4</f>
        <v>5.8594829909592244E-8</v>
      </c>
      <c r="AA138">
        <v>0.71666666666665901</v>
      </c>
      <c r="AD138" s="6">
        <v>86</v>
      </c>
      <c r="AE138" s="11">
        <f>(1-_xlfn.NORM.DIST(Table14[[#This Row],[X]],$AB$44,$AB$46,TRUE))/$AE$52</f>
        <v>3.7177308439319899E-2</v>
      </c>
      <c r="AF138" s="8">
        <f>Table14[[#This Row],[Column1]]*Table7[[#This Row],[Octane]]</f>
        <v>7.3696578613036995E-2</v>
      </c>
      <c r="AG138" s="8">
        <f>Table14[[#This Row],[Column1]]*Table7[[#This Row],[Hybrid]]</f>
        <v>7.5466218492549697E-2</v>
      </c>
      <c r="AH138" s="8">
        <f>Table14[[#This Row],[Column1]]*Table7[[#This Row],[Dominus]]</f>
        <v>7.609079800015911E-2</v>
      </c>
      <c r="AI138" s="8">
        <f>Table14[[#This Row],[Column1]]*Table7[[#This Row],[Plank]]</f>
        <v>7.5551726210385903E-2</v>
      </c>
      <c r="AJ138" s="8">
        <f>Table14[[#This Row],[Column1]]*Table7[[#This Row],[Batmobile]]</f>
        <v>7.4384358818297344E-2</v>
      </c>
      <c r="AK138" s="8">
        <f>Table14[[#This Row],[Column1]]*Table7[[#This Row],[Breakout]]</f>
        <v>7.6258095070732987E-2</v>
      </c>
      <c r="AL138" s="3">
        <f>Table14[[#This Row],[Column1]]-AE139</f>
        <v>2.709632576974555E-3</v>
      </c>
      <c r="AW138" s="11">
        <v>0</v>
      </c>
      <c r="AX138" s="2">
        <f>(Table7[[#This Row],[Hybrid]]-Table7[[#This Row],[Octane]])/$B$245</f>
        <v>2.4010088212003976E-2</v>
      </c>
      <c r="AY138" s="2">
        <f>(Table7[[#This Row],[Dominus]]-Table7[[#This Row],[Octane]])/$B$245</f>
        <v>3.248424685112862E-2</v>
      </c>
      <c r="AZ138" s="2">
        <f>(Table7[[#This Row],[Plank]]-Table7[[#This Row],[Octane]])/$B$245</f>
        <v>2.5170238292154565E-2</v>
      </c>
      <c r="BA138" s="2">
        <f>(Table7[[#This Row],[Batmobile]]-Table7[[#This Row],[Octane]])/$B$245</f>
        <v>9.3316519309671851E-3</v>
      </c>
      <c r="BB138" s="2">
        <f>(Table7[[#This Row],[Breakout]]-Table7[[#This Row],[Octane]])/$B$245</f>
        <v>3.4754097044149009E-2</v>
      </c>
      <c r="BC138" s="2"/>
    </row>
    <row r="139" spans="1:55">
      <c r="A139" s="1">
        <v>0.72499999999999998</v>
      </c>
      <c r="B139" s="13">
        <f>Octane[[#This Row],[angvel_total]]</f>
        <v>1.9823000025223225</v>
      </c>
      <c r="C139" s="13">
        <f>Hybrid[[#This Row],[angvel_total]]</f>
        <v>2.0299000024631755</v>
      </c>
      <c r="D139" s="13">
        <f>Dominus[[#This Row],[angvel_total]]</f>
        <v>2.0468000390854013</v>
      </c>
      <c r="E139" s="13">
        <f>Plank[[#This Row],[angvel_total]]</f>
        <v>2.0323000000000002</v>
      </c>
      <c r="F139" s="13">
        <f>Batmobile[[#This Row],[angvel_total]]</f>
        <v>2.0009000024988759</v>
      </c>
      <c r="G139" s="13">
        <f>Breakout[[#This Row],[angvel_total]]</f>
        <v>2.0512999999999999</v>
      </c>
      <c r="I139" s="2">
        <f>Table7[[#This Row],[Hybrid]]/Table7[[#This Row],[Octane]] - 1</f>
        <v>2.4012510659479291E-2</v>
      </c>
      <c r="J139" s="2">
        <f>Table7[[#This Row],[Dominus]]/Table7[[#This Row],[Octane]] - 1</f>
        <v>3.2537979357820435E-2</v>
      </c>
      <c r="K139" s="2">
        <f>Table7[[#This Row],[Plank]]/Table7[[#This Row],[Octane]] - 1</f>
        <v>2.52232242415662E-2</v>
      </c>
      <c r="L139" s="2">
        <f>Table7[[#This Row],[Batmobile]]/Table7[[#This Row],[Octane]] - 1</f>
        <v>9.3830398793757208E-3</v>
      </c>
      <c r="M139" s="2">
        <f>Table7[[#This Row],[Breakout]]/Table7[[#This Row],[Octane]] - 1</f>
        <v>3.4808049936881469E-2</v>
      </c>
      <c r="N139" s="2">
        <f>Table7[[#This Row],[Breakout]]/Table7[[#This Row],[Plank]] - 1</f>
        <v>9.3490134330560526E-3</v>
      </c>
      <c r="P139" s="6">
        <v>87</v>
      </c>
      <c r="Q139" s="4">
        <f>(1-$Y$4)*Q140+$Y$4*Table7[[#This Row],[Octane]]</f>
        <v>1.9823565304008524</v>
      </c>
      <c r="R139" s="4">
        <f>(1-$Y$4)*R140+$Y$4*Table7[[#This Row],[Hybrid]]</f>
        <v>2.0300371772866423</v>
      </c>
      <c r="S139" s="4">
        <f>(1-$Y$4)*S140+$Y$4*Table7[[#This Row],[Dominus]]</f>
        <v>2.0469694782947969</v>
      </c>
      <c r="T139" s="4">
        <f>(1-$Y$4)*T140+$Y$4*Table7[[#This Row],[Plank]]</f>
        <v>2.0325567210182558</v>
      </c>
      <c r="U139" s="4">
        <f>(1-$Y$4)*U140+$Y$4*Table7[[#This Row],[Batmobile]]</f>
        <v>2.0009881412179187</v>
      </c>
      <c r="V139" s="4">
        <f>(1-$Y$4)*V140+$Y$4*Table7[[#This Row],[Breakout]]</f>
        <v>2.0517347805950932</v>
      </c>
      <c r="W139" s="11">
        <f>POWER((1-$Y$4),Table714[[#This Row],[X]]-1)*$Y$4</f>
        <v>4.9219657124057484E-8</v>
      </c>
      <c r="AA139">
        <v>0.72499999999999198</v>
      </c>
      <c r="AD139" s="6">
        <v>87</v>
      </c>
      <c r="AE139" s="11">
        <f>(1-_xlfn.NORM.DIST(Table14[[#This Row],[X]],$AB$44,$AB$46,TRUE))/$AE$52</f>
        <v>3.4467675862345344E-2</v>
      </c>
      <c r="AF139" s="8">
        <f>Table14[[#This Row],[Column1]]*Table7[[#This Row],[Octane]]</f>
        <v>6.832527394886577E-2</v>
      </c>
      <c r="AG139" s="8">
        <f>Table14[[#This Row],[Column1]]*Table7[[#This Row],[Hybrid]]</f>
        <v>6.9965935317874747E-2</v>
      </c>
      <c r="AH139" s="8">
        <f>Table14[[#This Row],[Column1]]*Table7[[#This Row],[Dominus]]</f>
        <v>7.0548440302231397E-2</v>
      </c>
      <c r="AI139" s="8">
        <f>Table14[[#This Row],[Column1]]*Table7[[#This Row],[Plank]]</f>
        <v>7.004865765504445E-2</v>
      </c>
      <c r="AJ139" s="8">
        <f>Table14[[#This Row],[Column1]]*Table7[[#This Row],[Batmobile]]</f>
        <v>6.8966372719097238E-2</v>
      </c>
      <c r="AK139" s="8">
        <f>Table14[[#This Row],[Column1]]*Table7[[#This Row],[Breakout]]</f>
        <v>7.0703543496429003E-2</v>
      </c>
      <c r="AL139" s="3">
        <f>Table14[[#This Row],[Column1]]-AE140</f>
        <v>2.5433588147981689E-3</v>
      </c>
      <c r="AW139" s="11">
        <v>0</v>
      </c>
      <c r="AX139" s="2">
        <f>(Table7[[#This Row],[Hybrid]]-Table7[[#This Row],[Octane]])/$B$245</f>
        <v>2.4010088212003976E-2</v>
      </c>
      <c r="AY139" s="2">
        <f>(Table7[[#This Row],[Dominus]]-Table7[[#This Row],[Octane]])/$B$245</f>
        <v>3.2534696837843165E-2</v>
      </c>
      <c r="AZ139" s="2">
        <f>(Table7[[#This Row],[Plank]]-Table7[[#This Row],[Octane]])/$B$245</f>
        <v>2.5220679654007275E-2</v>
      </c>
      <c r="BA139" s="2">
        <f>(Table7[[#This Row],[Batmobile]]-Table7[[#This Row],[Octane]])/$B$245</f>
        <v>9.382093292757172E-3</v>
      </c>
      <c r="BB139" s="2">
        <f>(Table7[[#This Row],[Breakout]]-Table7[[#This Row],[Octane]])/$B$245</f>
        <v>3.4804538406001492E-2</v>
      </c>
      <c r="BC139" s="2"/>
    </row>
    <row r="140" spans="1:55">
      <c r="A140" s="1">
        <v>0.73333333333333295</v>
      </c>
      <c r="B140" s="13">
        <f>Octane[[#This Row],[angvel_total]]</f>
        <v>1.9823000025223225</v>
      </c>
      <c r="C140" s="13">
        <f>Hybrid[[#This Row],[angvel_total]]</f>
        <v>2.0299000024631755</v>
      </c>
      <c r="D140" s="13">
        <f>Dominus[[#This Row],[angvel_total]]</f>
        <v>2.0469000390834915</v>
      </c>
      <c r="E140" s="13">
        <f>Plank[[#This Row],[angvel_total]]</f>
        <v>2.0324000024601454</v>
      </c>
      <c r="F140" s="13">
        <f>Batmobile[[#This Row],[angvel_total]]</f>
        <v>2.001000004997501</v>
      </c>
      <c r="G140" s="13">
        <f>Breakout[[#This Row],[angvel_total]]</f>
        <v>2.0514000000000001</v>
      </c>
      <c r="I140" s="2">
        <f>Table7[[#This Row],[Hybrid]]/Table7[[#This Row],[Octane]] - 1</f>
        <v>2.4012510659479291E-2</v>
      </c>
      <c r="J140" s="2">
        <f>Table7[[#This Row],[Dominus]]/Table7[[#This Row],[Octane]] - 1</f>
        <v>3.2588425807885013E-2</v>
      </c>
      <c r="K140" s="2">
        <f>Table7[[#This Row],[Plank]]/Table7[[#This Row],[Octane]] - 1</f>
        <v>2.5273671933650155E-2</v>
      </c>
      <c r="L140" s="2">
        <f>Table7[[#This Row],[Batmobile]]/Table7[[#This Row],[Octane]] - 1</f>
        <v>9.433487590871259E-3</v>
      </c>
      <c r="M140" s="2">
        <f>Table7[[#This Row],[Breakout]]/Table7[[#This Row],[Octane]] - 1</f>
        <v>3.4858496387909499E-2</v>
      </c>
      <c r="N140" s="2">
        <f>Table7[[#This Row],[Breakout]]/Table7[[#This Row],[Plank]] - 1</f>
        <v>9.3485522125840159E-3</v>
      </c>
      <c r="P140" s="6">
        <v>88</v>
      </c>
      <c r="Q140" s="4">
        <f>(1-$Y$4)*Q141+$Y$4*Table7[[#This Row],[Octane]]</f>
        <v>1.9823672976158107</v>
      </c>
      <c r="R140" s="4">
        <f>(1-$Y$4)*R141+$Y$4*Table7[[#This Row],[Hybrid]]</f>
        <v>2.0300633058244455</v>
      </c>
      <c r="S140" s="4">
        <f>(1-$Y$4)*S141+$Y$4*Table7[[#This Row],[Dominus]]</f>
        <v>2.04700175242992</v>
      </c>
      <c r="T140" s="4">
        <f>(1-$Y$4)*T141+$Y$4*Table7[[#This Row],[Plank]]</f>
        <v>2.0326056202598286</v>
      </c>
      <c r="U140" s="4">
        <f>(1-$Y$4)*U141+$Y$4*Table7[[#This Row],[Batmobile]]</f>
        <v>2.0010049295453558</v>
      </c>
      <c r="V140" s="4">
        <f>(1-$Y$4)*V141+$Y$4*Table7[[#This Row],[Breakout]]</f>
        <v>2.0518175959465395</v>
      </c>
      <c r="W140" s="11">
        <f>POWER((1-$Y$4),Table714[[#This Row],[X]]-1)*$Y$4</f>
        <v>4.1344511984208282E-8</v>
      </c>
      <c r="AA140">
        <v>0.73333333333332495</v>
      </c>
      <c r="AD140" s="6">
        <v>88</v>
      </c>
      <c r="AE140" s="11">
        <f>(1-_xlfn.NORM.DIST(Table14[[#This Row],[X]],$AB$44,$AB$46,TRUE))/$AE$52</f>
        <v>3.1924317047547175E-2</v>
      </c>
      <c r="AF140" s="8">
        <f>Table14[[#This Row],[Column1]]*Table7[[#This Row],[Octane]]</f>
        <v>6.3283573763876194E-2</v>
      </c>
      <c r="AG140" s="8">
        <f>Table14[[#This Row],[Column1]]*Table7[[#This Row],[Hybrid]]</f>
        <v>6.4803171253451211E-2</v>
      </c>
      <c r="AH140" s="8">
        <f>Table14[[#This Row],[Column1]]*Table7[[#This Row],[Dominus]]</f>
        <v>6.5345885812338092E-2</v>
      </c>
      <c r="AI140" s="8">
        <f>Table14[[#This Row],[Column1]]*Table7[[#This Row],[Plank]]</f>
        <v>6.4882982045973342E-2</v>
      </c>
      <c r="AJ140" s="8">
        <f>Table14[[#This Row],[Column1]]*Table7[[#This Row],[Batmobile]]</f>
        <v>6.3880558571683704E-2</v>
      </c>
      <c r="AK140" s="8">
        <f>Table14[[#This Row],[Column1]]*Table7[[#This Row],[Breakout]]</f>
        <v>6.5489543991338273E-2</v>
      </c>
      <c r="AL140" s="3">
        <f>Table14[[#This Row],[Column1]]-AE141</f>
        <v>2.3846374435513538E-3</v>
      </c>
      <c r="AW140" s="11">
        <v>0</v>
      </c>
      <c r="AX140" s="2">
        <f>(Table7[[#This Row],[Hybrid]]-Table7[[#This Row],[Octane]])/$B$245</f>
        <v>2.4010088212003976E-2</v>
      </c>
      <c r="AY140" s="2">
        <f>(Table7[[#This Row],[Dominus]]-Table7[[#This Row],[Octane]])/$B$245</f>
        <v>3.2585138198732426E-2</v>
      </c>
      <c r="AZ140" s="2">
        <f>(Table7[[#This Row],[Plank]]-Table7[[#This Row],[Octane]])/$B$245</f>
        <v>2.5271122256790613E-2</v>
      </c>
      <c r="BA140" s="2">
        <f>(Table7[[#This Row],[Batmobile]]-Table7[[#This Row],[Octane]])/$B$245</f>
        <v>9.4325359149502897E-3</v>
      </c>
      <c r="BB140" s="2">
        <f>(Table7[[#This Row],[Breakout]]-Table7[[#This Row],[Octane]])/$B$245</f>
        <v>3.4854979767854205E-2</v>
      </c>
      <c r="BC140" s="2"/>
    </row>
    <row r="141" spans="1:55">
      <c r="A141" s="1">
        <v>0.74166666666666603</v>
      </c>
      <c r="B141" s="13">
        <f>Octane[[#This Row],[angvel_total]]</f>
        <v>1.9823000100892902</v>
      </c>
      <c r="C141" s="13">
        <f>Hybrid[[#This Row],[angvel_total]]</f>
        <v>2.0300000098522162</v>
      </c>
      <c r="D141" s="13">
        <f>Dominus[[#This Row],[angvel_total]]</f>
        <v>2.0469000390834915</v>
      </c>
      <c r="E141" s="13">
        <f>Plank[[#This Row],[angvel_total]]</f>
        <v>2.0325000024600248</v>
      </c>
      <c r="F141" s="13">
        <f>Batmobile[[#This Row],[angvel_total]]</f>
        <v>2.001000004997501</v>
      </c>
      <c r="G141" s="13">
        <f>Breakout[[#This Row],[angvel_total]]</f>
        <v>2.051500002437241</v>
      </c>
      <c r="I141" s="2">
        <f>Table7[[#This Row],[Hybrid]]/Table7[[#This Row],[Octane]] - 1</f>
        <v>2.4062956928894597E-2</v>
      </c>
      <c r="J141" s="2">
        <f>Table7[[#This Row],[Dominus]]/Table7[[#This Row],[Octane]] - 1</f>
        <v>3.2588421866219575E-2</v>
      </c>
      <c r="K141" s="2">
        <f>Table7[[#This Row],[Plank]]/Table7[[#This Row],[Octane]] - 1</f>
        <v>2.5324114470681724E-2</v>
      </c>
      <c r="L141" s="2">
        <f>Table7[[#This Row],[Batmobile]]/Table7[[#This Row],[Octane]] - 1</f>
        <v>9.4334837375944502E-3</v>
      </c>
      <c r="M141" s="2">
        <f>Table7[[#This Row],[Breakout]]/Table7[[#This Row],[Octane]] - 1</f>
        <v>3.4908940117915677E-2</v>
      </c>
      <c r="N141" s="2">
        <f>Table7[[#This Row],[Breakout]]/Table7[[#This Row],[Plank]] - 1</f>
        <v>9.3480934584107001E-3</v>
      </c>
      <c r="P141" s="6">
        <v>89</v>
      </c>
      <c r="Q141" s="4">
        <f>(1-$Y$4)*Q142+$Y$4*Table7[[#This Row],[Octane]]</f>
        <v>1.9823801157288561</v>
      </c>
      <c r="R141" s="4">
        <f>(1-$Y$4)*R142+$Y$4*Table7[[#This Row],[Hybrid]]</f>
        <v>2.030094411226592</v>
      </c>
      <c r="S141" s="4">
        <f>(1-$Y$4)*S142+$Y$4*Table7[[#This Row],[Dominus]]</f>
        <v>2.0470211264006681</v>
      </c>
      <c r="T141" s="4">
        <f>(1-$Y$4)*T142+$Y$4*Table7[[#This Row],[Plank]]</f>
        <v>2.0326447855550063</v>
      </c>
      <c r="U141" s="4">
        <f>(1-$Y$4)*U142+$Y$4*Table7[[#This Row],[Batmobile]]</f>
        <v>2.0010058675544711</v>
      </c>
      <c r="V141" s="4">
        <f>(1-$Y$4)*V142+$Y$4*Table7[[#This Row],[Breakout]]</f>
        <v>2.0518971380315945</v>
      </c>
      <c r="W141" s="11">
        <f>POWER((1-$Y$4),Table714[[#This Row],[X]]-1)*$Y$4</f>
        <v>3.4729390066734958E-8</v>
      </c>
      <c r="AA141">
        <v>0.74166666666665804</v>
      </c>
      <c r="AD141" s="6">
        <v>89</v>
      </c>
      <c r="AE141" s="11">
        <f>(1-_xlfn.NORM.DIST(Table14[[#This Row],[X]],$AB$44,$AB$46,TRUE))/$AE$52</f>
        <v>2.9539679603995821E-2</v>
      </c>
      <c r="AF141" s="8">
        <f>Table14[[#This Row],[Column1]]*Table7[[#This Row],[Octane]]</f>
        <v>5.8556507177035318E-2</v>
      </c>
      <c r="AG141" s="8">
        <f>Table14[[#This Row],[Column1]]*Table7[[#This Row],[Hybrid]]</f>
        <v>5.9965549887142824E-2</v>
      </c>
      <c r="AH141" s="8">
        <f>Table14[[#This Row],[Column1]]*Table7[[#This Row],[Dominus]]</f>
        <v>6.0464771335932865E-2</v>
      </c>
      <c r="AI141" s="8">
        <f>Table14[[#This Row],[Column1]]*Table7[[#This Row],[Plank]]</f>
        <v>6.0039398867789855E-2</v>
      </c>
      <c r="AJ141" s="8">
        <f>Table14[[#This Row],[Column1]]*Table7[[#This Row],[Batmobile]]</f>
        <v>5.9108899035220215E-2</v>
      </c>
      <c r="AK141" s="8">
        <f>Table14[[#This Row],[Column1]]*Table7[[#This Row],[Breakout]]</f>
        <v>6.0600652779592742E-2</v>
      </c>
      <c r="AL141" s="3">
        <f>Table14[[#This Row],[Column1]]-AE142</f>
        <v>2.2333386341949722E-3</v>
      </c>
      <c r="AW141" s="11">
        <v>0</v>
      </c>
      <c r="AX141" s="2">
        <f>(Table7[[#This Row],[Hybrid]]-Table7[[#This Row],[Octane]])/$B$245</f>
        <v>2.4060529484107765E-2</v>
      </c>
      <c r="AY141" s="2">
        <f>(Table7[[#This Row],[Dominus]]-Table7[[#This Row],[Octane]])/$B$245</f>
        <v>3.2585134381850858E-2</v>
      </c>
      <c r="AZ141" s="2">
        <f>(Table7[[#This Row],[Plank]]-Table7[[#This Row],[Octane]])/$B$245</f>
        <v>2.5321559801700824E-2</v>
      </c>
      <c r="BA141" s="2">
        <f>(Table7[[#This Row],[Batmobile]]-Table7[[#This Row],[Octane]])/$B$245</f>
        <v>9.4325320980687202E-3</v>
      </c>
      <c r="BB141" s="2">
        <f>(Table7[[#This Row],[Breakout]]-Table7[[#This Row],[Octane]])/$B$245</f>
        <v>3.4905418542202707E-2</v>
      </c>
      <c r="BC141" s="2"/>
    </row>
    <row r="142" spans="1:55">
      <c r="A142" s="1">
        <v>0.75</v>
      </c>
      <c r="B142" s="13">
        <f>Octane[[#This Row],[angvel_total]]</f>
        <v>1.9823000100892902</v>
      </c>
      <c r="C142" s="13">
        <f>Hybrid[[#This Row],[angvel_total]]</f>
        <v>2.0300000221674872</v>
      </c>
      <c r="D142" s="13">
        <f>Dominus[[#This Row],[angvel_total]]</f>
        <v>2.0469000390834915</v>
      </c>
      <c r="E142" s="13">
        <f>Plank[[#This Row],[angvel_total]]</f>
        <v>2.0326000024599034</v>
      </c>
      <c r="F142" s="13">
        <f>Batmobile[[#This Row],[angvel_total]]</f>
        <v>2.0010000024987504</v>
      </c>
      <c r="G142" s="13">
        <f>Breakout[[#This Row],[angvel_total]]</f>
        <v>2.0516000097484892</v>
      </c>
      <c r="I142" s="2">
        <f>Table7[[#This Row],[Hybrid]]/Table7[[#This Row],[Octane]] - 1</f>
        <v>2.4062963141511684E-2</v>
      </c>
      <c r="J142" s="2">
        <f>Table7[[#This Row],[Dominus]]/Table7[[#This Row],[Octane]] - 1</f>
        <v>3.2588421866219575E-2</v>
      </c>
      <c r="K142" s="2">
        <f>Table7[[#This Row],[Plank]]/Table7[[#This Row],[Octane]] - 1</f>
        <v>2.5374560921455735E-2</v>
      </c>
      <c r="L142" s="2">
        <f>Table7[[#This Row],[Batmobile]]/Table7[[#This Row],[Octane]] - 1</f>
        <v>9.4334824770634373E-3</v>
      </c>
      <c r="M142" s="2">
        <f>Table7[[#This Row],[Breakout]]/Table7[[#This Row],[Octane]] - 1</f>
        <v>3.4959390257016443E-2</v>
      </c>
      <c r="N142" s="2">
        <f>Table7[[#This Row],[Breakout]]/Table7[[#This Row],[Plank]] - 1</f>
        <v>9.3476371472949182E-3</v>
      </c>
      <c r="P142" s="6">
        <v>90</v>
      </c>
      <c r="Q142" s="4">
        <f>(1-$Y$4)*Q143+$Y$4*Table7[[#This Row],[Octane]]</f>
        <v>1.9823953739459164</v>
      </c>
      <c r="R142" s="4">
        <f>(1-$Y$4)*R143+$Y$4*Table7[[#This Row],[Hybrid]]</f>
        <v>2.0301123924407589</v>
      </c>
      <c r="S142" s="4">
        <f>(1-$Y$4)*S143+$Y$4*Table7[[#This Row],[Dominus]]</f>
        <v>2.0470441906515591</v>
      </c>
      <c r="T142" s="4">
        <f>(1-$Y$4)*T143+$Y$4*Table7[[#This Row],[Plank]]</f>
        <v>2.0326723632873835</v>
      </c>
      <c r="U142" s="4">
        <f>(1-$Y$4)*U143+$Y$4*Table7[[#This Row],[Batmobile]]</f>
        <v>2.0010069842319891</v>
      </c>
      <c r="V142" s="4">
        <f>(1-$Y$4)*V143+$Y$4*Table7[[#This Row],[Breakout]]</f>
        <v>2.0519727829067098</v>
      </c>
      <c r="W142" s="11">
        <f>POWER((1-$Y$4),Table714[[#This Row],[X]]-1)*$Y$4</f>
        <v>2.9172687656057364E-8</v>
      </c>
      <c r="AA142">
        <v>0.74999999999999101</v>
      </c>
      <c r="AD142" s="6">
        <v>90</v>
      </c>
      <c r="AE142" s="11">
        <f>(1-_xlfn.NORM.DIST(Table14[[#This Row],[X]],$AB$44,$AB$46,TRUE))/$AE$52</f>
        <v>2.7306340969800849E-2</v>
      </c>
      <c r="AF142" s="8">
        <f>Table14[[#This Row],[Column1]]*Table7[[#This Row],[Octane]]</f>
        <v>5.412935997993782E-2</v>
      </c>
      <c r="AG142" s="8">
        <f>Table14[[#This Row],[Column1]]*Table7[[#This Row],[Hybrid]]</f>
        <v>5.5431872774008691E-2</v>
      </c>
      <c r="AH142" s="8">
        <f>Table14[[#This Row],[Column1]]*Table7[[#This Row],[Dominus]]</f>
        <v>5.5893350398312502E-2</v>
      </c>
      <c r="AI142" s="8">
        <f>Table14[[#This Row],[Column1]]*Table7[[#This Row],[Plank]]</f>
        <v>5.5502868722388167E-2</v>
      </c>
      <c r="AJ142" s="8">
        <f>Table14[[#This Row],[Column1]]*Table7[[#This Row],[Batmobile]]</f>
        <v>5.463998834880323E-2</v>
      </c>
      <c r="AK142" s="8">
        <f>Table14[[#This Row],[Column1]]*Table7[[#This Row],[Breakout]]</f>
        <v>5.6021689399838995E-2</v>
      </c>
      <c r="AL142" s="3">
        <f>Table14[[#This Row],[Column1]]-AE143</f>
        <v>2.0893167877749502E-3</v>
      </c>
      <c r="AW142" s="11">
        <v>0</v>
      </c>
      <c r="AX142" s="2">
        <f>(Table7[[#This Row],[Hybrid]]-Table7[[#This Row],[Octane]])/$B$245</f>
        <v>2.4060535696098187E-2</v>
      </c>
      <c r="AY142" s="2">
        <f>(Table7[[#This Row],[Dominus]]-Table7[[#This Row],[Octane]])/$B$245</f>
        <v>3.2585134381850858E-2</v>
      </c>
      <c r="AZ142" s="2">
        <f>(Table7[[#This Row],[Plank]]-Table7[[#This Row],[Octane]])/$B$245</f>
        <v>2.5372001163492156E-2</v>
      </c>
      <c r="BA142" s="2">
        <f>(Table7[[#This Row],[Batmobile]]-Table7[[#This Row],[Octane]])/$B$245</f>
        <v>9.4325308376649198E-3</v>
      </c>
      <c r="BB142" s="2">
        <f>(Table7[[#This Row],[Breakout]]-Table7[[#This Row],[Octane]])/$B$245</f>
        <v>3.4955863591948501E-2</v>
      </c>
      <c r="BC142" s="2"/>
    </row>
    <row r="143" spans="1:55">
      <c r="A143" s="1">
        <v>0.75833333333333297</v>
      </c>
      <c r="B143" s="13">
        <f>Octane[[#This Row],[angvel_total]]</f>
        <v>1.9823000227009027</v>
      </c>
      <c r="C143" s="13">
        <f>Hybrid[[#This Row],[angvel_total]]</f>
        <v>2.0300000221674872</v>
      </c>
      <c r="D143" s="13">
        <f>Dominus[[#This Row],[angvel_total]]</f>
        <v>2.0470000390815826</v>
      </c>
      <c r="E143" s="13">
        <f>Plank[[#This Row],[angvel_total]]</f>
        <v>2.032600009839614</v>
      </c>
      <c r="F143" s="13">
        <f>Batmobile[[#This Row],[angvel_total]]</f>
        <v>2.0010000099950025</v>
      </c>
      <c r="G143" s="13">
        <f>Breakout[[#This Row],[angvel_total]]</f>
        <v>2.0517000097480138</v>
      </c>
      <c r="I143" s="2">
        <f>Table7[[#This Row],[Hybrid]]/Table7[[#This Row],[Octane]] - 1</f>
        <v>2.4062956626309751E-2</v>
      </c>
      <c r="J143" s="2">
        <f>Table7[[#This Row],[Dominus]]/Table7[[#This Row],[Octane]] - 1</f>
        <v>3.2638861746329129E-2</v>
      </c>
      <c r="K143" s="2">
        <f>Table7[[#This Row],[Plank]]/Table7[[#This Row],[Octane]] - 1</f>
        <v>2.537455812071121E-2</v>
      </c>
      <c r="L143" s="2">
        <f>Table7[[#This Row],[Batmobile]]/Table7[[#This Row],[Octane]] - 1</f>
        <v>9.4334798365289796E-3</v>
      </c>
      <c r="M143" s="2">
        <f>Table7[[#This Row],[Breakout]]/Table7[[#This Row],[Octane]] - 1</f>
        <v>3.5009830122764596E-2</v>
      </c>
      <c r="N143" s="2">
        <f>Table7[[#This Row],[Breakout]]/Table7[[#This Row],[Plank]] - 1</f>
        <v>9.3968315536450131E-3</v>
      </c>
      <c r="P143" s="6">
        <v>91</v>
      </c>
      <c r="Q143" s="4">
        <f>(1-$Y$4)*Q144+$Y$4*Table7[[#This Row],[Octane]]</f>
        <v>1.9824135384900357</v>
      </c>
      <c r="R143" s="4">
        <f>(1-$Y$4)*R144+$Y$4*Table7[[#This Row],[Hybrid]]</f>
        <v>2.0301337963023345</v>
      </c>
      <c r="S143" s="4">
        <f>(1-$Y$4)*S144+$Y$4*Table7[[#This Row],[Dominus]]</f>
        <v>2.0470716480930959</v>
      </c>
      <c r="T143" s="4">
        <f>(1-$Y$4)*T144+$Y$4*Table7[[#This Row],[Plank]]</f>
        <v>2.0326861463021419</v>
      </c>
      <c r="U143" s="4">
        <f>(1-$Y$4)*U144+$Y$4*Table7[[#This Row],[Batmobile]]</f>
        <v>2.0010083140859392</v>
      </c>
      <c r="V143" s="4">
        <f>(1-$Y$4)*V144+$Y$4*Table7[[#This Row],[Breakout]]</f>
        <v>2.0520437873177997</v>
      </c>
      <c r="W143" s="11">
        <f>POWER((1-$Y$4),Table714[[#This Row],[X]]-1)*$Y$4</f>
        <v>2.4505057631088179E-8</v>
      </c>
      <c r="AA143">
        <v>0.75833333333332398</v>
      </c>
      <c r="AD143" s="6">
        <v>91</v>
      </c>
      <c r="AE143" s="11">
        <f>(1-_xlfn.NORM.DIST(Table14[[#This Row],[X]],$AB$44,$AB$46,TRUE))/$AE$52</f>
        <v>2.5217024182025899E-2</v>
      </c>
      <c r="AF143" s="8">
        <f>Table14[[#This Row],[Column1]]*Table7[[#This Row],[Octane]]</f>
        <v>4.9987707608479148E-2</v>
      </c>
      <c r="AG143" s="8">
        <f>Table14[[#This Row],[Column1]]*Table7[[#This Row],[Hybrid]]</f>
        <v>5.1190559648510638E-2</v>
      </c>
      <c r="AH143" s="8">
        <f>Table14[[#This Row],[Column1]]*Table7[[#This Row],[Dominus]]</f>
        <v>5.1619249486128227E-2</v>
      </c>
      <c r="AI143" s="8">
        <f>Table14[[#This Row],[Column1]]*Table7[[#This Row],[Plank]]</f>
        <v>5.1256123600511627E-2</v>
      </c>
      <c r="AJ143" s="8">
        <f>Table14[[#This Row],[Column1]]*Table7[[#This Row],[Batmobile]]</f>
        <v>5.0459265640278042E-2</v>
      </c>
      <c r="AK143" s="8">
        <f>Table14[[#This Row],[Column1]]*Table7[[#This Row],[Breakout]]</f>
        <v>5.1737768760078434E-2</v>
      </c>
      <c r="AL143" s="3">
        <f>Table14[[#This Row],[Column1]]-AE144</f>
        <v>1.9524121614044702E-3</v>
      </c>
      <c r="AW143" s="11">
        <v>0</v>
      </c>
      <c r="AX143" s="2">
        <f>(Table7[[#This Row],[Hybrid]]-Table7[[#This Row],[Octane]])/$B$245</f>
        <v>2.4060529334629131E-2</v>
      </c>
      <c r="AY143" s="2">
        <f>(Table7[[#This Row],[Dominus]]-Table7[[#This Row],[Octane]])/$B$245</f>
        <v>3.2635569381271518E-2</v>
      </c>
      <c r="AZ143" s="2">
        <f>(Table7[[#This Row],[Plank]]-Table7[[#This Row],[Octane]])/$B$245</f>
        <v>2.5371998524449636E-2</v>
      </c>
      <c r="BA143" s="2">
        <f>(Table7[[#This Row],[Batmobile]]-Table7[[#This Row],[Octane]])/$B$245</f>
        <v>9.4325282574074902E-3</v>
      </c>
      <c r="BB143" s="2">
        <f>(Table7[[#This Row],[Breakout]]-Table7[[#This Row],[Octane]])/$B$245</f>
        <v>3.5006298592092248E-2</v>
      </c>
      <c r="BC143" s="2"/>
    </row>
    <row r="144" spans="1:55">
      <c r="A144" s="1">
        <v>0.76666666666666605</v>
      </c>
      <c r="B144" s="13">
        <f>Octane[[#This Row],[angvel_total]]</f>
        <v>1.9824000226997576</v>
      </c>
      <c r="C144" s="13">
        <f>Hybrid[[#This Row],[angvel_total]]</f>
        <v>2.0301000221663954</v>
      </c>
      <c r="D144" s="13">
        <f>Dominus[[#This Row],[angvel_total]]</f>
        <v>2.0470000390815826</v>
      </c>
      <c r="E144" s="13">
        <f>Plank[[#This Row],[angvel_total]]</f>
        <v>2.032600009839614</v>
      </c>
      <c r="F144" s="13">
        <f>Batmobile[[#This Row],[angvel_total]]</f>
        <v>2.0010000099950025</v>
      </c>
      <c r="G144" s="13">
        <f>Breakout[[#This Row],[angvel_total]]</f>
        <v>2.0518000219319621</v>
      </c>
      <c r="I144" s="2">
        <f>Table7[[#This Row],[Hybrid]]/Table7[[#This Row],[Octane]] - 1</f>
        <v>2.4061742796833263E-2</v>
      </c>
      <c r="J144" s="2">
        <f>Table7[[#This Row],[Dominus]]/Table7[[#This Row],[Octane]] - 1</f>
        <v>3.2586771409459869E-2</v>
      </c>
      <c r="K144" s="2">
        <f>Table7[[#This Row],[Plank]]/Table7[[#This Row],[Octane]] - 1</f>
        <v>2.5322834223685531E-2</v>
      </c>
      <c r="L144" s="2">
        <f>Table7[[#This Row],[Batmobile]]/Table7[[#This Row],[Octane]] - 1</f>
        <v>9.3825600697452494E-3</v>
      </c>
      <c r="M144" s="2">
        <f>Table7[[#This Row],[Breakout]]/Table7[[#This Row],[Octane]] - 1</f>
        <v>3.5008070236849154E-2</v>
      </c>
      <c r="N144" s="2">
        <f>Table7[[#This Row],[Breakout]]/Table7[[#This Row],[Plank]] - 1</f>
        <v>9.4460356191099493E-3</v>
      </c>
      <c r="P144" s="6">
        <v>92</v>
      </c>
      <c r="Q144" s="4">
        <f>(1-$Y$4)*Q145+$Y$4*Table7[[#This Row],[Octane]]</f>
        <v>1.9824351605451085</v>
      </c>
      <c r="R144" s="4">
        <f>(1-$Y$4)*R145+$Y$4*Table7[[#This Row],[Hybrid]]</f>
        <v>2.0301592770899246</v>
      </c>
      <c r="S144" s="4">
        <f>(1-$Y$4)*S145+$Y$4*Table7[[#This Row],[Dominus]]</f>
        <v>2.0470852879048129</v>
      </c>
      <c r="T144" s="4">
        <f>(1-$Y$4)*T145+$Y$4*Table7[[#This Row],[Plank]]</f>
        <v>2.0327025532473852</v>
      </c>
      <c r="U144" s="4">
        <f>(1-$Y$4)*U145+$Y$4*Table7[[#This Row],[Batmobile]]</f>
        <v>2.0010098958175462</v>
      </c>
      <c r="V144" s="4">
        <f>(1-$Y$4)*V145+$Y$4*Table7[[#This Row],[Breakout]]</f>
        <v>2.0521092687596636</v>
      </c>
      <c r="W144" s="11">
        <f>POWER((1-$Y$4),Table714[[#This Row],[X]]-1)*$Y$4</f>
        <v>2.058424841011407E-8</v>
      </c>
      <c r="AA144">
        <v>0.76666666666665695</v>
      </c>
      <c r="AD144" s="6">
        <v>92</v>
      </c>
      <c r="AE144" s="11">
        <f>(1-_xlfn.NORM.DIST(Table14[[#This Row],[X]],$AB$44,$AB$46,TRUE))/$AE$52</f>
        <v>2.3264612020621429E-2</v>
      </c>
      <c r="AF144" s="8">
        <f>Table14[[#This Row],[Column1]]*Table7[[#This Row],[Octane]]</f>
        <v>4.6119767397780974E-2</v>
      </c>
      <c r="AG144" s="8">
        <f>Table14[[#This Row],[Column1]]*Table7[[#This Row],[Hybrid]]</f>
        <v>4.7229489378756151E-2</v>
      </c>
      <c r="AH144" s="8">
        <f>Table14[[#This Row],[Column1]]*Table7[[#This Row],[Dominus]]</f>
        <v>4.762266171542992E-2</v>
      </c>
      <c r="AI144" s="8">
        <f>Table14[[#This Row],[Column1]]*Table7[[#This Row],[Plank]]</f>
        <v>4.7287650622029914E-2</v>
      </c>
      <c r="AJ144" s="8">
        <f>Table14[[#This Row],[Column1]]*Table7[[#This Row],[Batmobile]]</f>
        <v>4.6552488885793331E-2</v>
      </c>
      <c r="AK144" s="8">
        <f>Table14[[#This Row],[Column1]]*Table7[[#This Row],[Breakout]]</f>
        <v>4.7734331454149639E-2</v>
      </c>
      <c r="AL144" s="3">
        <f>Table14[[#This Row],[Column1]]-AE145</f>
        <v>1.8224524662355315E-3</v>
      </c>
      <c r="AW144" s="11">
        <v>0</v>
      </c>
      <c r="AX144" s="2">
        <f>(Table7[[#This Row],[Hybrid]]-Table7[[#This Row],[Octane]])/$B$245</f>
        <v>2.4060529334656012E-2</v>
      </c>
      <c r="AY144" s="2">
        <f>(Table7[[#This Row],[Dominus]]-Table7[[#This Row],[Octane]])/$B$245</f>
        <v>3.2585128019996516E-2</v>
      </c>
      <c r="AZ144" s="2">
        <f>(Table7[[#This Row],[Plank]]-Table7[[#This Row],[Octane]])/$B$245</f>
        <v>2.5321557163174635E-2</v>
      </c>
      <c r="BA144" s="2">
        <f>(Table7[[#This Row],[Batmobile]]-Table7[[#This Row],[Octane]])/$B$245</f>
        <v>9.3820868961324907E-3</v>
      </c>
      <c r="BB144" s="2">
        <f>(Table7[[#This Row],[Breakout]]-Table7[[#This Row],[Octane]])/$B$245</f>
        <v>3.5006304738419286E-2</v>
      </c>
      <c r="BC144" s="2"/>
    </row>
    <row r="145" spans="1:55">
      <c r="A145" s="1">
        <v>0.77500000000000002</v>
      </c>
      <c r="B145" s="13">
        <f>Octane[[#This Row],[angvel_total]]</f>
        <v>1.9824000226997576</v>
      </c>
      <c r="C145" s="13">
        <f>Hybrid[[#This Row],[angvel_total]]</f>
        <v>2.0301000098517314</v>
      </c>
      <c r="D145" s="13">
        <f>Dominus[[#This Row],[angvel_total]]</f>
        <v>2.0470000390815826</v>
      </c>
      <c r="E145" s="13">
        <f>Plank[[#This Row],[angvel_total]]</f>
        <v>2.032600009839614</v>
      </c>
      <c r="F145" s="13">
        <f>Batmobile[[#This Row],[angvel_total]]</f>
        <v>2.0010000099950025</v>
      </c>
      <c r="G145" s="13">
        <f>Breakout[[#This Row],[angvel_total]]</f>
        <v>2.0519000219308929</v>
      </c>
      <c r="I145" s="2">
        <f>Table7[[#This Row],[Hybrid]]/Table7[[#This Row],[Octane]] - 1</f>
        <v>2.406173658483568E-2</v>
      </c>
      <c r="J145" s="2">
        <f>Table7[[#This Row],[Dominus]]/Table7[[#This Row],[Octane]] - 1</f>
        <v>3.2586771409459869E-2</v>
      </c>
      <c r="K145" s="2">
        <f>Table7[[#This Row],[Plank]]/Table7[[#This Row],[Octane]] - 1</f>
        <v>2.5322834223685531E-2</v>
      </c>
      <c r="L145" s="2">
        <f>Table7[[#This Row],[Batmobile]]/Table7[[#This Row],[Octane]] - 1</f>
        <v>9.3825600697452494E-3</v>
      </c>
      <c r="M145" s="2">
        <f>Table7[[#This Row],[Breakout]]/Table7[[#This Row],[Octane]] - 1</f>
        <v>3.5058514142108255E-2</v>
      </c>
      <c r="N145" s="2">
        <f>Table7[[#This Row],[Breakout]]/Table7[[#This Row],[Plank]] - 1</f>
        <v>9.495233689781335E-3</v>
      </c>
      <c r="P145" s="6">
        <v>93</v>
      </c>
      <c r="Q145" s="4">
        <f>(1-$Y$4)*Q146+$Y$4*Table7[[#This Row],[Octane]]</f>
        <v>1.9824418534680324</v>
      </c>
      <c r="R145" s="4">
        <f>(1-$Y$4)*R146+$Y$4*Table7[[#This Row],[Hybrid]]</f>
        <v>2.0301705637420255</v>
      </c>
      <c r="S145" s="4">
        <f>(1-$Y$4)*S146+$Y$4*Table7[[#This Row],[Dominus]]</f>
        <v>2.0471015257759042</v>
      </c>
      <c r="T145" s="4">
        <f>(1-$Y$4)*T146+$Y$4*Table7[[#This Row],[Plank]]</f>
        <v>2.032722085325056</v>
      </c>
      <c r="U145" s="4">
        <f>(1-$Y$4)*U146+$Y$4*Table7[[#This Row],[Batmobile]]</f>
        <v>2.0010117788313639</v>
      </c>
      <c r="V145" s="4">
        <f>(1-$Y$4)*V146+$Y$4*Table7[[#This Row],[Breakout]]</f>
        <v>2.0521681729173213</v>
      </c>
      <c r="W145" s="11">
        <f>POWER((1-$Y$4),Table714[[#This Row],[X]]-1)*$Y$4</f>
        <v>1.7290768664495816E-8</v>
      </c>
      <c r="AA145">
        <v>0.77499999999999003</v>
      </c>
      <c r="AD145" s="6">
        <v>93</v>
      </c>
      <c r="AE145" s="11">
        <f>(1-_xlfn.NORM.DIST(Table14[[#This Row],[X]],$AB$44,$AB$46,TRUE))/$AE$52</f>
        <v>2.1442159554385897E-2</v>
      </c>
      <c r="AF145" s="8">
        <f>Table14[[#This Row],[Column1]]*Table7[[#This Row],[Octane]]</f>
        <v>4.2506937587346423E-2</v>
      </c>
      <c r="AG145" s="8">
        <f>Table14[[#This Row],[Column1]]*Table7[[#This Row],[Hybrid]]</f>
        <v>4.3529728322601206E-2</v>
      </c>
      <c r="AH145" s="8">
        <f>Table14[[#This Row],[Column1]]*Table7[[#This Row],[Dominus]]</f>
        <v>4.3892101445821459E-2</v>
      </c>
      <c r="AI145" s="8">
        <f>Table14[[#This Row],[Column1]]*Table7[[#This Row],[Plank]]</f>
        <v>4.3583333721227351E-2</v>
      </c>
      <c r="AJ145" s="8">
        <f>Table14[[#This Row],[Column1]]*Table7[[#This Row],[Batmobile]]</f>
        <v>4.2905761482640616E-2</v>
      </c>
      <c r="AK145" s="8">
        <f>Table14[[#This Row],[Column1]]*Table7[[#This Row],[Breakout]]</f>
        <v>4.3997167659890125E-2</v>
      </c>
      <c r="AL145" s="3">
        <f>Table14[[#This Row],[Column1]]-AE146</f>
        <v>1.6992544289336185E-3</v>
      </c>
      <c r="AW145" s="11">
        <v>0</v>
      </c>
      <c r="AX145" s="2">
        <f>(Table7[[#This Row],[Hybrid]]-Table7[[#This Row],[Octane]])/$B$245</f>
        <v>2.4060523122971803E-2</v>
      </c>
      <c r="AY145" s="2">
        <f>(Table7[[#This Row],[Dominus]]-Table7[[#This Row],[Octane]])/$B$245</f>
        <v>3.2585128019996516E-2</v>
      </c>
      <c r="AZ145" s="2">
        <f>(Table7[[#This Row],[Plank]]-Table7[[#This Row],[Octane]])/$B$245</f>
        <v>2.5321557163174635E-2</v>
      </c>
      <c r="BA145" s="2">
        <f>(Table7[[#This Row],[Batmobile]]-Table7[[#This Row],[Octane]])/$B$245</f>
        <v>9.3820868961324907E-3</v>
      </c>
      <c r="BB145" s="2">
        <f>(Table7[[#This Row],[Breakout]]-Table7[[#This Row],[Octane]])/$B$245</f>
        <v>3.5056746099732597E-2</v>
      </c>
      <c r="BC145" s="2"/>
    </row>
    <row r="146" spans="1:55">
      <c r="A146" s="1">
        <v>0.78333333333333299</v>
      </c>
      <c r="B146" s="13">
        <f>Octane[[#This Row],[angvel_total]]</f>
        <v>1.9824000226997576</v>
      </c>
      <c r="C146" s="13">
        <f>Hybrid[[#This Row],[angvel_total]]</f>
        <v>2.0301000024629325</v>
      </c>
      <c r="D146" s="13">
        <f>Dominus[[#This Row],[angvel_total]]</f>
        <v>2.0471000390796732</v>
      </c>
      <c r="E146" s="13">
        <f>Plank[[#This Row],[angvel_total]]</f>
        <v>2.032600009839614</v>
      </c>
      <c r="F146" s="13">
        <f>Batmobile[[#This Row],[angvel_total]]</f>
        <v>2.0010000099950025</v>
      </c>
      <c r="G146" s="13">
        <f>Breakout[[#This Row],[angvel_total]]</f>
        <v>2.0520000219298247</v>
      </c>
      <c r="I146" s="2">
        <f>Table7[[#This Row],[Hybrid]]/Table7[[#This Row],[Octane]] - 1</f>
        <v>2.4061732857636908E-2</v>
      </c>
      <c r="J146" s="2">
        <f>Table7[[#This Row],[Dominus]]/Table7[[#This Row],[Octane]] - 1</f>
        <v>3.2637215314295087E-2</v>
      </c>
      <c r="K146" s="2">
        <f>Table7[[#This Row],[Plank]]/Table7[[#This Row],[Octane]] - 1</f>
        <v>2.5322834223685531E-2</v>
      </c>
      <c r="L146" s="2">
        <f>Table7[[#This Row],[Batmobile]]/Table7[[#This Row],[Octane]] - 1</f>
        <v>9.3825600697452494E-3</v>
      </c>
      <c r="M146" s="2">
        <f>Table7[[#This Row],[Breakout]]/Table7[[#This Row],[Octane]] - 1</f>
        <v>3.5108958047368022E-2</v>
      </c>
      <c r="N146" s="2">
        <f>Table7[[#This Row],[Breakout]]/Table7[[#This Row],[Plank]] - 1</f>
        <v>9.5444317604531648E-3</v>
      </c>
      <c r="P146" s="6">
        <v>94</v>
      </c>
      <c r="Q146" s="4">
        <f>(1-$Y$4)*Q147+$Y$4*Table7[[#This Row],[Octane]]</f>
        <v>1.9824498212334181</v>
      </c>
      <c r="R146" s="4">
        <f>(1-$Y$4)*R147+$Y$4*Table7[[#This Row],[Hybrid]]</f>
        <v>2.030184002578272</v>
      </c>
      <c r="S146" s="4">
        <f>(1-$Y$4)*S147+$Y$4*Table7[[#This Row],[Dominus]]</f>
        <v>2.0471208565748227</v>
      </c>
      <c r="T146" s="4">
        <f>(1-$Y$4)*T147+$Y$4*Table7[[#This Row],[Plank]]</f>
        <v>2.0327453377984734</v>
      </c>
      <c r="U146" s="4">
        <f>(1-$Y$4)*U147+$Y$4*Table7[[#This Row],[Batmobile]]</f>
        <v>2.0010140205144804</v>
      </c>
      <c r="V146" s="4">
        <f>(1-$Y$4)*V147+$Y$4*Table7[[#This Row],[Breakout]]</f>
        <v>2.0522192492956886</v>
      </c>
      <c r="W146" s="11">
        <f>POWER((1-$Y$4),Table714[[#This Row],[X]]-1)*$Y$4</f>
        <v>1.4524245678176488E-8</v>
      </c>
      <c r="AA146">
        <v>0.783333333333323</v>
      </c>
      <c r="AD146" s="6">
        <v>94</v>
      </c>
      <c r="AE146" s="11">
        <f>(1-_xlfn.NORM.DIST(Table14[[#This Row],[X]],$AB$44,$AB$46,TRUE))/$AE$52</f>
        <v>1.9742905125452279E-2</v>
      </c>
      <c r="AF146" s="8">
        <f>Table14[[#This Row],[Column1]]*Table7[[#This Row],[Octane]]</f>
        <v>3.9138335568855757E-2</v>
      </c>
      <c r="AG146" s="8">
        <f>Table14[[#This Row],[Column1]]*Table7[[#This Row],[Hybrid]]</f>
        <v>4.0080071743806116E-2</v>
      </c>
      <c r="AH146" s="8">
        <f>Table14[[#This Row],[Column1]]*Table7[[#This Row],[Dominus]]</f>
        <v>4.0415701853859641E-2</v>
      </c>
      <c r="AI146" s="8">
        <f>Table14[[#This Row],[Column1]]*Table7[[#This Row],[Plank]]</f>
        <v>4.0129429152256868E-2</v>
      </c>
      <c r="AJ146" s="8">
        <f>Table14[[#This Row],[Column1]]*Table7[[#This Row],[Batmobile]]</f>
        <v>3.9505553353360395E-2</v>
      </c>
      <c r="AK146" s="8">
        <f>Table14[[#This Row],[Column1]]*Table7[[#This Row],[Breakout]]</f>
        <v>4.0512441750386527E-2</v>
      </c>
      <c r="AL146" s="3">
        <f>Table14[[#This Row],[Column1]]-AE147</f>
        <v>1.5826253089920618E-3</v>
      </c>
      <c r="AW146" s="11">
        <v>0</v>
      </c>
      <c r="AX146" s="2">
        <f>(Table7[[#This Row],[Hybrid]]-Table7[[#This Row],[Octane]])/$B$245</f>
        <v>2.4060519395961009E-2</v>
      </c>
      <c r="AY146" s="2">
        <f>(Table7[[#This Row],[Dominus]]-Table7[[#This Row],[Octane]])/$B$245</f>
        <v>3.2635569380886E-2</v>
      </c>
      <c r="AZ146" s="2">
        <f>(Table7[[#This Row],[Plank]]-Table7[[#This Row],[Octane]])/$B$245</f>
        <v>2.5321557163174635E-2</v>
      </c>
      <c r="BA146" s="2">
        <f>(Table7[[#This Row],[Batmobile]]-Table7[[#This Row],[Octane]])/$B$245</f>
        <v>9.3820868961324907E-3</v>
      </c>
      <c r="BB146" s="2">
        <f>(Table7[[#This Row],[Breakout]]-Table7[[#This Row],[Octane]])/$B$245</f>
        <v>3.5107187461046345E-2</v>
      </c>
      <c r="BC146" s="2"/>
    </row>
    <row r="147" spans="1:55">
      <c r="A147" s="1">
        <v>0.79166666666666596</v>
      </c>
      <c r="B147" s="13">
        <f>Octane[[#This Row],[angvel_total]]</f>
        <v>1.9824000428773199</v>
      </c>
      <c r="C147" s="13">
        <f>Hybrid[[#This Row],[angvel_total]]</f>
        <v>2.0301999999999998</v>
      </c>
      <c r="D147" s="13">
        <f>Dominus[[#This Row],[angvel_total]]</f>
        <v>2.0471000390796732</v>
      </c>
      <c r="E147" s="13">
        <f>Plank[[#This Row],[angvel_total]]</f>
        <v>2.0327000098391306</v>
      </c>
      <c r="F147" s="13">
        <f>Batmobile[[#This Row],[angvel_total]]</f>
        <v>2.0010000099950025</v>
      </c>
      <c r="G147" s="13">
        <f>Breakout[[#This Row],[angvel_total]]</f>
        <v>2.052100021928756</v>
      </c>
      <c r="I147" s="2">
        <f>Table7[[#This Row],[Hybrid]]/Table7[[#This Row],[Octane]] - 1</f>
        <v>2.4112165097263327E-2</v>
      </c>
      <c r="J147" s="2">
        <f>Table7[[#This Row],[Dominus]]/Table7[[#This Row],[Octane]] - 1</f>
        <v>3.2637204803751763E-2</v>
      </c>
      <c r="K147" s="2">
        <f>Table7[[#This Row],[Plank]]/Table7[[#This Row],[Octane]] - 1</f>
        <v>2.5373267692631707E-2</v>
      </c>
      <c r="L147" s="2">
        <f>Table7[[#This Row],[Batmobile]]/Table7[[#This Row],[Octane]] - 1</f>
        <v>9.3825497958959225E-3</v>
      </c>
      <c r="M147" s="2">
        <f>Table7[[#This Row],[Breakout]]/Table7[[#This Row],[Octane]] - 1</f>
        <v>3.5159391416412333E-2</v>
      </c>
      <c r="N147" s="2">
        <f>Table7[[#This Row],[Breakout]]/Table7[[#This Row],[Plank]] - 1</f>
        <v>9.5439622156350268E-3</v>
      </c>
      <c r="P147" s="6">
        <v>95</v>
      </c>
      <c r="Q147" s="4">
        <f>(1-$Y$4)*Q148+$Y$4*Table7[[#This Row],[Octane]]</f>
        <v>1.9824593066684009</v>
      </c>
      <c r="R147" s="4">
        <f>(1-$Y$4)*R148+$Y$4*Table7[[#This Row],[Hybrid]]</f>
        <v>2.0302000026002416</v>
      </c>
      <c r="S147" s="4">
        <f>(1-$Y$4)*S148+$Y$4*Table7[[#This Row],[Dominus]]</f>
        <v>2.0471248218119942</v>
      </c>
      <c r="T147" s="4">
        <f>(1-$Y$4)*T148+$Y$4*Table7[[#This Row],[Plank]]</f>
        <v>2.0327730193144466</v>
      </c>
      <c r="U147" s="4">
        <f>(1-$Y$4)*U148+$Y$4*Table7[[#This Row],[Batmobile]]</f>
        <v>2.0010166891848571</v>
      </c>
      <c r="V147" s="4">
        <f>(1-$Y$4)*V148+$Y$4*Table7[[#This Row],[Breakout]]</f>
        <v>2.0522610068891862</v>
      </c>
      <c r="W147" s="11">
        <f>POWER((1-$Y$4),Table714[[#This Row],[X]]-1)*$Y$4</f>
        <v>1.2200366369668249E-8</v>
      </c>
      <c r="AA147">
        <v>0.79166666666665597</v>
      </c>
      <c r="AD147" s="6">
        <v>95</v>
      </c>
      <c r="AE147" s="11">
        <f>(1-_xlfn.NORM.DIST(Table14[[#This Row],[X]],$AB$44,$AB$46,TRUE))/$AE$52</f>
        <v>1.8160279816460217E-2</v>
      </c>
      <c r="AF147" s="8">
        <f>Table14[[#This Row],[Column1]]*Table7[[#This Row],[Octane]]</f>
        <v>3.6000939486814862E-2</v>
      </c>
      <c r="AG147" s="8">
        <f>Table14[[#This Row],[Column1]]*Table7[[#This Row],[Hybrid]]</f>
        <v>3.6869000083377526E-2</v>
      </c>
      <c r="AH147" s="8">
        <f>Table14[[#This Row],[Column1]]*Table7[[#This Row],[Dominus]]</f>
        <v>3.7175909521973513E-2</v>
      </c>
      <c r="AI147" s="8">
        <f>Table14[[#This Row],[Column1]]*Table7[[#This Row],[Plank]]</f>
        <v>3.691440096160005E-2</v>
      </c>
      <c r="AJ147" s="8">
        <f>Table14[[#This Row],[Column1]]*Table7[[#This Row],[Batmobile]]</f>
        <v>3.6338720094248933E-2</v>
      </c>
      <c r="AK147" s="8">
        <f>Table14[[#This Row],[Column1]]*Table7[[#This Row],[Breakout]]</f>
        <v>3.7266710609590352E-2</v>
      </c>
      <c r="AL147" s="3">
        <f>Table14[[#This Row],[Column1]]-AE148</f>
        <v>1.4723643650640106E-3</v>
      </c>
      <c r="AW147" s="11">
        <v>0</v>
      </c>
      <c r="AX147" s="2">
        <f>(Table7[[#This Row],[Hybrid]]-Table7[[#This Row],[Octane]])/$B$245</f>
        <v>2.4110949337639583E-2</v>
      </c>
      <c r="AY147" s="2">
        <f>(Table7[[#This Row],[Dominus]]-Table7[[#This Row],[Octane]])/$B$245</f>
        <v>3.2635559203048795E-2</v>
      </c>
      <c r="AZ147" s="2">
        <f>(Table7[[#This Row],[Plank]]-Table7[[#This Row],[Octane]])/$B$245</f>
        <v>2.5371988346946196E-2</v>
      </c>
      <c r="BA147" s="2">
        <f>(Table7[[#This Row],[Batmobile]]-Table7[[#This Row],[Octane]])/$B$245</f>
        <v>9.382076718295284E-3</v>
      </c>
      <c r="BB147" s="2">
        <f>(Table7[[#This Row],[Breakout]]-Table7[[#This Row],[Octane]])/$B$245</f>
        <v>3.5157618644522673E-2</v>
      </c>
      <c r="BC147" s="2"/>
    </row>
    <row r="148" spans="1:55">
      <c r="A148" s="1">
        <v>0.8</v>
      </c>
      <c r="B148" s="13">
        <f>Octane[[#This Row],[angvel_total]]</f>
        <v>1.9824000504439057</v>
      </c>
      <c r="C148" s="13">
        <f>Hybrid[[#This Row],[angvel_total]]</f>
        <v>2.0301999999999998</v>
      </c>
      <c r="D148" s="13">
        <f>Dominus[[#This Row],[angvel_total]]</f>
        <v>2.0471000390796732</v>
      </c>
      <c r="E148" s="13">
        <f>Plank[[#This Row],[angvel_total]]</f>
        <v>2.0327000098391306</v>
      </c>
      <c r="F148" s="13">
        <f>Batmobile[[#This Row],[angvel_total]]</f>
        <v>2.0010000099950025</v>
      </c>
      <c r="G148" s="13">
        <f>Breakout[[#This Row],[angvel_total]]</f>
        <v>2.0522000219276872</v>
      </c>
      <c r="I148" s="2">
        <f>Table7[[#This Row],[Hybrid]]/Table7[[#This Row],[Octane]] - 1</f>
        <v>2.4112161188348802E-2</v>
      </c>
      <c r="J148" s="2">
        <f>Table7[[#This Row],[Dominus]]/Table7[[#This Row],[Octane]] - 1</f>
        <v>3.2637200862298155E-2</v>
      </c>
      <c r="K148" s="2">
        <f>Table7[[#This Row],[Plank]]/Table7[[#This Row],[Octane]] - 1</f>
        <v>2.5373263778903477E-2</v>
      </c>
      <c r="L148" s="2">
        <f>Table7[[#This Row],[Batmobile]]/Table7[[#This Row],[Octane]] - 1</f>
        <v>9.382545943202425E-3</v>
      </c>
      <c r="M148" s="2">
        <f>Table7[[#This Row],[Breakout]]/Table7[[#This Row],[Octane]] - 1</f>
        <v>3.5209831369884981E-2</v>
      </c>
      <c r="N148" s="2">
        <f>Table7[[#This Row],[Breakout]]/Table7[[#This Row],[Plank]] - 1</f>
        <v>9.5931578659753658E-3</v>
      </c>
      <c r="P148" s="6">
        <v>96</v>
      </c>
      <c r="Q148" s="4">
        <f>(1-$Y$4)*Q149+$Y$4*Table7[[#This Row],[Octane]]</f>
        <v>1.9824705950095591</v>
      </c>
      <c r="R148" s="4">
        <f>(1-$Y$4)*R149+$Y$4*Table7[[#This Row],[Hybrid]]</f>
        <v>2.0302000030955258</v>
      </c>
      <c r="S148" s="4">
        <f>(1-$Y$4)*S149+$Y$4*Table7[[#This Row],[Dominus]]</f>
        <v>2.0471295423324363</v>
      </c>
      <c r="T148" s="4">
        <f>(1-$Y$4)*T149+$Y$4*Table7[[#This Row],[Plank]]</f>
        <v>2.0327869258811733</v>
      </c>
      <c r="U148" s="4">
        <f>(1-$Y$4)*U149+$Y$4*Table7[[#This Row],[Batmobile]]</f>
        <v>2.0010198661734009</v>
      </c>
      <c r="V148" s="4">
        <f>(1-$Y$4)*V149+$Y$4*Table7[[#This Row],[Breakout]]</f>
        <v>2.0522916706911731</v>
      </c>
      <c r="W148" s="11">
        <f>POWER((1-$Y$4),Table714[[#This Row],[X]]-1)*$Y$4</f>
        <v>1.0248307750521329E-8</v>
      </c>
      <c r="AA148">
        <v>0.79999999999998905</v>
      </c>
      <c r="AD148" s="6">
        <v>96</v>
      </c>
      <c r="AE148" s="11">
        <f>(1-_xlfn.NORM.DIST(Table14[[#This Row],[X]],$AB$44,$AB$46,TRUE))/$AE$52</f>
        <v>1.6687915451396206E-2</v>
      </c>
      <c r="AF148" s="8">
        <f>Table14[[#This Row],[Column1]]*Table7[[#This Row],[Octane]]</f>
        <v>3.3082124432651475E-2</v>
      </c>
      <c r="AG148" s="8">
        <f>Table14[[#This Row],[Column1]]*Table7[[#This Row],[Hybrid]]</f>
        <v>3.3879805949424573E-2</v>
      </c>
      <c r="AH148" s="8">
        <f>Table14[[#This Row],[Column1]]*Table7[[#This Row],[Dominus]]</f>
        <v>3.4161832372711455E-2</v>
      </c>
      <c r="AI148" s="8">
        <f>Table14[[#This Row],[Column1]]*Table7[[#This Row],[Plank]]</f>
        <v>3.3921525902247646E-2</v>
      </c>
      <c r="AJ148" s="8">
        <f>Table14[[#This Row],[Column1]]*Table7[[#This Row],[Batmobile]]</f>
        <v>3.3392518985039567E-2</v>
      </c>
      <c r="AK148" s="8">
        <f>Table14[[#This Row],[Column1]]*Table7[[#This Row],[Breakout]]</f>
        <v>3.4246940455282683E-2</v>
      </c>
      <c r="AL148" s="3">
        <f>Table14[[#This Row],[Column1]]-AE149</f>
        <v>1.3682642643246968E-3</v>
      </c>
      <c r="AW148" s="11">
        <v>0</v>
      </c>
      <c r="AX148" s="2">
        <f>(Table7[[#This Row],[Hybrid]]-Table7[[#This Row],[Octane]])/$B$245</f>
        <v>2.4110945520950656E-2</v>
      </c>
      <c r="AY148" s="2">
        <f>(Table7[[#This Row],[Dominus]]-Table7[[#This Row],[Octane]])/$B$245</f>
        <v>3.2635555386359871E-2</v>
      </c>
      <c r="AZ148" s="2">
        <f>(Table7[[#This Row],[Plank]]-Table7[[#This Row],[Octane]])/$B$245</f>
        <v>2.5371984530257272E-2</v>
      </c>
      <c r="BA148" s="2">
        <f>(Table7[[#This Row],[Batmobile]]-Table7[[#This Row],[Octane]])/$B$245</f>
        <v>9.382072901606359E-3</v>
      </c>
      <c r="BB148" s="2">
        <f>(Table7[[#This Row],[Breakout]]-Table7[[#This Row],[Octane]])/$B$245</f>
        <v>3.5208056189147276E-2</v>
      </c>
      <c r="BC148" s="2"/>
    </row>
    <row r="149" spans="1:55">
      <c r="A149" s="1">
        <v>0.80833333333333302</v>
      </c>
      <c r="B149" s="13">
        <f>Octane[[#This Row],[angvel_total]]</f>
        <v>1.9824000630548819</v>
      </c>
      <c r="C149" s="13">
        <f>Hybrid[[#This Row],[angvel_total]]</f>
        <v>2.0301999999999998</v>
      </c>
      <c r="D149" s="13">
        <f>Dominus[[#This Row],[angvel_total]]</f>
        <v>2.0471000390796732</v>
      </c>
      <c r="E149" s="13">
        <f>Plank[[#This Row],[angvel_total]]</f>
        <v>2.0327000098391306</v>
      </c>
      <c r="F149" s="13">
        <f>Batmobile[[#This Row],[angvel_total]]</f>
        <v>2.0010000099950025</v>
      </c>
      <c r="G149" s="13">
        <f>Breakout[[#This Row],[angvel_total]]</f>
        <v>2.0522000219276872</v>
      </c>
      <c r="I149" s="2">
        <f>Table7[[#This Row],[Hybrid]]/Table7[[#This Row],[Octane]] - 1</f>
        <v>2.4112154673491037E-2</v>
      </c>
      <c r="J149" s="2">
        <f>Table7[[#This Row],[Dominus]]/Table7[[#This Row],[Octane]] - 1</f>
        <v>3.263719429320866E-2</v>
      </c>
      <c r="K149" s="2">
        <f>Table7[[#This Row],[Plank]]/Table7[[#This Row],[Octane]] - 1</f>
        <v>2.5373257256023463E-2</v>
      </c>
      <c r="L149" s="2">
        <f>Table7[[#This Row],[Batmobile]]/Table7[[#This Row],[Octane]] - 1</f>
        <v>9.3825395220468177E-3</v>
      </c>
      <c r="M149" s="2">
        <f>Table7[[#This Row],[Breakout]]/Table7[[#This Row],[Octane]] - 1</f>
        <v>3.5209824784429911E-2</v>
      </c>
      <c r="N149" s="2">
        <f>Table7[[#This Row],[Breakout]]/Table7[[#This Row],[Plank]] - 1</f>
        <v>9.5931578659753658E-3</v>
      </c>
      <c r="P149" s="6">
        <v>97</v>
      </c>
      <c r="Q149" s="4">
        <f>(1-$Y$4)*Q150+$Y$4*Table7[[#This Row],[Octane]]</f>
        <v>1.9824840320696837</v>
      </c>
      <c r="R149" s="4">
        <f>(1-$Y$4)*R150+$Y$4*Table7[[#This Row],[Hybrid]]</f>
        <v>2.0302000036851497</v>
      </c>
      <c r="S149" s="4">
        <f>(1-$Y$4)*S150+$Y$4*Table7[[#This Row],[Dominus]]</f>
        <v>2.0471351619996292</v>
      </c>
      <c r="T149" s="4">
        <f>(1-$Y$4)*T150+$Y$4*Table7[[#This Row],[Plank]]</f>
        <v>2.0328034813177531</v>
      </c>
      <c r="U149" s="4">
        <f>(1-$Y$4)*U150+$Y$4*Table7[[#This Row],[Batmobile]]</f>
        <v>2.0010236483026196</v>
      </c>
      <c r="V149" s="4">
        <f>(1-$Y$4)*V150+$Y$4*Table7[[#This Row],[Breakout]]</f>
        <v>2.0523091275985035</v>
      </c>
      <c r="W149" s="11">
        <f>POWER((1-$Y$4),Table714[[#This Row],[X]]-1)*$Y$4</f>
        <v>8.608578510437915E-9</v>
      </c>
      <c r="AA149">
        <v>0.80833333333332202</v>
      </c>
      <c r="AD149" s="6">
        <v>97</v>
      </c>
      <c r="AE149" s="11">
        <f>(1-_xlfn.NORM.DIST(Table14[[#This Row],[X]],$AB$44,$AB$46,TRUE))/$AE$52</f>
        <v>1.5319651187071509E-2</v>
      </c>
      <c r="AF149" s="8">
        <f>Table14[[#This Row],[Column1]]*Table7[[#This Row],[Octane]]</f>
        <v>3.0369677479229355E-2</v>
      </c>
      <c r="AG149" s="8">
        <f>Table14[[#This Row],[Column1]]*Table7[[#This Row],[Hybrid]]</f>
        <v>3.1101955839992576E-2</v>
      </c>
      <c r="AH149" s="8">
        <f>Table14[[#This Row],[Column1]]*Table7[[#This Row],[Dominus]]</f>
        <v>3.1360858543741051E-2</v>
      </c>
      <c r="AI149" s="8">
        <f>Table14[[#This Row],[Column1]]*Table7[[#This Row],[Plank]]</f>
        <v>3.1140255118692305E-2</v>
      </c>
      <c r="AJ149" s="8">
        <f>Table14[[#This Row],[Column1]]*Table7[[#This Row],[Batmobile]]</f>
        <v>3.0654622178450042E-2</v>
      </c>
      <c r="AK149" s="8">
        <f>Table14[[#This Row],[Column1]]*Table7[[#This Row],[Breakout]]</f>
        <v>3.1438988502032673E-2</v>
      </c>
      <c r="AL149" s="3">
        <f>Table14[[#This Row],[Column1]]-AE150</f>
        <v>1.2701124297166532E-3</v>
      </c>
      <c r="AW149" s="11">
        <v>0</v>
      </c>
      <c r="AX149" s="2">
        <f>(Table7[[#This Row],[Hybrid]]-Table7[[#This Row],[Octane]])/$B$245</f>
        <v>2.4110939159802489E-2</v>
      </c>
      <c r="AY149" s="2">
        <f>(Table7[[#This Row],[Dominus]]-Table7[[#This Row],[Octane]])/$B$245</f>
        <v>3.2635549025211701E-2</v>
      </c>
      <c r="AZ149" s="2">
        <f>(Table7[[#This Row],[Plank]]-Table7[[#This Row],[Octane]])/$B$245</f>
        <v>2.5371978169109102E-2</v>
      </c>
      <c r="BA149" s="2">
        <f>(Table7[[#This Row],[Batmobile]]-Table7[[#This Row],[Octane]])/$B$245</f>
        <v>9.38206654045819E-3</v>
      </c>
      <c r="BB149" s="2">
        <f>(Table7[[#This Row],[Breakout]]-Table7[[#This Row],[Octane]])/$B$245</f>
        <v>3.5208049827999105E-2</v>
      </c>
      <c r="BC149" s="2"/>
    </row>
    <row r="150" spans="1:55">
      <c r="A150" s="1">
        <v>0.81666666666666599</v>
      </c>
      <c r="B150" s="13">
        <f>Octane[[#This Row],[angvel_total]]</f>
        <v>1.9825000630517013</v>
      </c>
      <c r="C150" s="13">
        <f>Hybrid[[#This Row],[angvel_total]]</f>
        <v>2.0301999999999998</v>
      </c>
      <c r="D150" s="13">
        <f>Dominus[[#This Row],[angvel_total]]</f>
        <v>2.0471000390796732</v>
      </c>
      <c r="E150" s="13">
        <f>Plank[[#This Row],[angvel_total]]</f>
        <v>2.0327000098391306</v>
      </c>
      <c r="F150" s="13">
        <f>Batmobile[[#This Row],[angvel_total]]</f>
        <v>2.001000012493753</v>
      </c>
      <c r="G150" s="13">
        <f>Breakout[[#This Row],[angvel_total]]</f>
        <v>2.0522000219276872</v>
      </c>
      <c r="I150" s="2">
        <f>Table7[[#This Row],[Hybrid]]/Table7[[#This Row],[Octane]] - 1</f>
        <v>2.4060497064939845E-2</v>
      </c>
      <c r="J150" s="2">
        <f>Table7[[#This Row],[Dominus]]/Table7[[#This Row],[Octane]] - 1</f>
        <v>3.258510667007597E-2</v>
      </c>
      <c r="K150" s="2">
        <f>Table7[[#This Row],[Plank]]/Table7[[#This Row],[Octane]] - 1</f>
        <v>2.5321536035744385E-2</v>
      </c>
      <c r="L150" s="2">
        <f>Table7[[#This Row],[Batmobile]]/Table7[[#This Row],[Octane]] - 1</f>
        <v>9.3316261557008229E-3</v>
      </c>
      <c r="M150" s="2">
        <f>Table7[[#This Row],[Breakout]]/Table7[[#This Row],[Octane]] - 1</f>
        <v>3.5157607394319834E-2</v>
      </c>
      <c r="N150" s="2">
        <f>Table7[[#This Row],[Breakout]]/Table7[[#This Row],[Plank]] - 1</f>
        <v>9.5931578659753658E-3</v>
      </c>
      <c r="P150" s="6">
        <v>98</v>
      </c>
      <c r="Q150" s="4">
        <f>(1-$Y$4)*Q151+$Y$4*Table7[[#This Row],[Octane]]</f>
        <v>1.9825000261677412</v>
      </c>
      <c r="R150" s="4">
        <f>(1-$Y$4)*R151+$Y$4*Table7[[#This Row],[Hybrid]]</f>
        <v>2.0302000043870834</v>
      </c>
      <c r="S150" s="4">
        <f>(1-$Y$4)*S151+$Y$4*Table7[[#This Row],[Dominus]]</f>
        <v>2.047141852079621</v>
      </c>
      <c r="T150" s="4">
        <f>(1-$Y$4)*T151+$Y$4*Table7[[#This Row],[Plank]]</f>
        <v>2.0328231901708245</v>
      </c>
      <c r="U150" s="4">
        <f>(1-$Y$4)*U151+$Y$4*Table7[[#This Row],[Batmobile]]</f>
        <v>2.0010281508374037</v>
      </c>
      <c r="V150" s="4">
        <f>(1-$Y$4)*V151+$Y$4*Table7[[#This Row],[Breakout]]</f>
        <v>2.0523299096310401</v>
      </c>
      <c r="W150" s="11">
        <f>POWER((1-$Y$4),Table714[[#This Row],[X]]-1)*$Y$4</f>
        <v>7.2312059487678473E-9</v>
      </c>
      <c r="AA150">
        <v>0.81666666666665499</v>
      </c>
      <c r="AD150" s="6">
        <v>98</v>
      </c>
      <c r="AE150" s="11">
        <f>(1-_xlfn.NORM.DIST(Table14[[#This Row],[X]],$AB$44,$AB$46,TRUE))/$AE$52</f>
        <v>1.4049538757354856E-2</v>
      </c>
      <c r="AF150" s="8">
        <f>Table14[[#This Row],[Column1]]*Table7[[#This Row],[Octane]]</f>
        <v>2.7853211472303324E-2</v>
      </c>
      <c r="AG150" s="8">
        <f>Table14[[#This Row],[Column1]]*Table7[[#This Row],[Hybrid]]</f>
        <v>2.8523373585181824E-2</v>
      </c>
      <c r="AH150" s="8">
        <f>Table14[[#This Row],[Column1]]*Table7[[#This Row],[Dominus]]</f>
        <v>2.8760811339232511E-2</v>
      </c>
      <c r="AI150" s="8">
        <f>Table14[[#This Row],[Column1]]*Table7[[#This Row],[Plank]]</f>
        <v>2.8558497570310464E-2</v>
      </c>
      <c r="AJ150" s="8">
        <f>Table14[[#This Row],[Column1]]*Table7[[#This Row],[Batmobile]]</f>
        <v>2.8113127228998534E-2</v>
      </c>
      <c r="AK150" s="8">
        <f>Table14[[#This Row],[Column1]]*Table7[[#This Row],[Breakout]]</f>
        <v>2.8832463745917528E-2</v>
      </c>
      <c r="AL150" s="3">
        <f>Table14[[#This Row],[Column1]]-AE151</f>
        <v>1.1776923207465744E-3</v>
      </c>
      <c r="AW150" s="11">
        <v>0</v>
      </c>
      <c r="AX150" s="2">
        <f>(Table7[[#This Row],[Hybrid]]-Table7[[#This Row],[Octane]])/$B$245</f>
        <v>2.4060497799554211E-2</v>
      </c>
      <c r="AY150" s="2">
        <f>(Table7[[#This Row],[Dominus]]-Table7[[#This Row],[Octane]])/$B$245</f>
        <v>3.2585107664963427E-2</v>
      </c>
      <c r="AZ150" s="2">
        <f>(Table7[[#This Row],[Plank]]-Table7[[#This Row],[Octane]])/$B$245</f>
        <v>2.5321536808860828E-2</v>
      </c>
      <c r="BA150" s="2">
        <f>(Table7[[#This Row],[Batmobile]]-Table7[[#This Row],[Octane]])/$B$245</f>
        <v>9.3316264406137165E-3</v>
      </c>
      <c r="BB150" s="2">
        <f>(Table7[[#This Row],[Breakout]]-Table7[[#This Row],[Octane]])/$B$245</f>
        <v>3.5157608467750831E-2</v>
      </c>
      <c r="BC150" s="2"/>
    </row>
    <row r="151" spans="1:55">
      <c r="A151" s="1">
        <v>0.82499999999999996</v>
      </c>
      <c r="B151" s="13">
        <f>Octane[[#This Row],[angvel_total]]</f>
        <v>1.982500045397225</v>
      </c>
      <c r="C151" s="13">
        <f>Hybrid[[#This Row],[angvel_total]]</f>
        <v>2.0301999999999998</v>
      </c>
      <c r="D151" s="13">
        <f>Dominus[[#This Row],[angvel_total]]</f>
        <v>2.0471000390796732</v>
      </c>
      <c r="E151" s="13">
        <f>Plank[[#This Row],[angvel_total]]</f>
        <v>2.0327000098391306</v>
      </c>
      <c r="F151" s="13">
        <f>Batmobile[[#This Row],[angvel_total]]</f>
        <v>2.001000012493753</v>
      </c>
      <c r="G151" s="13">
        <f>Breakout[[#This Row],[angvel_total]]</f>
        <v>2.052200038982555</v>
      </c>
      <c r="P151" s="6">
        <v>99</v>
      </c>
      <c r="Q151" s="4">
        <f>(1-$Y$4)*Q152+$Y$4*Table7[[#This Row],[Octane]]</f>
        <v>1.9825000191422251</v>
      </c>
      <c r="R151" s="4">
        <f>(1-$Y$4)*R152+$Y$4*Table7[[#This Row],[Hybrid]]</f>
        <v>2.0302000052227185</v>
      </c>
      <c r="S151" s="4">
        <f>(1-$Y$4)*S152+$Y$4*Table7[[#This Row],[Dominus]]</f>
        <v>2.0471498164605633</v>
      </c>
      <c r="T151" s="4">
        <f>(1-$Y$4)*T152+$Y$4*Table7[[#This Row],[Plank]]</f>
        <v>2.0328466530911475</v>
      </c>
      <c r="U151" s="4">
        <f>(1-$Y$4)*U152+$Y$4*Table7[[#This Row],[Batmobile]]</f>
        <v>2.0010335105219088</v>
      </c>
      <c r="V151" s="4">
        <f>(1-$Y$4)*V152+$Y$4*Table7[[#This Row],[Breakout]]</f>
        <v>2.0523546501459649</v>
      </c>
      <c r="W151" s="11">
        <f>POWER((1-$Y$4),Table714[[#This Row],[X]]-1)*$Y$4</f>
        <v>6.074212996964992E-9</v>
      </c>
      <c r="AA151">
        <v>0.82499999999998797</v>
      </c>
      <c r="AD151" s="6">
        <v>99</v>
      </c>
      <c r="AE151" s="11">
        <f>(1-_xlfn.NORM.DIST(Table14[[#This Row],[X]],$AB$44,$AB$46,TRUE))/$AE$52</f>
        <v>1.2871846436608282E-2</v>
      </c>
      <c r="AF151" s="8">
        <f>Table14[[#This Row],[Column1]]*Table7[[#This Row],[Octane]]</f>
        <v>2.5518436144922028E-2</v>
      </c>
      <c r="AG151" s="8">
        <f>Table14[[#This Row],[Column1]]*Table7[[#This Row],[Hybrid]]</f>
        <v>2.6132422635602132E-2</v>
      </c>
      <c r="AH151" s="8">
        <f>Table14[[#This Row],[Column1]]*Table7[[#This Row],[Dominus]]</f>
        <v>2.6349957343408364E-2</v>
      </c>
      <c r="AI151" s="8">
        <f>Table14[[#This Row],[Column1]]*Table7[[#This Row],[Plank]]</f>
        <v>2.6164602378341433E-2</v>
      </c>
      <c r="AJ151" s="8">
        <f>Table14[[#This Row],[Column1]]*Table7[[#This Row],[Batmobile]]</f>
        <v>2.5756564880470841E-2</v>
      </c>
      <c r="AK151" s="8">
        <f>Table14[[#This Row],[Column1]]*Table7[[#This Row],[Breakout]]</f>
        <v>2.6415603758984978E-2</v>
      </c>
      <c r="AL151" s="3">
        <f>Table14[[#This Row],[Column1]]-AE152</f>
        <v>1.0907846443100784E-3</v>
      </c>
      <c r="AW151" s="11"/>
    </row>
    <row r="152" spans="1:55">
      <c r="A152" s="1">
        <v>0.83333333333333304</v>
      </c>
      <c r="B152" s="13">
        <f>Octane[[#This Row],[angvel_total]]</f>
        <v>1.9825000201765446</v>
      </c>
      <c r="C152" s="13">
        <f>Hybrid[[#This Row],[angvel_total]]</f>
        <v>2.0301999999999998</v>
      </c>
      <c r="D152" s="13">
        <f>Dominus[[#This Row],[angvel_total]]</f>
        <v>2.0471000390796732</v>
      </c>
      <c r="E152" s="13">
        <f>Plank[[#This Row],[angvel_total]]</f>
        <v>2.0328000098386463</v>
      </c>
      <c r="F152" s="13">
        <f>Batmobile[[#This Row],[angvel_total]]</f>
        <v>2.001000012493753</v>
      </c>
      <c r="G152" s="13">
        <f>Breakout[[#This Row],[angvel_total]]</f>
        <v>2.0523000389806554</v>
      </c>
      <c r="P152" s="6">
        <v>100</v>
      </c>
      <c r="Q152" s="4">
        <f>(1-$Y$4)*Q153+$Y$4*Table7[[#This Row],[Octane]]</f>
        <v>1.9825000141412725</v>
      </c>
      <c r="R152" s="4">
        <f>(1-$Y$4)*R153+$Y$4*Table7[[#This Row],[Hybrid]]</f>
        <v>2.0302000062175223</v>
      </c>
      <c r="S152" s="4">
        <f>(1-$Y$4)*S153+$Y$4*Table7[[#This Row],[Dominus]]</f>
        <v>2.0471592978664468</v>
      </c>
      <c r="T152" s="4">
        <f>(1-$Y$4)*T153+$Y$4*Table7[[#This Row],[Plank]]</f>
        <v>2.0328745851391505</v>
      </c>
      <c r="U152" s="4">
        <f>(1-$Y$4)*U153+$Y$4*Table7[[#This Row],[Batmobile]]</f>
        <v>2.0010398910987006</v>
      </c>
      <c r="V152" s="4">
        <f>(1-$Y$4)*V153+$Y$4*Table7[[#This Row],[Breakout]]</f>
        <v>2.052384099891376</v>
      </c>
      <c r="W152" s="11">
        <f>POWER((1-$Y$4),Table714[[#This Row],[X]]-1)*$Y$4</f>
        <v>5.1023389174505923E-9</v>
      </c>
      <c r="AA152">
        <v>0.83333333333332105</v>
      </c>
      <c r="AD152" s="6">
        <v>100</v>
      </c>
      <c r="AE152" s="11">
        <f>(1-_xlfn.NORM.DIST(Table14[[#This Row],[X]],$AB$44,$AB$46,TRUE))/$AE$52</f>
        <v>1.1781061792298203E-2</v>
      </c>
      <c r="AF152" s="8">
        <f>Table14[[#This Row],[Column1]]*Table7[[#This Row],[Octane]]</f>
        <v>2.3355955240932307E-2</v>
      </c>
      <c r="AG152" s="8">
        <f>Table14[[#This Row],[Column1]]*Table7[[#This Row],[Hybrid]]</f>
        <v>2.3917911650723812E-2</v>
      </c>
      <c r="AH152" s="8">
        <f>Table14[[#This Row],[Column1]]*Table7[[#This Row],[Dominus]]</f>
        <v>2.4117012055413698E-2</v>
      </c>
      <c r="AI152" s="8">
        <f>Table14[[#This Row],[Column1]]*Table7[[#This Row],[Plank]]</f>
        <v>2.3948542527293486E-2</v>
      </c>
      <c r="AJ152" s="8">
        <f>Table14[[#This Row],[Column1]]*Table7[[#This Row],[Batmobile]]</f>
        <v>2.357390479357838E-2</v>
      </c>
      <c r="AK152" s="8">
        <f>Table14[[#This Row],[Column1]]*Table7[[#This Row],[Breakout]]</f>
        <v>2.4178273575567111E-2</v>
      </c>
      <c r="AL152" s="3">
        <f>Table14[[#This Row],[Column1]]-AE153</f>
        <v>1.0091684927876279E-3</v>
      </c>
      <c r="AW152" s="11"/>
    </row>
    <row r="153" spans="1:55">
      <c r="A153" s="1">
        <v>0.84166666666666601</v>
      </c>
      <c r="B153" s="13">
        <f>Octane[[#This Row],[angvel_total]]</f>
        <v>1.9825000201765446</v>
      </c>
      <c r="C153" s="13">
        <f>Hybrid[[#This Row],[angvel_total]]</f>
        <v>2.0301999999999998</v>
      </c>
      <c r="D153" s="13">
        <f>Dominus[[#This Row],[angvel_total]]</f>
        <v>2.0471000390796732</v>
      </c>
      <c r="E153" s="13">
        <f>Plank[[#This Row],[angvel_total]]</f>
        <v>2.0328000098386463</v>
      </c>
      <c r="F153" s="13">
        <f>Batmobile[[#This Row],[angvel_total]]</f>
        <v>2.001000012493753</v>
      </c>
      <c r="G153" s="13">
        <f>Breakout[[#This Row],[angvel_total]]</f>
        <v>2.0523000389806554</v>
      </c>
      <c r="P153" s="6">
        <v>101</v>
      </c>
      <c r="Q153" s="4">
        <f>(1-$Y$4)*Q154+$Y$4*Table7[[#This Row],[Octane]]</f>
        <v>1.982500012991697</v>
      </c>
      <c r="R153" s="4">
        <f>(1-$Y$4)*R154+$Y$4*Table7[[#This Row],[Hybrid]]</f>
        <v>2.0302000074018123</v>
      </c>
      <c r="S153" s="4">
        <f>(1-$Y$4)*S154+$Y$4*Table7[[#This Row],[Dominus]]</f>
        <v>2.0471705852544035</v>
      </c>
      <c r="T153" s="4">
        <f>(1-$Y$4)*T154+$Y$4*Table7[[#This Row],[Plank]]</f>
        <v>2.0328887899582941</v>
      </c>
      <c r="U153" s="4">
        <f>(1-$Y$4)*U154+$Y$4*Table7[[#This Row],[Batmobile]]</f>
        <v>2.0010474870234525</v>
      </c>
      <c r="V153" s="4">
        <f>(1-$Y$4)*V154+$Y$4*Table7[[#This Row],[Breakout]]</f>
        <v>2.0524001114934181</v>
      </c>
      <c r="W153" s="11">
        <f>POWER((1-$Y$4),Table714[[#This Row],[X]]-1)*$Y$4</f>
        <v>4.2859646906584978E-9</v>
      </c>
      <c r="AA153">
        <v>0.84166666666665402</v>
      </c>
      <c r="AD153" s="6">
        <v>101</v>
      </c>
      <c r="AE153" s="11">
        <f>(1-_xlfn.NORM.DIST(Table14[[#This Row],[X]],$AB$44,$AB$46,TRUE))/$AE$52</f>
        <v>1.0771893299510575E-2</v>
      </c>
      <c r="AF153" s="8">
        <f>Table14[[#This Row],[Column1]]*Table7[[#This Row],[Octane]]</f>
        <v>2.1355278683619302E-2</v>
      </c>
      <c r="AG153" s="8">
        <f>Table14[[#This Row],[Column1]]*Table7[[#This Row],[Hybrid]]</f>
        <v>2.1869097776666367E-2</v>
      </c>
      <c r="AH153" s="8">
        <f>Table14[[#This Row],[Column1]]*Table7[[#This Row],[Dominus]]</f>
        <v>2.2051143194390169E-2</v>
      </c>
      <c r="AI153" s="8">
        <f>Table14[[#This Row],[Column1]]*Table7[[#This Row],[Plank]]</f>
        <v>2.1897104805225946E-2</v>
      </c>
      <c r="AJ153" s="8">
        <f>Table14[[#This Row],[Column1]]*Table7[[#This Row],[Batmobile]]</f>
        <v>2.1554558626902035E-2</v>
      </c>
      <c r="AK153" s="8">
        <f>Table14[[#This Row],[Column1]]*Table7[[#This Row],[Breakout]]</f>
        <v>2.2107157038481016E-2</v>
      </c>
      <c r="AL153" s="3">
        <f>Table14[[#This Row],[Column1]]-AE154</f>
        <v>9.3262240740792264E-4</v>
      </c>
      <c r="AW153" s="11"/>
    </row>
    <row r="154" spans="1:55">
      <c r="A154" s="1">
        <v>0.85</v>
      </c>
      <c r="B154" s="13">
        <f>Octane[[#This Row],[angvel_total]]</f>
        <v>1.9825000126103405</v>
      </c>
      <c r="C154" s="13">
        <f>Hybrid[[#This Row],[angvel_total]]</f>
        <v>2.0302000024628115</v>
      </c>
      <c r="D154" s="13">
        <f>Dominus[[#This Row],[angvel_total]]</f>
        <v>2.0471000390796732</v>
      </c>
      <c r="E154" s="13">
        <f>Plank[[#This Row],[angvel_total]]</f>
        <v>2.0328000098386463</v>
      </c>
      <c r="F154" s="13">
        <f>Batmobile[[#This Row],[angvel_total]]</f>
        <v>2.0010000199900051</v>
      </c>
      <c r="G154" s="13">
        <f>Breakout[[#This Row],[angvel_total]]</f>
        <v>2.0523000414169461</v>
      </c>
      <c r="P154" s="6">
        <v>102</v>
      </c>
      <c r="Q154" s="4">
        <f>(1-$Y$4)*Q155+$Y$4*Table7[[#This Row],[Octane]]</f>
        <v>1.9825000116231546</v>
      </c>
      <c r="R154" s="4">
        <f>(1-$Y$4)*R155+$Y$4*Table7[[#This Row],[Hybrid]]</f>
        <v>2.0302000088116814</v>
      </c>
      <c r="S154" s="4">
        <f>(1-$Y$4)*S155+$Y$4*Table7[[#This Row],[Dominus]]</f>
        <v>2.047184022621019</v>
      </c>
      <c r="T154" s="4">
        <f>(1-$Y$4)*T155+$Y$4*Table7[[#This Row],[Plank]]</f>
        <v>2.0329057004572744</v>
      </c>
      <c r="U154" s="4">
        <f>(1-$Y$4)*U155+$Y$4*Table7[[#This Row],[Batmobile]]</f>
        <v>2.0010565297910143</v>
      </c>
      <c r="V154" s="4">
        <f>(1-$Y$4)*V155+$Y$4*Table7[[#This Row],[Breakout]]</f>
        <v>2.0524191729244206</v>
      </c>
      <c r="W154" s="11">
        <f>POWER((1-$Y$4),Table714[[#This Row],[X]]-1)*$Y$4</f>
        <v>3.6002103401531378E-9</v>
      </c>
      <c r="AA154">
        <v>0.84999999999998699</v>
      </c>
      <c r="AD154" s="6">
        <v>102</v>
      </c>
      <c r="AE154" s="11">
        <f>(1-_xlfn.NORM.DIST(Table14[[#This Row],[X]],$AB$44,$AB$46,TRUE))/$AE$52</f>
        <v>9.8392708921026528E-3</v>
      </c>
      <c r="AF154" s="8">
        <f>Table14[[#This Row],[Column1]]*Table7[[#This Row],[Octane]]</f>
        <v>1.9506354667670065E-2</v>
      </c>
      <c r="AG154" s="8">
        <f>Table14[[#This Row],[Column1]]*Table7[[#This Row],[Hybrid]]</f>
        <v>1.9975687789379075E-2</v>
      </c>
      <c r="AH154" s="8">
        <f>Table14[[#This Row],[Column1]]*Table7[[#This Row],[Dominus]]</f>
        <v>2.014197182773883E-2</v>
      </c>
      <c r="AI154" s="8">
        <f>Table14[[#This Row],[Column1]]*Table7[[#This Row],[Plank]]</f>
        <v>2.0001269966271377E-2</v>
      </c>
      <c r="AJ154" s="8">
        <f>Table14[[#This Row],[Column1]]*Table7[[#This Row],[Batmobile]]</f>
        <v>1.9688381251784483E-2</v>
      </c>
      <c r="AK154" s="8">
        <f>Table14[[#This Row],[Column1]]*Table7[[#This Row],[Breakout]]</f>
        <v>2.0193136059374828E-2</v>
      </c>
      <c r="AL154" s="3">
        <f>Table14[[#This Row],[Column1]]-AE155</f>
        <v>8.6092536556987495E-4</v>
      </c>
    </row>
    <row r="155" spans="1:55">
      <c r="A155" s="1">
        <v>0.85833333333333295</v>
      </c>
      <c r="B155" s="13">
        <f>Octane[[#This Row],[angvel_total]]</f>
        <v>1.9825000126103405</v>
      </c>
      <c r="C155" s="13">
        <f>Hybrid[[#This Row],[angvel_total]]</f>
        <v>2.0302000024628115</v>
      </c>
      <c r="D155" s="13">
        <f>Dominus[[#This Row],[angvel_total]]</f>
        <v>2.0472000415201248</v>
      </c>
      <c r="E155" s="13">
        <f>Plank[[#This Row],[angvel_total]]</f>
        <v>2.0328000098386463</v>
      </c>
      <c r="F155" s="13">
        <f>Batmobile[[#This Row],[angvel_total]]</f>
        <v>2.0010000199900051</v>
      </c>
      <c r="G155" s="13">
        <f>Breakout[[#This Row],[angvel_total]]</f>
        <v>2.0524000487234448</v>
      </c>
      <c r="P155" s="6">
        <v>103</v>
      </c>
      <c r="Q155" s="4">
        <f>(1-$Y$4)*Q156+$Y$4*Table7[[#This Row],[Octane]]</f>
        <v>1.9825000114351194</v>
      </c>
      <c r="R155" s="4">
        <f>(1-$Y$4)*R156+$Y$4*Table7[[#This Row],[Hybrid]]</f>
        <v>2.03020001002099</v>
      </c>
      <c r="S155" s="4">
        <f>(1-$Y$4)*S156+$Y$4*Table7[[#This Row],[Dominus]]</f>
        <v>2.0472000194860374</v>
      </c>
      <c r="T155" s="4">
        <f>(1-$Y$4)*T156+$Y$4*Table7[[#This Row],[Plank]]</f>
        <v>2.0329258320036798</v>
      </c>
      <c r="U155" s="4">
        <f>(1-$Y$4)*U156+$Y$4*Table7[[#This Row],[Batmobile]]</f>
        <v>2.001067293562635</v>
      </c>
      <c r="V155" s="4">
        <f>(1-$Y$4)*V156+$Y$4*Table7[[#This Row],[Breakout]]</f>
        <v>2.0524418646401301</v>
      </c>
      <c r="W155" s="11">
        <f>POWER((1-$Y$4),Table714[[#This Row],[X]]-1)*$Y$4</f>
        <v>3.0241766857286351E-9</v>
      </c>
      <c r="AA155">
        <v>0.85833333333331996</v>
      </c>
      <c r="AD155" s="6">
        <v>103</v>
      </c>
      <c r="AE155" s="11">
        <f>(1-_xlfn.NORM.DIST(Table14[[#This Row],[X]],$AB$44,$AB$46,TRUE))/$AE$52</f>
        <v>8.9783455265327779E-3</v>
      </c>
      <c r="AF155" s="8">
        <f>Table14[[#This Row],[Column1]]*Table7[[#This Row],[Octane]]</f>
        <v>1.7799570119571225E-2</v>
      </c>
      <c r="AG155" s="8">
        <f>Table14[[#This Row],[Column1]]*Table7[[#This Row],[Hybrid]]</f>
        <v>1.8227837110078818E-2</v>
      </c>
      <c r="AH155" s="8">
        <f>Table14[[#This Row],[Column1]]*Table7[[#This Row],[Dominus]]</f>
        <v>1.8380469334699931E-2</v>
      </c>
      <c r="AI155" s="8">
        <f>Table14[[#This Row],[Column1]]*Table7[[#This Row],[Plank]]</f>
        <v>1.8251180874670595E-2</v>
      </c>
      <c r="AJ155" s="8">
        <f>Table14[[#This Row],[Column1]]*Table7[[#This Row],[Batmobile]]</f>
        <v>1.7965669578069263E-2</v>
      </c>
      <c r="AK155" s="8">
        <f>Table14[[#This Row],[Column1]]*Table7[[#This Row],[Breakout]]</f>
        <v>1.8427156796111795E-2</v>
      </c>
      <c r="AL155" s="3">
        <f>Table14[[#This Row],[Column1]]-AE156</f>
        <v>7.9385769148783772E-4</v>
      </c>
    </row>
    <row r="156" spans="1:55">
      <c r="A156" s="1">
        <v>0.86666666666666603</v>
      </c>
      <c r="B156" s="13">
        <f>Octane[[#This Row],[angvel_total]]</f>
        <v>1.9825000126103405</v>
      </c>
      <c r="C156" s="13">
        <f>Hybrid[[#This Row],[angvel_total]]</f>
        <v>2.0302000098512458</v>
      </c>
      <c r="D156" s="13">
        <f>Dominus[[#This Row],[angvel_total]]</f>
        <v>2.0472000415201248</v>
      </c>
      <c r="E156" s="13">
        <f>Plank[[#This Row],[angvel_total]]</f>
        <v>2.0329000098381624</v>
      </c>
      <c r="F156" s="13">
        <f>Batmobile[[#This Row],[angvel_total]]</f>
        <v>2.0010000199900051</v>
      </c>
      <c r="G156" s="13">
        <f>Breakout[[#This Row],[angvel_total]]</f>
        <v>2.0524000487234448</v>
      </c>
      <c r="P156" s="6">
        <v>104</v>
      </c>
      <c r="Q156" s="4">
        <f>(1-$Y$4)*Q157+$Y$4*Table7[[#This Row],[Octane]]</f>
        <v>1.9825000112112681</v>
      </c>
      <c r="R156" s="4">
        <f>(1-$Y$4)*R157+$Y$4*Table7[[#This Row],[Hybrid]]</f>
        <v>2.0302000114606433</v>
      </c>
      <c r="S156" s="4">
        <f>(1-$Y$4)*S157+$Y$4*Table7[[#This Row],[Dominus]]</f>
        <v>2.0472000152890684</v>
      </c>
      <c r="T156" s="4">
        <f>(1-$Y$4)*T157+$Y$4*Table7[[#This Row],[Plank]]</f>
        <v>2.0329497981303533</v>
      </c>
      <c r="U156" s="4">
        <f>(1-$Y$4)*U157+$Y$4*Table7[[#This Row],[Batmobile]]</f>
        <v>2.0010801075764695</v>
      </c>
      <c r="V156" s="4">
        <f>(1-$Y$4)*V157+$Y$4*Table7[[#This Row],[Breakout]]</f>
        <v>2.0524498295766413</v>
      </c>
      <c r="W156" s="11">
        <f>POWER((1-$Y$4),Table714[[#This Row],[X]]-1)*$Y$4</f>
        <v>2.5403084160120538E-9</v>
      </c>
      <c r="AA156">
        <v>0.86666666666665304</v>
      </c>
      <c r="AD156" s="6">
        <v>104</v>
      </c>
      <c r="AE156" s="11">
        <f>(1-_xlfn.NORM.DIST(Table14[[#This Row],[X]],$AB$44,$AB$46,TRUE))/$AE$52</f>
        <v>8.1844878350449402E-3</v>
      </c>
      <c r="AF156" s="8">
        <f>Table14[[#This Row],[Column1]]*Table7[[#This Row],[Octane]]</f>
        <v>1.6225747236185771E-2</v>
      </c>
      <c r="AG156" s="8">
        <f>Table14[[#This Row],[Column1]]*Table7[[#This Row],[Hybrid]]</f>
        <v>1.6616147283335637E-2</v>
      </c>
      <c r="AH156" s="8">
        <f>Table14[[#This Row],[Column1]]*Table7[[#This Row],[Dominus]]</f>
        <v>1.6755283835724957E-2</v>
      </c>
      <c r="AI156" s="8">
        <f>Table14[[#This Row],[Column1]]*Table7[[#This Row],[Plank]]</f>
        <v>1.6638245400383181E-2</v>
      </c>
      <c r="AJ156" s="8">
        <f>Table14[[#This Row],[Column1]]*Table7[[#This Row],[Batmobile]]</f>
        <v>1.6377160321532878E-2</v>
      </c>
      <c r="AK156" s="8">
        <f>Table14[[#This Row],[Column1]]*Table7[[#This Row],[Breakout]]</f>
        <v>1.6797843231422676E-2</v>
      </c>
      <c r="AL156" s="3">
        <f>Table14[[#This Row],[Column1]]-AE157</f>
        <v>7.3120189014455605E-4</v>
      </c>
    </row>
    <row r="157" spans="1:55">
      <c r="A157" s="1">
        <v>0.875</v>
      </c>
      <c r="B157" s="13">
        <f>Octane[[#This Row],[angvel_total]]</f>
        <v>1.9825000126103405</v>
      </c>
      <c r="C157" s="13">
        <f>Hybrid[[#This Row],[angvel_total]]</f>
        <v>2.0302000098512458</v>
      </c>
      <c r="D157" s="13">
        <f>Dominus[[#This Row],[angvel_total]]</f>
        <v>2.0472000244236028</v>
      </c>
      <c r="E157" s="13">
        <f>Plank[[#This Row],[angvel_total]]</f>
        <v>2.0329000098381624</v>
      </c>
      <c r="F157" s="13">
        <f>Batmobile[[#This Row],[angvel_total]]</f>
        <v>2.0010000199900051</v>
      </c>
      <c r="G157" s="13">
        <f>Breakout[[#This Row],[angvel_total]]</f>
        <v>2.0524000487234448</v>
      </c>
      <c r="P157" s="6">
        <v>105</v>
      </c>
      <c r="Q157" s="4">
        <f>(1-$Y$4)*Q158+$Y$4*Table7[[#This Row],[Octane]]</f>
        <v>1.9825000109447783</v>
      </c>
      <c r="R157" s="4">
        <f>(1-$Y$4)*R158+$Y$4*Table7[[#This Row],[Hybrid]]</f>
        <v>2.0302000117671954</v>
      </c>
      <c r="S157" s="4">
        <f>(1-$Y$4)*S158+$Y$4*Table7[[#This Row],[Dominus]]</f>
        <v>2.0472000102926766</v>
      </c>
      <c r="T157" s="4">
        <f>(1-$Y$4)*T158+$Y$4*Table7[[#This Row],[Plank]]</f>
        <v>2.0329592816145801</v>
      </c>
      <c r="U157" s="4">
        <f>(1-$Y$4)*U158+$Y$4*Table7[[#This Row],[Batmobile]]</f>
        <v>2.0010953623548438</v>
      </c>
      <c r="V157" s="4">
        <f>(1-$Y$4)*V158+$Y$4*Table7[[#This Row],[Breakout]]</f>
        <v>2.0524593116439172</v>
      </c>
      <c r="W157" s="11">
        <f>POWER((1-$Y$4),Table714[[#This Row],[X]]-1)*$Y$4</f>
        <v>2.1338590694501252E-9</v>
      </c>
      <c r="AA157">
        <v>0.87499999999998601</v>
      </c>
      <c r="AD157" s="6">
        <v>105</v>
      </c>
      <c r="AE157" s="11">
        <f>(1-_xlfn.NORM.DIST(Table14[[#This Row],[X]],$AB$44,$AB$46,TRUE))/$AE$52</f>
        <v>7.4532859449003841E-3</v>
      </c>
      <c r="AF157" s="8">
        <f>Table14[[#This Row],[Column1]]*Table7[[#This Row],[Octane]]</f>
        <v>1.4776139479753484E-2</v>
      </c>
      <c r="AG157" s="8">
        <f>Table14[[#This Row],[Column1]]*Table7[[#This Row],[Hybrid]]</f>
        <v>1.5131661198760912E-2</v>
      </c>
      <c r="AH157" s="8">
        <f>Table14[[#This Row],[Column1]]*Table7[[#This Row],[Dominus]]</f>
        <v>1.5258367168436163E-2</v>
      </c>
      <c r="AI157" s="8">
        <f>Table14[[#This Row],[Column1]]*Table7[[#This Row],[Plank]]</f>
        <v>1.5151785070714628E-2</v>
      </c>
      <c r="AJ157" s="8">
        <f>Table14[[#This Row],[Column1]]*Table7[[#This Row],[Batmobile]]</f>
        <v>1.4914025324736893E-2</v>
      </c>
      <c r="AK157" s="8">
        <f>Table14[[#This Row],[Column1]]*Table7[[#This Row],[Breakout]]</f>
        <v>1.5297124436463316E-2</v>
      </c>
      <c r="AL157" s="3">
        <f>Table14[[#This Row],[Column1]]-AE158</f>
        <v>6.7274340510230235E-4</v>
      </c>
    </row>
    <row r="158" spans="1:55">
      <c r="A158" s="1">
        <v>0.88333333333333297</v>
      </c>
      <c r="B158" s="13">
        <f>Octane[[#This Row],[angvel_total]]</f>
        <v>1.9825000126103405</v>
      </c>
      <c r="C158" s="13">
        <f>Hybrid[[#This Row],[angvel_total]]</f>
        <v>2.0302000098512458</v>
      </c>
      <c r="D158" s="13">
        <f>Dominus[[#This Row],[angvel_total]]</f>
        <v>2.0472000244236028</v>
      </c>
      <c r="E158" s="13">
        <f>Plank[[#This Row],[angvel_total]]</f>
        <v>2.0329000049190813</v>
      </c>
      <c r="F158" s="13">
        <f>Batmobile[[#This Row],[angvel_total]]</f>
        <v>2.0010000199900051</v>
      </c>
      <c r="G158" s="13">
        <f>Breakout[[#This Row],[angvel_total]]</f>
        <v>2.0524000487234448</v>
      </c>
      <c r="P158" s="6">
        <v>106</v>
      </c>
      <c r="Q158" s="4">
        <f>(1-$Y$4)*Q159+$Y$4*Table7[[#This Row],[Octane]]</f>
        <v>1.9825000106275286</v>
      </c>
      <c r="R158" s="4">
        <f>(1-$Y$4)*R159+$Y$4*Table7[[#This Row],[Hybrid]]</f>
        <v>2.0302000121321382</v>
      </c>
      <c r="S158" s="4">
        <f>(1-$Y$4)*S159+$Y$4*Table7[[#This Row],[Dominus]]</f>
        <v>2.0472000076010715</v>
      </c>
      <c r="T158" s="4">
        <f>(1-$Y$4)*T159+$Y$4*Table7[[#This Row],[Plank]]</f>
        <v>2.032970571476755</v>
      </c>
      <c r="U158" s="4">
        <f>(1-$Y$4)*U159+$Y$4*Table7[[#This Row],[Batmobile]]</f>
        <v>2.0011135228052894</v>
      </c>
      <c r="V158" s="4">
        <f>(1-$Y$4)*V159+$Y$4*Table7[[#This Row],[Breakout]]</f>
        <v>2.0524705998192454</v>
      </c>
      <c r="W158" s="11">
        <f>POWER((1-$Y$4),Table714[[#This Row],[X]]-1)*$Y$4</f>
        <v>1.7924416183381053E-9</v>
      </c>
      <c r="AA158">
        <v>0.88333333333331898</v>
      </c>
      <c r="AD158" s="6">
        <v>106</v>
      </c>
      <c r="AE158" s="11">
        <f>(1-_xlfn.NORM.DIST(Table14[[#This Row],[X]],$AB$44,$AB$46,TRUE))/$AE$52</f>
        <v>6.7805425397980817E-3</v>
      </c>
      <c r="AF158" s="8">
        <f>Table14[[#This Row],[Column1]]*Table7[[#This Row],[Octane]]</f>
        <v>1.3442425670654647E-2</v>
      </c>
      <c r="AG158" s="8">
        <f>Table14[[#This Row],[Column1]]*Table7[[#This Row],[Hybrid]]</f>
        <v>1.3765857531094857E-2</v>
      </c>
      <c r="AH158" s="8">
        <f>Table14[[#This Row],[Column1]]*Table7[[#This Row],[Dominus]]</f>
        <v>1.3881126853079911E-2</v>
      </c>
      <c r="AI158" s="8">
        <f>Table14[[#This Row],[Column1]]*Table7[[#This Row],[Plank]]</f>
        <v>1.378416496250956E-2</v>
      </c>
      <c r="AJ158" s="8">
        <f>Table14[[#This Row],[Column1]]*Table7[[#This Row],[Batmobile]]</f>
        <v>1.3567865757679041E-2</v>
      </c>
      <c r="AK158" s="8">
        <f>Table14[[#This Row],[Column1]]*Table7[[#This Row],[Breakout]]</f>
        <v>1.3916385839052973E-2</v>
      </c>
      <c r="AL158" s="3">
        <f>Table14[[#This Row],[Column1]]-AE159</f>
        <v>6.1827130126142996E-4</v>
      </c>
    </row>
    <row r="159" spans="1:55">
      <c r="A159" s="1">
        <v>0.89166666666666605</v>
      </c>
      <c r="B159" s="13">
        <f>Octane[[#This Row],[angvel_total]]</f>
        <v>1.9825000126103405</v>
      </c>
      <c r="C159" s="13">
        <f>Hybrid[[#This Row],[angvel_total]]</f>
        <v>2.0302000098512458</v>
      </c>
      <c r="D159" s="13">
        <f>Dominus[[#This Row],[angvel_total]]</f>
        <v>2.0472000122118015</v>
      </c>
      <c r="E159" s="13">
        <f>Plank[[#This Row],[angvel_total]]</f>
        <v>2.0329000049190813</v>
      </c>
      <c r="F159" s="13">
        <f>Batmobile[[#This Row],[angvel_total]]</f>
        <v>2.0011000199890061</v>
      </c>
      <c r="G159" s="13">
        <f>Breakout[[#This Row],[angvel_total]]</f>
        <v>2.0524000487234448</v>
      </c>
      <c r="P159" s="6">
        <v>107</v>
      </c>
      <c r="Q159" s="4">
        <f>(1-$Y$4)*Q160+$Y$4*Table7[[#This Row],[Octane]]</f>
        <v>1.9825000102498502</v>
      </c>
      <c r="R159" s="4">
        <f>(1-$Y$4)*R160+$Y$4*Table7[[#This Row],[Hybrid]]</f>
        <v>2.0302000125665938</v>
      </c>
      <c r="S159" s="4">
        <f>(1-$Y$4)*S160+$Y$4*Table7[[#This Row],[Dominus]]</f>
        <v>2.04720000439678</v>
      </c>
      <c r="T159" s="4">
        <f>(1-$Y$4)*T160+$Y$4*Table7[[#This Row],[Plank]]</f>
        <v>2.0329840127258358</v>
      </c>
      <c r="U159" s="4">
        <f>(1-$Y$4)*U160+$Y$4*Table7[[#This Row],[Batmobile]]</f>
        <v>2.0011351423891535</v>
      </c>
      <c r="V159" s="4">
        <f>(1-$Y$4)*V160+$Y$4*Table7[[#This Row],[Breakout]]</f>
        <v>2.0524840381232075</v>
      </c>
      <c r="W159" s="11">
        <f>POWER((1-$Y$4),Table714[[#This Row],[X]]-1)*$Y$4</f>
        <v>1.5056509594040081E-9</v>
      </c>
      <c r="AA159">
        <v>0.89166666666665195</v>
      </c>
      <c r="AD159" s="6">
        <v>107</v>
      </c>
      <c r="AE159" s="11">
        <f>(1-_xlfn.NORM.DIST(Table14[[#This Row],[X]],$AB$44,$AB$46,TRUE))/$AE$52</f>
        <v>6.1622712385366518E-3</v>
      </c>
      <c r="AF159" s="8">
        <f>Table14[[#This Row],[Column1]]*Table7[[#This Row],[Octane]]</f>
        <v>1.2216702808107251E-2</v>
      </c>
      <c r="AG159" s="8">
        <f>Table14[[#This Row],[Column1]]*Table7[[#This Row],[Hybrid]]</f>
        <v>1.2510643129183159E-2</v>
      </c>
      <c r="AH159" s="8">
        <f>Table14[[#This Row],[Column1]]*Table7[[#This Row],[Dominus]]</f>
        <v>1.2615401754784667E-2</v>
      </c>
      <c r="AI159" s="8">
        <f>Table14[[#This Row],[Column1]]*Table7[[#This Row],[Plank]]</f>
        <v>1.2527281231133872E-2</v>
      </c>
      <c r="AJ159" s="8">
        <f>Table14[[#This Row],[Column1]]*Table7[[#This Row],[Batmobile]]</f>
        <v>1.2331321098613372E-2</v>
      </c>
      <c r="AK159" s="8">
        <f>Table14[[#This Row],[Column1]]*Table7[[#This Row],[Breakout]]</f>
        <v>1.2647445790219708E-2</v>
      </c>
      <c r="AL159" s="3">
        <f>Table14[[#This Row],[Column1]]-AE160</f>
        <v>5.6757887411708428E-4</v>
      </c>
    </row>
    <row r="160" spans="1:55">
      <c r="A160" s="1">
        <v>0.9</v>
      </c>
      <c r="B160" s="13">
        <f>Octane[[#This Row],[angvel_total]]</f>
        <v>1.9825000126103405</v>
      </c>
      <c r="C160" s="13">
        <f>Hybrid[[#This Row],[angvel_total]]</f>
        <v>2.0302000098512458</v>
      </c>
      <c r="D160" s="13">
        <f>Dominus[[#This Row],[angvel_total]]</f>
        <v>2.0472000048847208</v>
      </c>
      <c r="E160" s="13">
        <f>Plank[[#This Row],[angvel_total]]</f>
        <v>2.0330000098376781</v>
      </c>
      <c r="F160" s="13">
        <f>Batmobile[[#This Row],[angvel_total]]</f>
        <v>2.0011000124931289</v>
      </c>
      <c r="G160" s="13">
        <f>Breakout[[#This Row],[angvel_total]]</f>
        <v>2.0525000487210714</v>
      </c>
      <c r="P160" s="6">
        <v>108</v>
      </c>
      <c r="Q160" s="4">
        <f>(1-$Y$4)*Q161+$Y$4*Table7[[#This Row],[Octane]]</f>
        <v>1.9825000098002332</v>
      </c>
      <c r="R160" s="4">
        <f>(1-$Y$4)*R161+$Y$4*Table7[[#This Row],[Hybrid]]</f>
        <v>2.0302000130838032</v>
      </c>
      <c r="S160" s="4">
        <f>(1-$Y$4)*S161+$Y$4*Table7[[#This Row],[Dominus]]</f>
        <v>2.0472000029082045</v>
      </c>
      <c r="T160" s="4">
        <f>(1-$Y$4)*T161+$Y$4*Table7[[#This Row],[Plank]]</f>
        <v>2.0330000142128366</v>
      </c>
      <c r="U160" s="4">
        <f>(1-$Y$4)*U161+$Y$4*Table7[[#This Row],[Batmobile]]</f>
        <v>2.0011418323701342</v>
      </c>
      <c r="V160" s="4">
        <f>(1-$Y$4)*V161+$Y$4*Table7[[#This Row],[Breakout]]</f>
        <v>2.052500036104115</v>
      </c>
      <c r="W160" s="11">
        <f>POWER((1-$Y$4),Table714[[#This Row],[X]]-1)*$Y$4</f>
        <v>1.2647468058993667E-9</v>
      </c>
      <c r="AA160">
        <v>0.89999999999998503</v>
      </c>
      <c r="AD160" s="6">
        <v>108</v>
      </c>
      <c r="AE160" s="11">
        <f>(1-_xlfn.NORM.DIST(Table14[[#This Row],[X]],$AB$44,$AB$46,TRUE))/$AE$52</f>
        <v>5.5946923644195675E-3</v>
      </c>
      <c r="AF160" s="8">
        <f>Table14[[#This Row],[Column1]]*Table7[[#This Row],[Octane]]</f>
        <v>1.1091477683012768E-2</v>
      </c>
      <c r="AG160" s="8">
        <f>Table14[[#This Row],[Column1]]*Table7[[#This Row],[Hybrid]]</f>
        <v>1.1358344493359296E-2</v>
      </c>
      <c r="AH160" s="8">
        <f>Table14[[#This Row],[Column1]]*Table7[[#This Row],[Dominus]]</f>
        <v>1.1453454235768249E-2</v>
      </c>
      <c r="AI160" s="8">
        <f>Table14[[#This Row],[Column1]]*Table7[[#This Row],[Plank]]</f>
        <v>1.1374009631903763E-2</v>
      </c>
      <c r="AJ160" s="8">
        <f>Table14[[#This Row],[Column1]]*Table7[[#This Row],[Batmobile]]</f>
        <v>1.1195538960335209E-2</v>
      </c>
      <c r="AK160" s="8">
        <f>Table14[[#This Row],[Column1]]*Table7[[#This Row],[Breakout]]</f>
        <v>1.1483106350550568E-2</v>
      </c>
      <c r="AL160" s="3">
        <f>Table14[[#This Row],[Column1]]-AE161</f>
        <v>5.204641874979694E-4</v>
      </c>
    </row>
    <row r="161" spans="1:38">
      <c r="A161" s="1">
        <v>0.90833333333333299</v>
      </c>
      <c r="B161" s="13">
        <f>Octane[[#This Row],[angvel_total]]</f>
        <v>1.9825000126103405</v>
      </c>
      <c r="C161" s="13">
        <f>Hybrid[[#This Row],[angvel_total]]</f>
        <v>2.0302000098512458</v>
      </c>
      <c r="D161" s="13">
        <f>Dominus[[#This Row],[angvel_total]]</f>
        <v>2.0472000048847208</v>
      </c>
      <c r="E161" s="13">
        <f>Plank[[#This Row],[angvel_total]]</f>
        <v>2.0330000098376781</v>
      </c>
      <c r="F161" s="13">
        <f>Batmobile[[#This Row],[angvel_total]]</f>
        <v>2.0011000049972516</v>
      </c>
      <c r="G161" s="13">
        <f>Breakout[[#This Row],[angvel_total]]</f>
        <v>2.0525000487210714</v>
      </c>
      <c r="P161" s="6">
        <v>109</v>
      </c>
      <c r="Q161" s="4">
        <f>(1-$Y$4)*Q162+$Y$4*Table7[[#This Row],[Octane]]</f>
        <v>1.9825000092649749</v>
      </c>
      <c r="R161" s="4">
        <f>(1-$Y$4)*R162+$Y$4*Table7[[#This Row],[Hybrid]]</f>
        <v>2.0302000136995284</v>
      </c>
      <c r="S161" s="4">
        <f>(1-$Y$4)*S162+$Y$4*Table7[[#This Row],[Dominus]]</f>
        <v>2.0472000025317252</v>
      </c>
      <c r="T161" s="4">
        <f>(1-$Y$4)*T162+$Y$4*Table7[[#This Row],[Plank]]</f>
        <v>2.0330000150462002</v>
      </c>
      <c r="U161" s="4">
        <f>(1-$Y$4)*U162+$Y$4*Table7[[#This Row],[Batmobile]]</f>
        <v>2.0011497980609927</v>
      </c>
      <c r="V161" s="4">
        <f>(1-$Y$4)*V162+$Y$4*Table7[[#This Row],[Breakout]]</f>
        <v>2.0525000337008854</v>
      </c>
      <c r="W161" s="11">
        <f>POWER((1-$Y$4),Table714[[#This Row],[X]]-1)*$Y$4</f>
        <v>1.0623873169554678E-9</v>
      </c>
      <c r="AA161">
        <v>0.908333333333318</v>
      </c>
      <c r="AD161" s="6">
        <v>109</v>
      </c>
      <c r="AE161" s="11">
        <f>(1-_xlfn.NORM.DIST(Table14[[#This Row],[X]],$AB$44,$AB$46,TRUE))/$AE$52</f>
        <v>5.0742281769215981E-3</v>
      </c>
      <c r="AF161" s="8">
        <f>Table14[[#This Row],[Column1]]*Table7[[#This Row],[Octane]]</f>
        <v>1.0059657424734813E-2</v>
      </c>
      <c r="AG161" s="8">
        <f>Table14[[#This Row],[Column1]]*Table7[[#This Row],[Hybrid]]</f>
        <v>1.0301698094773697E-2</v>
      </c>
      <c r="AH161" s="8">
        <f>Table14[[#This Row],[Column1]]*Table7[[#This Row],[Dominus]]</f>
        <v>1.0387959948580083E-2</v>
      </c>
      <c r="AI161" s="8">
        <f>Table14[[#This Row],[Column1]]*Table7[[#This Row],[Plank]]</f>
        <v>1.0315905933600232E-2</v>
      </c>
      <c r="AJ161" s="8">
        <f>Table14[[#This Row],[Column1]]*Table7[[#This Row],[Batmobile]]</f>
        <v>1.0154038030195005E-2</v>
      </c>
      <c r="AK161" s="8">
        <f>Table14[[#This Row],[Column1]]*Table7[[#This Row],[Breakout]]</f>
        <v>1.0414853580353413E-2</v>
      </c>
      <c r="AL161" s="3">
        <f>Table14[[#This Row],[Column1]]-AE162</f>
        <v>4.767305421407679E-4</v>
      </c>
    </row>
    <row r="162" spans="1:38">
      <c r="A162" s="1">
        <v>0.91666666666666596</v>
      </c>
      <c r="B162" s="13">
        <f>Octane[[#This Row],[angvel_total]]</f>
        <v>1.9825000126103405</v>
      </c>
      <c r="C162" s="13">
        <f>Hybrid[[#This Row],[angvel_total]]</f>
        <v>2.0302000098512458</v>
      </c>
      <c r="D162" s="13">
        <f>Dominus[[#This Row],[angvel_total]]</f>
        <v>2.0472000024423602</v>
      </c>
      <c r="E162" s="13">
        <f>Plank[[#This Row],[angvel_total]]</f>
        <v>2.0330000098376781</v>
      </c>
      <c r="F162" s="13">
        <f>Batmobile[[#This Row],[angvel_total]]</f>
        <v>2.0011000049972516</v>
      </c>
      <c r="G162" s="13">
        <f>Breakout[[#This Row],[angvel_total]]</f>
        <v>2.0525000487210714</v>
      </c>
      <c r="P162" s="6">
        <v>110</v>
      </c>
      <c r="Q162" s="4">
        <f>(1-$Y$4)*Q163+$Y$4*Table7[[#This Row],[Octane]]</f>
        <v>1.9825000086277627</v>
      </c>
      <c r="R162" s="4">
        <f>(1-$Y$4)*R163+$Y$4*Table7[[#This Row],[Hybrid]]</f>
        <v>2.0302000144325349</v>
      </c>
      <c r="S162" s="4">
        <f>(1-$Y$4)*S163+$Y$4*Table7[[#This Row],[Dominus]]</f>
        <v>2.0472000020835357</v>
      </c>
      <c r="T162" s="4">
        <f>(1-$Y$4)*T163+$Y$4*Table7[[#This Row],[Plank]]</f>
        <v>2.0330000160382995</v>
      </c>
      <c r="U162" s="4">
        <f>(1-$Y$4)*U163+$Y$4*Table7[[#This Row],[Batmobile]]</f>
        <v>2.0011592824540863</v>
      </c>
      <c r="V162" s="4">
        <f>(1-$Y$4)*V163+$Y$4*Table7[[#This Row],[Breakout]]</f>
        <v>2.052500030839898</v>
      </c>
      <c r="W162" s="11">
        <f>POWER((1-$Y$4),Table714[[#This Row],[X]]-1)*$Y$4</f>
        <v>8.9240534624259306E-10</v>
      </c>
      <c r="AA162">
        <v>0.91666666666665098</v>
      </c>
      <c r="AD162" s="6">
        <v>110</v>
      </c>
      <c r="AE162" s="11">
        <f>(1-_xlfn.NORM.DIST(Table14[[#This Row],[X]],$AB$44,$AB$46,TRUE))/$AE$52</f>
        <v>4.5974976347808302E-3</v>
      </c>
      <c r="AF162" s="8">
        <f>Table14[[#This Row],[Column1]]*Table7[[#This Row],[Octane]]</f>
        <v>9.1145391189290069E-3</v>
      </c>
      <c r="AG162" s="8">
        <f>Table14[[#This Row],[Column1]]*Table7[[#This Row],[Hybrid]]</f>
        <v>9.3338397434231217E-3</v>
      </c>
      <c r="AH162" s="8">
        <f>Table14[[#This Row],[Column1]]*Table7[[#This Row],[Dominus]]</f>
        <v>9.4119971691520605E-3</v>
      </c>
      <c r="AI162" s="8">
        <f>Table14[[#This Row],[Column1]]*Table7[[#This Row],[Plank]]</f>
        <v>9.3467127367381306E-3</v>
      </c>
      <c r="AJ162" s="8">
        <f>Table14[[#This Row],[Column1]]*Table7[[#This Row],[Batmobile]]</f>
        <v>9.2000525399347725E-3</v>
      </c>
      <c r="AK162" s="8">
        <f>Table14[[#This Row],[Column1]]*Table7[[#This Row],[Breakout]]</f>
        <v>9.4363641193826644E-3</v>
      </c>
      <c r="AL162" s="3">
        <f>Table14[[#This Row],[Column1]]-AE163</f>
        <v>4.3618687777789451E-4</v>
      </c>
    </row>
    <row r="163" spans="1:38">
      <c r="A163" s="1">
        <v>0.92500000000000004</v>
      </c>
      <c r="B163" s="13">
        <f>Octane[[#This Row],[angvel_total]]</f>
        <v>1.9825000126103405</v>
      </c>
      <c r="C163" s="13">
        <f>Hybrid[[#This Row],[angvel_total]]</f>
        <v>2.0302000123140576</v>
      </c>
      <c r="D163" s="13">
        <f>Dominus[[#This Row],[angvel_total]]</f>
        <v>2.0472000024423602</v>
      </c>
      <c r="E163" s="13">
        <f>Plank[[#This Row],[angvel_total]]</f>
        <v>2.0330000098376781</v>
      </c>
      <c r="F163" s="13">
        <f>Batmobile[[#This Row],[angvel_total]]</f>
        <v>2.0011000024986259</v>
      </c>
      <c r="G163" s="13">
        <f>Breakout[[#This Row],[angvel_total]]</f>
        <v>2.0525000609013393</v>
      </c>
      <c r="P163" s="6">
        <v>111</v>
      </c>
      <c r="Q163" s="4">
        <f>(1-$Y$4)*Q164+$Y$4*Table7[[#This Row],[Octane]]</f>
        <v>1.9825000078691766</v>
      </c>
      <c r="R163" s="4">
        <f>(1-$Y$4)*R164+$Y$4*Table7[[#This Row],[Hybrid]]</f>
        <v>2.0302000153051614</v>
      </c>
      <c r="S163" s="4">
        <f>(1-$Y$4)*S164+$Y$4*Table7[[#This Row],[Dominus]]</f>
        <v>2.0472000020151881</v>
      </c>
      <c r="T163" s="4">
        <f>(1-$Y$4)*T164+$Y$4*Table7[[#This Row],[Plank]]</f>
        <v>2.0330000172193703</v>
      </c>
      <c r="U163" s="4">
        <f>(1-$Y$4)*U164+$Y$4*Table7[[#This Row],[Batmobile]]</f>
        <v>2.001170573398245</v>
      </c>
      <c r="V163" s="4">
        <f>(1-$Y$4)*V164+$Y$4*Table7[[#This Row],[Breakout]]</f>
        <v>2.0525000274339602</v>
      </c>
      <c r="W163" s="11">
        <f>POWER((1-$Y$4),Table714[[#This Row],[X]]-1)*$Y$4</f>
        <v>7.4962049084377805E-10</v>
      </c>
      <c r="AA163">
        <v>0.92499999999998395</v>
      </c>
      <c r="AD163" s="6">
        <v>111</v>
      </c>
      <c r="AE163" s="11">
        <f>(1-_xlfn.NORM.DIST(Table14[[#This Row],[X]],$AB$44,$AB$46,TRUE))/$AE$52</f>
        <v>4.1613107570029357E-3</v>
      </c>
      <c r="AF163" s="8">
        <f>Table14[[#This Row],[Column1]]*Table7[[#This Row],[Octane]]</f>
        <v>8.2497986282338651E-3</v>
      </c>
      <c r="AG163" s="8">
        <f>Table14[[#This Row],[Column1]]*Table7[[#This Row],[Hybrid]]</f>
        <v>8.4482931501099808E-3</v>
      </c>
      <c r="AH163" s="8">
        <f>Table14[[#This Row],[Column1]]*Table7[[#This Row],[Dominus]]</f>
        <v>8.5190353918998298E-3</v>
      </c>
      <c r="AI163" s="8">
        <f>Table14[[#This Row],[Column1]]*Table7[[#This Row],[Plank]]</f>
        <v>8.4599448099246036E-3</v>
      </c>
      <c r="AJ163" s="8">
        <f>Table14[[#This Row],[Column1]]*Table7[[#This Row],[Batmobile]]</f>
        <v>8.3271989662361337E-3</v>
      </c>
      <c r="AK163" s="8">
        <f>Table14[[#This Row],[Column1]]*Table7[[#This Row],[Breakout]]</f>
        <v>8.5410905821779234E-3</v>
      </c>
      <c r="AL163" s="3">
        <f>Table14[[#This Row],[Column1]]-AE164</f>
        <v>3.9864811168951846E-4</v>
      </c>
    </row>
    <row r="164" spans="1:38">
      <c r="A164" s="1">
        <v>0.93333333333333302</v>
      </c>
      <c r="B164" s="13">
        <f>Octane[[#This Row],[angvel_total]]</f>
        <v>1.9825000050441361</v>
      </c>
      <c r="C164" s="13">
        <f>Hybrid[[#This Row],[angvel_total]]</f>
        <v>2.0302000123140576</v>
      </c>
      <c r="D164" s="13">
        <f>Dominus[[#This Row],[angvel_total]]</f>
        <v>2.0472000024423602</v>
      </c>
      <c r="E164" s="13">
        <f>Plank[[#This Row],[angvel_total]]</f>
        <v>2.0330000122970979</v>
      </c>
      <c r="F164" s="13">
        <f>Batmobile[[#This Row],[angvel_total]]</f>
        <v>2.0011000024986259</v>
      </c>
      <c r="G164" s="13">
        <f>Breakout[[#This Row],[angvel_total]]</f>
        <v>2.0525000438489642</v>
      </c>
      <c r="P164" s="6">
        <v>112</v>
      </c>
      <c r="Q164" s="4">
        <f>(1-$Y$4)*Q165+$Y$4*Table7[[#This Row],[Octane]]</f>
        <v>1.9825000069660978</v>
      </c>
      <c r="R164" s="4">
        <f>(1-$Y$4)*R165+$Y$4*Table7[[#This Row],[Hybrid]]</f>
        <v>2.0302000158748954</v>
      </c>
      <c r="S164" s="4">
        <f>(1-$Y$4)*S165+$Y$4*Table7[[#This Row],[Dominus]]</f>
        <v>2.0472000019338221</v>
      </c>
      <c r="T164" s="4">
        <f>(1-$Y$4)*T165+$Y$4*Table7[[#This Row],[Plank]]</f>
        <v>2.0330000186254069</v>
      </c>
      <c r="U164" s="4">
        <f>(1-$Y$4)*U165+$Y$4*Table7[[#This Row],[Batmobile]]</f>
        <v>2.001184015474363</v>
      </c>
      <c r="V164" s="4">
        <f>(1-$Y$4)*V165+$Y$4*Table7[[#This Row],[Breakout]]</f>
        <v>2.0525000210592212</v>
      </c>
      <c r="W164" s="11">
        <f>POWER((1-$Y$4),Table714[[#This Row],[X]]-1)*$Y$4</f>
        <v>6.2968121230877364E-10</v>
      </c>
      <c r="AA164">
        <v>0.93333333333331703</v>
      </c>
      <c r="AD164" s="6">
        <v>112</v>
      </c>
      <c r="AE164" s="11">
        <f>(1-_xlfn.NORM.DIST(Table14[[#This Row],[X]],$AB$44,$AB$46,TRUE))/$AE$52</f>
        <v>3.7626626453134172E-3</v>
      </c>
      <c r="AF164" s="8">
        <f>Table14[[#This Row],[Column1]]*Table7[[#This Row],[Octane]]</f>
        <v>7.4594787133132326E-3</v>
      </c>
      <c r="AG164" s="8">
        <f>Table14[[#This Row],[Column1]]*Table7[[#This Row],[Hybrid]]</f>
        <v>7.6389577488489438E-3</v>
      </c>
      <c r="AH164" s="8">
        <f>Table14[[#This Row],[Column1]]*Table7[[#This Row],[Dominus]]</f>
        <v>7.7029229766754055E-3</v>
      </c>
      <c r="AI164" s="8">
        <f>Table14[[#This Row],[Column1]]*Table7[[#This Row],[Plank]]</f>
        <v>7.6494932041920082E-3</v>
      </c>
      <c r="AJ164" s="8">
        <f>Table14[[#This Row],[Column1]]*Table7[[#This Row],[Batmobile]]</f>
        <v>7.5294642289381658E-3</v>
      </c>
      <c r="AK164" s="8">
        <f>Table14[[#This Row],[Column1]]*Table7[[#This Row],[Breakout]]</f>
        <v>7.7228652444946482E-3</v>
      </c>
      <c r="AL164" s="3">
        <f>Table14[[#This Row],[Column1]]-AE165</f>
        <v>3.6393541690074452E-4</v>
      </c>
    </row>
    <row r="165" spans="1:38">
      <c r="A165" s="1">
        <v>0.94166666666666599</v>
      </c>
      <c r="B165" s="13">
        <f>Octane[[#This Row],[angvel_total]]</f>
        <v>1.9825000126103405</v>
      </c>
      <c r="C165" s="13">
        <f>Hybrid[[#This Row],[angvel_total]]</f>
        <v>2.0302000123140576</v>
      </c>
      <c r="D165" s="13">
        <f>Dominus[[#This Row],[angvel_total]]</f>
        <v>2.0472000024423602</v>
      </c>
      <c r="E165" s="13">
        <f>Plank[[#This Row],[angvel_total]]</f>
        <v>2.0330000122970979</v>
      </c>
      <c r="F165" s="13">
        <f>Batmobile[[#This Row],[angvel_total]]</f>
        <v>2.0012000024985008</v>
      </c>
      <c r="G165" s="13">
        <f>Breakout[[#This Row],[angvel_total]]</f>
        <v>2.0525000438489642</v>
      </c>
      <c r="P165" s="6">
        <v>113</v>
      </c>
      <c r="Q165" s="4">
        <f>(1-$Y$4)*Q166+$Y$4*Table7[[#This Row],[Octane]]</f>
        <v>1.9825000073321861</v>
      </c>
      <c r="R165" s="4">
        <f>(1-$Y$4)*R166+$Y$4*Table7[[#This Row],[Hybrid]]</f>
        <v>2.0302000165531502</v>
      </c>
      <c r="S165" s="4">
        <f>(1-$Y$4)*S166+$Y$4*Table7[[#This Row],[Dominus]]</f>
        <v>2.0472000018369578</v>
      </c>
      <c r="T165" s="4">
        <f>(1-$Y$4)*T166+$Y$4*Table7[[#This Row],[Plank]]</f>
        <v>2.0330000198307991</v>
      </c>
      <c r="U165" s="4">
        <f>(1-$Y$4)*U166+$Y$4*Table7[[#This Row],[Batmobile]]</f>
        <v>2.0012000179459322</v>
      </c>
      <c r="V165" s="4">
        <f>(1-$Y$4)*V166+$Y$4*Table7[[#This Row],[Breakout]]</f>
        <v>2.0525000167183181</v>
      </c>
      <c r="W165" s="11">
        <f>POWER((1-$Y$4),Table714[[#This Row],[X]]-1)*$Y$4</f>
        <v>5.289322183393698E-10</v>
      </c>
      <c r="AA165">
        <v>0.94166666666665</v>
      </c>
      <c r="AD165" s="6">
        <v>113</v>
      </c>
      <c r="AE165" s="11">
        <f>(1-_xlfn.NORM.DIST(Table14[[#This Row],[X]],$AB$44,$AB$46,TRUE))/$AE$52</f>
        <v>3.3987272284126727E-3</v>
      </c>
      <c r="AF165" s="8">
        <f>Table14[[#This Row],[Column1]]*Table7[[#This Row],[Octane]]</f>
        <v>6.7379767731872309E-3</v>
      </c>
      <c r="AG165" s="8">
        <f>Table14[[#This Row],[Column1]]*Table7[[#This Row],[Hybrid]]</f>
        <v>6.9000960609755307E-3</v>
      </c>
      <c r="AH165" s="8">
        <f>Table14[[#This Row],[Column1]]*Table7[[#This Row],[Dominus]]</f>
        <v>6.9578743903073396E-3</v>
      </c>
      <c r="AI165" s="8">
        <f>Table14[[#This Row],[Column1]]*Table7[[#This Row],[Plank]]</f>
        <v>6.9096124971574453E-3</v>
      </c>
      <c r="AJ165" s="8">
        <f>Table14[[#This Row],[Column1]]*Table7[[#This Row],[Batmobile]]</f>
        <v>6.8015329379911638E-3</v>
      </c>
      <c r="AK165" s="8">
        <f>Table14[[#This Row],[Column1]]*Table7[[#This Row],[Breakout]]</f>
        <v>6.9758877853476793E-3</v>
      </c>
      <c r="AL165" s="3">
        <f>Table14[[#This Row],[Column1]]-AE166</f>
        <v>3.3187644337665835E-4</v>
      </c>
    </row>
    <row r="166" spans="1:38">
      <c r="A166" s="1">
        <v>0.95</v>
      </c>
      <c r="B166" s="13">
        <f>Octane[[#This Row],[angvel_total]]</f>
        <v>1.9825000126103405</v>
      </c>
      <c r="C166" s="13">
        <f>Hybrid[[#This Row],[angvel_total]]</f>
        <v>2.0302000246281153</v>
      </c>
      <c r="D166" s="13">
        <f>Dominus[[#This Row],[angvel_total]]</f>
        <v>2.0472000024423602</v>
      </c>
      <c r="E166" s="13">
        <f>Plank[[#This Row],[angvel_total]]</f>
        <v>2.0330000122970979</v>
      </c>
      <c r="F166" s="13">
        <f>Batmobile[[#This Row],[angvel_total]]</f>
        <v>2.0012000024985008</v>
      </c>
      <c r="G166" s="13">
        <f>Breakout[[#This Row],[angvel_total]]</f>
        <v>2.0525000316686968</v>
      </c>
      <c r="P166" s="6">
        <v>114</v>
      </c>
      <c r="Q166" s="4">
        <f>(1-$Y$4)*Q167+$Y$4*Table7[[#This Row],[Octane]]</f>
        <v>1.9825000063268234</v>
      </c>
      <c r="R166" s="4">
        <f>(1-$Y$4)*R167+$Y$4*Table7[[#This Row],[Hybrid]]</f>
        <v>2.0302000173605963</v>
      </c>
      <c r="S166" s="4">
        <f>(1-$Y$4)*S167+$Y$4*Table7[[#This Row],[Dominus]]</f>
        <v>2.047200001721643</v>
      </c>
      <c r="T166" s="4">
        <f>(1-$Y$4)*T167+$Y$4*Table7[[#This Row],[Plank]]</f>
        <v>2.0330000212657899</v>
      </c>
      <c r="U166" s="4">
        <f>(1-$Y$4)*U167+$Y$4*Table7[[#This Row],[Batmobile]]</f>
        <v>2.0012000208883003</v>
      </c>
      <c r="V166" s="4">
        <f>(1-$Y$4)*V167+$Y$4*Table7[[#This Row],[Breakout]]</f>
        <v>2.0525000115505763</v>
      </c>
      <c r="W166" s="11">
        <f>POWER((1-$Y$4),Table714[[#This Row],[X]]-1)*$Y$4</f>
        <v>4.4430306340507052E-10</v>
      </c>
      <c r="AA166">
        <v>0.94999999999998297</v>
      </c>
      <c r="AD166" s="6">
        <v>114</v>
      </c>
      <c r="AE166" s="11">
        <f>(1-_xlfn.NORM.DIST(Table14[[#This Row],[X]],$AB$44,$AB$46,TRUE))/$AE$52</f>
        <v>3.0668507850360144E-3</v>
      </c>
      <c r="AF166" s="8">
        <f>Table14[[#This Row],[Column1]]*Table7[[#This Row],[Octane]]</f>
        <v>6.0800317200079314E-3</v>
      </c>
      <c r="AG166" s="8">
        <f>Table14[[#This Row],[Column1]]*Table7[[#This Row],[Hybrid]]</f>
        <v>6.2263205393108716E-3</v>
      </c>
      <c r="AH166" s="8">
        <f>Table14[[#This Row],[Column1]]*Table7[[#This Row],[Dominus]]</f>
        <v>6.2784569346160833E-3</v>
      </c>
      <c r="AI166" s="8">
        <f>Table14[[#This Row],[Column1]]*Table7[[#This Row],[Plank]]</f>
        <v>6.2349076836915812E-3</v>
      </c>
      <c r="AJ166" s="8">
        <f>Table14[[#This Row],[Column1]]*Table7[[#This Row],[Batmobile]]</f>
        <v>6.1373817986766013E-3</v>
      </c>
      <c r="AK166" s="8">
        <f>Table14[[#This Row],[Column1]]*Table7[[#This Row],[Breakout]]</f>
        <v>6.294711333409587E-3</v>
      </c>
      <c r="AL166" s="3">
        <f>Table14[[#This Row],[Column1]]-AE167</f>
        <v>3.0230548571458845E-4</v>
      </c>
    </row>
    <row r="167" spans="1:38">
      <c r="A167" s="1">
        <v>0.95833333333333304</v>
      </c>
      <c r="B167" s="13">
        <f>Octane[[#This Row],[angvel_total]]</f>
        <v>1.9825000126103405</v>
      </c>
      <c r="C167" s="13">
        <f>Hybrid[[#This Row],[angvel_total]]</f>
        <v>2.0302000246281153</v>
      </c>
      <c r="D167" s="13">
        <f>Dominus[[#This Row],[angvel_total]]</f>
        <v>2.0472000024423602</v>
      </c>
      <c r="E167" s="13">
        <f>Plank[[#This Row],[angvel_total]]</f>
        <v>2.0330000196753568</v>
      </c>
      <c r="F167" s="13">
        <f>Batmobile[[#This Row],[angvel_total]]</f>
        <v>2.0012000024985008</v>
      </c>
      <c r="G167" s="13">
        <f>Breakout[[#This Row],[angvel_total]]</f>
        <v>2.0525000194884289</v>
      </c>
      <c r="P167" s="6">
        <v>115</v>
      </c>
      <c r="Q167" s="4">
        <f>(1-$Y$4)*Q168+$Y$4*Table7[[#This Row],[Octane]]</f>
        <v>1.9825000051299633</v>
      </c>
      <c r="R167" s="4">
        <f>(1-$Y$4)*R168+$Y$4*Table7[[#This Row],[Hybrid]]</f>
        <v>2.0302000159763067</v>
      </c>
      <c r="S167" s="4">
        <f>(1-$Y$4)*S168+$Y$4*Table7[[#This Row],[Dominus]]</f>
        <v>2.0472000015843634</v>
      </c>
      <c r="T167" s="4">
        <f>(1-$Y$4)*T168+$Y$4*Table7[[#This Row],[Plank]]</f>
        <v>2.0330000229741123</v>
      </c>
      <c r="U167" s="4">
        <f>(1-$Y$4)*U168+$Y$4*Table7[[#This Row],[Batmobile]]</f>
        <v>2.0012000243911192</v>
      </c>
      <c r="V167" s="4">
        <f>(1-$Y$4)*V168+$Y$4*Table7[[#This Row],[Breakout]]</f>
        <v>2.0525000077185536</v>
      </c>
      <c r="W167" s="11">
        <f>POWER((1-$Y$4),Table714[[#This Row],[X]]-1)*$Y$4</f>
        <v>3.7321457326025927E-10</v>
      </c>
      <c r="AA167">
        <v>0.95833333333331605</v>
      </c>
      <c r="AD167" s="6">
        <v>115</v>
      </c>
      <c r="AE167" s="11">
        <f>(1-_xlfn.NORM.DIST(Table14[[#This Row],[X]],$AB$44,$AB$46,TRUE))/$AE$52</f>
        <v>2.7645452993214259E-3</v>
      </c>
      <c r="AF167" s="8">
        <f>Table14[[#This Row],[Column1]]*Table7[[#This Row],[Octane]]</f>
        <v>5.4807110907665844E-3</v>
      </c>
      <c r="AG167" s="8">
        <f>Table14[[#This Row],[Column1]]*Table7[[#This Row],[Hybrid]]</f>
        <v>5.6125799347678997E-3</v>
      </c>
      <c r="AH167" s="8">
        <f>Table14[[#This Row],[Column1]]*Table7[[#This Row],[Dominus]]</f>
        <v>5.6595771435228384E-3</v>
      </c>
      <c r="AI167" s="8">
        <f>Table14[[#This Row],[Column1]]*Table7[[#This Row],[Plank]]</f>
        <v>5.6203206479138743E-3</v>
      </c>
      <c r="AJ167" s="8">
        <f>Table14[[#This Row],[Column1]]*Table7[[#This Row],[Batmobile]]</f>
        <v>5.5324080599092563E-3</v>
      </c>
      <c r="AK167" s="8">
        <f>Table14[[#This Row],[Column1]]*Table7[[#This Row],[Breakout]]</f>
        <v>5.6742292807338713E-3</v>
      </c>
      <c r="AL167" s="3">
        <f>Table14[[#This Row],[Column1]]-AE168</f>
        <v>2.7506360092018111E-4</v>
      </c>
    </row>
    <row r="168" spans="1:38">
      <c r="A168" s="1">
        <v>0.96666666666666601</v>
      </c>
      <c r="B168" s="13">
        <f>Octane[[#This Row],[angvel_total]]</f>
        <v>1.9825000126103405</v>
      </c>
      <c r="C168" s="13">
        <f>Hybrid[[#This Row],[angvel_total]]</f>
        <v>2.0302000246281153</v>
      </c>
      <c r="D168" s="13">
        <f>Dominus[[#This Row],[angvel_total]]</f>
        <v>2.0472000024423602</v>
      </c>
      <c r="E168" s="13">
        <f>Plank[[#This Row],[angvel_total]]</f>
        <v>2.0330000122970979</v>
      </c>
      <c r="F168" s="13">
        <f>Batmobile[[#This Row],[angvel_total]]</f>
        <v>2.0012000099940033</v>
      </c>
      <c r="G168" s="13">
        <f>Breakout[[#This Row],[angvel_total]]</f>
        <v>2.0525000121802681</v>
      </c>
      <c r="P168" s="6">
        <v>116</v>
      </c>
      <c r="Q168" s="4">
        <f>(1-$Y$4)*Q169+$Y$4*Table7[[#This Row],[Octane]]</f>
        <v>1.9825000037051297</v>
      </c>
      <c r="R168" s="4">
        <f>(1-$Y$4)*R169+$Y$4*Table7[[#This Row],[Hybrid]]</f>
        <v>2.0302000143283432</v>
      </c>
      <c r="S168" s="4">
        <f>(1-$Y$4)*S169+$Y$4*Table7[[#This Row],[Dominus]]</f>
        <v>2.0472000014209355</v>
      </c>
      <c r="T168" s="4">
        <f>(1-$Y$4)*T169+$Y$4*Table7[[#This Row],[Plank]]</f>
        <v>2.033000023602447</v>
      </c>
      <c r="U168" s="4">
        <f>(1-$Y$4)*U169+$Y$4*Table7[[#This Row],[Batmobile]]</f>
        <v>2.0012000285611418</v>
      </c>
      <c r="V168" s="4">
        <f>(1-$Y$4)*V169+$Y$4*Table7[[#This Row],[Breakout]]</f>
        <v>2.0525000054766727</v>
      </c>
      <c r="W168" s="11">
        <f>POWER((1-$Y$4),Table714[[#This Row],[X]]-1)*$Y$4</f>
        <v>3.1350024153861776E-10</v>
      </c>
      <c r="AA168">
        <v>0.96666666666664902</v>
      </c>
      <c r="AD168" s="6">
        <v>116</v>
      </c>
      <c r="AE168" s="11">
        <f>(1-_xlfn.NORM.DIST(Table14[[#This Row],[X]],$AB$44,$AB$46,TRUE))/$AE$52</f>
        <v>2.4894816984012448E-3</v>
      </c>
      <c r="AF168" s="8">
        <f>Table14[[#This Row],[Column1]]*Table7[[#This Row],[Octane]]</f>
        <v>4.9353974984736801E-3</v>
      </c>
      <c r="AG168" s="8">
        <f>Table14[[#This Row],[Column1]]*Table7[[#This Row],[Hybrid]]</f>
        <v>5.0541458054054493E-3</v>
      </c>
      <c r="AH168" s="8">
        <f>Table14[[#This Row],[Column1]]*Table7[[#This Row],[Dominus]]</f>
        <v>5.0964669390472393E-3</v>
      </c>
      <c r="AI168" s="8">
        <f>Table14[[#This Row],[Column1]]*Table7[[#This Row],[Plank]]</f>
        <v>5.0611163234631313E-3</v>
      </c>
      <c r="AJ168" s="8">
        <f>Table14[[#This Row],[Column1]]*Table7[[#This Row],[Batmobile]]</f>
        <v>4.9819507997204597E-3</v>
      </c>
      <c r="AK168" s="8">
        <f>Table14[[#This Row],[Column1]]*Table7[[#This Row],[Breakout]]</f>
        <v>5.1096612162911097E-3</v>
      </c>
      <c r="AL168" s="3">
        <f>Table14[[#This Row],[Column1]]-AE169</f>
        <v>2.4999867991467228E-4</v>
      </c>
    </row>
    <row r="169" spans="1:38">
      <c r="A169" s="1">
        <v>0.97499999999999998</v>
      </c>
      <c r="B169" s="13">
        <f>Octane[[#This Row],[angvel_total]]</f>
        <v>1.9825000050441361</v>
      </c>
      <c r="C169" s="13">
        <f>Hybrid[[#This Row],[angvel_total]]</f>
        <v>2.0302000246281153</v>
      </c>
      <c r="D169" s="13">
        <f>Dominus[[#This Row],[angvel_total]]</f>
        <v>2.0472000024423602</v>
      </c>
      <c r="E169" s="13">
        <f>Plank[[#This Row],[angvel_total]]</f>
        <v>2.0330000098376781</v>
      </c>
      <c r="F169" s="13">
        <f>Batmobile[[#This Row],[angvel_total]]</f>
        <v>2.0012000099940033</v>
      </c>
      <c r="G169" s="13">
        <f>Breakout[[#This Row],[angvel_total]]</f>
        <v>2.0525000097442145</v>
      </c>
      <c r="P169" s="6">
        <v>117</v>
      </c>
      <c r="Q169" s="4">
        <f>(1-$Y$4)*Q170+$Y$4*Table7[[#This Row],[Octane]]</f>
        <v>1.9825000020088992</v>
      </c>
      <c r="R169" s="4">
        <f>(1-$Y$4)*R170+$Y$4*Table7[[#This Row],[Hybrid]]</f>
        <v>2.0302000123664818</v>
      </c>
      <c r="S169" s="4">
        <f>(1-$Y$4)*S170+$Y$4*Table7[[#This Row],[Dominus]]</f>
        <v>2.0472000012263787</v>
      </c>
      <c r="T169" s="4">
        <f>(1-$Y$4)*T170+$Y$4*Table7[[#This Row],[Plank]]</f>
        <v>2.0330000257558472</v>
      </c>
      <c r="U169" s="4">
        <f>(1-$Y$4)*U170+$Y$4*Table7[[#This Row],[Batmobile]]</f>
        <v>2.0012000320977394</v>
      </c>
      <c r="V169" s="4">
        <f>(1-$Y$4)*V170+$Y$4*Table7[[#This Row],[Breakout]]</f>
        <v>2.0525000041997972</v>
      </c>
      <c r="W169" s="11">
        <f>POWER((1-$Y$4),Table714[[#This Row],[X]]-1)*$Y$4</f>
        <v>2.633402028924389E-10</v>
      </c>
      <c r="AA169">
        <v>0.97499999999998199</v>
      </c>
      <c r="AD169" s="6">
        <v>117</v>
      </c>
      <c r="AE169" s="11">
        <f>(1-_xlfn.NORM.DIST(Table14[[#This Row],[X]],$AB$44,$AB$46,TRUE))/$AE$52</f>
        <v>2.2394830184865725E-3</v>
      </c>
      <c r="AF169" s="8">
        <f>Table14[[#This Row],[Column1]]*Table7[[#This Row],[Octane]]</f>
        <v>4.4397750954458873E-3</v>
      </c>
      <c r="AG169" s="8">
        <f>Table14[[#This Row],[Column1]]*Table7[[#This Row],[Hybrid]]</f>
        <v>4.5465984792856856E-3</v>
      </c>
      <c r="AH169" s="8">
        <f>Table14[[#This Row],[Column1]]*Table7[[#This Row],[Dominus]]</f>
        <v>4.5846696409153351E-3</v>
      </c>
      <c r="AI169" s="8">
        <f>Table14[[#This Row],[Column1]]*Table7[[#This Row],[Plank]]</f>
        <v>4.5528689986145147E-3</v>
      </c>
      <c r="AJ169" s="8">
        <f>Table14[[#This Row],[Column1]]*Table7[[#This Row],[Batmobile]]</f>
        <v>4.4816534389767295E-3</v>
      </c>
      <c r="AK169" s="8">
        <f>Table14[[#This Row],[Column1]]*Table7[[#This Row],[Breakout]]</f>
        <v>4.5965389172656929E-3</v>
      </c>
      <c r="AL169" s="3">
        <f>Table14[[#This Row],[Column1]]-AE170</f>
        <v>2.2696547643658287E-4</v>
      </c>
    </row>
    <row r="170" spans="1:38">
      <c r="A170" s="1">
        <v>0.98333333333333295</v>
      </c>
      <c r="B170" s="13">
        <f>Octane[[#This Row],[angvel_total]]</f>
        <v>1.9825000050441361</v>
      </c>
      <c r="C170" s="13">
        <f>Hybrid[[#This Row],[angvel_total]]</f>
        <v>2.0302000246281153</v>
      </c>
      <c r="D170" s="13">
        <f>Dominus[[#This Row],[angvel_total]]</f>
        <v>2.0472000024423602</v>
      </c>
      <c r="E170" s="13">
        <f>Plank[[#This Row],[angvel_total]]</f>
        <v>2.0330000098376781</v>
      </c>
      <c r="F170" s="13">
        <f>Batmobile[[#This Row],[angvel_total]]</f>
        <v>2.0012000224865081</v>
      </c>
      <c r="G170" s="13">
        <f>Breakout[[#This Row],[angvel_total]]</f>
        <v>2.0525000097442145</v>
      </c>
      <c r="P170" s="6">
        <v>118</v>
      </c>
      <c r="Q170" s="4">
        <f>(1-$Y$4)*Q171+$Y$4*Table7[[#This Row],[Octane]]</f>
        <v>1.982500001430759</v>
      </c>
      <c r="R170" s="4">
        <f>(1-$Y$4)*R171+$Y$4*Table7[[#This Row],[Hybrid]]</f>
        <v>2.0302000100309328</v>
      </c>
      <c r="S170" s="4">
        <f>(1-$Y$4)*S171+$Y$4*Table7[[#This Row],[Dominus]]</f>
        <v>2.0472000009947635</v>
      </c>
      <c r="T170" s="4">
        <f>(1-$Y$4)*T171+$Y$4*Table7[[#This Row],[Plank]]</f>
        <v>2.0330000287878796</v>
      </c>
      <c r="U170" s="4">
        <f>(1-$Y$4)*U171+$Y$4*Table7[[#This Row],[Batmobile]]</f>
        <v>2.0012000363079747</v>
      </c>
      <c r="V170" s="4">
        <f>(1-$Y$4)*V171+$Y$4*Table7[[#This Row],[Breakout]]</f>
        <v>2.0525000031437175</v>
      </c>
      <c r="W170" s="11">
        <f>POWER((1-$Y$4),Table714[[#This Row],[X]]-1)*$Y$4</f>
        <v>2.2120577042964865E-10</v>
      </c>
      <c r="AA170">
        <v>0.98333333333331396</v>
      </c>
      <c r="AD170" s="6">
        <v>118</v>
      </c>
      <c r="AE170" s="11">
        <f>(1-_xlfn.NORM.DIST(Table14[[#This Row],[X]],$AB$44,$AB$46,TRUE))/$AE$52</f>
        <v>2.0125175420499897E-3</v>
      </c>
      <c r="AF170" s="8">
        <f>Table14[[#This Row],[Column1]]*Table7[[#This Row],[Octane]]</f>
        <v>3.9898160372655173E-3</v>
      </c>
      <c r="AG170" s="8">
        <f>Table14[[#This Row],[Column1]]*Table7[[#This Row],[Hybrid]]</f>
        <v>4.0858131634344029E-3</v>
      </c>
      <c r="AH170" s="8">
        <f>Table14[[#This Row],[Column1]]*Table7[[#This Row],[Dominus]]</f>
        <v>4.1200259170000317E-3</v>
      </c>
      <c r="AI170" s="8">
        <f>Table14[[#This Row],[Column1]]*Table7[[#This Row],[Plank]]</f>
        <v>4.0914481827861284E-3</v>
      </c>
      <c r="AJ170" s="8">
        <f>Table14[[#This Row],[Column1]]*Table7[[#This Row],[Batmobile]]</f>
        <v>4.0274501504049317E-3</v>
      </c>
      <c r="AK170" s="8">
        <f>Table14[[#This Row],[Column1]]*Table7[[#This Row],[Breakout]]</f>
        <v>4.1306922746680063E-3</v>
      </c>
      <c r="AL170" s="3">
        <f>Table14[[#This Row],[Column1]]-AE171</f>
        <v>2.0582559699441417E-4</v>
      </c>
    </row>
    <row r="171" spans="1:38">
      <c r="A171" s="1">
        <v>0.99166666666666603</v>
      </c>
      <c r="B171" s="13">
        <f>Octane[[#This Row],[angvel_total]]</f>
        <v>1.982500002522068</v>
      </c>
      <c r="C171" s="13">
        <f>Hybrid[[#This Row],[angvel_total]]</f>
        <v>2.0302000246281153</v>
      </c>
      <c r="D171" s="13">
        <f>Dominus[[#This Row],[angvel_total]]</f>
        <v>2.0472000024423602</v>
      </c>
      <c r="E171" s="13">
        <f>Plank[[#This Row],[angvel_total]]</f>
        <v>2.0330000098376781</v>
      </c>
      <c r="F171" s="13">
        <f>Batmobile[[#This Row],[angvel_total]]</f>
        <v>2.0012000224865081</v>
      </c>
      <c r="G171" s="13">
        <f>Breakout[[#This Row],[angvel_total]]</f>
        <v>2.0525000097442145</v>
      </c>
      <c r="P171" s="6">
        <v>119</v>
      </c>
      <c r="Q171" s="4">
        <f>(1-$Y$4)*Q172+$Y$4*Table7[[#This Row],[Octane]]</f>
        <v>1.9825000007424967</v>
      </c>
      <c r="R171" s="4">
        <f>(1-$Y$4)*R172+$Y$4*Table7[[#This Row],[Hybrid]]</f>
        <v>2.0302000072505169</v>
      </c>
      <c r="S171" s="4">
        <f>(1-$Y$4)*S172+$Y$4*Table7[[#This Row],[Dominus]]</f>
        <v>2.0472000007190307</v>
      </c>
      <c r="T171" s="4">
        <f>(1-$Y$4)*T172+$Y$4*Table7[[#This Row],[Plank]]</f>
        <v>2.0330000323974415</v>
      </c>
      <c r="U171" s="4">
        <f>(1-$Y$4)*U172+$Y$4*Table7[[#This Row],[Batmobile]]</f>
        <v>2.001200038940635</v>
      </c>
      <c r="V171" s="4">
        <f>(1-$Y$4)*V172+$Y$4*Table7[[#This Row],[Breakout]]</f>
        <v>2.0525000018864801</v>
      </c>
      <c r="W171" s="11">
        <f>POWER((1-$Y$4),Table714[[#This Row],[X]]-1)*$Y$4</f>
        <v>1.8581284716090485E-10</v>
      </c>
      <c r="AA171">
        <v>0.99166666666664705</v>
      </c>
      <c r="AD171" s="6">
        <v>119</v>
      </c>
      <c r="AE171" s="11">
        <f>(1-_xlfn.NORM.DIST(Table14[[#This Row],[X]],$AB$44,$AB$46,TRUE))/$AE$52</f>
        <v>1.8066919450555755E-3</v>
      </c>
      <c r="AF171" s="8">
        <f>Table14[[#This Row],[Column1]]*Table7[[#This Row],[Octane]]</f>
        <v>3.5817667856292783E-3</v>
      </c>
      <c r="AG171" s="8">
        <f>Table14[[#This Row],[Column1]]*Table7[[#This Row],[Hybrid]]</f>
        <v>3.6679460313472469E-3</v>
      </c>
      <c r="AH171" s="8">
        <f>Table14[[#This Row],[Column1]]*Table7[[#This Row],[Dominus]]</f>
        <v>3.6986597543303668E-3</v>
      </c>
      <c r="AI171" s="8">
        <f>Table14[[#This Row],[Column1]]*Table7[[#This Row],[Plank]]</f>
        <v>3.6730047420716386E-3</v>
      </c>
      <c r="AJ171" s="8">
        <f>Table14[[#This Row],[Column1]]*Table7[[#This Row],[Batmobile]]</f>
        <v>3.6155519610714107E-3</v>
      </c>
      <c r="AK171" s="8">
        <f>Table14[[#This Row],[Column1]]*Table7[[#This Row],[Breakout]]</f>
        <v>3.7082352348313625E-3</v>
      </c>
      <c r="AL171" s="3">
        <f>Table14[[#This Row],[Column1]]-AE172</f>
        <v>1.8644745547999981E-4</v>
      </c>
    </row>
    <row r="172" spans="1:38">
      <c r="A172" s="1">
        <v>1</v>
      </c>
      <c r="B172" s="13">
        <f>Octane[[#This Row],[angvel_total]]</f>
        <v>1.982500002522068</v>
      </c>
      <c r="C172" s="13">
        <f>Hybrid[[#This Row],[angvel_total]]</f>
        <v>2.0302000246281153</v>
      </c>
      <c r="D172" s="13">
        <f>Dominus[[#This Row],[angvel_total]]</f>
        <v>2.0472000024423602</v>
      </c>
      <c r="E172" s="13">
        <f>Plank[[#This Row],[angvel_total]]</f>
        <v>2.0330000098376781</v>
      </c>
      <c r="F172" s="13">
        <f>Batmobile[[#This Row],[angvel_total]]</f>
        <v>2.0012000399760139</v>
      </c>
      <c r="G172" s="13">
        <f>Breakout[[#This Row],[angvel_total]]</f>
        <v>2.0525000024360538</v>
      </c>
      <c r="P172" s="6">
        <v>120</v>
      </c>
      <c r="Q172" s="4">
        <f>(1-$Y$4)*Q173+$Y$4*Table7[[#This Row],[Octane]]</f>
        <v>1.9825000004035307</v>
      </c>
      <c r="R172" s="4">
        <f>(1-$Y$4)*R173+$Y$4*Table7[[#This Row],[Hybrid]]</f>
        <v>2.0302000039404984</v>
      </c>
      <c r="S172" s="4">
        <f>(1-$Y$4)*S173+$Y$4*Table7[[#This Row],[Dominus]]</f>
        <v>2.0472000003907778</v>
      </c>
      <c r="T172" s="4">
        <f>(1-$Y$4)*T173+$Y$4*Table7[[#This Row],[Plank]]</f>
        <v>2.0330000366945393</v>
      </c>
      <c r="U172" s="4">
        <f>(1-$Y$4)*U173+$Y$4*Table7[[#This Row],[Batmobile]]</f>
        <v>2.0012000420747547</v>
      </c>
      <c r="V172" s="4">
        <f>(1-$Y$4)*V173+$Y$4*Table7[[#This Row],[Breakout]]</f>
        <v>2.0525000003897689</v>
      </c>
      <c r="W172" s="11">
        <f>POWER((1-$Y$4),Table714[[#This Row],[X]]-1)*$Y$4</f>
        <v>1.5608279161516012E-10</v>
      </c>
      <c r="AA172">
        <v>0.99999999999998002</v>
      </c>
      <c r="AD172" s="6">
        <v>120</v>
      </c>
      <c r="AE172" s="11">
        <f>(1-_xlfn.NORM.DIST(Table14[[#This Row],[X]],$AB$44,$AB$46,TRUE))/$AE$52</f>
        <v>1.6202444895755757E-3</v>
      </c>
      <c r="AF172" s="8">
        <f>Table14[[#This Row],[Column1]]*Table7[[#This Row],[Octane]]</f>
        <v>3.2121347046699458E-3</v>
      </c>
      <c r="AG172" s="8">
        <f>Table14[[#This Row],[Column1]]*Table7[[#This Row],[Hybrid]]</f>
        <v>3.2894204026399018E-3</v>
      </c>
      <c r="AH172" s="8">
        <f>Table14[[#This Row],[Column1]]*Table7[[#This Row],[Dominus]]</f>
        <v>3.3169645230163394E-3</v>
      </c>
      <c r="AI172" s="8">
        <f>Table14[[#This Row],[Column1]]*Table7[[#This Row],[Plank]]</f>
        <v>3.2939570632465891E-3</v>
      </c>
      <c r="AJ172" s="8">
        <f>Table14[[#This Row],[Column1]]*Table7[[#This Row],[Batmobile]]</f>
        <v>3.2424333373095582E-3</v>
      </c>
      <c r="AK172" s="8">
        <f>Table14[[#This Row],[Column1]]*Table7[[#This Row],[Breakout]]</f>
        <v>3.3255518188008717E-3</v>
      </c>
      <c r="AL172" s="3">
        <f>Table14[[#This Row],[Column1]]-AE173</f>
        <v>1.687061959850251E-4</v>
      </c>
    </row>
    <row r="173" spans="1:38">
      <c r="A173" s="1">
        <v>1.00833333333333</v>
      </c>
      <c r="B173" s="13">
        <f>Octane[[#This Row],[angvel_total]]</f>
        <v>1.982500002522068</v>
      </c>
      <c r="C173" s="13">
        <f>Hybrid[[#This Row],[angvel_total]]</f>
        <v>2.0302000246281153</v>
      </c>
      <c r="D173" s="13">
        <f>Dominus[[#This Row],[angvel_total]]</f>
        <v>2.0472000024423602</v>
      </c>
      <c r="E173" s="13">
        <f>Plank[[#This Row],[angvel_total]]</f>
        <v>2.0330000098376781</v>
      </c>
      <c r="F173" s="13">
        <f>Batmobile[[#This Row],[angvel_total]]</f>
        <v>2.0012000399760139</v>
      </c>
      <c r="G173" s="13">
        <f>Breakout[[#This Row],[angvel_total]]</f>
        <v>2.0525000024360538</v>
      </c>
      <c r="H173" s="9"/>
      <c r="P173" s="6"/>
      <c r="Q173" s="4">
        <v>1.9824999999999999</v>
      </c>
      <c r="R173" s="4">
        <v>2.0301999999999998</v>
      </c>
      <c r="S173" s="4">
        <v>2.0472000000000001</v>
      </c>
      <c r="T173" s="4">
        <v>2.0330000418101322</v>
      </c>
      <c r="U173" s="4">
        <v>2.0012000424745149</v>
      </c>
      <c r="V173" s="4">
        <v>2.0525000000000002</v>
      </c>
      <c r="AA173">
        <v>1.00833333333331</v>
      </c>
      <c r="AD173" s="6">
        <v>121</v>
      </c>
      <c r="AE173" s="11">
        <f>(1-_xlfn.NORM.DIST(Table14[[#This Row],[X]],$AB$44,$AB$46,TRUE))/$AE$52</f>
        <v>1.4515382935905506E-3</v>
      </c>
      <c r="AF173" s="8">
        <f>Table14[[#This Row],[Column1]]*Table7[[#This Row],[Octane]]</f>
        <v>2.8776746707041448E-3</v>
      </c>
      <c r="AG173" s="8">
        <f>Table14[[#This Row],[Column1]]*Table7[[#This Row],[Hybrid]]</f>
        <v>2.9469130793961882E-3</v>
      </c>
      <c r="AH173" s="8">
        <f>Table14[[#This Row],[Column1]]*Table7[[#This Row],[Dominus]]</f>
        <v>2.9715891981837547E-3</v>
      </c>
      <c r="AI173" s="8">
        <f>Table14[[#This Row],[Column1]]*Table7[[#This Row],[Plank]]</f>
        <v>2.9509773651493557E-3</v>
      </c>
      <c r="AJ173" s="8">
        <f>Table14[[#This Row],[Column1]]*Table7[[#This Row],[Batmobile]]</f>
        <v>2.9048184911601247E-3</v>
      </c>
      <c r="AK173" s="8">
        <f>Table14[[#This Row],[Column1]]*Table7[[#This Row],[Breakout]]</f>
        <v>2.9792823511306304E-3</v>
      </c>
      <c r="AL173" s="3">
        <f>Table14[[#This Row],[Column1]]-AE174</f>
        <v>1.5248358726966294E-4</v>
      </c>
    </row>
    <row r="174" spans="1:38">
      <c r="A174" s="1">
        <v>1.0166666666666699</v>
      </c>
      <c r="B174" s="13">
        <f>Octane[[#This Row],[angvel_total]]</f>
        <v>1.9824999999999999</v>
      </c>
      <c r="C174" s="13">
        <f>Hybrid[[#This Row],[angvel_total]]</f>
        <v>2.0302000246281153</v>
      </c>
      <c r="D174" s="13">
        <f>Dominus[[#This Row],[angvel_total]]</f>
        <v>2.0472000024423602</v>
      </c>
      <c r="E174" s="13">
        <f>Plank[[#This Row],[angvel_total]]</f>
        <v>2.0330000098376781</v>
      </c>
      <c r="F174" s="13">
        <f>Batmobile[[#This Row],[angvel_total]]</f>
        <v>2.0012000399760139</v>
      </c>
      <c r="G174" s="13">
        <f>Breakout[[#This Row],[angvel_total]]</f>
        <v>2.0525000000000002</v>
      </c>
      <c r="P174" s="6"/>
      <c r="AA174">
        <v>1.01666666666665</v>
      </c>
      <c r="AD174" s="6">
        <v>122</v>
      </c>
      <c r="AE174" s="11">
        <f>(1-_xlfn.NORM.DIST(Table14[[#This Row],[X]],$AB$44,$AB$46,TRUE))/$AE$52</f>
        <v>1.2990547063208876E-3</v>
      </c>
      <c r="AF174" s="8">
        <f>Table14[[#This Row],[Column1]]*Table7[[#This Row],[Octane]]</f>
        <v>2.5753759552811597E-3</v>
      </c>
      <c r="AG174" s="8">
        <f>Table14[[#This Row],[Column1]]*Table7[[#This Row],[Hybrid]]</f>
        <v>2.6373408967659351E-3</v>
      </c>
      <c r="AH174" s="8">
        <f>Table14[[#This Row],[Column1]]*Table7[[#This Row],[Dominus]]</f>
        <v>2.6594247979528805E-3</v>
      </c>
      <c r="AI174" s="8">
        <f>Table14[[#This Row],[Column1]]*Table7[[#This Row],[Plank]]</f>
        <v>2.6409782307300466E-3</v>
      </c>
      <c r="AJ174" s="8">
        <f>Table14[[#This Row],[Column1]]*Table7[[#This Row],[Batmobile]]</f>
        <v>2.5996683302203895E-3</v>
      </c>
      <c r="AK174" s="8">
        <f>Table14[[#This Row],[Column1]]*Table7[[#This Row],[Breakout]]</f>
        <v>2.666309784723622E-3</v>
      </c>
      <c r="AL174" s="3">
        <f>Table14[[#This Row],[Column1]]-AE175</f>
        <v>1.3766789222248075E-4</v>
      </c>
    </row>
    <row r="175" spans="1:38">
      <c r="A175" s="1">
        <v>1.0249999999999999</v>
      </c>
      <c r="B175" s="13">
        <f>Octane[[#This Row],[angvel_total]]</f>
        <v>1.9824999999999999</v>
      </c>
      <c r="C175" s="13">
        <f>Hybrid[[#This Row],[angvel_total]]</f>
        <v>2.0302000246281153</v>
      </c>
      <c r="D175" s="13">
        <f>Dominus[[#This Row],[angvel_total]]</f>
        <v>2.0472000048847208</v>
      </c>
      <c r="E175" s="13">
        <f>Plank[[#This Row],[angvel_total]]</f>
        <v>2.0330000098376781</v>
      </c>
      <c r="F175" s="13">
        <f>Batmobile[[#This Row],[angvel_total]]</f>
        <v>2.0012000624625217</v>
      </c>
      <c r="G175" s="13">
        <f>Breakout[[#This Row],[angvel_total]]</f>
        <v>2.0525000000000002</v>
      </c>
      <c r="P175" s="6"/>
      <c r="AA175">
        <v>1.0249999999999799</v>
      </c>
      <c r="AD175" s="6">
        <v>123</v>
      </c>
      <c r="AE175" s="11">
        <f>(1-_xlfn.NORM.DIST(Table14[[#This Row],[X]],$AB$44,$AB$46,TRUE))/$AE$52</f>
        <v>1.1613868140984069E-3</v>
      </c>
      <c r="AF175" s="8">
        <f>Table14[[#This Row],[Column1]]*Table7[[#This Row],[Octane]]</f>
        <v>2.3024493589500917E-3</v>
      </c>
      <c r="AG175" s="8">
        <f>Table14[[#This Row],[Column1]]*Table7[[#This Row],[Hybrid]]</f>
        <v>2.357847538585354E-3</v>
      </c>
      <c r="AH175" s="8">
        <f>Table14[[#This Row],[Column1]]*Table7[[#This Row],[Dominus]]</f>
        <v>2.3775910914953088E-3</v>
      </c>
      <c r="AI175" s="8">
        <f>Table14[[#This Row],[Column1]]*Table7[[#This Row],[Plank]]</f>
        <v>2.3610994044874108E-3</v>
      </c>
      <c r="AJ175" s="8">
        <f>Table14[[#This Row],[Column1]]*Table7[[#This Row],[Batmobile]]</f>
        <v>2.3241673649168808E-3</v>
      </c>
      <c r="AK175" s="8">
        <f>Table14[[#This Row],[Column1]]*Table7[[#This Row],[Breakout]]</f>
        <v>2.3837464359369805E-3</v>
      </c>
      <c r="AL175" s="3">
        <f>Table14[[#This Row],[Column1]]-AE176</f>
        <v>1.2415371551151994E-4</v>
      </c>
    </row>
    <row r="176" spans="1:38">
      <c r="A176" s="1">
        <v>1.0333333333333301</v>
      </c>
      <c r="B176" s="13">
        <f>Octane[[#This Row],[angvel_total]]</f>
        <v>1.9824999999999999</v>
      </c>
      <c r="C176" s="13">
        <f>Hybrid[[#This Row],[angvel_total]]</f>
        <v>2.0302000246281153</v>
      </c>
      <c r="D176" s="13">
        <f>Dominus[[#This Row],[angvel_total]]</f>
        <v>2.0472000048847208</v>
      </c>
      <c r="E176" s="13">
        <f>Plank[[#This Row],[angvel_total]]</f>
        <v>2.0330000098376781</v>
      </c>
      <c r="F176" s="13">
        <f>Batmobile[[#This Row],[angvel_total]]</f>
        <v>2.0012000624625217</v>
      </c>
      <c r="G176" s="13">
        <f>Breakout[[#This Row],[angvel_total]]</f>
        <v>2.0525000000000002</v>
      </c>
      <c r="P176" s="6"/>
      <c r="AA176">
        <v>1.0333333333333099</v>
      </c>
      <c r="AD176" s="6">
        <v>124</v>
      </c>
      <c r="AE176" s="11">
        <f>(1-_xlfn.NORM.DIST(Table14[[#This Row],[X]],$AB$44,$AB$46,TRUE))/$AE$52</f>
        <v>1.037233098586887E-3</v>
      </c>
      <c r="AF176" s="8">
        <f>Table14[[#This Row],[Column1]]*Table7[[#This Row],[Octane]]</f>
        <v>2.0563146179485032E-3</v>
      </c>
      <c r="AG176" s="8">
        <f>Table14[[#This Row],[Column1]]*Table7[[#This Row],[Hybrid]]</f>
        <v>2.1057906622961942E-3</v>
      </c>
      <c r="AH176" s="8">
        <f>Table14[[#This Row],[Column1]]*Table7[[#This Row],[Dominus]]</f>
        <v>2.1234236044936688E-3</v>
      </c>
      <c r="AI176" s="8">
        <f>Table14[[#This Row],[Column1]]*Table7[[#This Row],[Plank]]</f>
        <v>2.1086948996311065E-3</v>
      </c>
      <c r="AJ176" s="8">
        <f>Table14[[#This Row],[Column1]]*Table7[[#This Row],[Batmobile]]</f>
        <v>2.075710941680273E-3</v>
      </c>
      <c r="AK176" s="8">
        <f>Table14[[#This Row],[Column1]]*Table7[[#This Row],[Breakout]]</f>
        <v>2.1289209348495856E-3</v>
      </c>
      <c r="AL176" s="3">
        <f>Table14[[#This Row],[Column1]]-AE177</f>
        <v>1.1184183249571581E-4</v>
      </c>
    </row>
    <row r="177" spans="1:38">
      <c r="A177" s="1">
        <v>1.0416666666666701</v>
      </c>
      <c r="B177" s="13">
        <f>Octane[[#This Row],[angvel_total]]</f>
        <v>1.9824999999999999</v>
      </c>
      <c r="C177" s="13">
        <f>Hybrid[[#This Row],[angvel_total]]</f>
        <v>2.0302000246281153</v>
      </c>
      <c r="D177" s="13">
        <f>Dominus[[#This Row],[angvel_total]]</f>
        <v>2.0472000024423602</v>
      </c>
      <c r="E177" s="13">
        <f>Plank[[#This Row],[angvel_total]]</f>
        <v>2.0330000098376781</v>
      </c>
      <c r="F177" s="13">
        <f>Batmobile[[#This Row],[angvel_total]]</f>
        <v>2.0012000624625217</v>
      </c>
      <c r="G177" s="13">
        <f>Breakout[[#This Row],[angvel_total]]</f>
        <v>2.0525000000000002</v>
      </c>
      <c r="P177" s="6"/>
      <c r="AA177">
        <v>1.0416666666666401</v>
      </c>
      <c r="AD177" s="6">
        <v>125</v>
      </c>
      <c r="AE177" s="11">
        <f>(1-_xlfn.NORM.DIST(Table14[[#This Row],[X]],$AB$44,$AB$46,TRUE))/$AE$52</f>
        <v>9.2539126609117114E-4</v>
      </c>
      <c r="AF177" s="8">
        <f>Table14[[#This Row],[Column1]]*Table7[[#This Row],[Octane]]</f>
        <v>1.8345881850257467E-3</v>
      </c>
      <c r="AG177" s="8">
        <f>Table14[[#This Row],[Column1]]*Table7[[#This Row],[Hybrid]]</f>
        <v>1.8787293712089386E-3</v>
      </c>
      <c r="AH177" s="8">
        <f>Table14[[#This Row],[Column1]]*Table7[[#This Row],[Dominus]]</f>
        <v>1.8944610022019843E-3</v>
      </c>
      <c r="AI177" s="8">
        <f>Table14[[#This Row],[Column1]]*Table7[[#This Row],[Plank]]</f>
        <v>1.8813204530670523E-3</v>
      </c>
      <c r="AJ177" s="8">
        <f>Table14[[#This Row],[Column1]]*Table7[[#This Row],[Batmobile]]</f>
        <v>1.8518930595039238E-3</v>
      </c>
      <c r="AK177" s="8">
        <f>Table14[[#This Row],[Column1]]*Table7[[#This Row],[Breakout]]</f>
        <v>1.8993655736521289E-3</v>
      </c>
      <c r="AL177" s="3">
        <f>Table14[[#This Row],[Column1]]-AE178</f>
        <v>1.0063900229087108E-4</v>
      </c>
    </row>
    <row r="178" spans="1:38">
      <c r="A178" s="1">
        <v>1.05</v>
      </c>
      <c r="B178" s="13">
        <f>Octane[[#This Row],[angvel_total]]</f>
        <v>1.9824999999999999</v>
      </c>
      <c r="C178" s="13">
        <f>Hybrid[[#This Row],[angvel_total]]</f>
        <v>2.0302000123140576</v>
      </c>
      <c r="D178" s="13">
        <f>Dominus[[#This Row],[angvel_total]]</f>
        <v>2.0472000024423602</v>
      </c>
      <c r="E178" s="13">
        <f>Plank[[#This Row],[angvel_total]]</f>
        <v>2.0330000098376781</v>
      </c>
      <c r="F178" s="13">
        <f>Batmobile[[#This Row],[angvel_total]]</f>
        <v>2.0012000624625217</v>
      </c>
      <c r="G178" s="13">
        <f>Breakout[[#This Row],[angvel_total]]</f>
        <v>2.0525000000000002</v>
      </c>
      <c r="P178" s="6"/>
      <c r="AA178">
        <v>1.0499999999999801</v>
      </c>
      <c r="AD178" s="6">
        <v>126</v>
      </c>
      <c r="AE178" s="11">
        <f>(1-_xlfn.NORM.DIST(Table14[[#This Row],[X]],$AB$44,$AB$46,TRUE))/$AE$52</f>
        <v>8.2475226380030007E-4</v>
      </c>
      <c r="AF178" s="8">
        <f>Table14[[#This Row],[Column1]]*Table7[[#This Row],[Octane]]</f>
        <v>1.6350713629840949E-3</v>
      </c>
      <c r="AG178" s="8">
        <f>Table14[[#This Row],[Column1]]*Table7[[#This Row],[Hybrid]]</f>
        <v>1.6744120561234159E-3</v>
      </c>
      <c r="AH178" s="8">
        <f>Table14[[#This Row],[Column1]]*Table7[[#This Row],[Dominus]]</f>
        <v>1.6884328364663165E-3</v>
      </c>
      <c r="AI178" s="8">
        <f>Table14[[#This Row],[Column1]]*Table7[[#This Row],[Plank]]</f>
        <v>1.6767213604196574E-3</v>
      </c>
      <c r="AJ178" s="8">
        <f>Table14[[#This Row],[Column1]]*Table7[[#This Row],[Batmobile]]</f>
        <v>1.6504942818332668E-3</v>
      </c>
      <c r="AK178" s="8">
        <f>Table14[[#This Row],[Column1]]*Table7[[#This Row],[Breakout]]</f>
        <v>1.692804021450116E-3</v>
      </c>
      <c r="AL178" s="3">
        <f>Table14[[#This Row],[Column1]]-AE179</f>
        <v>9.0457767732341301E-5</v>
      </c>
    </row>
    <row r="179" spans="1:38">
      <c r="A179" s="1">
        <v>1.05833333333333</v>
      </c>
      <c r="B179" s="13">
        <f>Octane[[#This Row],[angvel_total]]</f>
        <v>1.9824999999999999</v>
      </c>
      <c r="C179" s="13">
        <f>Hybrid[[#This Row],[angvel_total]]</f>
        <v>2.0302000049256228</v>
      </c>
      <c r="D179" s="13">
        <f>Dominus[[#This Row],[angvel_total]]</f>
        <v>2.0472000024423602</v>
      </c>
      <c r="E179" s="13">
        <f>Plank[[#This Row],[angvel_total]]</f>
        <v>2.0330000098376781</v>
      </c>
      <c r="F179" s="13">
        <f>Batmobile[[#This Row],[angvel_total]]</f>
        <v>2.0012000624625217</v>
      </c>
      <c r="G179" s="13">
        <f>Breakout[[#This Row],[angvel_total]]</f>
        <v>2.0525000000000002</v>
      </c>
      <c r="P179" s="6"/>
      <c r="AA179">
        <v>1.05833333333331</v>
      </c>
      <c r="AD179" s="6">
        <v>127</v>
      </c>
      <c r="AE179" s="11">
        <f>(1-_xlfn.NORM.DIST(Table14[[#This Row],[X]],$AB$44,$AB$46,TRUE))/$AE$52</f>
        <v>7.3429449606795877E-4</v>
      </c>
      <c r="AF179" s="8">
        <f>Table14[[#This Row],[Column1]]*Table7[[#This Row],[Octane]]</f>
        <v>1.4557388384547282E-3</v>
      </c>
      <c r="AG179" s="8">
        <f>Table14[[#This Row],[Column1]]*Table7[[#This Row],[Hybrid]]</f>
        <v>1.4907646895340276E-3</v>
      </c>
      <c r="AH179" s="8">
        <f>Table14[[#This Row],[Column1]]*Table7[[#This Row],[Dominus]]</f>
        <v>1.5032476941437369E-3</v>
      </c>
      <c r="AI179" s="8">
        <f>Table14[[#This Row],[Column1]]*Table7[[#This Row],[Plank]]</f>
        <v>1.492820717729913E-3</v>
      </c>
      <c r="AJ179" s="8">
        <f>Table14[[#This Row],[Column1]]*Table7[[#This Row],[Batmobile]]</f>
        <v>1.4694701913970849E-3</v>
      </c>
      <c r="AK179" s="8">
        <f>Table14[[#This Row],[Column1]]*Table7[[#This Row],[Breakout]]</f>
        <v>1.5071394531794855E-3</v>
      </c>
      <c r="AL179" s="3">
        <f>Table14[[#This Row],[Column1]]-AE180</f>
        <v>8.1216244797628623E-5</v>
      </c>
    </row>
    <row r="180" spans="1:38">
      <c r="A180" s="1">
        <v>1.06666666666667</v>
      </c>
      <c r="B180" s="13">
        <f>Octane[[#This Row],[angvel_total]]</f>
        <v>1.9824999999999999</v>
      </c>
      <c r="C180" s="13">
        <f>Hybrid[[#This Row],[angvel_total]]</f>
        <v>2.0302000024628115</v>
      </c>
      <c r="D180" s="13">
        <f>Dominus[[#This Row],[angvel_total]]</f>
        <v>2.0472000024423602</v>
      </c>
      <c r="E180" s="13">
        <f>Plank[[#This Row],[angvel_total]]</f>
        <v>2.0330000024594197</v>
      </c>
      <c r="F180" s="13">
        <f>Batmobile[[#This Row],[angvel_total]]</f>
        <v>2.0012000624625217</v>
      </c>
      <c r="G180" s="13">
        <f>Breakout[[#This Row],[angvel_total]]</f>
        <v>2.0525000000000002</v>
      </c>
      <c r="P180" s="6"/>
      <c r="AA180">
        <v>1.06666666666664</v>
      </c>
      <c r="AD180" s="6">
        <v>128</v>
      </c>
      <c r="AE180" s="11">
        <f>(1-_xlfn.NORM.DIST(Table14[[#This Row],[X]],$AB$44,$AB$46,TRUE))/$AE$52</f>
        <v>6.5307825127033014E-4</v>
      </c>
      <c r="AF180" s="8">
        <f>Table14[[#This Row],[Column1]]*Table7[[#This Row],[Octane]]</f>
        <v>1.2947276331434295E-3</v>
      </c>
      <c r="AG180" s="8">
        <f>Table14[[#This Row],[Column1]]*Table7[[#This Row],[Hybrid]]</f>
        <v>1.3258794673374329E-3</v>
      </c>
      <c r="AH180" s="8">
        <f>Table14[[#This Row],[Column1]]*Table7[[#This Row],[Dominus]]</f>
        <v>1.3369817975956721E-3</v>
      </c>
      <c r="AI180" s="8">
        <f>Table14[[#This Row],[Column1]]*Table7[[#This Row],[Plank]]</f>
        <v>1.3277080864387747E-3</v>
      </c>
      <c r="AJ180" s="8">
        <f>Table14[[#This Row],[Column1]]*Table7[[#This Row],[Batmobile]]</f>
        <v>1.3069402372350991E-3</v>
      </c>
      <c r="AK180" s="8">
        <f>Table14[[#This Row],[Column1]]*Table7[[#This Row],[Breakout]]</f>
        <v>1.3404431107323527E-3</v>
      </c>
      <c r="AL180" s="3">
        <f>Table14[[#This Row],[Column1]]-AE181</f>
        <v>7.2837903872187242E-5</v>
      </c>
    </row>
    <row r="181" spans="1:38">
      <c r="A181" s="1">
        <v>1.075</v>
      </c>
      <c r="B181" s="13">
        <f>Octane[[#This Row],[angvel_total]]</f>
        <v>1.982500002522068</v>
      </c>
      <c r="C181" s="13">
        <f>Hybrid[[#This Row],[angvel_total]]</f>
        <v>2.0302000024628115</v>
      </c>
      <c r="D181" s="13">
        <f>Dominus[[#This Row],[angvel_total]]</f>
        <v>2.0472000024423602</v>
      </c>
      <c r="E181" s="13">
        <f>Plank[[#This Row],[angvel_total]]</f>
        <v>2.0330000024594197</v>
      </c>
      <c r="F181" s="13">
        <f>Batmobile[[#This Row],[angvel_total]]</f>
        <v>2.0012000624625217</v>
      </c>
      <c r="G181" s="13">
        <f>Breakout[[#This Row],[angvel_total]]</f>
        <v>2.0525000000000002</v>
      </c>
      <c r="P181" s="6"/>
      <c r="AA181">
        <v>1.07499999999998</v>
      </c>
      <c r="AD181" s="6">
        <v>129</v>
      </c>
      <c r="AE181" s="11">
        <f>(1-_xlfn.NORM.DIST(Table14[[#This Row],[X]],$AB$44,$AB$46,TRUE))/$AE$52</f>
        <v>5.802403473981429E-4</v>
      </c>
      <c r="AF181" s="8">
        <f>Table14[[#This Row],[Column1]]*Table7[[#This Row],[Octane]]</f>
        <v>1.150326490180224E-3</v>
      </c>
      <c r="AG181" s="8">
        <f>Table14[[#This Row],[Column1]]*Table7[[#This Row],[Hybrid]]</f>
        <v>1.1780039547167323E-3</v>
      </c>
      <c r="AH181" s="8">
        <f>Table14[[#This Row],[Column1]]*Table7[[#This Row],[Dominus]]</f>
        <v>1.1878680406106341E-3</v>
      </c>
      <c r="AI181" s="8">
        <f>Table14[[#This Row],[Column1]]*Table7[[#This Row],[Plank]]</f>
        <v>1.1796286276874791E-3</v>
      </c>
      <c r="AJ181" s="8">
        <f>Table14[[#This Row],[Column1]]*Table7[[#This Row],[Batmobile]]</f>
        <v>1.1611770194564388E-3</v>
      </c>
      <c r="AK181" s="8">
        <f>Table14[[#This Row],[Column1]]*Table7[[#This Row],[Breakout]]</f>
        <v>1.1909433130346885E-3</v>
      </c>
      <c r="AL181" s="3">
        <f>Table14[[#This Row],[Column1]]-AE182</f>
        <v>6.5251345067303618E-5</v>
      </c>
    </row>
    <row r="182" spans="1:38">
      <c r="A182" s="1">
        <v>1.0833333333333299</v>
      </c>
      <c r="B182" s="13">
        <f>Octane[[#This Row],[angvel_total]]</f>
        <v>1.9825000100882724</v>
      </c>
      <c r="C182" s="13">
        <f>Hybrid[[#This Row],[angvel_total]]</f>
        <v>2.0302000024628115</v>
      </c>
      <c r="D182" s="13">
        <f>Dominus[[#This Row],[angvel_total]]</f>
        <v>2.0472000000000001</v>
      </c>
      <c r="E182" s="13">
        <f>Plank[[#This Row],[angvel_total]]</f>
        <v>2.0330000024594197</v>
      </c>
      <c r="F182" s="13">
        <f>Batmobile[[#This Row],[angvel_total]]</f>
        <v>2.0012000624625217</v>
      </c>
      <c r="G182" s="13">
        <f>Breakout[[#This Row],[angvel_total]]</f>
        <v>2.0525000000000002</v>
      </c>
      <c r="P182" s="6"/>
      <c r="AA182">
        <v>1.0833333333333099</v>
      </c>
      <c r="AD182" s="6">
        <v>130</v>
      </c>
      <c r="AE182" s="11">
        <f>(1-_xlfn.NORM.DIST(Table14[[#This Row],[X]],$AB$44,$AB$46,TRUE))/$AE$52</f>
        <v>5.1498900233083928E-4</v>
      </c>
      <c r="AF182" s="8">
        <f>Table14[[#This Row],[Column1]]*Table7[[#This Row],[Octane]]</f>
        <v>1.0209657023162381E-3</v>
      </c>
      <c r="AG182" s="8">
        <f>Table14[[#This Row],[Column1]]*Table7[[#This Row],[Hybrid]]</f>
        <v>1.0455306738003907E-3</v>
      </c>
      <c r="AH182" s="8">
        <f>Table14[[#This Row],[Column1]]*Table7[[#This Row],[Dominus]]</f>
        <v>1.0542854855716943E-3</v>
      </c>
      <c r="AI182" s="8">
        <f>Table14[[#This Row],[Column1]]*Table7[[#This Row],[Plank]]</f>
        <v>1.0469726430051703E-3</v>
      </c>
      <c r="AJ182" s="8">
        <f>Table14[[#This Row],[Column1]]*Table7[[#This Row],[Batmobile]]</f>
        <v>1.0305960236319874E-3</v>
      </c>
      <c r="AK182" s="8">
        <f>Table14[[#This Row],[Column1]]*Table7[[#This Row],[Breakout]]</f>
        <v>1.0570149272840477E-3</v>
      </c>
      <c r="AL182" s="3">
        <f>Table14[[#This Row],[Column1]]-AE183</f>
        <v>5.8390069613161388E-5</v>
      </c>
    </row>
    <row r="183" spans="1:38">
      <c r="A183" s="1">
        <v>1.0916666666666699</v>
      </c>
      <c r="B183" s="13">
        <f>Octane[[#This Row],[angvel_total]]</f>
        <v>1.9825000100882724</v>
      </c>
      <c r="C183" s="13">
        <f>Hybrid[[#This Row],[angvel_total]]</f>
        <v>2.0301999999999998</v>
      </c>
      <c r="D183" s="13">
        <f>Dominus[[#This Row],[angvel_total]]</f>
        <v>2.0472000000000001</v>
      </c>
      <c r="E183" s="13">
        <f>Plank[[#This Row],[angvel_total]]</f>
        <v>2.0330000024594197</v>
      </c>
      <c r="F183" s="13">
        <f>Batmobile[[#This Row],[angvel_total]]</f>
        <v>2.0012000624625217</v>
      </c>
      <c r="G183" s="13">
        <f>Breakout[[#This Row],[angvel_total]]</f>
        <v>2.0525000000000002</v>
      </c>
      <c r="P183" s="6"/>
      <c r="AA183">
        <v>1.0916666666666399</v>
      </c>
      <c r="AD183" s="6">
        <v>131</v>
      </c>
      <c r="AE183" s="11">
        <f>(1-_xlfn.NORM.DIST(Table14[[#This Row],[X]],$AB$44,$AB$46,TRUE))/$AE$52</f>
        <v>4.5659893271767789E-4</v>
      </c>
      <c r="AF183" s="8">
        <f>Table14[[#This Row],[Column1]]*Table7[[#This Row],[Octane]]</f>
        <v>9.0520738871909087E-4</v>
      </c>
      <c r="AG183" s="8">
        <f>Table14[[#This Row],[Column1]]*Table7[[#This Row],[Hybrid]]</f>
        <v>9.2698715320342954E-4</v>
      </c>
      <c r="AH183" s="8">
        <f>Table14[[#This Row],[Column1]]*Table7[[#This Row],[Dominus]]</f>
        <v>9.3474933505963023E-4</v>
      </c>
      <c r="AI183" s="8">
        <f>Table14[[#This Row],[Column1]]*Table7[[#This Row],[Plank]]</f>
        <v>9.2826563133800754E-4</v>
      </c>
      <c r="AJ183" s="8">
        <f>Table14[[#This Row],[Column1]]*Table7[[#This Row],[Batmobile]]</f>
        <v>9.1374581267493775E-4</v>
      </c>
      <c r="AK183" s="8">
        <f>Table14[[#This Row],[Column1]]*Table7[[#This Row],[Breakout]]</f>
        <v>9.3716930940303397E-4</v>
      </c>
      <c r="AL183" s="3">
        <f>Table14[[#This Row],[Column1]]-AE184</f>
        <v>5.2192249176962542E-5</v>
      </c>
    </row>
    <row r="184" spans="1:38">
      <c r="A184" s="1">
        <v>1.1000000000000001</v>
      </c>
      <c r="B184" s="13">
        <f>Octane[[#This Row],[angvel_total]]</f>
        <v>1.9825000100882724</v>
      </c>
      <c r="C184" s="13">
        <f>Hybrid[[#This Row],[angvel_total]]</f>
        <v>2.0301999999999998</v>
      </c>
      <c r="D184" s="13">
        <f>Dominus[[#This Row],[angvel_total]]</f>
        <v>2.0472000000000001</v>
      </c>
      <c r="E184" s="13">
        <f>Plank[[#This Row],[angvel_total]]</f>
        <v>2.0330000024594197</v>
      </c>
      <c r="F184" s="13">
        <f>Batmobile[[#This Row],[angvel_total]]</f>
        <v>2.0012000624625217</v>
      </c>
      <c r="G184" s="13">
        <f>Breakout[[#This Row],[angvel_total]]</f>
        <v>2.0525000000000002</v>
      </c>
      <c r="P184" s="6"/>
      <c r="AA184">
        <v>1.0999999999999801</v>
      </c>
      <c r="AD184" s="6">
        <v>132</v>
      </c>
      <c r="AE184" s="11">
        <f>(1-_xlfn.NORM.DIST(Table14[[#This Row],[X]],$AB$44,$AB$46,TRUE))/$AE$52</f>
        <v>4.0440668354071535E-4</v>
      </c>
      <c r="AF184" s="8">
        <f>Table14[[#This Row],[Column1]]*Table7[[#This Row],[Octane]]</f>
        <v>8.01736254199233E-4</v>
      </c>
      <c r="AG184" s="8">
        <f>Table14[[#This Row],[Column1]]*Table7[[#This Row],[Hybrid]]</f>
        <v>8.2102644892436023E-4</v>
      </c>
      <c r="AH184" s="8">
        <f>Table14[[#This Row],[Column1]]*Table7[[#This Row],[Dominus]]</f>
        <v>8.2790136254455257E-4</v>
      </c>
      <c r="AI184" s="8">
        <f>Table14[[#This Row],[Column1]]*Table7[[#This Row],[Plank]]</f>
        <v>8.2215878863288005E-4</v>
      </c>
      <c r="AJ184" s="8">
        <f>Table14[[#This Row],[Column1]]*Table7[[#This Row],[Batmobile]]</f>
        <v>8.0929868036194079E-4</v>
      </c>
      <c r="AK184" s="8">
        <f>Table14[[#This Row],[Column1]]*Table7[[#This Row],[Breakout]]</f>
        <v>8.3004471796731835E-4</v>
      </c>
      <c r="AL184" s="3">
        <f>Table14[[#This Row],[Column1]]-AE185</f>
        <v>4.6600494773015087E-5</v>
      </c>
    </row>
    <row r="185" spans="1:38">
      <c r="A185" s="1">
        <v>1.1083333333333301</v>
      </c>
      <c r="B185" s="13">
        <f>Octane[[#This Row],[angvel_total]]</f>
        <v>1.9825000100882724</v>
      </c>
      <c r="C185" s="13">
        <f>Hybrid[[#This Row],[angvel_total]]</f>
        <v>2.0301999999999998</v>
      </c>
      <c r="D185" s="13">
        <f>Dominus[[#This Row],[angvel_total]]</f>
        <v>2.0472000000000001</v>
      </c>
      <c r="E185" s="13">
        <f>Plank[[#This Row],[angvel_total]]</f>
        <v>2.0330000024594197</v>
      </c>
      <c r="F185" s="13">
        <f>Batmobile[[#This Row],[angvel_total]]</f>
        <v>2.0012000624625217</v>
      </c>
      <c r="G185" s="13">
        <f>Breakout[[#This Row],[angvel_total]]</f>
        <v>2.0525000000000002</v>
      </c>
      <c r="P185" s="6"/>
      <c r="AA185">
        <v>1.1083333333333101</v>
      </c>
      <c r="AD185" s="6">
        <v>133</v>
      </c>
      <c r="AE185" s="11">
        <f>(1-_xlfn.NORM.DIST(Table14[[#This Row],[X]],$AB$44,$AB$46,TRUE))/$AE$52</f>
        <v>3.5780618876770027E-4</v>
      </c>
      <c r="AF185" s="8">
        <f>Table14[[#This Row],[Column1]]*Table7[[#This Row],[Octane]]</f>
        <v>7.0935077284161208E-4</v>
      </c>
      <c r="AG185" s="8">
        <f>Table14[[#This Row],[Column1]]*Table7[[#This Row],[Hybrid]]</f>
        <v>7.2641812443618504E-4</v>
      </c>
      <c r="AH185" s="8">
        <f>Table14[[#This Row],[Column1]]*Table7[[#This Row],[Dominus]]</f>
        <v>7.3250082964523605E-4</v>
      </c>
      <c r="AI185" s="8">
        <f>Table14[[#This Row],[Column1]]*Table7[[#This Row],[Plank]]</f>
        <v>7.2741998264473022E-4</v>
      </c>
      <c r="AJ185" s="8">
        <f>Table14[[#This Row],[Column1]]*Table7[[#This Row],[Batmobile]]</f>
        <v>7.1604176731139861E-4</v>
      </c>
      <c r="AK185" s="8">
        <f>Table14[[#This Row],[Column1]]*Table7[[#This Row],[Breakout]]</f>
        <v>7.3439720244570486E-4</v>
      </c>
      <c r="AL185" s="3">
        <f>Table14[[#This Row],[Column1]]-AE186</f>
        <v>4.1561626767260777E-5</v>
      </c>
    </row>
    <row r="186" spans="1:38">
      <c r="A186" s="1">
        <v>1.11666666666667</v>
      </c>
      <c r="B186" s="13">
        <f>Octane[[#This Row],[angvel_total]]</f>
        <v>1.982500002522068</v>
      </c>
      <c r="C186" s="13">
        <f>Hybrid[[#This Row],[angvel_total]]</f>
        <v>2.0301999999999998</v>
      </c>
      <c r="D186" s="13">
        <f>Dominus[[#This Row],[angvel_total]]</f>
        <v>2.0472000000000001</v>
      </c>
      <c r="E186" s="13">
        <f>Plank[[#This Row],[angvel_total]]</f>
        <v>2.0330000024594197</v>
      </c>
      <c r="F186" s="13">
        <f>Batmobile[[#This Row],[angvel_total]]</f>
        <v>2.0012000624625217</v>
      </c>
      <c r="G186" s="13">
        <f>Breakout[[#This Row],[angvel_total]]</f>
        <v>2.0525000000000002</v>
      </c>
      <c r="P186" s="6"/>
      <c r="AA186">
        <v>1.1166666666666401</v>
      </c>
      <c r="AD186" s="6">
        <v>134</v>
      </c>
      <c r="AE186" s="11">
        <f>(1-_xlfn.NORM.DIST(Table14[[#This Row],[X]],$AB$44,$AB$46,TRUE))/$AE$52</f>
        <v>3.1624456200043949E-4</v>
      </c>
      <c r="AF186" s="8">
        <f>Table14[[#This Row],[Column1]]*Table7[[#This Row],[Octane]]</f>
        <v>6.269548449634616E-4</v>
      </c>
      <c r="AG186" s="8">
        <f>Table14[[#This Row],[Column1]]*Table7[[#This Row],[Hybrid]]</f>
        <v>6.4203970977329218E-4</v>
      </c>
      <c r="AH186" s="8">
        <f>Table14[[#This Row],[Column1]]*Table7[[#This Row],[Dominus]]</f>
        <v>6.4741586732729975E-4</v>
      </c>
      <c r="AI186" s="8">
        <f>Table14[[#This Row],[Column1]]*Table7[[#This Row],[Plank]]</f>
        <v>6.4292519532467161E-4</v>
      </c>
      <c r="AJ186" s="8">
        <f>Table14[[#This Row],[Column1]]*Table7[[#This Row],[Batmobile]]</f>
        <v>6.3286863722871237E-4</v>
      </c>
      <c r="AK186" s="8">
        <f>Table14[[#This Row],[Column1]]*Table7[[#This Row],[Breakout]]</f>
        <v>6.4909196350590209E-4</v>
      </c>
      <c r="AL186" s="3">
        <f>Table14[[#This Row],[Column1]]-AE187</f>
        <v>3.7026447305346199E-5</v>
      </c>
    </row>
    <row r="187" spans="1:38">
      <c r="A187" s="1">
        <v>1.125</v>
      </c>
      <c r="B187" s="13">
        <f>Octane[[#This Row],[angvel_total]]</f>
        <v>1.9824999999999999</v>
      </c>
      <c r="C187" s="13">
        <f>Hybrid[[#This Row],[angvel_total]]</f>
        <v>2.0301999999999998</v>
      </c>
      <c r="D187" s="13">
        <f>Dominus[[#This Row],[angvel_total]]</f>
        <v>2.0472000000000001</v>
      </c>
      <c r="E187" s="13">
        <f>Plank[[#This Row],[angvel_total]]</f>
        <v>2.033000004918839</v>
      </c>
      <c r="F187" s="13">
        <f>Batmobile[[#This Row],[angvel_total]]</f>
        <v>2.0012000624625217</v>
      </c>
      <c r="G187" s="13">
        <f>Breakout[[#This Row],[angvel_total]]</f>
        <v>2.0525000000000002</v>
      </c>
      <c r="P187" s="6"/>
      <c r="AA187">
        <v>1.12499999999998</v>
      </c>
      <c r="AD187" s="6">
        <v>135</v>
      </c>
      <c r="AE187" s="11">
        <f>(1-_xlfn.NORM.DIST(Table14[[#This Row],[X]],$AB$44,$AB$46,TRUE))/$AE$52</f>
        <v>2.7921811469509329E-4</v>
      </c>
      <c r="AF187" s="8">
        <f>Table14[[#This Row],[Column1]]*Table7[[#This Row],[Octane]]</f>
        <v>5.535499123830224E-4</v>
      </c>
      <c r="AG187" s="8">
        <f>Table14[[#This Row],[Column1]]*Table7[[#This Row],[Hybrid]]</f>
        <v>5.6686861645397835E-4</v>
      </c>
      <c r="AH187" s="8">
        <f>Table14[[#This Row],[Column1]]*Table7[[#This Row],[Dominus]]</f>
        <v>5.7161532440379499E-4</v>
      </c>
      <c r="AI187" s="8">
        <f>Table14[[#This Row],[Column1]]*Table7[[#This Row],[Plank]]</f>
        <v>5.6765042854855358E-4</v>
      </c>
      <c r="AJ187" s="8">
        <f>Table14[[#This Row],[Column1]]*Table7[[#This Row],[Batmobile]]</f>
        <v>5.5877130856848826E-4</v>
      </c>
      <c r="AK187" s="8">
        <f>Table14[[#This Row],[Column1]]*Table7[[#This Row],[Breakout]]</f>
        <v>5.7309518041167901E-4</v>
      </c>
      <c r="AL187" s="3">
        <f>Table14[[#This Row],[Column1]]-AE188</f>
        <v>3.2949516341829372E-5</v>
      </c>
    </row>
    <row r="188" spans="1:38">
      <c r="A188" s="1">
        <v>1.13333333333333</v>
      </c>
      <c r="B188" s="13">
        <f>Octane[[#This Row],[angvel_total]]</f>
        <v>1.9824999999999999</v>
      </c>
      <c r="C188" s="13">
        <f>Hybrid[[#This Row],[angvel_total]]</f>
        <v>2.0301999999999998</v>
      </c>
      <c r="D188" s="13">
        <f>Dominus[[#This Row],[angvel_total]]</f>
        <v>2.0472000000000001</v>
      </c>
      <c r="E188" s="13">
        <f>Plank[[#This Row],[angvel_total]]</f>
        <v>2.033000004918839</v>
      </c>
      <c r="F188" s="13">
        <f>Batmobile[[#This Row],[angvel_total]]</f>
        <v>2.0012000624625217</v>
      </c>
      <c r="G188" s="13">
        <f>Breakout[[#This Row],[angvel_total]]</f>
        <v>2.0525000000000002</v>
      </c>
      <c r="P188" s="6"/>
      <c r="AA188">
        <v>1.13333333333331</v>
      </c>
      <c r="AD188" s="6">
        <v>136</v>
      </c>
      <c r="AE188" s="11">
        <f>(1-_xlfn.NORM.DIST(Table14[[#This Row],[X]],$AB$44,$AB$46,TRUE))/$AE$52</f>
        <v>2.4626859835326392E-4</v>
      </c>
      <c r="AF188" s="8">
        <f>Table14[[#This Row],[Column1]]*Table7[[#This Row],[Octane]]</f>
        <v>4.8822749623534572E-4</v>
      </c>
      <c r="AG188" s="8">
        <f>Table14[[#This Row],[Column1]]*Table7[[#This Row],[Hybrid]]</f>
        <v>4.9997450837679632E-4</v>
      </c>
      <c r="AH188" s="8">
        <f>Table14[[#This Row],[Column1]]*Table7[[#This Row],[Dominus]]</f>
        <v>5.0416107454880196E-4</v>
      </c>
      <c r="AI188" s="8">
        <f>Table14[[#This Row],[Column1]]*Table7[[#This Row],[Plank]]</f>
        <v>5.0066406166354108E-4</v>
      </c>
      <c r="AJ188" s="8">
        <f>Table14[[#This Row],[Column1]]*Table7[[#This Row],[Batmobile]]</f>
        <v>4.9283273440710947E-4</v>
      </c>
      <c r="AK188" s="8">
        <f>Table14[[#This Row],[Column1]]*Table7[[#This Row],[Breakout]]</f>
        <v>5.0546629812007419E-4</v>
      </c>
      <c r="AL188" s="3">
        <f>Table14[[#This Row],[Column1]]-AE189</f>
        <v>2.9288932284740274E-5</v>
      </c>
    </row>
    <row r="189" spans="1:38">
      <c r="A189" s="1">
        <v>1.1416666666666699</v>
      </c>
      <c r="B189" s="13">
        <f>Octane[[#This Row],[angvel_total]]</f>
        <v>1.9824999999999999</v>
      </c>
      <c r="C189" s="13">
        <f>Hybrid[[#This Row],[angvel_total]]</f>
        <v>2.0301999999999998</v>
      </c>
      <c r="D189" s="13">
        <f>Dominus[[#This Row],[angvel_total]]</f>
        <v>2.0472000000000001</v>
      </c>
      <c r="E189" s="13">
        <f>Plank[[#This Row],[angvel_total]]</f>
        <v>2.0330000122970979</v>
      </c>
      <c r="F189" s="13">
        <f>Batmobile[[#This Row],[angvel_total]]</f>
        <v>2.0012000624625217</v>
      </c>
      <c r="G189" s="13">
        <f>Breakout[[#This Row],[angvel_total]]</f>
        <v>2.0525000000000002</v>
      </c>
      <c r="P189" s="6"/>
      <c r="AA189">
        <v>1.14166666666664</v>
      </c>
      <c r="AD189" s="6">
        <v>137</v>
      </c>
      <c r="AE189" s="11">
        <f>(1-_xlfn.NORM.DIST(Table14[[#This Row],[X]],$AB$44,$AB$46,TRUE))/$AE$52</f>
        <v>2.1697966606852364E-4</v>
      </c>
      <c r="AF189" s="8">
        <f>Table14[[#This Row],[Column1]]*Table7[[#This Row],[Octane]]</f>
        <v>4.3016218798084811E-4</v>
      </c>
      <c r="AG189" s="8">
        <f>Table14[[#This Row],[Column1]]*Table7[[#This Row],[Hybrid]]</f>
        <v>4.4051211805231667E-4</v>
      </c>
      <c r="AH189" s="8">
        <f>Table14[[#This Row],[Column1]]*Table7[[#This Row],[Dominus]]</f>
        <v>4.4420077237548162E-4</v>
      </c>
      <c r="AI189" s="8">
        <f>Table14[[#This Row],[Column1]]*Table7[[#This Row],[Plank]]</f>
        <v>4.4111966378552878E-4</v>
      </c>
      <c r="AJ189" s="8">
        <f>Table14[[#This Row],[Column1]]*Table7[[#This Row],[Batmobile]]</f>
        <v>4.3421972128942663E-4</v>
      </c>
      <c r="AK189" s="8">
        <f>Table14[[#This Row],[Column1]]*Table7[[#This Row],[Breakout]]</f>
        <v>4.4535076460564481E-4</v>
      </c>
      <c r="AL189" s="3">
        <f>Table14[[#This Row],[Column1]]-AE190</f>
        <v>2.6006118136457209E-5</v>
      </c>
    </row>
    <row r="190" spans="1:38">
      <c r="A190" s="1">
        <v>1.1499999999999999</v>
      </c>
      <c r="B190" s="13">
        <f>Octane[[#This Row],[angvel_total]]</f>
        <v>1.9824999999999999</v>
      </c>
      <c r="C190" s="13">
        <f>Hybrid[[#This Row],[angvel_total]]</f>
        <v>2.0301999999999998</v>
      </c>
      <c r="D190" s="13">
        <f>Dominus[[#This Row],[angvel_total]]</f>
        <v>2.0472000000000001</v>
      </c>
      <c r="E190" s="13">
        <f>Plank[[#This Row],[angvel_total]]</f>
        <v>2.0330000245941955</v>
      </c>
      <c r="F190" s="13">
        <f>Batmobile[[#This Row],[angvel_total]]</f>
        <v>2.0012000624625217</v>
      </c>
      <c r="G190" s="13">
        <f>Breakout[[#This Row],[angvel_total]]</f>
        <v>2.0525000000000002</v>
      </c>
      <c r="P190" s="6"/>
      <c r="AA190">
        <v>1.1499999999999699</v>
      </c>
      <c r="AD190" s="6">
        <v>138</v>
      </c>
      <c r="AE190" s="11">
        <f>(1-_xlfn.NORM.DIST(Table14[[#This Row],[X]],$AB$44,$AB$46,TRUE))/$AE$52</f>
        <v>1.9097354793206643E-4</v>
      </c>
      <c r="AF190" s="8">
        <f>Table14[[#This Row],[Column1]]*Table7[[#This Row],[Octane]]</f>
        <v>3.786050587753217E-4</v>
      </c>
      <c r="AG190" s="8">
        <f>Table14[[#This Row],[Column1]]*Table7[[#This Row],[Hybrid]]</f>
        <v>3.8771449701168121E-4</v>
      </c>
      <c r="AH190" s="8">
        <f>Table14[[#This Row],[Column1]]*Table7[[#This Row],[Dominus]]</f>
        <v>3.9096104732652643E-4</v>
      </c>
      <c r="AI190" s="8">
        <f>Table14[[#This Row],[Column1]]*Table7[[#This Row],[Plank]]</f>
        <v>3.8824922764273183E-4</v>
      </c>
      <c r="AJ190" s="8">
        <f>Table14[[#This Row],[Column1]]*Table7[[#This Row],[Batmobile]]</f>
        <v>3.821762760503407E-4</v>
      </c>
      <c r="AK190" s="8">
        <f>Table14[[#This Row],[Column1]]*Table7[[#This Row],[Breakout]]</f>
        <v>3.9197320713056638E-4</v>
      </c>
      <c r="AL190" s="3">
        <f>Table14[[#This Row],[Column1]]-AE191</f>
        <v>2.3065613867142567E-5</v>
      </c>
    </row>
    <row r="191" spans="1:38">
      <c r="A191" s="1">
        <v>1.1583333333333301</v>
      </c>
      <c r="B191" s="13">
        <f>Octane[[#This Row],[angvel_total]]</f>
        <v>1.9824999999999999</v>
      </c>
      <c r="C191" s="13">
        <f>Hybrid[[#This Row],[angvel_total]]</f>
        <v>2.0301999999999998</v>
      </c>
      <c r="D191" s="13">
        <f>Dominus[[#This Row],[angvel_total]]</f>
        <v>2.0472000000000001</v>
      </c>
      <c r="E191" s="13">
        <f>Plank[[#This Row],[angvel_total]]</f>
        <v>2.0330000245941955</v>
      </c>
      <c r="F191" s="13">
        <f>Batmobile[[#This Row],[angvel_total]]</f>
        <v>2.0012000424745149</v>
      </c>
      <c r="G191" s="13">
        <f>Breakout[[#This Row],[angvel_total]]</f>
        <v>2.0525000000000002</v>
      </c>
      <c r="P191" s="6"/>
      <c r="AA191">
        <v>1.1583333333333099</v>
      </c>
      <c r="AD191" s="6">
        <v>139</v>
      </c>
      <c r="AE191" s="11">
        <f>(1-_xlfn.NORM.DIST(Table14[[#This Row],[X]],$AB$44,$AB$46,TRUE))/$AE$52</f>
        <v>1.6790793406492387E-4</v>
      </c>
      <c r="AF191" s="8">
        <f>Table14[[#This Row],[Column1]]*Table7[[#This Row],[Octane]]</f>
        <v>3.3287747928371155E-4</v>
      </c>
      <c r="AG191" s="8">
        <f>Table14[[#This Row],[Column1]]*Table7[[#This Row],[Hybrid]]</f>
        <v>3.408866877386084E-4</v>
      </c>
      <c r="AH191" s="8">
        <f>Table14[[#This Row],[Column1]]*Table7[[#This Row],[Dominus]]</f>
        <v>3.4374112261771215E-4</v>
      </c>
      <c r="AI191" s="8">
        <f>Table14[[#This Row],[Column1]]*Table7[[#This Row],[Plank]]</f>
        <v>3.4135683408355078E-4</v>
      </c>
      <c r="AJ191" s="8">
        <f>Table14[[#This Row],[Column1]]*Table7[[#This Row],[Batmobile]]</f>
        <v>3.3601736478253369E-4</v>
      </c>
      <c r="AK191" s="8">
        <f>Table14[[#This Row],[Column1]]*Table7[[#This Row],[Breakout]]</f>
        <v>3.4463103466825625E-4</v>
      </c>
      <c r="AL191" s="3">
        <f>Table14[[#This Row],[Column1]]-AE192</f>
        <v>2.0434875633454797E-5</v>
      </c>
    </row>
    <row r="192" spans="1:38">
      <c r="A192" s="1">
        <v>1.1666666666666701</v>
      </c>
      <c r="B192" s="13">
        <f>Octane[[#This Row],[angvel_total]]</f>
        <v>1.9824999999999999</v>
      </c>
      <c r="C192" s="13">
        <f>Hybrid[[#This Row],[angvel_total]]</f>
        <v>2.0301999999999998</v>
      </c>
      <c r="D192" s="13">
        <f>Dominus[[#This Row],[angvel_total]]</f>
        <v>2.0472000000000001</v>
      </c>
      <c r="E192" s="13">
        <f>Plank[[#This Row],[angvel_total]]</f>
        <v>2.0330000418101322</v>
      </c>
      <c r="F192" s="13">
        <f>Batmobile[[#This Row],[angvel_total]]</f>
        <v>2.0012000424745149</v>
      </c>
      <c r="G192" s="13">
        <f>Breakout[[#This Row],[angvel_total]]</f>
        <v>2.0525000000000002</v>
      </c>
      <c r="P192" s="6"/>
      <c r="AA192">
        <v>1.1666666666666401</v>
      </c>
      <c r="AD192" s="6">
        <v>140</v>
      </c>
      <c r="AE192" s="11">
        <f>(1-_xlfn.NORM.DIST(Table14[[#This Row],[X]],$AB$44,$AB$46,TRUE))/$AE$52</f>
        <v>1.4747305843146907E-4</v>
      </c>
      <c r="AF192" s="8">
        <f>Table14[[#This Row],[Column1]]*Table7[[#This Row],[Octane]]</f>
        <v>2.9236533834038744E-4</v>
      </c>
      <c r="AG192" s="8">
        <f>Table14[[#This Row],[Column1]]*Table7[[#This Row],[Hybrid]]</f>
        <v>2.9939980322756849E-4</v>
      </c>
      <c r="AH192" s="8">
        <f>Table14[[#This Row],[Column1]]*Table7[[#This Row],[Dominus]]</f>
        <v>3.0190684522090353E-4</v>
      </c>
      <c r="AI192" s="8">
        <f>Table14[[#This Row],[Column1]]*Table7[[#This Row],[Plank]]</f>
        <v>2.9981273395704466E-4</v>
      </c>
      <c r="AJ192" s="8">
        <f>Table14[[#This Row],[Column1]]*Table7[[#This Row],[Batmobile]]</f>
        <v>2.9512309079690249E-4</v>
      </c>
      <c r="AK192" s="8">
        <f>Table14[[#This Row],[Column1]]*Table7[[#This Row],[Breakout]]</f>
        <v>3.0268845243059029E-4</v>
      </c>
      <c r="AL192" s="3">
        <f>Table14[[#This Row],[Column1]]-AE193</f>
        <v>1.8084082337051807E-5</v>
      </c>
    </row>
    <row r="193" spans="1:38">
      <c r="A193" s="1">
        <v>1.175</v>
      </c>
      <c r="B193" s="13">
        <f>Octane[[#This Row],[angvel_total]]</f>
        <v>1.9824999999999999</v>
      </c>
      <c r="C193" s="13">
        <f>Hybrid[[#This Row],[angvel_total]]</f>
        <v>2.0302000024628115</v>
      </c>
      <c r="D193" s="13">
        <f>Dominus[[#This Row],[angvel_total]]</f>
        <v>2.0472000024423602</v>
      </c>
      <c r="E193" s="13">
        <f>Plank[[#This Row],[angvel_total]]</f>
        <v>2.0330000418101322</v>
      </c>
      <c r="F193" s="13">
        <f>Batmobile[[#This Row],[angvel_total]]</f>
        <v>2.0012000324805115</v>
      </c>
      <c r="G193" s="13">
        <f>Breakout[[#This Row],[angvel_total]]</f>
        <v>2.0525000000000002</v>
      </c>
      <c r="P193" s="1"/>
      <c r="AA193">
        <v>1.1749999999999701</v>
      </c>
      <c r="AD193" s="6">
        <v>141</v>
      </c>
      <c r="AE193" s="11">
        <f>(1-_xlfn.NORM.DIST(Table14[[#This Row],[X]],$AB$44,$AB$46,TRUE))/$AE$52</f>
        <v>1.2938897609441726E-4</v>
      </c>
      <c r="AF193" s="8">
        <f>Table14[[#This Row],[Column1]]*Table7[[#This Row],[Octane]]</f>
        <v>2.5651364510718223E-4</v>
      </c>
      <c r="AG193" s="8">
        <f>Table14[[#This Row],[Column1]]*Table7[[#This Row],[Hybrid]]</f>
        <v>2.6268549958554657E-4</v>
      </c>
      <c r="AH193" s="8">
        <f>Table14[[#This Row],[Column1]]*Table7[[#This Row],[Dominus]]</f>
        <v>2.6488511217650552E-4</v>
      </c>
      <c r="AI193" s="8">
        <f>Table14[[#This Row],[Column1]]*Table7[[#This Row],[Plank]]</f>
        <v>2.6304779380972046E-4</v>
      </c>
      <c r="AJ193" s="8">
        <f>Table14[[#This Row],[Column1]]*Table7[[#This Row],[Batmobile]]</f>
        <v>2.5893322316276798E-4</v>
      </c>
      <c r="AK193" s="8">
        <f>Table14[[#This Row],[Column1]]*Table7[[#This Row],[Breakout]]</f>
        <v>2.6557087343379146E-4</v>
      </c>
      <c r="AL193" s="3">
        <f>Table14[[#This Row],[Column1]]-AE194</f>
        <v>1.5985949905600701E-5</v>
      </c>
    </row>
    <row r="194" spans="1:38">
      <c r="A194" s="1">
        <v>1.18333333333333</v>
      </c>
      <c r="B194" s="13">
        <f>Octane[[#This Row],[angvel_total]]</f>
        <v>1.982500002522068</v>
      </c>
      <c r="C194" s="13">
        <f>Hybrid[[#This Row],[angvel_total]]</f>
        <v>2.0302000024628115</v>
      </c>
      <c r="D194" s="13">
        <f>Dominus[[#This Row],[angvel_total]]</f>
        <v>2.0472000024423602</v>
      </c>
      <c r="E194" s="13">
        <f>Plank[[#This Row],[angvel_total]]</f>
        <v>2.0330000418101322</v>
      </c>
      <c r="F194" s="13">
        <f>Batmobile[[#This Row],[angvel_total]]</f>
        <v>2.0012000324805115</v>
      </c>
      <c r="G194" s="13">
        <f>Breakout[[#This Row],[angvel_total]]</f>
        <v>2.0525000000000002</v>
      </c>
      <c r="P194" s="1"/>
      <c r="AA194">
        <v>1.18333333333331</v>
      </c>
      <c r="AD194" s="6">
        <v>142</v>
      </c>
      <c r="AE194" s="11">
        <f>(1-_xlfn.NORM.DIST(Table14[[#This Row],[X]],$AB$44,$AB$46,TRUE))/$AE$52</f>
        <v>1.1340302618881656E-4</v>
      </c>
      <c r="AF194" s="8">
        <f>Table14[[#This Row],[Column1]]*Table7[[#This Row],[Octane]]</f>
        <v>2.2482149970533898E-4</v>
      </c>
      <c r="AG194" s="8">
        <f>Table14[[#This Row],[Column1]]*Table7[[#This Row],[Hybrid]]</f>
        <v>2.3023082404782566E-4</v>
      </c>
      <c r="AH194" s="8">
        <f>Table14[[#This Row],[Column1]]*Table7[[#This Row],[Dominus]]</f>
        <v>2.3215867549071631E-4</v>
      </c>
      <c r="AI194" s="8">
        <f>Table14[[#This Row],[Column1]]*Table7[[#This Row],[Plank]]</f>
        <v>2.3054835698325959E-4</v>
      </c>
      <c r="AJ194" s="8">
        <f>Table14[[#This Row],[Column1]]*Table7[[#This Row],[Batmobile]]</f>
        <v>2.2694213969244801E-4</v>
      </c>
      <c r="AK194" s="8">
        <f>Table14[[#This Row],[Column1]]*Table7[[#This Row],[Breakout]]</f>
        <v>2.3275971125254601E-4</v>
      </c>
      <c r="AL194" s="3">
        <f>Table14[[#This Row],[Column1]]-AE195</f>
        <v>1.4115553581995764E-5</v>
      </c>
    </row>
    <row r="195" spans="1:38">
      <c r="A195" s="1">
        <v>1.19166666666667</v>
      </c>
      <c r="B195" s="13">
        <f>Octane[[#This Row],[angvel_total]]</f>
        <v>1.982500002522068</v>
      </c>
      <c r="C195" s="13">
        <f>Hybrid[[#This Row],[angvel_total]]</f>
        <v>2.0302000024628115</v>
      </c>
      <c r="D195" s="13">
        <f>Dominus[[#This Row],[angvel_total]]</f>
        <v>2.0472000024423602</v>
      </c>
      <c r="E195" s="13">
        <f>Plank[[#This Row],[angvel_total]]</f>
        <v>2.033000063944908</v>
      </c>
      <c r="F195" s="13">
        <f>Batmobile[[#This Row],[angvel_total]]</f>
        <v>2.0012000324805115</v>
      </c>
      <c r="G195" s="13">
        <f>Breakout[[#This Row],[angvel_total]]</f>
        <v>2.0525000000000002</v>
      </c>
      <c r="AA195">
        <v>1.19166666666664</v>
      </c>
      <c r="AD195" s="6">
        <v>143</v>
      </c>
      <c r="AE195" s="11">
        <f>(1-_xlfn.NORM.DIST(Table14[[#This Row],[X]],$AB$44,$AB$46,TRUE))/$AE$52</f>
        <v>9.9287472606820798E-5</v>
      </c>
      <c r="AF195" s="8">
        <f>Table14[[#This Row],[Column1]]*Table7[[#This Row],[Octane]]</f>
        <v>1.9683741469343199E-4</v>
      </c>
      <c r="AG195" s="8">
        <f>Table14[[#This Row],[Column1]]*Table7[[#This Row],[Hybrid]]</f>
        <v>2.0157342713089392E-4</v>
      </c>
      <c r="AH195" s="8">
        <f>Table14[[#This Row],[Column1]]*Table7[[#This Row],[Dominus]]</f>
        <v>2.0326131416317932E-4</v>
      </c>
      <c r="AI195" s="8">
        <f>Table14[[#This Row],[Column1]]*Table7[[#This Row],[Plank]]</f>
        <v>2.0185143815859498E-4</v>
      </c>
      <c r="AJ195" s="8">
        <f>Table14[[#This Row],[Column1]]*Table7[[#This Row],[Batmobile]]</f>
        <v>1.9869409340567766E-4</v>
      </c>
      <c r="AK195" s="8">
        <f>Table14[[#This Row],[Column1]]*Table7[[#This Row],[Breakout]]</f>
        <v>2.037875375254997E-4</v>
      </c>
      <c r="AL195" s="3">
        <f>Table14[[#This Row],[Column1]]-AE196</f>
        <v>1.2450158413808809E-5</v>
      </c>
    </row>
    <row r="196" spans="1:38">
      <c r="A196" s="1">
        <v>1.2</v>
      </c>
      <c r="B196" s="13">
        <f>Octane[[#This Row],[angvel_total]]</f>
        <v>1.982500002522068</v>
      </c>
      <c r="C196" s="13">
        <f>Hybrid[[#This Row],[angvel_total]]</f>
        <v>2.0302000024628115</v>
      </c>
      <c r="D196" s="13">
        <f>Dominus[[#This Row],[angvel_total]]</f>
        <v>2.0472000024423602</v>
      </c>
      <c r="E196" s="13">
        <f>Plank[[#This Row],[angvel_total]]</f>
        <v>2.033000063944908</v>
      </c>
      <c r="F196" s="13">
        <f>Batmobile[[#This Row],[angvel_total]]</f>
        <v>2.0012000324805115</v>
      </c>
      <c r="G196" s="13">
        <f>Breakout[[#This Row],[angvel_total]]</f>
        <v>2.0525000000000002</v>
      </c>
      <c r="P196" s="1"/>
      <c r="AA196">
        <v>1.19999999999997</v>
      </c>
      <c r="AD196" s="6">
        <v>144</v>
      </c>
      <c r="AE196" s="11">
        <f>(1-_xlfn.NORM.DIST(Table14[[#This Row],[X]],$AB$44,$AB$46,TRUE))/$AE$52</f>
        <v>8.6837314193011989E-5</v>
      </c>
      <c r="AF196" s="8">
        <f>Table14[[#This Row],[Column1]]*Table7[[#This Row],[Octane]]</f>
        <v>1.7215497560665589E-4</v>
      </c>
      <c r="AG196" s="8">
        <f>Table14[[#This Row],[Column1]]*Table7[[#This Row],[Hybrid]]</f>
        <v>1.7629711548851687E-4</v>
      </c>
      <c r="AH196" s="8">
        <f>Table14[[#This Row],[Column1]]*Table7[[#This Row],[Dominus]]</f>
        <v>1.7777334982802215E-4</v>
      </c>
      <c r="AI196" s="8">
        <f>Table14[[#This Row],[Column1]]*Table7[[#This Row],[Plank]]</f>
        <v>1.7654026530719745E-4</v>
      </c>
      <c r="AJ196" s="8">
        <f>Table14[[#This Row],[Column1]]*Table7[[#This Row],[Batmobile]]</f>
        <v>1.7377883598357599E-4</v>
      </c>
      <c r="AK196" s="8">
        <f>Table14[[#This Row],[Column1]]*Table7[[#This Row],[Breakout]]</f>
        <v>1.7823358738115711E-4</v>
      </c>
      <c r="AL196" s="3">
        <f>Table14[[#This Row],[Column1]]-AE197</f>
        <v>1.0969058054107714E-5</v>
      </c>
    </row>
    <row r="197" spans="1:38">
      <c r="A197" s="1">
        <v>1.2083333333333299</v>
      </c>
      <c r="B197" s="13">
        <f>Octane[[#This Row],[angvel_total]]</f>
        <v>1.982500002522068</v>
      </c>
      <c r="C197" s="13">
        <f>Hybrid[[#This Row],[angvel_total]]</f>
        <v>2.0302000049256228</v>
      </c>
      <c r="D197" s="13">
        <f>Dominus[[#This Row],[angvel_total]]</f>
        <v>2.0472000000000001</v>
      </c>
      <c r="E197" s="13">
        <f>Plank[[#This Row],[angvel_total]]</f>
        <v>2.033000063944908</v>
      </c>
      <c r="F197" s="13">
        <f>Batmobile[[#This Row],[angvel_total]]</f>
        <v>2.0012000324805115</v>
      </c>
      <c r="G197" s="13">
        <f>Breakout[[#This Row],[angvel_total]]</f>
        <v>2.0525000000000002</v>
      </c>
      <c r="P197" s="1"/>
      <c r="AA197">
        <v>1.2083333333333099</v>
      </c>
      <c r="AD197" s="6">
        <v>145</v>
      </c>
      <c r="AE197" s="11">
        <f>(1-_xlfn.NORM.DIST(Table14[[#This Row],[X]],$AB$44,$AB$46,TRUE))/$AE$52</f>
        <v>7.5868256138904275E-5</v>
      </c>
      <c r="AF197" s="8">
        <f>Table14[[#This Row],[Column1]]*Table7[[#This Row],[Octane]]</f>
        <v>1.5040881798672264E-4</v>
      </c>
      <c r="AG197" s="8">
        <f>Table14[[#This Row],[Column1]]*Table7[[#This Row],[Hybrid]]</f>
        <v>1.5402773398690188E-4</v>
      </c>
      <c r="AH197" s="8">
        <f>Table14[[#This Row],[Column1]]*Table7[[#This Row],[Dominus]]</f>
        <v>1.5531749396756485E-4</v>
      </c>
      <c r="AI197" s="8">
        <f>Table14[[#This Row],[Column1]]*Table7[[#This Row],[Plank]]</f>
        <v>1.5424016958178106E-4</v>
      </c>
      <c r="AJ197" s="8">
        <f>Table14[[#This Row],[Column1]]*Table7[[#This Row],[Batmobile]]</f>
        <v>1.5182755664941501E-4</v>
      </c>
      <c r="AK197" s="8">
        <f>Table14[[#This Row],[Column1]]*Table7[[#This Row],[Breakout]]</f>
        <v>1.5571959572510105E-4</v>
      </c>
      <c r="AL197" s="3">
        <f>Table14[[#This Row],[Column1]]-AE198</f>
        <v>9.6534219125540447E-6</v>
      </c>
    </row>
    <row r="198" spans="1:38">
      <c r="A198" s="1">
        <v>1.2166666666666699</v>
      </c>
      <c r="B198" s="13">
        <f>Octane[[#This Row],[angvel_total]]</f>
        <v>1.982500002522068</v>
      </c>
      <c r="C198" s="13">
        <f>Hybrid[[#This Row],[angvel_total]]</f>
        <v>2.0302000049256228</v>
      </c>
      <c r="D198" s="13">
        <f>Dominus[[#This Row],[angvel_total]]</f>
        <v>2.0472000000000001</v>
      </c>
      <c r="E198" s="13">
        <f>Plank[[#This Row],[angvel_total]]</f>
        <v>2.033000063944908</v>
      </c>
      <c r="F198" s="13">
        <f>Batmobile[[#This Row],[angvel_total]]</f>
        <v>2.0012000324805115</v>
      </c>
      <c r="G198" s="13">
        <f>Breakout[[#This Row],[angvel_total]]</f>
        <v>2.0525000000000002</v>
      </c>
      <c r="P198" s="1"/>
      <c r="AA198">
        <v>1.2166666666666399</v>
      </c>
      <c r="AD198" s="6">
        <v>146</v>
      </c>
      <c r="AE198" s="11">
        <f>(1-_xlfn.NORM.DIST(Table14[[#This Row],[X]],$AB$44,$AB$46,TRUE))/$AE$52</f>
        <v>6.6214834226350231E-5</v>
      </c>
      <c r="AF198" s="8">
        <f>Table14[[#This Row],[Column1]]*Table7[[#This Row],[Octane]]</f>
        <v>1.3127090902073765E-4</v>
      </c>
      <c r="AG198" s="8">
        <f>Table14[[#This Row],[Column1]]*Table7[[#This Row],[Hybrid]]</f>
        <v>1.3442935677248553E-4</v>
      </c>
      <c r="AH198" s="8">
        <f>Table14[[#This Row],[Column1]]*Table7[[#This Row],[Dominus]]</f>
        <v>1.355550086281842E-4</v>
      </c>
      <c r="AI198" s="8">
        <f>Table14[[#This Row],[Column1]]*Table7[[#This Row],[Plank]]</f>
        <v>1.3461476221627149E-4</v>
      </c>
      <c r="AJ198" s="8">
        <f>Table14[[#This Row],[Column1]]*Table7[[#This Row],[Batmobile]]</f>
        <v>1.3250912840446377E-4</v>
      </c>
      <c r="AK198" s="8">
        <f>Table14[[#This Row],[Column1]]*Table7[[#This Row],[Breakout]]</f>
        <v>1.3590594724958386E-4</v>
      </c>
      <c r="AL198" s="3">
        <f>Table14[[#This Row],[Column1]]-AE199</f>
        <v>8.4861506241324156E-6</v>
      </c>
    </row>
    <row r="199" spans="1:38">
      <c r="A199" s="1">
        <v>1.2250000000000001</v>
      </c>
      <c r="B199" s="13">
        <f>Octane[[#This Row],[angvel_total]]</f>
        <v>1.982500002522068</v>
      </c>
      <c r="C199" s="13">
        <f>Hybrid[[#This Row],[angvel_total]]</f>
        <v>2.0302000123140576</v>
      </c>
      <c r="D199" s="13">
        <f>Dominus[[#This Row],[angvel_total]]</f>
        <v>2.0472000000000001</v>
      </c>
      <c r="E199" s="13">
        <f>Plank[[#This Row],[angvel_total]]</f>
        <v>2.033000063944908</v>
      </c>
      <c r="F199" s="13">
        <f>Batmobile[[#This Row],[angvel_total]]</f>
        <v>2.0012000324805115</v>
      </c>
      <c r="G199" s="13">
        <f>Breakout[[#This Row],[angvel_total]]</f>
        <v>2.0525000000000002</v>
      </c>
      <c r="P199" s="1"/>
      <c r="AA199">
        <v>1.2249999999999699</v>
      </c>
      <c r="AD199" s="6">
        <v>147</v>
      </c>
      <c r="AE199" s="11">
        <f>(1-_xlfn.NORM.DIST(Table14[[#This Row],[X]],$AB$44,$AB$46,TRUE))/$AE$52</f>
        <v>5.7728683602217815E-5</v>
      </c>
      <c r="AF199" s="8">
        <f>Table14[[#This Row],[Column1]]*Table7[[#This Row],[Octane]]</f>
        <v>1.1444711538699249E-4</v>
      </c>
      <c r="AG199" s="8">
        <f>Table14[[#This Row],[Column1]]*Table7[[#This Row],[Hybrid]]</f>
        <v>1.1720077416009694E-4</v>
      </c>
      <c r="AH199" s="8">
        <f>Table14[[#This Row],[Column1]]*Table7[[#This Row],[Dominus]]</f>
        <v>1.1818216107046032E-4</v>
      </c>
      <c r="AI199" s="8">
        <f>Table14[[#This Row],[Column1]]*Table7[[#This Row],[Plank]]</f>
        <v>1.1736241745476418E-4</v>
      </c>
      <c r="AJ199" s="8">
        <f>Table14[[#This Row],[Column1]]*Table7[[#This Row],[Batmobile]]</f>
        <v>1.1552664349981546E-4</v>
      </c>
      <c r="AK199" s="8">
        <f>Table14[[#This Row],[Column1]]*Table7[[#This Row],[Breakout]]</f>
        <v>1.1848812309355208E-4</v>
      </c>
      <c r="AL199" s="3">
        <f>Table14[[#This Row],[Column1]]-AE200</f>
        <v>7.4517397568891821E-6</v>
      </c>
    </row>
    <row r="200" spans="1:38">
      <c r="A200" s="1">
        <v>1.2333333333333301</v>
      </c>
      <c r="B200" s="13">
        <f>Octane[[#This Row],[angvel_total]]</f>
        <v>1.982500002522068</v>
      </c>
      <c r="C200" s="13">
        <f>Hybrid[[#This Row],[angvel_total]]</f>
        <v>2.0302000123140576</v>
      </c>
      <c r="D200" s="13">
        <f>Dominus[[#This Row],[angvel_total]]</f>
        <v>2.0472000000000001</v>
      </c>
      <c r="E200" s="13">
        <f>Plank[[#This Row],[angvel_total]]</f>
        <v>2.033000063944908</v>
      </c>
      <c r="F200" s="13">
        <f>Batmobile[[#This Row],[angvel_total]]</f>
        <v>2.0012000249850086</v>
      </c>
      <c r="G200" s="13">
        <f>Breakout[[#This Row],[angvel_total]]</f>
        <v>2.0525000000000002</v>
      </c>
      <c r="P200" s="1"/>
      <c r="AA200">
        <v>1.2333333333333001</v>
      </c>
      <c r="AD200" s="6">
        <v>148</v>
      </c>
      <c r="AE200" s="11">
        <f>(1-_xlfn.NORM.DIST(Table14[[#This Row],[X]],$AB$44,$AB$46,TRUE))/$AE$52</f>
        <v>5.0276943845328633E-5</v>
      </c>
      <c r="AF200" s="8">
        <f>Table14[[#This Row],[Column1]]*Table7[[#This Row],[Octane]]</f>
        <v>9.9674041300165891E-5</v>
      </c>
      <c r="AG200" s="8">
        <f>Table14[[#This Row],[Column1]]*Table7[[#This Row],[Hybrid]]</f>
        <v>1.0207225201389937E-4</v>
      </c>
      <c r="AH200" s="8">
        <f>Table14[[#This Row],[Column1]]*Table7[[#This Row],[Dominus]]</f>
        <v>1.0292695944015678E-4</v>
      </c>
      <c r="AI200" s="8">
        <f>Table14[[#This Row],[Column1]]*Table7[[#This Row],[Plank]]</f>
        <v>1.0221303005250766E-4</v>
      </c>
      <c r="AJ200" s="8">
        <f>Table14[[#This Row],[Column1]]*Table7[[#This Row],[Batmobile]]</f>
        <v>1.0061422127944153E-4</v>
      </c>
      <c r="AK200" s="8">
        <f>Table14[[#This Row],[Column1]]*Table7[[#This Row],[Breakout]]</f>
        <v>1.0319342724253703E-4</v>
      </c>
      <c r="AL200" s="3">
        <f>Table14[[#This Row],[Column1]]-AE201</f>
        <v>6.5361516164960572E-6</v>
      </c>
    </row>
    <row r="201" spans="1:38">
      <c r="A201" s="1">
        <v>1.24166666666667</v>
      </c>
      <c r="B201" s="13">
        <f>Octane[[#This Row],[angvel_total]]</f>
        <v>1.982500002522068</v>
      </c>
      <c r="C201" s="13">
        <f>Hybrid[[#This Row],[angvel_total]]</f>
        <v>2.0302000123140576</v>
      </c>
      <c r="D201" s="13">
        <f>Dominus[[#This Row],[angvel_total]]</f>
        <v>2.0472000000000001</v>
      </c>
      <c r="E201" s="13">
        <f>Plank[[#This Row],[angvel_total]]</f>
        <v>2.033000063944908</v>
      </c>
      <c r="F201" s="13">
        <f>Batmobile[[#This Row],[angvel_total]]</f>
        <v>2.0012000249850086</v>
      </c>
      <c r="G201" s="13">
        <f>Breakout[[#This Row],[angvel_total]]</f>
        <v>2.0525000000000002</v>
      </c>
      <c r="AA201">
        <v>1.2416666666666401</v>
      </c>
      <c r="AD201" s="6">
        <v>149</v>
      </c>
      <c r="AE201" s="11">
        <f>(1-_xlfn.NORM.DIST(Table14[[#This Row],[X]],$AB$44,$AB$46,TRUE))/$AE$52</f>
        <v>4.3740792228832576E-5</v>
      </c>
      <c r="AF201" s="8">
        <f>Table14[[#This Row],[Column1]]*Table7[[#This Row],[Octane]]</f>
        <v>8.6716120703977833E-5</v>
      </c>
      <c r="AG201" s="8">
        <f>Table14[[#This Row],[Column1]]*Table7[[#This Row],[Hybrid]]</f>
        <v>8.8802556921602525E-5</v>
      </c>
      <c r="AH201" s="8">
        <f>Table14[[#This Row],[Column1]]*Table7[[#This Row],[Dominus]]</f>
        <v>8.954614985086605E-5</v>
      </c>
      <c r="AI201" s="8">
        <f>Table14[[#This Row],[Column1]]*Table7[[#This Row],[Plank]]</f>
        <v>8.8925033398217561E-5</v>
      </c>
      <c r="AJ201" s="8">
        <f>Table14[[#This Row],[Column1]]*Table7[[#This Row],[Batmobile]]</f>
        <v>8.7534074501203823E-5</v>
      </c>
      <c r="AK201" s="8">
        <f>Table14[[#This Row],[Column1]]*Table7[[#This Row],[Breakout]]</f>
        <v>8.977797604967887E-5</v>
      </c>
      <c r="AL201" s="3">
        <f>Table14[[#This Row],[Column1]]-AE202</f>
        <v>5.7266949742709205E-6</v>
      </c>
    </row>
    <row r="202" spans="1:38">
      <c r="A202" s="1">
        <v>1.25</v>
      </c>
      <c r="B202" s="13">
        <f>Octane[[#This Row],[angvel_total]]</f>
        <v>1.982500002522068</v>
      </c>
      <c r="C202" s="13">
        <f>Hybrid[[#This Row],[angvel_total]]</f>
        <v>2.0302000123140576</v>
      </c>
      <c r="D202" s="13">
        <f>Dominus[[#This Row],[angvel_total]]</f>
        <v>2.0472000000000001</v>
      </c>
      <c r="E202" s="13">
        <f>Plank[[#This Row],[angvel_total]]</f>
        <v>2.033000063944908</v>
      </c>
      <c r="F202" s="13">
        <f>Batmobile[[#This Row],[angvel_total]]</f>
        <v>2.0012000249850086</v>
      </c>
      <c r="G202" s="13">
        <f>Breakout[[#This Row],[angvel_total]]</f>
        <v>2.0525000000000002</v>
      </c>
      <c r="AA202">
        <v>1.24999999999997</v>
      </c>
      <c r="AD202" s="6">
        <v>150</v>
      </c>
      <c r="AE202" s="11">
        <f>(1-_xlfn.NORM.DIST(Table14[[#This Row],[X]],$AB$44,$AB$46,TRUE))/$AE$52</f>
        <v>3.8014097254561655E-5</v>
      </c>
      <c r="AF202" s="8">
        <f>Table14[[#This Row],[Column1]]*Table7[[#This Row],[Octane]]</f>
        <v>7.5362947903042626E-5</v>
      </c>
      <c r="AG202" s="8">
        <f>Table14[[#This Row],[Column1]]*Table7[[#This Row],[Hybrid]]</f>
        <v>7.7176220714318859E-5</v>
      </c>
      <c r="AH202" s="8">
        <f>Table14[[#This Row],[Column1]]*Table7[[#This Row],[Dominus]]</f>
        <v>7.7822459899538619E-5</v>
      </c>
      <c r="AI202" s="8">
        <f>Table14[[#This Row],[Column1]]*Table7[[#This Row],[Plank]]</f>
        <v>7.7282662149331794E-5</v>
      </c>
      <c r="AJ202" s="8">
        <f>Table14[[#This Row],[Column1]]*Table7[[#This Row],[Batmobile]]</f>
        <v>7.6073812375611336E-5</v>
      </c>
      <c r="AK202" s="8">
        <f>Table14[[#This Row],[Column1]]*Table7[[#This Row],[Breakout]]</f>
        <v>7.80239346149878E-5</v>
      </c>
      <c r="AL202" s="3">
        <f>Table14[[#This Row],[Column1]]-AE203</f>
        <v>5.0119125022466933E-6</v>
      </c>
    </row>
    <row r="203" spans="1:38">
      <c r="A203" s="1">
        <v>1.25833333333333</v>
      </c>
      <c r="B203" s="13">
        <f>Octane[[#This Row],[angvel_total]]</f>
        <v>1.9824999999999999</v>
      </c>
      <c r="C203" s="13">
        <f>Hybrid[[#This Row],[angvel_total]]</f>
        <v>2.0302000123140576</v>
      </c>
      <c r="D203" s="13">
        <f>Dominus[[#This Row],[angvel_total]]</f>
        <v>2.0472000000000001</v>
      </c>
      <c r="E203" s="13">
        <f>Plank[[#This Row],[angvel_total]]</f>
        <v>2.033000063944908</v>
      </c>
      <c r="F203" s="13">
        <f>Batmobile[[#This Row],[angvel_total]]</f>
        <v>2.0012000224865081</v>
      </c>
      <c r="G203" s="13">
        <f>Breakout[[#This Row],[angvel_total]]</f>
        <v>2.0525000000000002</v>
      </c>
      <c r="AA203">
        <v>1.2583333333333</v>
      </c>
      <c r="AD203" s="6">
        <v>151</v>
      </c>
      <c r="AE203" s="11">
        <f>(1-_xlfn.NORM.DIST(Table14[[#This Row],[X]],$AB$44,$AB$46,TRUE))/$AE$52</f>
        <v>3.3002184752314962E-5</v>
      </c>
      <c r="AF203" s="8">
        <f>Table14[[#This Row],[Column1]]*Table7[[#This Row],[Octane]]</f>
        <v>6.5426831271464403E-5</v>
      </c>
      <c r="AG203" s="8">
        <f>Table14[[#This Row],[Column1]]*Table7[[#This Row],[Hybrid]]</f>
        <v>6.7001035890540639E-5</v>
      </c>
      <c r="AH203" s="8">
        <f>Table14[[#This Row],[Column1]]*Table7[[#This Row],[Dominus]]</f>
        <v>6.7562072624939199E-5</v>
      </c>
      <c r="AI203" s="8">
        <f>Table14[[#This Row],[Column1]]*Table7[[#This Row],[Plank]]</f>
        <v>6.7093443711777989E-5</v>
      </c>
      <c r="AJ203" s="8">
        <f>Table14[[#This Row],[Column1]]*Table7[[#This Row],[Batmobile]]</f>
        <v>6.6043972868436599E-5</v>
      </c>
      <c r="AK203" s="8">
        <f>Table14[[#This Row],[Column1]]*Table7[[#This Row],[Breakout]]</f>
        <v>6.7736984204126472E-5</v>
      </c>
      <c r="AL203" s="3">
        <f>Table14[[#This Row],[Column1]]-AE204</f>
        <v>4.3814756722277055E-6</v>
      </c>
    </row>
    <row r="204" spans="1:38">
      <c r="A204" s="1">
        <v>1.2666666666666699</v>
      </c>
      <c r="B204" s="13">
        <f>Octane[[#This Row],[angvel_total]]</f>
        <v>1.9824999999999999</v>
      </c>
      <c r="C204" s="13">
        <f>Hybrid[[#This Row],[angvel_total]]</f>
        <v>2.0302000123140576</v>
      </c>
      <c r="D204" s="13">
        <f>Dominus[[#This Row],[angvel_total]]</f>
        <v>2.0472000000000001</v>
      </c>
      <c r="E204" s="13">
        <f>Plank[[#This Row],[angvel_total]]</f>
        <v>2.033000063944908</v>
      </c>
      <c r="F204" s="13">
        <f>Batmobile[[#This Row],[angvel_total]]</f>
        <v>2.0012000224865081</v>
      </c>
      <c r="G204" s="13">
        <f>Breakout[[#This Row],[angvel_total]]</f>
        <v>2.0525000000000002</v>
      </c>
      <c r="AA204">
        <v>1.26666666666664</v>
      </c>
      <c r="AD204" s="6">
        <v>152</v>
      </c>
      <c r="AE204" s="11">
        <f>(1-_xlfn.NORM.DIST(Table14[[#This Row],[X]],$AB$44,$AB$46,TRUE))/$AE$52</f>
        <v>2.8620709080087256E-5</v>
      </c>
      <c r="AF204" s="8">
        <f>Table14[[#This Row],[Column1]]*Table7[[#This Row],[Octane]]</f>
        <v>5.6740555751272986E-5</v>
      </c>
      <c r="AG204" s="8">
        <f>Table14[[#This Row],[Column1]]*Table7[[#This Row],[Hybrid]]</f>
        <v>5.8105763926830208E-5</v>
      </c>
      <c r="AH204" s="8">
        <f>Table14[[#This Row],[Column1]]*Table7[[#This Row],[Dominus]]</f>
        <v>5.8592315628754636E-5</v>
      </c>
      <c r="AI204" s="8">
        <f>Table14[[#This Row],[Column1]]*Table7[[#This Row],[Plank]]</f>
        <v>5.8185903389966003E-5</v>
      </c>
      <c r="AJ204" s="8">
        <f>Table14[[#This Row],[Column1]]*Table7[[#This Row],[Batmobile]]</f>
        <v>5.7275763654650423E-5</v>
      </c>
      <c r="AK204" s="8">
        <f>Table14[[#This Row],[Column1]]*Table7[[#This Row],[Breakout]]</f>
        <v>5.8744005386879099E-5</v>
      </c>
      <c r="AL204" s="3">
        <f>Table14[[#This Row],[Column1]]-AE205</f>
        <v>3.8260868500541805E-6</v>
      </c>
    </row>
    <row r="205" spans="1:38">
      <c r="A205" s="1">
        <v>1.2749999999999999</v>
      </c>
      <c r="B205" s="13">
        <f>Octane[[#This Row],[angvel_total]]</f>
        <v>1.9824999999999999</v>
      </c>
      <c r="C205" s="13">
        <f>Hybrid[[#This Row],[angvel_total]]</f>
        <v>2.0302000049256228</v>
      </c>
      <c r="D205" s="13">
        <f>Dominus[[#This Row],[angvel_total]]</f>
        <v>2.0472000000000001</v>
      </c>
      <c r="E205" s="13">
        <f>Plank[[#This Row],[angvel_total]]</f>
        <v>2.033000063944908</v>
      </c>
      <c r="F205" s="13">
        <f>Batmobile[[#This Row],[angvel_total]]</f>
        <v>2.0012000224865081</v>
      </c>
      <c r="G205" s="13">
        <f>Breakout[[#This Row],[angvel_total]]</f>
        <v>2.0525000000000002</v>
      </c>
      <c r="AA205">
        <v>1.2749999999999699</v>
      </c>
      <c r="AD205" s="6">
        <v>153</v>
      </c>
      <c r="AE205" s="11">
        <f>(1-_xlfn.NORM.DIST(Table14[[#This Row],[X]],$AB$44,$AB$46,TRUE))/$AE$52</f>
        <v>2.4794622230033076E-5</v>
      </c>
      <c r="AF205" s="8">
        <f>Table14[[#This Row],[Column1]]*Table7[[#This Row],[Octane]]</f>
        <v>4.9155338571040574E-5</v>
      </c>
      <c r="AG205" s="8">
        <f>Table14[[#This Row],[Column1]]*Table7[[#This Row],[Hybrid]]</f>
        <v>5.0338042173542109E-5</v>
      </c>
      <c r="AH205" s="8">
        <f>Table14[[#This Row],[Column1]]*Table7[[#This Row],[Dominus]]</f>
        <v>5.0759550629323719E-5</v>
      </c>
      <c r="AI205" s="8">
        <f>Table14[[#This Row],[Column1]]*Table7[[#This Row],[Plank]]</f>
        <v>5.0407468579147082E-5</v>
      </c>
      <c r="AJ205" s="8">
        <f>Table14[[#This Row],[Column1]]*Table7[[#This Row],[Batmobile]]</f>
        <v>4.9618998564286663E-5</v>
      </c>
      <c r="AK205" s="8">
        <f>Table14[[#This Row],[Column1]]*Table7[[#This Row],[Breakout]]</f>
        <v>5.0890962127142892E-5</v>
      </c>
      <c r="AL205" s="3">
        <f>Table14[[#This Row],[Column1]]-AE206</f>
        <v>3.3373882964404439E-6</v>
      </c>
    </row>
    <row r="206" spans="1:38">
      <c r="A206" s="1">
        <v>1.2833333333333301</v>
      </c>
      <c r="B206" s="13">
        <f>Octane[[#This Row],[angvel_total]]</f>
        <v>1.9824999999999999</v>
      </c>
      <c r="C206" s="13">
        <f>Hybrid[[#This Row],[angvel_total]]</f>
        <v>2.0302000049256228</v>
      </c>
      <c r="D206" s="13">
        <f>Dominus[[#This Row],[angvel_total]]</f>
        <v>2.0472000000000001</v>
      </c>
      <c r="E206" s="13">
        <f>Plank[[#This Row],[angvel_total]]</f>
        <v>2.033000063944908</v>
      </c>
      <c r="F206" s="13">
        <f>Batmobile[[#This Row],[angvel_total]]</f>
        <v>2.0012000099940033</v>
      </c>
      <c r="G206" s="13">
        <f>Breakout[[#This Row],[angvel_total]]</f>
        <v>2.0525000000000002</v>
      </c>
      <c r="AA206">
        <v>1.2833333333332999</v>
      </c>
      <c r="AD206" s="6">
        <v>154</v>
      </c>
      <c r="AE206" s="11">
        <f>(1-_xlfn.NORM.DIST(Table14[[#This Row],[X]],$AB$44,$AB$46,TRUE))/$AE$52</f>
        <v>2.1457233933592632E-5</v>
      </c>
      <c r="AF206" s="8">
        <f>Table14[[#This Row],[Column1]]*Table7[[#This Row],[Octane]]</f>
        <v>4.2538966273347392E-5</v>
      </c>
      <c r="AG206" s="8">
        <f>Table14[[#This Row],[Column1]]*Table7[[#This Row],[Hybrid]]</f>
        <v>4.3562476437670004E-5</v>
      </c>
      <c r="AH206" s="8">
        <f>Table14[[#This Row],[Column1]]*Table7[[#This Row],[Dominus]]</f>
        <v>4.3927249308850841E-5</v>
      </c>
      <c r="AI206" s="8">
        <f>Table14[[#This Row],[Column1]]*Table7[[#This Row],[Plank]]</f>
        <v>4.3622557959074671E-5</v>
      </c>
      <c r="AJ206" s="8">
        <f>Table14[[#This Row],[Column1]]*Table7[[#This Row],[Batmobile]]</f>
        <v>4.2940216762349239E-5</v>
      </c>
      <c r="AK206" s="8">
        <f>Table14[[#This Row],[Column1]]*Table7[[#This Row],[Breakout]]</f>
        <v>4.4040972648698879E-5</v>
      </c>
      <c r="AL206" s="3">
        <f>Table14[[#This Row],[Column1]]-AE207</f>
        <v>2.9078777769572815E-6</v>
      </c>
    </row>
    <row r="207" spans="1:38">
      <c r="A207" s="1">
        <v>1.2916666666666701</v>
      </c>
      <c r="B207" s="13">
        <f>Octane[[#This Row],[angvel_total]]</f>
        <v>1.9824999999999999</v>
      </c>
      <c r="C207" s="13">
        <f>Hybrid[[#This Row],[angvel_total]]</f>
        <v>2.0302000024628115</v>
      </c>
      <c r="D207" s="13">
        <f>Dominus[[#This Row],[angvel_total]]</f>
        <v>2.0472000000000001</v>
      </c>
      <c r="E207" s="13">
        <f>Plank[[#This Row],[angvel_total]]</f>
        <v>2.033000063944908</v>
      </c>
      <c r="F207" s="13">
        <f>Batmobile[[#This Row],[angvel_total]]</f>
        <v>2.0012000099940033</v>
      </c>
      <c r="G207" s="13">
        <f>Breakout[[#This Row],[angvel_total]]</f>
        <v>2.0525000000000002</v>
      </c>
      <c r="AA207">
        <v>1.2916666666666301</v>
      </c>
      <c r="AD207" s="6">
        <v>155</v>
      </c>
      <c r="AE207" s="11">
        <f>(1-_xlfn.NORM.DIST(Table14[[#This Row],[X]],$AB$44,$AB$46,TRUE))/$AE$52</f>
        <v>1.8549356156635351E-5</v>
      </c>
      <c r="AF207" s="8">
        <f>Table14[[#This Row],[Column1]]*Table7[[#This Row],[Octane]]</f>
        <v>3.6774098580529581E-5</v>
      </c>
      <c r="AG207" s="8">
        <f>Table14[[#This Row],[Column1]]*Table7[[#This Row],[Hybrid]]</f>
        <v>3.7658902914884655E-5</v>
      </c>
      <c r="AH207" s="8">
        <f>Table14[[#This Row],[Column1]]*Table7[[#This Row],[Dominus]]</f>
        <v>3.7974241923863889E-5</v>
      </c>
      <c r="AI207" s="8">
        <f>Table14[[#This Row],[Column1]]*Table7[[#This Row],[Plank]]</f>
        <v>3.7710842252576537E-5</v>
      </c>
      <c r="AJ207" s="8">
        <f>Table14[[#This Row],[Column1]]*Table7[[#This Row],[Batmobile]]</f>
        <v>3.7120971726040992E-5</v>
      </c>
      <c r="AK207" s="8">
        <f>Table14[[#This Row],[Column1]]*Table7[[#This Row],[Breakout]]</f>
        <v>3.8072553511494062E-5</v>
      </c>
      <c r="AL207" s="3">
        <f>Table14[[#This Row],[Column1]]-AE208</f>
        <v>2.5308304638737158E-6</v>
      </c>
    </row>
    <row r="208" spans="1:38">
      <c r="A208" s="1">
        <v>1.3</v>
      </c>
      <c r="B208" s="13">
        <f>Octane[[#This Row],[angvel_total]]</f>
        <v>1.9824999999999999</v>
      </c>
      <c r="C208" s="13">
        <f>Hybrid[[#This Row],[angvel_total]]</f>
        <v>2.0302000024628115</v>
      </c>
      <c r="D208" s="13">
        <f>Dominus[[#This Row],[angvel_total]]</f>
        <v>2.0472000000000001</v>
      </c>
      <c r="E208" s="13">
        <f>Plank[[#This Row],[angvel_total]]</f>
        <v>2.033000063944908</v>
      </c>
      <c r="F208" s="13">
        <f>Batmobile[[#This Row],[angvel_total]]</f>
        <v>2.0012000099940033</v>
      </c>
      <c r="G208" s="13">
        <f>Breakout[[#This Row],[angvel_total]]</f>
        <v>2.0525000000000002</v>
      </c>
      <c r="AA208">
        <v>1.2999999999999701</v>
      </c>
      <c r="AD208" s="6">
        <v>156</v>
      </c>
      <c r="AE208" s="11">
        <f>(1-_xlfn.NORM.DIST(Table14[[#This Row],[X]],$AB$44,$AB$46,TRUE))/$AE$52</f>
        <v>1.6018525692761635E-5</v>
      </c>
      <c r="AF208" s="8">
        <f>Table14[[#This Row],[Column1]]*Table7[[#This Row],[Octane]]</f>
        <v>3.1756727185899941E-5</v>
      </c>
      <c r="AG208" s="8">
        <f>Table14[[#This Row],[Column1]]*Table7[[#This Row],[Hybrid]]</f>
        <v>3.2520810900895281E-5</v>
      </c>
      <c r="AH208" s="8">
        <f>Table14[[#This Row],[Column1]]*Table7[[#This Row],[Dominus]]</f>
        <v>3.2793125798221621E-5</v>
      </c>
      <c r="AI208" s="8">
        <f>Table14[[#This Row],[Column1]]*Table7[[#This Row],[Plank]]</f>
        <v>3.2565663757687557E-5</v>
      </c>
      <c r="AJ208" s="8">
        <f>Table14[[#This Row],[Column1]]*Table7[[#This Row],[Batmobile]]</f>
        <v>3.2056273776443782E-5</v>
      </c>
      <c r="AK208" s="8">
        <f>Table14[[#This Row],[Column1]]*Table7[[#This Row],[Breakout]]</f>
        <v>3.287802398439326E-5</v>
      </c>
      <c r="AL208" s="3">
        <f>Table14[[#This Row],[Column1]]-AE209</f>
        <v>2.2002268169709949E-6</v>
      </c>
    </row>
    <row r="209" spans="1:38">
      <c r="A209" s="1">
        <v>1.30833333333333</v>
      </c>
      <c r="B209" s="13">
        <f>Octane[[#This Row],[angvel_total]]</f>
        <v>1.9824999999999999</v>
      </c>
      <c r="C209" s="13">
        <f>Hybrid[[#This Row],[angvel_total]]</f>
        <v>2.0302000024628115</v>
      </c>
      <c r="D209" s="13">
        <f>Dominus[[#This Row],[angvel_total]]</f>
        <v>2.0472000000000001</v>
      </c>
      <c r="E209" s="13">
        <f>Plank[[#This Row],[angvel_total]]</f>
        <v>2.0330000418101322</v>
      </c>
      <c r="F209" s="13">
        <f>Batmobile[[#This Row],[angvel_total]]</f>
        <v>2.0012000024985008</v>
      </c>
      <c r="G209" s="13">
        <f>Breakout[[#This Row],[angvel_total]]</f>
        <v>2.0525000000000002</v>
      </c>
      <c r="AA209">
        <v>1.3083333333333</v>
      </c>
      <c r="AD209" s="6">
        <v>157</v>
      </c>
      <c r="AE209" s="11">
        <f>(1-_xlfn.NORM.DIST(Table14[[#This Row],[X]],$AB$44,$AB$46,TRUE))/$AE$52</f>
        <v>1.381829887579064E-5</v>
      </c>
      <c r="AF209" s="8">
        <f>Table14[[#This Row],[Column1]]*Table7[[#This Row],[Octane]]</f>
        <v>2.7394777521254942E-5</v>
      </c>
      <c r="AG209" s="8">
        <f>Table14[[#This Row],[Column1]]*Table7[[#This Row],[Hybrid]]</f>
        <v>2.8053910411662024E-5</v>
      </c>
      <c r="AH209" s="8">
        <f>Table14[[#This Row],[Column1]]*Table7[[#This Row],[Dominus]]</f>
        <v>2.8288821458518599E-5</v>
      </c>
      <c r="AI209" s="8">
        <f>Table14[[#This Row],[Column1]]*Table7[[#This Row],[Plank]]</f>
        <v>2.8092602192227271E-5</v>
      </c>
      <c r="AJ209" s="8">
        <f>Table14[[#This Row],[Column1]]*Table7[[#This Row],[Batmobile]]</f>
        <v>2.765317974475726E-5</v>
      </c>
      <c r="AK209" s="8">
        <f>Table14[[#This Row],[Column1]]*Table7[[#This Row],[Breakout]]</f>
        <v>2.8362058442560291E-5</v>
      </c>
      <c r="AL209" s="3">
        <f>Table14[[#This Row],[Column1]]-AE210</f>
        <v>1.9106861219128865E-6</v>
      </c>
    </row>
    <row r="210" spans="1:38">
      <c r="A210" s="1">
        <v>1.31666666666667</v>
      </c>
      <c r="B210" s="13">
        <f>Octane[[#This Row],[angvel_total]]</f>
        <v>1.9824999999999999</v>
      </c>
      <c r="C210" s="13">
        <f>Hybrid[[#This Row],[angvel_total]]</f>
        <v>2.0302000024628115</v>
      </c>
      <c r="D210" s="13">
        <f>Dominus[[#This Row],[angvel_total]]</f>
        <v>2.0472000000000001</v>
      </c>
      <c r="E210" s="13">
        <f>Plank[[#This Row],[angvel_total]]</f>
        <v>2.0330000418101322</v>
      </c>
      <c r="F210" s="13">
        <f>Batmobile[[#This Row],[angvel_total]]</f>
        <v>2.0012000024985008</v>
      </c>
      <c r="G210" s="13">
        <f>Breakout[[#This Row],[angvel_total]]</f>
        <v>2.0525000000000002</v>
      </c>
      <c r="AA210">
        <v>1.31666666666663</v>
      </c>
      <c r="AD210" s="6">
        <v>158</v>
      </c>
      <c r="AE210" s="11">
        <f>(1-_xlfn.NORM.DIST(Table14[[#This Row],[X]],$AB$44,$AB$46,TRUE))/$AE$52</f>
        <v>1.1907612753877753E-5</v>
      </c>
      <c r="AF210" s="8">
        <f>Table14[[#This Row],[Column1]]*Table7[[#This Row],[Octane]]</f>
        <v>2.3606842284562644E-5</v>
      </c>
      <c r="AG210" s="8">
        <f>Table14[[#This Row],[Column1]]*Table7[[#This Row],[Hybrid]]</f>
        <v>2.4174835442248821E-5</v>
      </c>
      <c r="AH210" s="8">
        <f>Table14[[#This Row],[Column1]]*Table7[[#This Row],[Dominus]]</f>
        <v>2.437726482973854E-5</v>
      </c>
      <c r="AI210" s="8">
        <f>Table14[[#This Row],[Column1]]*Table7[[#This Row],[Plank]]</f>
        <v>2.4208177226492334E-5</v>
      </c>
      <c r="AJ210" s="8">
        <f>Table14[[#This Row],[Column1]]*Table7[[#This Row],[Batmobile]]</f>
        <v>2.3829514672811339E-5</v>
      </c>
      <c r="AK210" s="8">
        <f>Table14[[#This Row],[Column1]]*Table7[[#This Row],[Breakout]]</f>
        <v>2.4440375177334092E-5</v>
      </c>
      <c r="AL210" s="3">
        <f>Table14[[#This Row],[Column1]]-AE211</f>
        <v>1.6574053628911856E-6</v>
      </c>
    </row>
    <row r="211" spans="1:38">
      <c r="A211" s="1">
        <v>1.325</v>
      </c>
      <c r="B211" s="13">
        <f>Octane[[#This Row],[angvel_total]]</f>
        <v>1.9824999999999999</v>
      </c>
      <c r="C211" s="13">
        <f>Hybrid[[#This Row],[angvel_total]]</f>
        <v>2.0302000024628115</v>
      </c>
      <c r="D211" s="13">
        <f>Dominus[[#This Row],[angvel_total]]</f>
        <v>2.0472000000000001</v>
      </c>
      <c r="E211" s="13">
        <f>Plank[[#This Row],[angvel_total]]</f>
        <v>2.0330000319724544</v>
      </c>
      <c r="F211" s="13">
        <f>Batmobile[[#This Row],[angvel_total]]</f>
        <v>2.0011999999999999</v>
      </c>
      <c r="G211" s="13">
        <f>Breakout[[#This Row],[angvel_total]]</f>
        <v>2.0525000000000002</v>
      </c>
      <c r="AA211">
        <v>1.32499999999997</v>
      </c>
      <c r="AD211" s="6">
        <v>159</v>
      </c>
      <c r="AE211" s="11">
        <f>(1-_xlfn.NORM.DIST(Table14[[#This Row],[X]],$AB$44,$AB$46,TRUE))/$AE$52</f>
        <v>1.0250207390986568E-5</v>
      </c>
      <c r="AF211" s="8">
        <f>Table14[[#This Row],[Column1]]*Table7[[#This Row],[Octane]]</f>
        <v>2.0321036152630871E-5</v>
      </c>
      <c r="AG211" s="8">
        <f>Table14[[#This Row],[Column1]]*Table7[[#This Row],[Hybrid]]</f>
        <v>2.080997107042526E-5</v>
      </c>
      <c r="AH211" s="8">
        <f>Table14[[#This Row],[Column1]]*Table7[[#This Row],[Dominus]]</f>
        <v>2.0984224570827704E-5</v>
      </c>
      <c r="AI211" s="8">
        <f>Table14[[#This Row],[Column1]]*Table7[[#This Row],[Plank]]</f>
        <v>2.083867195359998E-5</v>
      </c>
      <c r="AJ211" s="8">
        <f>Table14[[#This Row],[Column1]]*Table7[[#This Row],[Batmobile]]</f>
        <v>2.0512715030842318E-5</v>
      </c>
      <c r="AK211" s="8">
        <f>Table14[[#This Row],[Column1]]*Table7[[#This Row],[Breakout]]</f>
        <v>2.1038550669999933E-5</v>
      </c>
      <c r="AL211" s="3">
        <f>Table14[[#This Row],[Column1]]-AE212</f>
        <v>1.4361031197238512E-6</v>
      </c>
    </row>
    <row r="212" spans="1:38">
      <c r="A212" s="1">
        <v>1.3333333333333299</v>
      </c>
      <c r="B212" s="13">
        <f>Octane[[#This Row],[angvel_total]]</f>
        <v>1.9824999999999999</v>
      </c>
      <c r="C212" s="13">
        <f>Hybrid[[#This Row],[angvel_total]]</f>
        <v>2.0301999999999998</v>
      </c>
      <c r="D212" s="13">
        <f>Dominus[[#This Row],[angvel_total]]</f>
        <v>2.0472000000000001</v>
      </c>
      <c r="E212" s="13">
        <f>Plank[[#This Row],[angvel_total]]</f>
        <v>2.0330000196753568</v>
      </c>
      <c r="F212" s="13">
        <f>Batmobile[[#This Row],[angvel_total]]</f>
        <v>2.0011999999999999</v>
      </c>
      <c r="G212" s="13">
        <f>Breakout[[#This Row],[angvel_total]]</f>
        <v>2.0525000000000002</v>
      </c>
      <c r="AA212">
        <v>1.3333333333333</v>
      </c>
      <c r="AD212" s="6">
        <v>160</v>
      </c>
      <c r="AE212" s="11">
        <f>(1-_xlfn.NORM.DIST(Table14[[#This Row],[X]],$AB$44,$AB$46,TRUE))/$AE$52</f>
        <v>8.8141042712627165E-6</v>
      </c>
      <c r="AF212" s="8">
        <f>Table14[[#This Row],[Column1]]*Table7[[#This Row],[Octane]]</f>
        <v>1.7473961717778334E-5</v>
      </c>
      <c r="AG212" s="8">
        <f>Table14[[#This Row],[Column1]]*Table7[[#This Row],[Hybrid]]</f>
        <v>1.7894394491517566E-5</v>
      </c>
      <c r="AH212" s="8">
        <f>Table14[[#This Row],[Column1]]*Table7[[#This Row],[Dominus]]</f>
        <v>1.8044234264129036E-5</v>
      </c>
      <c r="AI212" s="8">
        <f>Table14[[#This Row],[Column1]]*Table7[[#This Row],[Plank]]</f>
        <v>1.7919074156897751E-5</v>
      </c>
      <c r="AJ212" s="8">
        <f>Table14[[#This Row],[Column1]]*Table7[[#This Row],[Batmobile]]</f>
        <v>1.7638785467650946E-5</v>
      </c>
      <c r="AK212" s="8">
        <f>Table14[[#This Row],[Column1]]*Table7[[#This Row],[Breakout]]</f>
        <v>1.8090949016766726E-5</v>
      </c>
      <c r="AL212" s="3">
        <f>Table14[[#This Row],[Column1]]-AE213</f>
        <v>1.2429681681234469E-6</v>
      </c>
    </row>
    <row r="213" spans="1:38">
      <c r="A213" s="1">
        <v>1.3416666666666699</v>
      </c>
      <c r="B213" s="13">
        <f>Octane[[#This Row],[angvel_total]]</f>
        <v>1.9824999999999999</v>
      </c>
      <c r="C213" s="13">
        <f>Hybrid[[#This Row],[angvel_total]]</f>
        <v>2.0301999999999998</v>
      </c>
      <c r="D213" s="13">
        <f>Dominus[[#This Row],[angvel_total]]</f>
        <v>2.0472000000000001</v>
      </c>
      <c r="E213" s="13">
        <f>Plank[[#This Row],[angvel_total]]</f>
        <v>2.0330000122970979</v>
      </c>
      <c r="F213" s="13">
        <f>Batmobile[[#This Row],[angvel_total]]</f>
        <v>2.0011999999999999</v>
      </c>
      <c r="G213" s="13">
        <f>Breakout[[#This Row],[angvel_total]]</f>
        <v>2.0525000000000002</v>
      </c>
      <c r="AA213">
        <v>1.3416666666666299</v>
      </c>
      <c r="AD213" s="6">
        <v>161</v>
      </c>
      <c r="AE213" s="11">
        <f>(1-_xlfn.NORM.DIST(Table14[[#This Row],[X]],$AB$44,$AB$46,TRUE))/$AE$52</f>
        <v>7.5711361031392696E-6</v>
      </c>
      <c r="AF213" s="8">
        <f>Table14[[#This Row],[Column1]]*Table7[[#This Row],[Octane]]</f>
        <v>1.5009777324473601E-5</v>
      </c>
      <c r="AG213" s="8">
        <f>Table14[[#This Row],[Column1]]*Table7[[#This Row],[Hybrid]]</f>
        <v>1.5370920516593343E-5</v>
      </c>
      <c r="AH213" s="8">
        <f>Table14[[#This Row],[Column1]]*Table7[[#This Row],[Dominus]]</f>
        <v>1.5499629830346712E-5</v>
      </c>
      <c r="AI213" s="8">
        <f>Table14[[#This Row],[Column1]]*Table7[[#This Row],[Plank]]</f>
        <v>1.5392119790785138E-5</v>
      </c>
      <c r="AJ213" s="8">
        <f>Table14[[#This Row],[Column1]]*Table7[[#This Row],[Batmobile]]</f>
        <v>1.5151357569602306E-5</v>
      </c>
      <c r="AK213" s="8">
        <f>Table14[[#This Row],[Column1]]*Table7[[#This Row],[Breakout]]</f>
        <v>1.5539756851693353E-5</v>
      </c>
      <c r="AL213" s="3">
        <f>Table14[[#This Row],[Column1]]-AE214</f>
        <v>1.074612487571925E-6</v>
      </c>
    </row>
    <row r="214" spans="1:38">
      <c r="A214" s="1">
        <v>1.35</v>
      </c>
      <c r="B214" s="13">
        <f>Octane[[#This Row],[angvel_total]]</f>
        <v>1.9824999999999999</v>
      </c>
      <c r="C214" s="13">
        <f>Hybrid[[#This Row],[angvel_total]]</f>
        <v>2.0301999999999998</v>
      </c>
      <c r="D214" s="13">
        <f>Dominus[[#This Row],[angvel_total]]</f>
        <v>2.0472000000000001</v>
      </c>
      <c r="E214" s="13">
        <f>Plank[[#This Row],[angvel_total]]</f>
        <v>2.0330000098376781</v>
      </c>
      <c r="F214" s="13">
        <f>Batmobile[[#This Row],[angvel_total]]</f>
        <v>2.0011999999999999</v>
      </c>
      <c r="G214" s="13">
        <f>Breakout[[#This Row],[angvel_total]]</f>
        <v>2.0525000000000002</v>
      </c>
      <c r="AA214">
        <v>1.3499999999999699</v>
      </c>
      <c r="AD214" s="6">
        <v>162</v>
      </c>
      <c r="AE214" s="11">
        <f>(1-_xlfn.NORM.DIST(Table14[[#This Row],[X]],$AB$44,$AB$46,TRUE))/$AE$52</f>
        <v>6.4965236155673446E-6</v>
      </c>
      <c r="AF214" s="8">
        <f>Table14[[#This Row],[Column1]]*Table7[[#This Row],[Octane]]</f>
        <v>1.287935806786226E-5</v>
      </c>
      <c r="AG214" s="8">
        <f>Table14[[#This Row],[Column1]]*Table7[[#This Row],[Hybrid]]</f>
        <v>1.3189242244324821E-5</v>
      </c>
      <c r="AH214" s="8">
        <f>Table14[[#This Row],[Column1]]*Table7[[#This Row],[Dominus]]</f>
        <v>1.3299683145789469E-5</v>
      </c>
      <c r="AI214" s="8">
        <f>Table14[[#This Row],[Column1]]*Table7[[#This Row],[Plank]]</f>
        <v>1.3207432574359121E-5</v>
      </c>
      <c r="AJ214" s="8">
        <f>Table14[[#This Row],[Column1]]*Table7[[#This Row],[Batmobile]]</f>
        <v>1.3000843059473368E-5</v>
      </c>
      <c r="AK214" s="8">
        <f>Table14[[#This Row],[Column1]]*Table7[[#This Row],[Breakout]]</f>
        <v>1.3334114720951976E-5</v>
      </c>
      <c r="AL214" s="3">
        <f>Table14[[#This Row],[Column1]]-AE215</f>
        <v>9.2802837337576389E-7</v>
      </c>
    </row>
    <row r="215" spans="1:38">
      <c r="A215" s="1">
        <v>1.3583333333333301</v>
      </c>
      <c r="B215" s="13">
        <f>Octane[[#This Row],[angvel_total]]</f>
        <v>1.9824999999999999</v>
      </c>
      <c r="C215" s="13">
        <f>Hybrid[[#This Row],[angvel_total]]</f>
        <v>2.0301999999999998</v>
      </c>
      <c r="D215" s="13">
        <f>Dominus[[#This Row],[angvel_total]]</f>
        <v>2.0472000000000001</v>
      </c>
      <c r="E215" s="13">
        <f>Plank[[#This Row],[angvel_total]]</f>
        <v>2.0330000098376781</v>
      </c>
      <c r="F215" s="13">
        <f>Batmobile[[#This Row],[angvel_total]]</f>
        <v>2.0011999999999999</v>
      </c>
      <c r="G215" s="13">
        <f>Breakout[[#This Row],[angvel_total]]</f>
        <v>2.0525000000000002</v>
      </c>
      <c r="AA215">
        <v>1.3583333333333001</v>
      </c>
      <c r="AD215" s="6">
        <v>163</v>
      </c>
      <c r="AE215" s="11">
        <f>(1-_xlfn.NORM.DIST(Table14[[#This Row],[X]],$AB$44,$AB$46,TRUE))/$AE$52</f>
        <v>5.5684952421915807E-6</v>
      </c>
      <c r="AF215" s="8">
        <f>Table14[[#This Row],[Column1]]*Table7[[#This Row],[Octane]]</f>
        <v>1.1039541817644808E-5</v>
      </c>
      <c r="AG215" s="8">
        <f>Table14[[#This Row],[Column1]]*Table7[[#This Row],[Hybrid]]</f>
        <v>1.1305159040697346E-5</v>
      </c>
      <c r="AH215" s="8">
        <f>Table14[[#This Row],[Column1]]*Table7[[#This Row],[Dominus]]</f>
        <v>1.1399823459814605E-5</v>
      </c>
      <c r="AI215" s="8">
        <f>Table14[[#This Row],[Column1]]*Table7[[#This Row],[Plank]]</f>
        <v>1.1320750882156547E-5</v>
      </c>
      <c r="AJ215" s="8">
        <f>Table14[[#This Row],[Column1]]*Table7[[#This Row],[Batmobile]]</f>
        <v>1.114367267867379E-5</v>
      </c>
      <c r="AK215" s="8">
        <f>Table14[[#This Row],[Column1]]*Table7[[#This Row],[Breakout]]</f>
        <v>1.1429336484598221E-5</v>
      </c>
      <c r="AL215" s="3">
        <f>Table14[[#This Row],[Column1]]-AE216</f>
        <v>8.0054937199578871E-7</v>
      </c>
    </row>
    <row r="216" spans="1:38">
      <c r="A216" s="1">
        <v>1.36666666666667</v>
      </c>
      <c r="B216" s="13">
        <f>Octane[[#This Row],[angvel_total]]</f>
        <v>1.9824999999999999</v>
      </c>
      <c r="C216" s="13">
        <f>Hybrid[[#This Row],[angvel_total]]</f>
        <v>2.0301999999999998</v>
      </c>
      <c r="D216" s="13">
        <f>Dominus[[#This Row],[angvel_total]]</f>
        <v>2.0472000000000001</v>
      </c>
      <c r="E216" s="13">
        <f>Plank[[#This Row],[angvel_total]]</f>
        <v>2.0330000098376781</v>
      </c>
      <c r="F216" s="13">
        <f>Batmobile[[#This Row],[angvel_total]]</f>
        <v>2.0011999999999999</v>
      </c>
      <c r="G216" s="13">
        <f>Breakout[[#This Row],[angvel_total]]</f>
        <v>2.0525000000000002</v>
      </c>
      <c r="AA216">
        <v>1.3666666666666301</v>
      </c>
      <c r="AD216" s="6">
        <v>164</v>
      </c>
      <c r="AE216" s="11">
        <f>(1-_xlfn.NORM.DIST(Table14[[#This Row],[X]],$AB$44,$AB$46,TRUE))/$AE$52</f>
        <v>4.767945870195792E-6</v>
      </c>
      <c r="AF216" s="8">
        <f>Table14[[#This Row],[Column1]]*Table7[[#This Row],[Octane]]</f>
        <v>9.4524526876631579E-6</v>
      </c>
      <c r="AG216" s="8">
        <f>Table14[[#This Row],[Column1]]*Table7[[#This Row],[Hybrid]]</f>
        <v>9.6798837056714955E-6</v>
      </c>
      <c r="AH216" s="8">
        <f>Table14[[#This Row],[Column1]]*Table7[[#This Row],[Dominus]]</f>
        <v>9.7609387854648267E-6</v>
      </c>
      <c r="AI216" s="8">
        <f>Table14[[#This Row],[Column1]]*Table7[[#This Row],[Plank]]</f>
        <v>9.6932340010135616E-6</v>
      </c>
      <c r="AJ216" s="8">
        <f>Table14[[#This Row],[Column1]]*Table7[[#This Row],[Batmobile]]</f>
        <v>9.5416132754358182E-6</v>
      </c>
      <c r="AK216" s="8">
        <f>Table14[[#This Row],[Column1]]*Table7[[#This Row],[Breakout]]</f>
        <v>9.7862088985768636E-6</v>
      </c>
      <c r="AL216" s="3">
        <f>Table14[[#This Row],[Column1]]-AE217</f>
        <v>6.8981476047845579E-7</v>
      </c>
    </row>
    <row r="217" spans="1:38">
      <c r="A217" s="1">
        <v>1.375</v>
      </c>
      <c r="B217" s="13">
        <f>Octane[[#This Row],[angvel_total]]</f>
        <v>1.9824999999999999</v>
      </c>
      <c r="C217" s="13">
        <f>Hybrid[[#This Row],[angvel_total]]</f>
        <v>2.0301999999999998</v>
      </c>
      <c r="D217" s="13">
        <f>Dominus[[#This Row],[angvel_total]]</f>
        <v>2.0472000024423602</v>
      </c>
      <c r="E217" s="13">
        <f>Plank[[#This Row],[angvel_total]]</f>
        <v>2.0330000098376781</v>
      </c>
      <c r="F217" s="13">
        <f>Batmobile[[#This Row],[angvel_total]]</f>
        <v>2.0011999999999999</v>
      </c>
      <c r="G217" s="13">
        <f>Breakout[[#This Row],[angvel_total]]</f>
        <v>2.0525000000000002</v>
      </c>
      <c r="AA217">
        <v>1.37499999999996</v>
      </c>
      <c r="AD217" s="6">
        <v>165</v>
      </c>
      <c r="AE217" s="11">
        <f>(1-_xlfn.NORM.DIST(Table14[[#This Row],[X]],$AB$44,$AB$46,TRUE))/$AE$52</f>
        <v>4.0781311097173362E-6</v>
      </c>
      <c r="AF217" s="8">
        <f>Table14[[#This Row],[Column1]]*Table7[[#This Row],[Octane]]</f>
        <v>8.0848949250146185E-6</v>
      </c>
      <c r="AG217" s="8">
        <f>Table14[[#This Row],[Column1]]*Table7[[#This Row],[Hybrid]]</f>
        <v>8.2794217789481355E-6</v>
      </c>
      <c r="AH217" s="8">
        <f>Table14[[#This Row],[Column1]]*Table7[[#This Row],[Dominus]]</f>
        <v>8.3487500177735959E-6</v>
      </c>
      <c r="AI217" s="8">
        <f>Table14[[#This Row],[Column1]]*Table7[[#This Row],[Plank]]</f>
        <v>8.2908405861746852E-6</v>
      </c>
      <c r="AJ217" s="8">
        <f>Table14[[#This Row],[Column1]]*Table7[[#This Row],[Batmobile]]</f>
        <v>8.1611559767663322E-6</v>
      </c>
      <c r="AK217" s="8">
        <f>Table14[[#This Row],[Column1]]*Table7[[#This Row],[Breakout]]</f>
        <v>8.3703641026948338E-6</v>
      </c>
      <c r="AL217" s="3">
        <f>Table14[[#This Row],[Column1]]-AE218</f>
        <v>5.9373730947124345E-7</v>
      </c>
    </row>
    <row r="218" spans="1:38">
      <c r="A218" s="1">
        <v>1.38333333333333</v>
      </c>
      <c r="B218" s="13">
        <f>Octane[[#This Row],[angvel_total]]</f>
        <v>1.9824999999999999</v>
      </c>
      <c r="C218" s="13">
        <f>Hybrid[[#This Row],[angvel_total]]</f>
        <v>2.0301999999999998</v>
      </c>
      <c r="D218" s="13">
        <f>Dominus[[#This Row],[angvel_total]]</f>
        <v>2.0472000024423602</v>
      </c>
      <c r="E218" s="13">
        <f>Plank[[#This Row],[angvel_total]]</f>
        <v>2.0330000024594197</v>
      </c>
      <c r="F218" s="13">
        <f>Batmobile[[#This Row],[angvel_total]]</f>
        <v>2.0011999999999999</v>
      </c>
      <c r="G218" s="13">
        <f>Breakout[[#This Row],[angvel_total]]</f>
        <v>2.0525000000000002</v>
      </c>
      <c r="AA218">
        <v>1.3833333333333</v>
      </c>
      <c r="AD218" s="6">
        <v>166</v>
      </c>
      <c r="AE218" s="11">
        <f>(1-_xlfn.NORM.DIST(Table14[[#This Row],[X]],$AB$44,$AB$46,TRUE))/$AE$52</f>
        <v>3.4843938002460927E-6</v>
      </c>
      <c r="AF218" s="8">
        <f>Table14[[#This Row],[Column1]]*Table7[[#This Row],[Octane]]</f>
        <v>6.9078107089878789E-6</v>
      </c>
      <c r="AG218" s="8">
        <f>Table14[[#This Row],[Column1]]*Table7[[#This Row],[Hybrid]]</f>
        <v>7.0740162932596165E-6</v>
      </c>
      <c r="AH218" s="8">
        <f>Table14[[#This Row],[Column1]]*Table7[[#This Row],[Dominus]]</f>
        <v>7.1332509963739461E-6</v>
      </c>
      <c r="AI218" s="8">
        <f>Table14[[#This Row],[Column1]]*Table7[[#This Row],[Plank]]</f>
        <v>7.0837726044698932E-6</v>
      </c>
      <c r="AJ218" s="8">
        <f>Table14[[#This Row],[Column1]]*Table7[[#This Row],[Batmobile]]</f>
        <v>6.9729688730524805E-6</v>
      </c>
      <c r="AK218" s="8">
        <f>Table14[[#This Row],[Column1]]*Table7[[#This Row],[Breakout]]</f>
        <v>7.1517182750051059E-6</v>
      </c>
      <c r="AL218" s="3">
        <f>Table14[[#This Row],[Column1]]-AE219</f>
        <v>5.104740769005108E-7</v>
      </c>
    </row>
    <row r="219" spans="1:38">
      <c r="A219" s="1">
        <v>1.3916666666666699</v>
      </c>
      <c r="B219" s="13">
        <f>Octane[[#This Row],[angvel_total]]</f>
        <v>1.9824999999999999</v>
      </c>
      <c r="C219" s="13">
        <f>Hybrid[[#This Row],[angvel_total]]</f>
        <v>2.0301999999999998</v>
      </c>
      <c r="D219" s="13">
        <f>Dominus[[#This Row],[angvel_total]]</f>
        <v>2.0472000024423602</v>
      </c>
      <c r="E219" s="13">
        <f>Plank[[#This Row],[angvel_total]]</f>
        <v>2.0329999999999999</v>
      </c>
      <c r="F219" s="13">
        <f>Batmobile[[#This Row],[angvel_total]]</f>
        <v>2.0011999999999999</v>
      </c>
      <c r="G219" s="13">
        <f>Breakout[[#This Row],[angvel_total]]</f>
        <v>2.0525000000000002</v>
      </c>
      <c r="AA219">
        <v>1.39166666666663</v>
      </c>
      <c r="AD219" s="6">
        <v>167</v>
      </c>
      <c r="AE219" s="11">
        <f>(1-_xlfn.NORM.DIST(Table14[[#This Row],[X]],$AB$44,$AB$46,TRUE))/$AE$52</f>
        <v>2.9739197233455819E-6</v>
      </c>
      <c r="AF219" s="8">
        <f>Table14[[#This Row],[Column1]]*Table7[[#This Row],[Octane]]</f>
        <v>5.8957958515326158E-6</v>
      </c>
      <c r="AG219" s="8">
        <f>Table14[[#This Row],[Column1]]*Table7[[#This Row],[Hybrid]]</f>
        <v>6.0376518223361998E-6</v>
      </c>
      <c r="AH219" s="8">
        <f>Table14[[#This Row],[Column1]]*Table7[[#This Row],[Dominus]]</f>
        <v>6.0882084648964588E-6</v>
      </c>
      <c r="AI219" s="8">
        <f>Table14[[#This Row],[Column1]]*Table7[[#This Row],[Plank]]</f>
        <v>6.0459787975615679E-6</v>
      </c>
      <c r="AJ219" s="8">
        <f>Table14[[#This Row],[Column1]]*Table7[[#This Row],[Batmobile]]</f>
        <v>5.951408150359178E-6</v>
      </c>
      <c r="AK219" s="8">
        <f>Table14[[#This Row],[Column1]]*Table7[[#This Row],[Breakout]]</f>
        <v>6.1039702321668078E-6</v>
      </c>
      <c r="AL219" s="3">
        <f>Table14[[#This Row],[Column1]]-AE220</f>
        <v>4.3839999444820546E-7</v>
      </c>
    </row>
    <row r="220" spans="1:38">
      <c r="A220" s="1">
        <v>1.4</v>
      </c>
      <c r="B220" s="13">
        <f>Octane[[#This Row],[angvel_total]]</f>
        <v>1.9824999999999999</v>
      </c>
      <c r="C220" s="13">
        <f>Hybrid[[#This Row],[angvel_total]]</f>
        <v>2.0301999999999998</v>
      </c>
      <c r="D220" s="13">
        <f>Dominus[[#This Row],[angvel_total]]</f>
        <v>2.0472000024423602</v>
      </c>
      <c r="E220" s="13">
        <f>Plank[[#This Row],[angvel_total]]</f>
        <v>2.0329999999999999</v>
      </c>
      <c r="F220" s="13">
        <f>Batmobile[[#This Row],[angvel_total]]</f>
        <v>2.0011999999999999</v>
      </c>
      <c r="G220" s="13">
        <f>Breakout[[#This Row],[angvel_total]]</f>
        <v>2.0525000000000002</v>
      </c>
      <c r="AA220">
        <v>1.3999999999999599</v>
      </c>
      <c r="AD220" s="6">
        <v>168</v>
      </c>
      <c r="AE220" s="11">
        <f>(1-_xlfn.NORM.DIST(Table14[[#This Row],[X]],$AB$44,$AB$46,TRUE))/$AE$52</f>
        <v>2.5355197288973765E-6</v>
      </c>
      <c r="AF220" s="8">
        <f>Table14[[#This Row],[Column1]]*Table7[[#This Row],[Octane]]</f>
        <v>5.0266678625390486E-6</v>
      </c>
      <c r="AG220" s="8">
        <f>Table14[[#This Row],[Column1]]*Table7[[#This Row],[Hybrid]]</f>
        <v>5.1476121536074531E-6</v>
      </c>
      <c r="AH220" s="8">
        <f>Table14[[#This Row],[Column1]]*Table7[[#This Row],[Dominus]]</f>
        <v>5.1907159951913615E-6</v>
      </c>
      <c r="AI220" s="8">
        <f>Table14[[#This Row],[Column1]]*Table7[[#This Row],[Plank]]</f>
        <v>5.1547116088483659E-6</v>
      </c>
      <c r="AJ220" s="8">
        <f>Table14[[#This Row],[Column1]]*Table7[[#This Row],[Batmobile]]</f>
        <v>5.0740820814694298E-6</v>
      </c>
      <c r="AK220" s="8">
        <f>Table14[[#This Row],[Column1]]*Table7[[#This Row],[Breakout]]</f>
        <v>5.204154243561866E-6</v>
      </c>
      <c r="AL220" s="3">
        <f>Table14[[#This Row],[Column1]]-AE221</f>
        <v>3.7608402188968364E-7</v>
      </c>
    </row>
    <row r="221" spans="1:38">
      <c r="A221" s="1">
        <v>1.4083333333333301</v>
      </c>
      <c r="B221" s="13">
        <f>Octane[[#This Row],[angvel_total]]</f>
        <v>1.9824999999999999</v>
      </c>
      <c r="C221" s="13">
        <f>Hybrid[[#This Row],[angvel_total]]</f>
        <v>2.0302000024628115</v>
      </c>
      <c r="D221" s="13">
        <f>Dominus[[#This Row],[angvel_total]]</f>
        <v>2.0472000024423602</v>
      </c>
      <c r="E221" s="13">
        <f>Plank[[#This Row],[angvel_total]]</f>
        <v>2.0329999999999999</v>
      </c>
      <c r="F221" s="13">
        <f>Batmobile[[#This Row],[angvel_total]]</f>
        <v>2.0011999999999999</v>
      </c>
      <c r="G221" s="13">
        <f>Breakout[[#This Row],[angvel_total]]</f>
        <v>2.0525000000000002</v>
      </c>
      <c r="AA221">
        <v>1.4083333333332999</v>
      </c>
      <c r="AD221" s="6">
        <v>169</v>
      </c>
      <c r="AE221" s="11">
        <f>(1-_xlfn.NORM.DIST(Table14[[#This Row],[X]],$AB$44,$AB$46,TRUE))/$AE$52</f>
        <v>2.1594357070076928E-6</v>
      </c>
      <c r="AF221" s="8">
        <f>Table14[[#This Row],[Column1]]*Table7[[#This Row],[Octane]]</f>
        <v>4.2810812891427511E-6</v>
      </c>
      <c r="AG221" s="8">
        <f>Table14[[#This Row],[Column1]]*Table7[[#This Row],[Hybrid]]</f>
        <v>4.3840863776853014E-6</v>
      </c>
      <c r="AH221" s="8">
        <f>Table14[[#This Row],[Column1]]*Table7[[#This Row],[Dominus]]</f>
        <v>4.4207967846602684E-6</v>
      </c>
      <c r="AI221" s="8">
        <f>Table14[[#This Row],[Column1]]*Table7[[#This Row],[Plank]]</f>
        <v>4.390132792346639E-6</v>
      </c>
      <c r="AJ221" s="8">
        <f>Table14[[#This Row],[Column1]]*Table7[[#This Row],[Batmobile]]</f>
        <v>4.3214627368637944E-6</v>
      </c>
      <c r="AK221" s="8">
        <f>Table14[[#This Row],[Column1]]*Table7[[#This Row],[Breakout]]</f>
        <v>4.4322417886332902E-6</v>
      </c>
      <c r="AL221" s="3">
        <f>Table14[[#This Row],[Column1]]-AE222</f>
        <v>3.2226765621483684E-7</v>
      </c>
    </row>
    <row r="222" spans="1:38">
      <c r="A222" s="1">
        <v>1.4166666666666701</v>
      </c>
      <c r="B222" s="13">
        <f>Octane[[#This Row],[angvel_total]]</f>
        <v>1.9824999999999999</v>
      </c>
      <c r="C222" s="13">
        <f>Hybrid[[#This Row],[angvel_total]]</f>
        <v>2.0302000024628115</v>
      </c>
      <c r="D222" s="13">
        <f>Dominus[[#This Row],[angvel_total]]</f>
        <v>2.0472000024423602</v>
      </c>
      <c r="E222" s="13">
        <f>Plank[[#This Row],[angvel_total]]</f>
        <v>2.0329999999999999</v>
      </c>
      <c r="F222" s="13">
        <f>Batmobile[[#This Row],[angvel_total]]</f>
        <v>2.0011999999999999</v>
      </c>
      <c r="G222" s="13">
        <f>Breakout[[#This Row],[angvel_total]]</f>
        <v>2.0525000000000002</v>
      </c>
      <c r="AA222">
        <v>1.4166666666666301</v>
      </c>
      <c r="AD222" s="6">
        <v>170</v>
      </c>
      <c r="AE222" s="11">
        <f>(1-_xlfn.NORM.DIST(Table14[[#This Row],[X]],$AB$44,$AB$46,TRUE))/$AE$52</f>
        <v>1.837168050792856E-6</v>
      </c>
      <c r="AF222" s="8">
        <f>Table14[[#This Row],[Column1]]*Table7[[#This Row],[Octane]]</f>
        <v>3.6421856606968368E-6</v>
      </c>
      <c r="AG222" s="8">
        <f>Table14[[#This Row],[Column1]]*Table7[[#This Row],[Hybrid]]</f>
        <v>3.7298185812442549E-6</v>
      </c>
      <c r="AH222" s="8">
        <f>Table14[[#This Row],[Column1]]*Table7[[#This Row],[Dominus]]</f>
        <v>3.7610504380701609E-6</v>
      </c>
      <c r="AI222" s="8">
        <f>Table14[[#This Row],[Column1]]*Table7[[#This Row],[Plank]]</f>
        <v>3.7349626472618759E-6</v>
      </c>
      <c r="AJ222" s="8">
        <f>Table14[[#This Row],[Column1]]*Table7[[#This Row],[Batmobile]]</f>
        <v>3.676540703246663E-6</v>
      </c>
      <c r="AK222" s="8">
        <f>Table14[[#This Row],[Column1]]*Table7[[#This Row],[Breakout]]</f>
        <v>3.7707874242523371E-6</v>
      </c>
      <c r="AL222" s="3">
        <f>Table14[[#This Row],[Column1]]-AE223</f>
        <v>2.7584559551384373E-7</v>
      </c>
    </row>
    <row r="223" spans="1:38">
      <c r="A223" s="1">
        <v>1.425</v>
      </c>
      <c r="B223" s="13">
        <f>Octane[[#This Row],[angvel_total]]</f>
        <v>1.9824999999999999</v>
      </c>
      <c r="C223" s="13">
        <f>Hybrid[[#This Row],[angvel_total]]</f>
        <v>2.0302000024628115</v>
      </c>
      <c r="D223" s="13">
        <f>Dominus[[#This Row],[angvel_total]]</f>
        <v>2.0472000024423602</v>
      </c>
      <c r="E223" s="13">
        <f>Plank[[#This Row],[angvel_total]]</f>
        <v>2.0329999999999999</v>
      </c>
      <c r="F223" s="13">
        <f>Batmobile[[#This Row],[angvel_total]]</f>
        <v>2.0011999999999999</v>
      </c>
      <c r="G223" s="13">
        <f>Breakout[[#This Row],[angvel_total]]</f>
        <v>2.0525000000000002</v>
      </c>
      <c r="AA223">
        <v>1.4249999999999601</v>
      </c>
      <c r="AD223" s="6">
        <v>171</v>
      </c>
      <c r="AE223" s="11">
        <f>(1-_xlfn.NORM.DIST(Table14[[#This Row],[X]],$AB$44,$AB$46,TRUE))/$AE$52</f>
        <v>1.5613224552790122E-6</v>
      </c>
      <c r="AF223" s="8">
        <f>Table14[[#This Row],[Column1]]*Table7[[#This Row],[Octane]]</f>
        <v>3.0953217675906417E-6</v>
      </c>
      <c r="AG223" s="8">
        <f>Table14[[#This Row],[Column1]]*Table7[[#This Row],[Hybrid]]</f>
        <v>3.1697968525526938E-6</v>
      </c>
      <c r="AH223" s="8">
        <f>Table14[[#This Row],[Column1]]*Table7[[#This Row],[Dominus]]</f>
        <v>3.1963393342605058E-6</v>
      </c>
      <c r="AI223" s="8">
        <f>Table14[[#This Row],[Column1]]*Table7[[#This Row],[Plank]]</f>
        <v>3.1741685515822318E-6</v>
      </c>
      <c r="AJ223" s="8">
        <f>Table14[[#This Row],[Column1]]*Table7[[#This Row],[Batmobile]]</f>
        <v>3.124518497504359E-6</v>
      </c>
      <c r="AK223" s="8">
        <f>Table14[[#This Row],[Column1]]*Table7[[#This Row],[Breakout]]</f>
        <v>3.2046143394601729E-6</v>
      </c>
      <c r="AL223" s="3">
        <f>Table14[[#This Row],[Column1]]-AE224</f>
        <v>2.3584837146762143E-7</v>
      </c>
    </row>
    <row r="224" spans="1:38">
      <c r="A224" s="1">
        <v>1.43333333333333</v>
      </c>
      <c r="B224" s="13">
        <f>Octane[[#This Row],[angvel_total]]</f>
        <v>1.9824999999999999</v>
      </c>
      <c r="C224" s="13">
        <f>Hybrid[[#This Row],[angvel_total]]</f>
        <v>2.0302000024628115</v>
      </c>
      <c r="D224" s="13">
        <f>Dominus[[#This Row],[angvel_total]]</f>
        <v>2.0472000000000001</v>
      </c>
      <c r="E224" s="13">
        <f>Plank[[#This Row],[angvel_total]]</f>
        <v>2.0330000024594197</v>
      </c>
      <c r="F224" s="13">
        <f>Batmobile[[#This Row],[angvel_total]]</f>
        <v>2.0012000024985008</v>
      </c>
      <c r="G224" s="13">
        <f>Breakout[[#This Row],[angvel_total]]</f>
        <v>2.0525000000000002</v>
      </c>
      <c r="AD224" s="6">
        <v>172</v>
      </c>
      <c r="AE224" s="11">
        <f>(1-_xlfn.NORM.DIST(Table14[[#This Row],[X]],$AB$44,$AB$46,TRUE))/$AE$52</f>
        <v>1.3254740838113908E-6</v>
      </c>
      <c r="AF224" s="8">
        <f>Table14[[#This Row],[Column1]]*Table7[[#This Row],[Octane]]</f>
        <v>2.6277523711560821E-6</v>
      </c>
      <c r="AG224" s="8">
        <f>Table14[[#This Row],[Column1]]*Table7[[#This Row],[Hybrid]]</f>
        <v>2.6909774882182785E-6</v>
      </c>
      <c r="AH224" s="8">
        <f>Table14[[#This Row],[Column1]]*Table7[[#This Row],[Dominus]]</f>
        <v>2.7135105443786793E-6</v>
      </c>
      <c r="AI224" s="8">
        <f>Table14[[#This Row],[Column1]]*Table7[[#This Row],[Plank]]</f>
        <v>2.6946888156484545E-6</v>
      </c>
      <c r="AJ224" s="8">
        <f>Table14[[#This Row],[Column1]]*Table7[[#This Row],[Batmobile]]</f>
        <v>2.6525387398350534E-6</v>
      </c>
      <c r="AK224" s="8">
        <f>Table14[[#This Row],[Column1]]*Table7[[#This Row],[Breakout]]</f>
        <v>2.7205355570228798E-6</v>
      </c>
      <c r="AL224" s="3">
        <f>Table14[[#This Row],[Column1]]-AE225</f>
        <v>2.0142677787524119E-7</v>
      </c>
    </row>
    <row r="225" spans="1:38">
      <c r="A225" s="1">
        <v>1.44166666666667</v>
      </c>
      <c r="B225" s="13">
        <f>Octane[[#This Row],[angvel_total]]</f>
        <v>1.982500002522068</v>
      </c>
      <c r="C225" s="13">
        <f>Hybrid[[#This Row],[angvel_total]]</f>
        <v>2.0302000024628115</v>
      </c>
      <c r="D225" s="13">
        <f>Dominus[[#This Row],[angvel_total]]</f>
        <v>2.0472000000000001</v>
      </c>
      <c r="E225" s="13">
        <f>Plank[[#This Row],[angvel_total]]</f>
        <v>2.0330000024594197</v>
      </c>
      <c r="F225" s="13">
        <f>Batmobile[[#This Row],[angvel_total]]</f>
        <v>2.0012000024985008</v>
      </c>
      <c r="G225" s="13">
        <f>Breakout[[#This Row],[angvel_total]]</f>
        <v>2.0525000000000002</v>
      </c>
      <c r="AD225" s="6">
        <v>173</v>
      </c>
      <c r="AE225" s="11">
        <f>(1-_xlfn.NORM.DIST(Table14[[#This Row],[X]],$AB$44,$AB$46,TRUE))/$AE$52</f>
        <v>1.1240473059361496E-6</v>
      </c>
      <c r="AF225" s="8">
        <f>Table14[[#This Row],[Column1]]*Table7[[#This Row],[Octane]]</f>
        <v>2.2284237868533406E-6</v>
      </c>
      <c r="AG225" s="8">
        <f>Table14[[#This Row],[Column1]]*Table7[[#This Row],[Hybrid]]</f>
        <v>2.2820408432798876E-6</v>
      </c>
      <c r="AH225" s="8">
        <f>Table14[[#This Row],[Column1]]*Table7[[#This Row],[Dominus]]</f>
        <v>2.3011496447124855E-6</v>
      </c>
      <c r="AI225" s="8">
        <f>Table14[[#This Row],[Column1]]*Table7[[#This Row],[Plank]]</f>
        <v>2.2851881757326964E-6</v>
      </c>
      <c r="AJ225" s="8">
        <f>Table14[[#This Row],[Column1]]*Table7[[#This Row],[Batmobile]]</f>
        <v>2.2494434714478558E-6</v>
      </c>
      <c r="AK225" s="8">
        <f>Table14[[#This Row],[Column1]]*Table7[[#This Row],[Breakout]]</f>
        <v>2.3071070954339472E-6</v>
      </c>
      <c r="AL225" s="3">
        <f>Table14[[#This Row],[Column1]]-AE226</f>
        <v>1.7183792678154208E-7</v>
      </c>
    </row>
    <row r="226" spans="1:38">
      <c r="A226" s="1">
        <v>1.45</v>
      </c>
      <c r="B226" s="13">
        <f>Octane[[#This Row],[angvel_total]]</f>
        <v>1.982500002522068</v>
      </c>
      <c r="C226" s="13">
        <f>Hybrid[[#This Row],[angvel_total]]</f>
        <v>2.0302000024628115</v>
      </c>
      <c r="D226" s="13">
        <f>Dominus[[#This Row],[angvel_total]]</f>
        <v>2.0472000000000001</v>
      </c>
      <c r="E226" s="13">
        <f>Plank[[#This Row],[angvel_total]]</f>
        <v>2.0330000098376781</v>
      </c>
      <c r="F226" s="13">
        <f>Batmobile[[#This Row],[angvel_total]]</f>
        <v>2.0012000099940033</v>
      </c>
      <c r="G226" s="13">
        <f>Breakout[[#This Row],[angvel_total]]</f>
        <v>2.0525000000000002</v>
      </c>
      <c r="AD226" s="6">
        <v>174</v>
      </c>
      <c r="AE226" s="11">
        <f>(1-_xlfn.NORM.DIST(Table14[[#This Row],[X]],$AB$44,$AB$46,TRUE))/$AE$52</f>
        <v>9.5220937915460755E-7</v>
      </c>
      <c r="AF226" s="8">
        <f>Table14[[#This Row],[Column1]]*Table7[[#This Row],[Octane]]</f>
        <v>1.8877550965755463E-6</v>
      </c>
      <c r="AG226" s="8">
        <f>Table14[[#This Row],[Column1]]*Table7[[#This Row],[Hybrid]]</f>
        <v>1.9331754839047964E-6</v>
      </c>
      <c r="AH226" s="8">
        <f>Table14[[#This Row],[Column1]]*Table7[[#This Row],[Dominus]]</f>
        <v>1.9493630410053126E-6</v>
      </c>
      <c r="AI226" s="8">
        <f>Table14[[#This Row],[Column1]]*Table7[[#This Row],[Plank]]</f>
        <v>1.9358416771888465E-6</v>
      </c>
      <c r="AJ226" s="8">
        <f>Table14[[#This Row],[Column1]]*Table7[[#This Row],[Batmobile]]</f>
        <v>1.9055614190805843E-6</v>
      </c>
      <c r="AK226" s="8">
        <f>Table14[[#This Row],[Column1]]*Table7[[#This Row],[Breakout]]</f>
        <v>1.9544097507148322E-6</v>
      </c>
      <c r="AL226" s="3">
        <f>Table14[[#This Row],[Column1]]-AE227</f>
        <v>1.4643279028631241E-7</v>
      </c>
    </row>
    <row r="227" spans="1:38">
      <c r="A227" s="1">
        <v>1.4583333333333299</v>
      </c>
      <c r="B227" s="13">
        <f>Octane[[#This Row],[angvel_total]]</f>
        <v>1.982500002522068</v>
      </c>
      <c r="C227" s="13">
        <f>Hybrid[[#This Row],[angvel_total]]</f>
        <v>2.0301999999999998</v>
      </c>
      <c r="D227" s="13">
        <f>Dominus[[#This Row],[angvel_total]]</f>
        <v>2.0472000000000001</v>
      </c>
      <c r="E227" s="13">
        <f>Plank[[#This Row],[angvel_total]]</f>
        <v>2.0330000098376781</v>
      </c>
      <c r="F227" s="13">
        <f>Batmobile[[#This Row],[angvel_total]]</f>
        <v>2.0012000099940033</v>
      </c>
      <c r="G227" s="13">
        <f>Breakout[[#This Row],[angvel_total]]</f>
        <v>2.0525000000000002</v>
      </c>
      <c r="AD227" s="6">
        <v>175</v>
      </c>
      <c r="AE227" s="11">
        <f>(1-_xlfn.NORM.DIST(Table14[[#This Row],[X]],$AB$44,$AB$46,TRUE))/$AE$52</f>
        <v>8.0577658886829513E-7</v>
      </c>
      <c r="AF227" s="8">
        <f>Table14[[#This Row],[Column1]]*Table7[[#This Row],[Octane]]</f>
        <v>1.5974520894636185E-6</v>
      </c>
      <c r="AG227" s="8">
        <f>Table14[[#This Row],[Column1]]*Table7[[#This Row],[Hybrid]]</f>
        <v>1.6358876307204126E-6</v>
      </c>
      <c r="AH227" s="8">
        <f>Table14[[#This Row],[Column1]]*Table7[[#This Row],[Dominus]]</f>
        <v>1.649585832731174E-6</v>
      </c>
      <c r="AI227" s="8">
        <f>Table14[[#This Row],[Column1]]*Table7[[#This Row],[Plank]]</f>
        <v>1.6381438130962147E-6</v>
      </c>
      <c r="AJ227" s="8">
        <f>Table14[[#This Row],[Column1]]*Table7[[#This Row],[Batmobile]]</f>
        <v>1.612520117696166E-6</v>
      </c>
      <c r="AK227" s="8">
        <f>Table14[[#This Row],[Column1]]*Table7[[#This Row],[Breakout]]</f>
        <v>1.6538564486521759E-6</v>
      </c>
      <c r="AL227" s="3">
        <f>Table14[[#This Row],[Column1]]-AE228</f>
        <v>1.2464508185217496E-7</v>
      </c>
    </row>
    <row r="228" spans="1:38">
      <c r="A228" s="1">
        <v>1.4666666666666699</v>
      </c>
      <c r="B228" s="13">
        <f>Octane[[#This Row],[angvel_total]]</f>
        <v>1.982500002522068</v>
      </c>
      <c r="C228" s="13">
        <f>Hybrid[[#This Row],[angvel_total]]</f>
        <v>2.0301999999999998</v>
      </c>
      <c r="D228" s="13">
        <f>Dominus[[#This Row],[angvel_total]]</f>
        <v>2.0472000000000001</v>
      </c>
      <c r="E228" s="13">
        <f>Plank[[#This Row],[angvel_total]]</f>
        <v>2.0330000221347762</v>
      </c>
      <c r="F228" s="13">
        <f>Batmobile[[#This Row],[angvel_total]]</f>
        <v>2.0012000099940033</v>
      </c>
      <c r="G228" s="13">
        <f>Breakout[[#This Row],[angvel_total]]</f>
        <v>2.0525000000000002</v>
      </c>
      <c r="AD228" s="6">
        <v>176</v>
      </c>
      <c r="AE228" s="11">
        <f>(1-_xlfn.NORM.DIST(Table14[[#This Row],[X]],$AB$44,$AB$46,TRUE))/$AE$52</f>
        <v>6.8113150701612017E-7</v>
      </c>
      <c r="AF228" s="8">
        <f>Table14[[#This Row],[Column1]]*Table7[[#This Row],[Octane]]</f>
        <v>1.3503432143773183E-6</v>
      </c>
      <c r="AG228" s="8">
        <f>Table14[[#This Row],[Column1]]*Table7[[#This Row],[Hybrid]]</f>
        <v>1.3828331855441271E-6</v>
      </c>
      <c r="AH228" s="8">
        <f>Table14[[#This Row],[Column1]]*Table7[[#This Row],[Dominus]]</f>
        <v>1.3944124211634013E-6</v>
      </c>
      <c r="AI228" s="8">
        <f>Table14[[#This Row],[Column1]]*Table7[[#This Row],[Plank]]</f>
        <v>1.3847403688404659E-6</v>
      </c>
      <c r="AJ228" s="8">
        <f>Table14[[#This Row],[Column1]]*Table7[[#This Row],[Batmobile]]</f>
        <v>1.3630803786478901E-6</v>
      </c>
      <c r="AK228" s="8">
        <f>Table14[[#This Row],[Column1]]*Table7[[#This Row],[Breakout]]</f>
        <v>1.3980224181505868E-6</v>
      </c>
      <c r="AL228" s="3">
        <f>Table14[[#This Row],[Column1]]-AE229</f>
        <v>1.0598135105012162E-7</v>
      </c>
    </row>
    <row r="229" spans="1:38">
      <c r="A229" s="1">
        <v>1.4750000000000001</v>
      </c>
      <c r="B229" s="13">
        <f>Octane[[#This Row],[angvel_total]]</f>
        <v>1.982500002522068</v>
      </c>
      <c r="C229" s="13">
        <f>Hybrid[[#This Row],[angvel_total]]</f>
        <v>2.0301999999999998</v>
      </c>
      <c r="D229" s="13">
        <f>Dominus[[#This Row],[angvel_total]]</f>
        <v>2.0472000000000001</v>
      </c>
      <c r="E229" s="13">
        <f>Plank[[#This Row],[angvel_total]]</f>
        <v>2.0330000221347762</v>
      </c>
      <c r="F229" s="13">
        <f>Batmobile[[#This Row],[angvel_total]]</f>
        <v>2.0012000099940033</v>
      </c>
      <c r="G229" s="13">
        <f>Breakout[[#This Row],[angvel_total]]</f>
        <v>2.0525000000000002</v>
      </c>
      <c r="AD229" s="6">
        <v>177</v>
      </c>
      <c r="AE229" s="11">
        <f>(1-_xlfn.NORM.DIST(Table14[[#This Row],[X]],$AB$44,$AB$46,TRUE))/$AE$52</f>
        <v>5.7515015596599856E-7</v>
      </c>
      <c r="AF229" s="8">
        <f>Table14[[#This Row],[Column1]]*Table7[[#This Row],[Octane]]</f>
        <v>1.14023518565316E-6</v>
      </c>
      <c r="AG229" s="8">
        <f>Table14[[#This Row],[Column1]]*Table7[[#This Row],[Hybrid]]</f>
        <v>1.1676698466421701E-6</v>
      </c>
      <c r="AH229" s="8">
        <f>Table14[[#This Row],[Column1]]*Table7[[#This Row],[Dominus]]</f>
        <v>1.1774473992935922E-6</v>
      </c>
      <c r="AI229" s="8">
        <f>Table14[[#This Row],[Column1]]*Table7[[#This Row],[Plank]]</f>
        <v>1.169280279809695E-6</v>
      </c>
      <c r="AJ229" s="8">
        <f>Table14[[#This Row],[Column1]]*Table7[[#This Row],[Batmobile]]</f>
        <v>1.1509904978672089E-6</v>
      </c>
      <c r="AK229" s="8">
        <f>Table14[[#This Row],[Column1]]*Table7[[#This Row],[Breakout]]</f>
        <v>1.1804956951202121E-6</v>
      </c>
      <c r="AL229" s="3">
        <f>Table14[[#This Row],[Column1]]-AE230</f>
        <v>9.0012174076819636E-8</v>
      </c>
    </row>
    <row r="230" spans="1:38">
      <c r="A230" s="1">
        <v>1.4833333333333301</v>
      </c>
      <c r="B230" s="13">
        <f>Octane[[#This Row],[angvel_total]]</f>
        <v>1.982500002522068</v>
      </c>
      <c r="C230" s="13">
        <f>Hybrid[[#This Row],[angvel_total]]</f>
        <v>2.0301999999999998</v>
      </c>
      <c r="D230" s="13">
        <f>Dominus[[#This Row],[angvel_total]]</f>
        <v>2.0472000024423602</v>
      </c>
      <c r="E230" s="13">
        <f>Plank[[#This Row],[angvel_total]]</f>
        <v>2.0330000221347762</v>
      </c>
      <c r="F230" s="13">
        <f>Batmobile[[#This Row],[angvel_total]]</f>
        <v>2.0012000099940033</v>
      </c>
      <c r="G230" s="13">
        <f>Breakout[[#This Row],[angvel_total]]</f>
        <v>2.0525000000000002</v>
      </c>
      <c r="AD230" s="6">
        <v>178</v>
      </c>
      <c r="AE230" s="11">
        <f>(1-_xlfn.NORM.DIST(Table14[[#This Row],[X]],$AB$44,$AB$46,TRUE))/$AE$52</f>
        <v>4.8513798188917892E-7</v>
      </c>
      <c r="AF230" s="8">
        <f>Table14[[#This Row],[Column1]]*Table7[[#This Row],[Octane]]</f>
        <v>9.6178605031884824E-7</v>
      </c>
      <c r="AG230" s="8">
        <f>Table14[[#This Row],[Column1]]*Table7[[#This Row],[Hybrid]]</f>
        <v>9.8492713083141094E-7</v>
      </c>
      <c r="AH230" s="8">
        <f>Table14[[#This Row],[Column1]]*Table7[[#This Row],[Dominus]]</f>
        <v>9.9317447770840873E-7</v>
      </c>
      <c r="AI230" s="8">
        <f>Table14[[#This Row],[Column1]]*Table7[[#This Row],[Plank]]</f>
        <v>9.8628552791912127E-7</v>
      </c>
      <c r="AJ230" s="8">
        <f>Table14[[#This Row],[Column1]]*Table7[[#This Row],[Batmobile]]</f>
        <v>9.7085813420509554E-7</v>
      </c>
      <c r="AK230" s="8">
        <f>Table14[[#This Row],[Column1]]*Table7[[#This Row],[Breakout]]</f>
        <v>9.9574570782753991E-7</v>
      </c>
      <c r="AL230" s="3">
        <f>Table14[[#This Row],[Column1]]-AE231</f>
        <v>7.6364329973465383E-8</v>
      </c>
    </row>
    <row r="231" spans="1:38">
      <c r="A231" s="1">
        <v>1.49166666666667</v>
      </c>
      <c r="B231" s="13">
        <f>Octane[[#This Row],[angvel_total]]</f>
        <v>1.9824999999999999</v>
      </c>
      <c r="C231" s="13">
        <f>Hybrid[[#This Row],[angvel_total]]</f>
        <v>2.0301999999999998</v>
      </c>
      <c r="D231" s="13">
        <f>Dominus[[#This Row],[angvel_total]]</f>
        <v>2.0472000024423602</v>
      </c>
      <c r="E231" s="13">
        <f>Plank[[#This Row],[angvel_total]]</f>
        <v>2.0330000221347762</v>
      </c>
      <c r="F231" s="13">
        <f>Batmobile[[#This Row],[angvel_total]]</f>
        <v>2.0012000099940033</v>
      </c>
      <c r="G231" s="13">
        <f>Breakout[[#This Row],[angvel_total]]</f>
        <v>2.0525000000000002</v>
      </c>
      <c r="AD231" s="6">
        <v>179</v>
      </c>
      <c r="AE231" s="11">
        <f>(1-_xlfn.NORM.DIST(Table14[[#This Row],[X]],$AB$44,$AB$46,TRUE))/$AE$52</f>
        <v>4.0877365191571354E-7</v>
      </c>
      <c r="AF231" s="8">
        <f>Table14[[#This Row],[Column1]]*Table7[[#This Row],[Octane]]</f>
        <v>8.1039376492290205E-7</v>
      </c>
      <c r="AG231" s="8">
        <f>Table14[[#This Row],[Column1]]*Table7[[#This Row],[Hybrid]]</f>
        <v>8.2989226811928151E-7</v>
      </c>
      <c r="AH231" s="8">
        <f>Table14[[#This Row],[Column1]]*Table7[[#This Row],[Dominus]]</f>
        <v>8.3684142120022121E-7</v>
      </c>
      <c r="AI231" s="8">
        <f>Table14[[#This Row],[Column1]]*Table7[[#This Row],[Plank]]</f>
        <v>8.310368433927589E-7</v>
      </c>
      <c r="AJ231" s="8">
        <f>Table14[[#This Row],[Column1]]*Table7[[#This Row],[Batmobile]]</f>
        <v>8.1803783629901118E-7</v>
      </c>
      <c r="AK231" s="8">
        <f>Table14[[#This Row],[Column1]]*Table7[[#This Row],[Breakout]]</f>
        <v>8.3900792055700216E-7</v>
      </c>
      <c r="AL231" s="3">
        <f>Table14[[#This Row],[Column1]]-AE232</f>
        <v>6.4713864469078312E-8</v>
      </c>
    </row>
    <row r="232" spans="1:38">
      <c r="A232" s="1">
        <v>1.5</v>
      </c>
      <c r="B232" s="13">
        <f>Octane[[#This Row],[angvel_total]]</f>
        <v>1.9824999999999999</v>
      </c>
      <c r="C232" s="13">
        <f>Hybrid[[#This Row],[angvel_total]]</f>
        <v>2.0301999999999998</v>
      </c>
      <c r="D232" s="13">
        <f>Dominus[[#This Row],[angvel_total]]</f>
        <v>2.0472000024423602</v>
      </c>
      <c r="E232" s="13">
        <f>Plank[[#This Row],[angvel_total]]</f>
        <v>2.0330000221347762</v>
      </c>
      <c r="F232" s="13">
        <f>Batmobile[[#This Row],[angvel_total]]</f>
        <v>2.0012000099940033</v>
      </c>
      <c r="G232" s="13">
        <f>Breakout[[#This Row],[angvel_total]]</f>
        <v>2.0525000000000002</v>
      </c>
      <c r="AD232" s="6">
        <v>180</v>
      </c>
      <c r="AE232" s="11">
        <f>(1-_xlfn.NORM.DIST(Table14[[#This Row],[X]],$AB$44,$AB$46,TRUE))/$AE$52</f>
        <v>3.4405978744663523E-7</v>
      </c>
      <c r="AF232" s="8">
        <f>Table14[[#This Row],[Column1]]*Table7[[#This Row],[Octane]]</f>
        <v>6.8209852861295429E-7</v>
      </c>
      <c r="AG232" s="8">
        <f>Table14[[#This Row],[Column1]]*Table7[[#This Row],[Hybrid]]</f>
        <v>6.9851018047415871E-7</v>
      </c>
      <c r="AH232" s="8">
        <f>Table14[[#This Row],[Column1]]*Table7[[#This Row],[Dominus]]</f>
        <v>7.0435919770106957E-7</v>
      </c>
      <c r="AI232" s="8">
        <f>Table14[[#This Row],[Column1]]*Table7[[#This Row],[Plank]]</f>
        <v>6.9947355549469576E-7</v>
      </c>
      <c r="AJ232" s="8">
        <f>Table14[[#This Row],[Column1]]*Table7[[#This Row],[Batmobile]]</f>
        <v>6.8853245007674101E-7</v>
      </c>
      <c r="AK232" s="8">
        <f>Table14[[#This Row],[Column1]]*Table7[[#This Row],[Breakout]]</f>
        <v>7.0618271373421884E-7</v>
      </c>
      <c r="AL232" s="3">
        <f>Table14[[#This Row],[Column1]]-AE233</f>
        <v>5.4779948701410872E-8</v>
      </c>
    </row>
    <row r="233" spans="1:38">
      <c r="A233" s="1">
        <v>1.50833333333333</v>
      </c>
      <c r="B233" s="13">
        <f>Octane[[#This Row],[angvel_total]]</f>
        <v>1.9824999999999999</v>
      </c>
      <c r="C233" s="13">
        <f>Hybrid[[#This Row],[angvel_total]]</f>
        <v>2.0301999999999998</v>
      </c>
      <c r="D233" s="13">
        <f>Dominus[[#This Row],[angvel_total]]</f>
        <v>2.0472000024423602</v>
      </c>
      <c r="E233" s="13">
        <f>Plank[[#This Row],[angvel_total]]</f>
        <v>2.0330000221347762</v>
      </c>
      <c r="F233" s="13">
        <f>Batmobile[[#This Row],[angvel_total]]</f>
        <v>2.0012000099940033</v>
      </c>
      <c r="G233" s="13">
        <f>Breakout[[#This Row],[angvel_total]]</f>
        <v>2.0525000000000002</v>
      </c>
      <c r="AD233" s="6">
        <v>181</v>
      </c>
      <c r="AE233" s="11">
        <f>(1-_xlfn.NORM.DIST(Table14[[#This Row],[X]],$AB$44,$AB$46,TRUE))/$AE$52</f>
        <v>2.8927983874522435E-7</v>
      </c>
      <c r="AF233" s="8">
        <f>Table14[[#This Row],[Column1]]*Table7[[#This Row],[Octane]]</f>
        <v>5.7349728031240722E-7</v>
      </c>
      <c r="AG233" s="8">
        <f>Table14[[#This Row],[Column1]]*Table7[[#This Row],[Hybrid]]</f>
        <v>5.8729592862055447E-7</v>
      </c>
      <c r="AH233" s="8">
        <f>Table14[[#This Row],[Column1]]*Table7[[#This Row],[Dominus]]</f>
        <v>5.9221368658574892E-7</v>
      </c>
      <c r="AI233" s="8">
        <f>Table14[[#This Row],[Column1]]*Table7[[#This Row],[Plank]]</f>
        <v>5.8810591857218558E-7</v>
      </c>
      <c r="AJ233" s="8">
        <f>Table14[[#This Row],[Column1]]*Table7[[#This Row],[Batmobile]]</f>
        <v>5.7890681618800662E-7</v>
      </c>
      <c r="AK233" s="8">
        <f>Table14[[#This Row],[Column1]]*Table7[[#This Row],[Breakout]]</f>
        <v>5.9374686902457307E-7</v>
      </c>
      <c r="AL233" s="3">
        <f>Table14[[#This Row],[Column1]]-AE234</f>
        <v>4.6319450729201847E-8</v>
      </c>
    </row>
    <row r="234" spans="1:38">
      <c r="A234" s="1">
        <v>1.5166666666666699</v>
      </c>
      <c r="B234" s="13">
        <f>Octane[[#This Row],[angvel_total]]</f>
        <v>1.9824999999999999</v>
      </c>
      <c r="C234" s="13">
        <f>Hybrid[[#This Row],[angvel_total]]</f>
        <v>2.0301999999999998</v>
      </c>
      <c r="D234" s="13">
        <f>Dominus[[#This Row],[angvel_total]]</f>
        <v>2.0472000024423602</v>
      </c>
      <c r="E234" s="13">
        <f>Plank[[#This Row],[angvel_total]]</f>
        <v>2.0330000221347762</v>
      </c>
      <c r="F234" s="13">
        <f>Batmobile[[#This Row],[angvel_total]]</f>
        <v>2.0012000099940033</v>
      </c>
      <c r="G234" s="13">
        <f>Breakout[[#This Row],[angvel_total]]</f>
        <v>2.0525000000000002</v>
      </c>
      <c r="AD234" s="6">
        <v>182</v>
      </c>
      <c r="AE234" s="11">
        <f>(1-_xlfn.NORM.DIST(Table14[[#This Row],[X]],$AB$44,$AB$46,TRUE))/$AE$52</f>
        <v>2.4296038801602251E-7</v>
      </c>
      <c r="AF234" s="8">
        <f>Table14[[#This Row],[Column1]]*Table7[[#This Row],[Octane]]</f>
        <v>4.8166896924176455E-7</v>
      </c>
      <c r="AG234" s="8">
        <f>Table14[[#This Row],[Column1]]*Table7[[#This Row],[Hybrid]]</f>
        <v>4.932581797501288E-7</v>
      </c>
      <c r="AH234" s="8">
        <f>Table14[[#This Row],[Column1]]*Table7[[#This Row],[Dominus]]</f>
        <v>4.9738850693979811E-7</v>
      </c>
      <c r="AI234" s="8">
        <f>Table14[[#This Row],[Column1]]*Table7[[#This Row],[Plank]]</f>
        <v>4.9393847421444752E-7</v>
      </c>
      <c r="AJ234" s="8">
        <f>Table14[[#This Row],[Column1]]*Table7[[#This Row],[Batmobile]]</f>
        <v>4.8621233092581119E-7</v>
      </c>
      <c r="AK234" s="8">
        <f>Table14[[#This Row],[Column1]]*Table7[[#This Row],[Breakout]]</f>
        <v>4.9867619640288628E-7</v>
      </c>
      <c r="AL234" s="3">
        <f>Table14[[#This Row],[Column1]]-AE235</f>
        <v>3.91221466777154E-8</v>
      </c>
    </row>
    <row r="235" spans="1:38">
      <c r="A235" s="1">
        <v>1.5249999999999999</v>
      </c>
      <c r="B235" s="13">
        <f>Octane[[#This Row],[angvel_total]]</f>
        <v>1.9824999999999999</v>
      </c>
      <c r="C235" s="13">
        <f>Hybrid[[#This Row],[angvel_total]]</f>
        <v>2.0301999999999998</v>
      </c>
      <c r="D235" s="13">
        <f>Dominus[[#This Row],[angvel_total]]</f>
        <v>2.0472000000000001</v>
      </c>
      <c r="E235" s="13">
        <f>Plank[[#This Row],[angvel_total]]</f>
        <v>2.0330000221347762</v>
      </c>
      <c r="F235" s="13">
        <f>Batmobile[[#This Row],[angvel_total]]</f>
        <v>2.0012000099940033</v>
      </c>
      <c r="G235" s="13">
        <f>Breakout[[#This Row],[angvel_total]]</f>
        <v>2.0525000000000002</v>
      </c>
      <c r="AD235" s="6">
        <v>183</v>
      </c>
      <c r="AE235" s="11">
        <f>(1-_xlfn.NORM.DIST(Table14[[#This Row],[X]],$AB$44,$AB$46,TRUE))/$AE$52</f>
        <v>2.0383824133830711E-7</v>
      </c>
      <c r="AF235" s="8">
        <f>Table14[[#This Row],[Column1]]*Table7[[#This Row],[Octane]]</f>
        <v>4.0410931345319384E-7</v>
      </c>
      <c r="AG235" s="8">
        <f>Table14[[#This Row],[Column1]]*Table7[[#This Row],[Hybrid]]</f>
        <v>4.1383239756503102E-7</v>
      </c>
      <c r="AH235" s="8">
        <f>Table14[[#This Row],[Column1]]*Table7[[#This Row],[Dominus]]</f>
        <v>4.1729764766778235E-7</v>
      </c>
      <c r="AI235" s="8">
        <f>Table14[[#This Row],[Column1]]*Table7[[#This Row],[Plank]]</f>
        <v>4.1440314915269219E-7</v>
      </c>
      <c r="AJ235" s="8">
        <f>Table14[[#This Row],[Column1]]*Table7[[#This Row],[Batmobile]]</f>
        <v>4.0792109060338021E-7</v>
      </c>
      <c r="AK235" s="8">
        <f>Table14[[#This Row],[Column1]]*Table7[[#This Row],[Breakout]]</f>
        <v>4.1837799034687538E-7</v>
      </c>
      <c r="AL235" s="3">
        <f>Table14[[#This Row],[Column1]]-AE236</f>
        <v>3.3006497826482526E-8</v>
      </c>
    </row>
    <row r="236" spans="1:38">
      <c r="A236" s="1">
        <v>1.5333333333333301</v>
      </c>
      <c r="B236" s="13">
        <f>Octane[[#This Row],[angvel_total]]</f>
        <v>1.9824999999999999</v>
      </c>
      <c r="C236" s="13">
        <f>Hybrid[[#This Row],[angvel_total]]</f>
        <v>2.0301999999999998</v>
      </c>
      <c r="D236" s="13">
        <f>Dominus[[#This Row],[angvel_total]]</f>
        <v>2.0472000000000001</v>
      </c>
      <c r="E236" s="13">
        <f>Plank[[#This Row],[angvel_total]]</f>
        <v>2.0330000221347762</v>
      </c>
      <c r="F236" s="13">
        <f>Batmobile[[#This Row],[angvel_total]]</f>
        <v>2.0012000124925042</v>
      </c>
      <c r="G236" s="13">
        <f>Breakout[[#This Row],[angvel_total]]</f>
        <v>2.0525000000000002</v>
      </c>
      <c r="AD236" s="6">
        <v>184</v>
      </c>
      <c r="AE236" s="11">
        <f>(1-_xlfn.NORM.DIST(Table14[[#This Row],[X]],$AB$44,$AB$46,TRUE))/$AE$52</f>
        <v>1.7083174351182458E-7</v>
      </c>
      <c r="AF236" s="8">
        <f>Table14[[#This Row],[Column1]]*Table7[[#This Row],[Octane]]</f>
        <v>3.3867393151219221E-7</v>
      </c>
      <c r="AG236" s="8">
        <f>Table14[[#This Row],[Column1]]*Table7[[#This Row],[Hybrid]]</f>
        <v>3.4682260567770625E-7</v>
      </c>
      <c r="AH236" s="8">
        <f>Table14[[#This Row],[Column1]]*Table7[[#This Row],[Dominus]]</f>
        <v>3.4972674531740733E-7</v>
      </c>
      <c r="AI236" s="8">
        <f>Table14[[#This Row],[Column1]]*Table7[[#This Row],[Plank]]</f>
        <v>3.4730093834086179E-7</v>
      </c>
      <c r="AJ236" s="8">
        <f>Table14[[#This Row],[Column1]]*Table7[[#This Row],[Batmobile]]</f>
        <v>3.4186848724997964E-7</v>
      </c>
      <c r="AK236" s="8">
        <f>Table14[[#This Row],[Column1]]*Table7[[#This Row],[Breakout]]</f>
        <v>3.5063215355802E-7</v>
      </c>
      <c r="AL236" s="3">
        <f>Table14[[#This Row],[Column1]]-AE237</f>
        <v>2.7815938204358215E-8</v>
      </c>
    </row>
    <row r="237" spans="1:38">
      <c r="A237" s="1">
        <v>1.5416666666666701</v>
      </c>
      <c r="B237" s="13">
        <f>Octane[[#This Row],[angvel_total]]</f>
        <v>1.9824999999999999</v>
      </c>
      <c r="C237" s="13">
        <f>Hybrid[[#This Row],[angvel_total]]</f>
        <v>2.0301999999999998</v>
      </c>
      <c r="D237" s="13">
        <f>Dominus[[#This Row],[angvel_total]]</f>
        <v>2.0472000000000001</v>
      </c>
      <c r="E237" s="13">
        <f>Plank[[#This Row],[angvel_total]]</f>
        <v>2.0330000221347762</v>
      </c>
      <c r="F237" s="13">
        <f>Batmobile[[#This Row],[angvel_total]]</f>
        <v>2.0012000049970018</v>
      </c>
      <c r="G237" s="13">
        <f>Breakout[[#This Row],[angvel_total]]</f>
        <v>2.0525000000000002</v>
      </c>
      <c r="AD237" s="6">
        <v>185</v>
      </c>
      <c r="AE237" s="11">
        <f>(1-_xlfn.NORM.DIST(Table14[[#This Row],[X]],$AB$44,$AB$46,TRUE))/$AE$52</f>
        <v>1.4301580530746636E-7</v>
      </c>
      <c r="AF237" s="8">
        <f>Table14[[#This Row],[Column1]]*Table7[[#This Row],[Octane]]</f>
        <v>2.8352883402205208E-7</v>
      </c>
      <c r="AG237" s="8">
        <f>Table14[[#This Row],[Column1]]*Table7[[#This Row],[Hybrid]]</f>
        <v>2.9035068793521819E-7</v>
      </c>
      <c r="AH237" s="8">
        <f>Table14[[#This Row],[Column1]]*Table7[[#This Row],[Dominus]]</f>
        <v>2.9278195662544516E-7</v>
      </c>
      <c r="AI237" s="8">
        <f>Table14[[#This Row],[Column1]]*Table7[[#This Row],[Plank]]</f>
        <v>2.9075113535570198E-7</v>
      </c>
      <c r="AJ237" s="8">
        <f>Table14[[#This Row],[Column1]]*Table7[[#This Row],[Batmobile]]</f>
        <v>2.8620323029595191E-7</v>
      </c>
      <c r="AK237" s="8">
        <f>Table14[[#This Row],[Column1]]*Table7[[#This Row],[Breakout]]</f>
        <v>2.9353994039357472E-7</v>
      </c>
      <c r="AL237" s="3">
        <f>Table14[[#This Row],[Column1]]-AE238</f>
        <v>2.3415609927879794E-8</v>
      </c>
    </row>
    <row r="238" spans="1:38">
      <c r="A238" s="1">
        <v>1.55</v>
      </c>
      <c r="B238" s="13">
        <f>Octane[[#This Row],[angvel_total]]</f>
        <v>1.9824999999999999</v>
      </c>
      <c r="C238" s="13">
        <f>Hybrid[[#This Row],[angvel_total]]</f>
        <v>2.0301999999999998</v>
      </c>
      <c r="D238" s="13">
        <f>Dominus[[#This Row],[angvel_total]]</f>
        <v>2.0472000000000001</v>
      </c>
      <c r="E238" s="13">
        <f>Plank[[#This Row],[angvel_total]]</f>
        <v>2.0330000221347762</v>
      </c>
      <c r="F238" s="13">
        <f>Batmobile[[#This Row],[angvel_total]]</f>
        <v>2.0012000049970018</v>
      </c>
      <c r="G238" s="13">
        <f>Breakout[[#This Row],[angvel_total]]</f>
        <v>2.0525000000000002</v>
      </c>
      <c r="AD238" s="6">
        <v>186</v>
      </c>
      <c r="AE238" s="11">
        <f>(1-_xlfn.NORM.DIST(Table14[[#This Row],[X]],$AB$44,$AB$46,TRUE))/$AE$52</f>
        <v>1.1960019537958657E-7</v>
      </c>
      <c r="AF238" s="8">
        <f>Table14[[#This Row],[Column1]]*Table7[[#This Row],[Octane]]</f>
        <v>2.3710738734003037E-7</v>
      </c>
      <c r="AG238" s="8">
        <f>Table14[[#This Row],[Column1]]*Table7[[#This Row],[Hybrid]]</f>
        <v>2.4281231665963662E-7</v>
      </c>
      <c r="AH238" s="8">
        <f>Table14[[#This Row],[Column1]]*Table7[[#This Row],[Dominus]]</f>
        <v>2.4484551998108965E-7</v>
      </c>
      <c r="AI238" s="8">
        <f>Table14[[#This Row],[Column1]]*Table7[[#This Row],[Plank]]</f>
        <v>2.4314719985402304E-7</v>
      </c>
      <c r="AJ238" s="8">
        <f>Table14[[#This Row],[Column1]]*Table7[[#This Row],[Batmobile]]</f>
        <v>2.3934391159127105E-7</v>
      </c>
      <c r="AK238" s="8">
        <f>Table14[[#This Row],[Column1]]*Table7[[#This Row],[Breakout]]</f>
        <v>2.4547940101660147E-7</v>
      </c>
      <c r="AL238" s="3">
        <f>Table14[[#This Row],[Column1]]-AE239</f>
        <v>1.9689501908365904E-8</v>
      </c>
    </row>
    <row r="239" spans="1:38">
      <c r="A239" s="1">
        <v>1.55833333333333</v>
      </c>
      <c r="B239" s="13">
        <f>Octane[[#This Row],[angvel_total]]</f>
        <v>1.982500002522068</v>
      </c>
      <c r="C239" s="13">
        <f>Hybrid[[#This Row],[angvel_total]]</f>
        <v>2.0301999999999998</v>
      </c>
      <c r="D239" s="13">
        <f>Dominus[[#This Row],[angvel_total]]</f>
        <v>2.0472000000000001</v>
      </c>
      <c r="E239" s="13">
        <f>Plank[[#This Row],[angvel_total]]</f>
        <v>2.0330000221347762</v>
      </c>
      <c r="F239" s="13">
        <f>Batmobile[[#This Row],[angvel_total]]</f>
        <v>2.0012000024985008</v>
      </c>
      <c r="G239" s="13">
        <f>Breakout[[#This Row],[angvel_total]]</f>
        <v>2.0525000000000002</v>
      </c>
      <c r="AD239" s="6">
        <v>187</v>
      </c>
      <c r="AE239" s="11">
        <f>(1-_xlfn.NORM.DIST(Table14[[#This Row],[X]],$AB$44,$AB$46,TRUE))/$AE$52</f>
        <v>9.9910693471220666E-8</v>
      </c>
      <c r="AF239" s="8">
        <f>Table14[[#This Row],[Column1]]*Table7[[#This Row],[Octane]]</f>
        <v>1.9807295005867655E-7</v>
      </c>
      <c r="AG239" s="8">
        <f>Table14[[#This Row],[Column1]]*Table7[[#This Row],[Hybrid]]</f>
        <v>2.0283868988527219E-7</v>
      </c>
      <c r="AH239" s="8">
        <f>Table14[[#This Row],[Column1]]*Table7[[#This Row],[Dominus]]</f>
        <v>2.0453717167428297E-7</v>
      </c>
      <c r="AI239" s="8">
        <f>Table14[[#This Row],[Column1]]*Table7[[#This Row],[Plank]]</f>
        <v>2.0311844203849245E-7</v>
      </c>
      <c r="AJ239" s="8">
        <f>Table14[[#This Row],[Column1]]*Table7[[#This Row],[Batmobile]]</f>
        <v>1.9994128002423376E-7</v>
      </c>
      <c r="AK239" s="8">
        <f>Table14[[#This Row],[Column1]]*Table7[[#This Row],[Breakout]]</f>
        <v>2.0506669834968044E-7</v>
      </c>
      <c r="AL239" s="3">
        <f>Table14[[#This Row],[Column1]]-AE240</f>
        <v>1.6537942622691216E-8</v>
      </c>
    </row>
    <row r="240" spans="1:38">
      <c r="A240" s="1">
        <v>1.56666666666667</v>
      </c>
      <c r="B240" s="13">
        <f>Octane[[#This Row],[angvel_total]]</f>
        <v>1.982500002522068</v>
      </c>
      <c r="C240" s="13">
        <f>Hybrid[[#This Row],[angvel_total]]</f>
        <v>2.0301999999999998</v>
      </c>
      <c r="D240" s="13">
        <f>Dominus[[#This Row],[angvel_total]]</f>
        <v>2.0472000000000001</v>
      </c>
      <c r="E240" s="13">
        <f>Plank[[#This Row],[angvel_total]]</f>
        <v>2.0330000221347762</v>
      </c>
      <c r="F240" s="13">
        <f>Batmobile[[#This Row],[angvel_total]]</f>
        <v>2.0012000024985008</v>
      </c>
      <c r="G240" s="13">
        <f>Breakout[[#This Row],[angvel_total]]</f>
        <v>2.0525000000000002</v>
      </c>
      <c r="AD240" s="6">
        <v>188</v>
      </c>
      <c r="AE240" s="11">
        <f>(1-_xlfn.NORM.DIST(Table14[[#This Row],[X]],$AB$44,$AB$46,TRUE))/$AE$52</f>
        <v>8.3372750848529451E-8</v>
      </c>
      <c r="AF240" s="8">
        <f>Table14[[#This Row],[Column1]]*Table7[[#This Row],[Octane]]</f>
        <v>1.6528647876748139E-7</v>
      </c>
      <c r="AG240" s="8">
        <f>Table14[[#This Row],[Column1]]*Table7[[#This Row],[Hybrid]]</f>
        <v>1.6926335877268447E-7</v>
      </c>
      <c r="AH240" s="8">
        <f>Table14[[#This Row],[Column1]]*Table7[[#This Row],[Dominus]]</f>
        <v>1.7068069553710949E-7</v>
      </c>
      <c r="AI240" s="8">
        <f>Table14[[#This Row],[Column1]]*Table7[[#This Row],[Plank]]</f>
        <v>1.6949680432049755E-7</v>
      </c>
      <c r="AJ240" s="8">
        <f>Table14[[#This Row],[Column1]]*Table7[[#This Row],[Batmobile]]</f>
        <v>1.6684554920638401E-7</v>
      </c>
      <c r="AK240" s="8">
        <f>Table14[[#This Row],[Column1]]*Table7[[#This Row],[Breakout]]</f>
        <v>1.7112257111660671E-7</v>
      </c>
      <c r="AL240" s="3">
        <f>Table14[[#This Row],[Column1]]-AE241</f>
        <v>1.3875406970655805E-8</v>
      </c>
    </row>
    <row r="241" spans="1:38">
      <c r="A241" s="1">
        <v>1.575</v>
      </c>
      <c r="B241" s="13">
        <f>Octane[[#This Row],[angvel_total]]</f>
        <v>1.982500002522068</v>
      </c>
      <c r="C241" s="13">
        <f>Hybrid[[#This Row],[angvel_total]]</f>
        <v>2.0301999999999998</v>
      </c>
      <c r="D241" s="13">
        <f>Dominus[[#This Row],[angvel_total]]</f>
        <v>2.0472000000000001</v>
      </c>
      <c r="E241" s="13">
        <f>Plank[[#This Row],[angvel_total]]</f>
        <v>2.0330000221347762</v>
      </c>
      <c r="F241" s="13">
        <f>Batmobile[[#This Row],[angvel_total]]</f>
        <v>2.0012000024985008</v>
      </c>
      <c r="G241" s="13">
        <f>Breakout[[#This Row],[angvel_total]]</f>
        <v>2.0525000000000002</v>
      </c>
      <c r="AD241" s="6">
        <v>189</v>
      </c>
      <c r="AE241" s="11">
        <f>(1-_xlfn.NORM.DIST(Table14[[#This Row],[X]],$AB$44,$AB$46,TRUE))/$AE$52</f>
        <v>6.9497343877873646E-8</v>
      </c>
      <c r="AF241" s="8">
        <f>Table14[[#This Row],[Column1]]*Table7[[#This Row],[Octane]]</f>
        <v>1.3777848441316154E-7</v>
      </c>
      <c r="AG241" s="8">
        <f>Table14[[#This Row],[Column1]]*Table7[[#This Row],[Hybrid]]</f>
        <v>1.4109350754085906E-7</v>
      </c>
      <c r="AH241" s="8">
        <f>Table14[[#This Row],[Column1]]*Table7[[#This Row],[Dominus]]</f>
        <v>1.4227496238678295E-7</v>
      </c>
      <c r="AI241" s="8">
        <f>Table14[[#This Row],[Column1]]*Table7[[#This Row],[Plank]]</f>
        <v>1.4128810164202528E-7</v>
      </c>
      <c r="AJ241" s="8">
        <f>Table14[[#This Row],[Column1]]*Table7[[#This Row],[Batmobile]]</f>
        <v>1.3907808474203991E-7</v>
      </c>
      <c r="AK241" s="8">
        <f>Table14[[#This Row],[Column1]]*Table7[[#This Row],[Breakout]]</f>
        <v>1.4264329830933568E-7</v>
      </c>
      <c r="AL241" s="3">
        <f>Table14[[#This Row],[Column1]]-AE242</f>
        <v>1.1628600973063604E-8</v>
      </c>
    </row>
    <row r="242" spans="1:38">
      <c r="A242" s="1">
        <v>1.5833333333333299</v>
      </c>
      <c r="B242" s="13">
        <f>Octane[[#This Row],[angvel_total]]</f>
        <v>1.982500002522068</v>
      </c>
      <c r="C242" s="13">
        <f>Hybrid[[#This Row],[angvel_total]]</f>
        <v>2.0301999999999998</v>
      </c>
      <c r="D242" s="13">
        <f>Dominus[[#This Row],[angvel_total]]</f>
        <v>2.0472000000000001</v>
      </c>
      <c r="E242" s="13">
        <f>Plank[[#This Row],[angvel_total]]</f>
        <v>2.0330000221347762</v>
      </c>
      <c r="F242" s="13">
        <f>Batmobile[[#This Row],[angvel_total]]</f>
        <v>2.0012000024985008</v>
      </c>
      <c r="G242" s="13">
        <f>Breakout[[#This Row],[angvel_total]]</f>
        <v>2.0525000000000002</v>
      </c>
      <c r="AD242" s="6">
        <v>190</v>
      </c>
      <c r="AE242" s="11">
        <f>(1-_xlfn.NORM.DIST(Table14[[#This Row],[X]],$AB$44,$AB$46,TRUE))/$AE$52</f>
        <v>5.7868742904810041E-8</v>
      </c>
      <c r="AF242" s="8">
        <f>Table14[[#This Row],[Column1]]*Table7[[#This Row],[Octane]]</f>
        <v>1.1472478295473481E-7</v>
      </c>
      <c r="AG242" s="8">
        <f>Table14[[#This Row],[Column1]]*Table7[[#This Row],[Hybrid]]</f>
        <v>1.1748512184534534E-7</v>
      </c>
      <c r="AH242" s="8">
        <f>Table14[[#This Row],[Column1]]*Table7[[#This Row],[Dominus]]</f>
        <v>1.1846889047472712E-7</v>
      </c>
      <c r="AI242" s="8">
        <f>Table14[[#This Row],[Column1]]*Table7[[#This Row],[Plank]]</f>
        <v>1.1764715560639049E-7</v>
      </c>
      <c r="AJ242" s="8">
        <f>Table14[[#This Row],[Column1]]*Table7[[#This Row],[Batmobile]]</f>
        <v>1.1580692844569095E-7</v>
      </c>
      <c r="AK242" s="8">
        <f>Table14[[#This Row],[Column1]]*Table7[[#This Row],[Breakout]]</f>
        <v>1.1877559481212262E-7</v>
      </c>
      <c r="AL242" s="3">
        <f>Table14[[#This Row],[Column1]]-AE243</f>
        <v>9.7347927286157633E-9</v>
      </c>
    </row>
    <row r="243" spans="1:38">
      <c r="A243" s="1">
        <v>1.5916666666666699</v>
      </c>
      <c r="B243" s="13">
        <f>Octane[[#This Row],[angvel_total]]</f>
        <v>1.982500002522068</v>
      </c>
      <c r="C243" s="13">
        <f>Hybrid[[#This Row],[angvel_total]]</f>
        <v>2.0301999999999998</v>
      </c>
      <c r="D243" s="13">
        <f>Dominus[[#This Row],[angvel_total]]</f>
        <v>2.0472000000000001</v>
      </c>
      <c r="E243" s="13">
        <f>Plank[[#This Row],[angvel_total]]</f>
        <v>2.0330000098376781</v>
      </c>
      <c r="F243" s="13">
        <f>Batmobile[[#This Row],[angvel_total]]</f>
        <v>2.0012000024985008</v>
      </c>
      <c r="G243" s="13">
        <f>Breakout[[#This Row],[angvel_total]]</f>
        <v>2.0525000000000002</v>
      </c>
      <c r="AD243" s="6">
        <v>191</v>
      </c>
      <c r="AE243" s="11">
        <f>(1-_xlfn.NORM.DIST(Table14[[#This Row],[X]],$AB$44,$AB$46,TRUE))/$AE$52</f>
        <v>4.8133950176194278E-8</v>
      </c>
      <c r="AF243" s="8">
        <f>Table14[[#This Row],[Column1]]*Table7[[#This Row],[Octane]]</f>
        <v>9.5425556345702258E-8</v>
      </c>
      <c r="AG243" s="8">
        <f>Table14[[#This Row],[Column1]]*Table7[[#This Row],[Hybrid]]</f>
        <v>9.7721545647709614E-8</v>
      </c>
      <c r="AH243" s="8">
        <f>Table14[[#This Row],[Column1]]*Table7[[#This Row],[Dominus]]</f>
        <v>9.8539822800704927E-8</v>
      </c>
      <c r="AI243" s="8">
        <f>Table14[[#This Row],[Column1]]*Table7[[#This Row],[Plank]]</f>
        <v>9.7856321181729277E-8</v>
      </c>
      <c r="AJ243" s="8">
        <f>Table14[[#This Row],[Column1]]*Table7[[#This Row],[Batmobile]]</f>
        <v>9.6325661212862701E-8</v>
      </c>
      <c r="AK243" s="8">
        <f>Table14[[#This Row],[Column1]]*Table7[[#This Row],[Breakout]]</f>
        <v>9.879493273663877E-8</v>
      </c>
      <c r="AL243" s="3">
        <f>Table14[[#This Row],[Column1]]-AE244</f>
        <v>8.1403567151566272E-9</v>
      </c>
    </row>
    <row r="244" spans="1:38">
      <c r="A244" s="1">
        <v>1.6</v>
      </c>
      <c r="B244" s="13">
        <f>Octane[[#This Row],[angvel_total]]</f>
        <v>1.982500002522068</v>
      </c>
      <c r="C244" s="13">
        <f>Hybrid[[#This Row],[angvel_total]]</f>
        <v>2.0301999999999998</v>
      </c>
      <c r="D244" s="13">
        <f>Dominus[[#This Row],[angvel_total]]</f>
        <v>2.0472000000000001</v>
      </c>
      <c r="E244" s="13">
        <f>Plank[[#This Row],[angvel_total]]</f>
        <v>2.0330000024594197</v>
      </c>
      <c r="F244" s="13">
        <f>Batmobile[[#This Row],[angvel_total]]</f>
        <v>2.0012000024985008</v>
      </c>
      <c r="G244" s="13">
        <f>Breakout[[#This Row],[angvel_total]]</f>
        <v>2.0525000000000002</v>
      </c>
      <c r="AD244" s="6">
        <v>192</v>
      </c>
      <c r="AE244" s="11">
        <f>(1-_xlfn.NORM.DIST(Table14[[#This Row],[X]],$AB$44,$AB$46,TRUE))/$AE$52</f>
        <v>3.9993593461037651E-8</v>
      </c>
      <c r="AF244" s="8">
        <f>Table14[[#This Row],[Column1]]*Table7[[#This Row],[Octane]]</f>
        <v>7.9287299137373709E-8</v>
      </c>
      <c r="AG244" s="8">
        <f>Table14[[#This Row],[Column1]]*Table7[[#This Row],[Hybrid]]</f>
        <v>8.1194993444598629E-8</v>
      </c>
      <c r="AH244" s="8">
        <f>Table14[[#This Row],[Column1]]*Table7[[#This Row],[Dominus]]</f>
        <v>8.1874884533436283E-8</v>
      </c>
      <c r="AI244" s="8">
        <f>Table14[[#This Row],[Column1]]*Table7[[#This Row],[Plank]]</f>
        <v>8.1306975604650582E-8</v>
      </c>
      <c r="AJ244" s="8">
        <f>Table14[[#This Row],[Column1]]*Table7[[#This Row],[Batmobile]]</f>
        <v>8.0035179334152568E-8</v>
      </c>
      <c r="AK244" s="8">
        <f>Table14[[#This Row],[Column1]]*Table7[[#This Row],[Breakout]]</f>
        <v>8.2086850578779781E-8</v>
      </c>
      <c r="AL244" s="3">
        <f>Table14[[#This Row],[Column1]]-AE245</f>
        <v>6.7995107804470957E-9</v>
      </c>
    </row>
    <row r="245" spans="1:38">
      <c r="A245" s="1">
        <v>1.6083333333333301</v>
      </c>
      <c r="B245" s="13">
        <f>Octane[[#This Row],[angvel_total]]</f>
        <v>1.982500002522068</v>
      </c>
      <c r="C245" s="13">
        <f>Hybrid[[#This Row],[angvel_total]]</f>
        <v>2.0301999999999998</v>
      </c>
      <c r="D245" s="13">
        <f>Dominus[[#This Row],[angvel_total]]</f>
        <v>2.0472000000000001</v>
      </c>
      <c r="E245" s="13">
        <f>Plank[[#This Row],[angvel_total]]</f>
        <v>2.0330000024594197</v>
      </c>
      <c r="F245" s="13">
        <f>Batmobile[[#This Row],[angvel_total]]</f>
        <v>2.0012000024985008</v>
      </c>
      <c r="G245" s="13">
        <f>Breakout[[#This Row],[angvel_total]]</f>
        <v>2.0525000000000002</v>
      </c>
      <c r="AD245" s="6">
        <v>193</v>
      </c>
      <c r="AE245" s="11">
        <f>(1-_xlfn.NORM.DIST(Table14[[#This Row],[X]],$AB$44,$AB$46,TRUE))/$AE$52</f>
        <v>3.3194082680590555E-8</v>
      </c>
      <c r="AF245" s="8">
        <f>Table14[[#This Row],[Column1]]*Table7[[#This Row],[Octane]]</f>
        <v>6.5807268997988506E-8</v>
      </c>
      <c r="AG245" s="8">
        <f>Table14[[#This Row],[Column1]]*Table7[[#This Row],[Hybrid]]</f>
        <v>6.7390626658134943E-8</v>
      </c>
      <c r="AH245" s="8">
        <f>Table14[[#This Row],[Column1]]*Table7[[#This Row],[Dominus]]</f>
        <v>6.7954926063704989E-8</v>
      </c>
      <c r="AI245" s="8">
        <f>Table14[[#This Row],[Column1]]*Table7[[#This Row],[Plank]]</f>
        <v>6.7483570171278783E-8</v>
      </c>
      <c r="AJ245" s="8">
        <f>Table14[[#This Row],[Column1]]*Table7[[#This Row],[Batmobile]]</f>
        <v>6.6427998343333261E-8</v>
      </c>
      <c r="AK245" s="8">
        <f>Table14[[#This Row],[Column1]]*Table7[[#This Row],[Breakout]]</f>
        <v>6.8130854701912119E-8</v>
      </c>
      <c r="AL245" s="3">
        <f>Table14[[#This Row],[Column1]]-AE246</f>
        <v>2.8884212858977826E-8</v>
      </c>
    </row>
    <row r="246" spans="1:38">
      <c r="A246" s="1">
        <v>1.61666666666666</v>
      </c>
      <c r="B246" s="13">
        <f>Octane[[#This Row],[angvel_total]]</f>
        <v>1.982500002522068</v>
      </c>
      <c r="C246" s="13">
        <f>Hybrid[[#This Row],[angvel_total]]</f>
        <v>2.0302000024628115</v>
      </c>
      <c r="D246" s="13">
        <f>Dominus[[#This Row],[angvel_total]]</f>
        <v>2.0472000024423602</v>
      </c>
      <c r="E246" s="13">
        <f>Plank[[#This Row],[angvel_total]]</f>
        <v>2.0329999999999999</v>
      </c>
      <c r="F246" s="13">
        <f>Batmobile[[#This Row],[angvel_total]]</f>
        <v>2.0012000024985008</v>
      </c>
      <c r="G246" s="13">
        <f>Breakout[[#This Row],[angvel_total]]</f>
        <v>2.0525000000000002</v>
      </c>
      <c r="AD246" s="6">
        <v>194</v>
      </c>
      <c r="AE246" s="15">
        <f>_xlfn.NORM.DIST(Table14[[#This Row],[X]],$AB$44,$AB$46,FALSE)</f>
        <v>4.3098698216127281E-9</v>
      </c>
      <c r="AF246" s="8">
        <f>Table14[[#This Row],[Column1]]*Table7[[#This Row],[Octane]]</f>
        <v>8.5443169322170193E-9</v>
      </c>
      <c r="AG246" s="8">
        <f>(1-$Y$4)*AG247+$Y$4*Table7[[#This Row],[Hybrid]]</f>
        <v>1.9054595283481246</v>
      </c>
      <c r="AH246" s="8">
        <f>(1-$Y$4)*AH247+$Y$4*Table7[[#This Row],[Dominus]]</f>
        <v>1.9214150024520258</v>
      </c>
      <c r="AI246" s="8">
        <f>(1-$Y$4)*AI247+$Y$4*Table7[[#This Row],[Plank]]</f>
        <v>1.9080874852097944</v>
      </c>
      <c r="AJ246" s="8">
        <f>(1-$Y$4)*AJ247+$Y$4*Table7[[#This Row],[Batmobile]]</f>
        <v>1.8782413583620059</v>
      </c>
      <c r="AK246" s="8">
        <f>(1-$Y$4)*AK247+$Y$4*Table7[[#This Row],[Breakout]]</f>
        <v>1.926389356229975</v>
      </c>
      <c r="AL246" s="3">
        <f>Table14[[#This Row],[Column1]]-AE247</f>
        <v>7.1994980743163601E-10</v>
      </c>
    </row>
    <row r="247" spans="1:38">
      <c r="A247" s="1">
        <v>1.62499999999999</v>
      </c>
      <c r="B247" s="13">
        <f>Octane[[#This Row],[angvel_total]]</f>
        <v>1.982500002522068</v>
      </c>
      <c r="C247" s="13">
        <f>Hybrid[[#This Row],[angvel_total]]</f>
        <v>2.0302000098512458</v>
      </c>
      <c r="D247" s="13">
        <f>Dominus[[#This Row],[angvel_total]]</f>
        <v>2.0472000024423602</v>
      </c>
      <c r="E247" s="13">
        <f>Plank[[#This Row],[angvel_total]]</f>
        <v>2.0329999999999999</v>
      </c>
      <c r="F247" s="13">
        <f>Batmobile[[#This Row],[angvel_total]]</f>
        <v>2.0012000024985008</v>
      </c>
      <c r="G247" s="13">
        <f>Breakout[[#This Row],[angvel_total]]</f>
        <v>2.0525000000000002</v>
      </c>
      <c r="AD247" s="6">
        <v>195</v>
      </c>
      <c r="AE247" s="15">
        <f>_xlfn.NORM.DIST(Table14[[#This Row],[X]],$AB$44,$AB$46,FALSE)</f>
        <v>3.5899200141810921E-9</v>
      </c>
      <c r="AF247" s="8">
        <f>Table14[[#This Row],[Column1]]*Table7[[#This Row],[Octane]]</f>
        <v>7.1170164371680377E-9</v>
      </c>
      <c r="AG247" s="8">
        <f>(1-$Y$4)*AG248+$Y$4*Table7[[#This Row],[Hybrid]]</f>
        <v>1.8816994380405652</v>
      </c>
      <c r="AH247" s="8">
        <f>(1-$Y$4)*AH248+$Y$4*Table7[[#This Row],[Dominus]]</f>
        <v>1.8974559548348191</v>
      </c>
      <c r="AI247" s="8">
        <f>(1-$Y$4)*AI248+$Y$4*Table7[[#This Row],[Plank]]</f>
        <v>1.8842946252497552</v>
      </c>
      <c r="AJ247" s="8">
        <f>(1-$Y$4)*AJ248+$Y$4*Table7[[#This Row],[Batmobile]]</f>
        <v>1.8548206642407687</v>
      </c>
      <c r="AK247" s="8">
        <f>(1-$Y$4)*AK248+$Y$4*Table7[[#This Row],[Breakout]]</f>
        <v>1.9023682812261606</v>
      </c>
      <c r="AL247" s="3">
        <f>Table14[[#This Row],[Column1]]-AE248</f>
        <v>6.0300516051876251E-10</v>
      </c>
    </row>
    <row r="248" spans="1:38">
      <c r="A248" s="1">
        <v>1.63333333333332</v>
      </c>
      <c r="B248" s="13">
        <f>Octane[[#This Row],[angvel_total]]</f>
        <v>1.982500002522068</v>
      </c>
      <c r="C248" s="13">
        <f>Hybrid[[#This Row],[angvel_total]]</f>
        <v>2.0302000098512458</v>
      </c>
      <c r="D248" s="13">
        <f>Dominus[[#This Row],[angvel_total]]</f>
        <v>2.0472000024423602</v>
      </c>
      <c r="E248" s="13">
        <f>Plank[[#This Row],[angvel_total]]</f>
        <v>2.0329999999999999</v>
      </c>
      <c r="F248" s="13">
        <f>Batmobile[[#This Row],[angvel_total]]</f>
        <v>2.0012000024985008</v>
      </c>
      <c r="G248" s="13">
        <f>Breakout[[#This Row],[angvel_total]]</f>
        <v>2.0525000000000002</v>
      </c>
      <c r="AD248" s="6">
        <v>196</v>
      </c>
      <c r="AE248" s="15">
        <f>_xlfn.NORM.DIST(Table14[[#This Row],[X]],$AB$44,$AB$46,FALSE)</f>
        <v>2.9869148536623296E-9</v>
      </c>
      <c r="AF248" s="8">
        <f>Table14[[#This Row],[Column1]]*Table7[[#This Row],[Octane]]</f>
        <v>5.9215587049187708E-9</v>
      </c>
      <c r="AG248" s="8">
        <f>(1-$Y$4)*AG249+$Y$4*Table7[[#This Row],[Hybrid]]</f>
        <v>1.8534136148385307</v>
      </c>
      <c r="AH248" s="8">
        <f>(1-$Y$4)*AH249+$Y$4*Table7[[#This Row],[Dominus]]</f>
        <v>1.8689332791000492</v>
      </c>
      <c r="AI248" s="8">
        <f>(1-$Y$4)*AI249+$Y$4*Table7[[#This Row],[Plank]]</f>
        <v>1.8559697919639944</v>
      </c>
      <c r="AJ248" s="8">
        <f>(1-$Y$4)*AJ249+$Y$4*Table7[[#This Row],[Batmobile]]</f>
        <v>1.8269388855250104</v>
      </c>
      <c r="AK248" s="8">
        <f>(1-$Y$4)*AK249+$Y$4*Table7[[#This Row],[Breakout]]</f>
        <v>1.873771763364477</v>
      </c>
      <c r="AL248" s="3">
        <f>Table14[[#This Row],[Column1]]-AE249</f>
        <v>5.0447712328202384E-10</v>
      </c>
    </row>
    <row r="249" spans="1:38">
      <c r="A249" s="1">
        <v>1.64166666666665</v>
      </c>
      <c r="B249" s="13">
        <f>Octane[[#This Row],[angvel_total]]</f>
        <v>1.982500002522068</v>
      </c>
      <c r="C249" s="13">
        <f>Hybrid[[#This Row],[angvel_total]]</f>
        <v>2.0302000098512458</v>
      </c>
      <c r="D249" s="13">
        <f>Dominus[[#This Row],[angvel_total]]</f>
        <v>2.0472000024423602</v>
      </c>
      <c r="E249" s="13">
        <f>Plank[[#This Row],[angvel_total]]</f>
        <v>2.0329999999999999</v>
      </c>
      <c r="F249" s="13">
        <f>Batmobile[[#This Row],[angvel_total]]</f>
        <v>2.0012000024985008</v>
      </c>
      <c r="G249" s="13">
        <f>Breakout[[#This Row],[angvel_total]]</f>
        <v>2.0525000000000002</v>
      </c>
      <c r="AD249" s="6">
        <v>197</v>
      </c>
      <c r="AE249" s="15">
        <f>_xlfn.NORM.DIST(Table14[[#This Row],[X]],$AB$44,$AB$46,FALSE)</f>
        <v>2.4824377303803058E-9</v>
      </c>
      <c r="AF249" s="8">
        <f>Table14[[#This Row],[Column1]]*Table7[[#This Row],[Octane]]</f>
        <v>4.9214328067398334E-9</v>
      </c>
      <c r="AG249" s="8">
        <f>(1-$Y$4)*AG250+$Y$4*Table7[[#This Row],[Hybrid]]</f>
        <v>1.8197400157884898</v>
      </c>
      <c r="AH249" s="8">
        <f>(1-$Y$4)*AH250+$Y$4*Table7[[#This Row],[Dominus]]</f>
        <v>1.8349777127491329</v>
      </c>
      <c r="AI249" s="8">
        <f>(1-$Y$4)*AI250+$Y$4*Table7[[#This Row],[Plank]]</f>
        <v>1.8222497523380885</v>
      </c>
      <c r="AJ249" s="8">
        <f>(1-$Y$4)*AJ250+$Y$4*Table7[[#This Row],[Batmobile]]</f>
        <v>1.7937462918157743</v>
      </c>
      <c r="AK249" s="8">
        <f>(1-$Y$4)*AK250+$Y$4*Table7[[#This Row],[Breakout]]</f>
        <v>1.8397282897196157</v>
      </c>
      <c r="AL249" s="3">
        <f>Table14[[#This Row],[Column1]]-AE250</f>
        <v>4.2156423032501991E-10</v>
      </c>
    </row>
    <row r="250" spans="1:38">
      <c r="A250" s="1">
        <v>1.6499999999999799</v>
      </c>
      <c r="B250" s="13">
        <f>Octane[[#This Row],[angvel_total]]</f>
        <v>1.9824999999999999</v>
      </c>
      <c r="C250" s="13">
        <f>Hybrid[[#This Row],[angvel_total]]</f>
        <v>2.0302000098512458</v>
      </c>
      <c r="D250" s="13">
        <f>Dominus[[#This Row],[angvel_total]]</f>
        <v>2.0472000000000001</v>
      </c>
      <c r="E250" s="13">
        <f>Plank[[#This Row],[angvel_total]]</f>
        <v>2.0329999999999999</v>
      </c>
      <c r="F250" s="13">
        <f>Batmobile[[#This Row],[angvel_total]]</f>
        <v>2.0012000024985008</v>
      </c>
      <c r="G250" s="13">
        <f>Breakout[[#This Row],[angvel_total]]</f>
        <v>2.0525000000000002</v>
      </c>
      <c r="AD250" s="6">
        <v>198</v>
      </c>
      <c r="AE250" s="15">
        <f>_xlfn.NORM.DIST(Table14[[#This Row],[X]],$AB$44,$AB$46,FALSE)</f>
        <v>2.0608735000552859E-9</v>
      </c>
      <c r="AF250" s="8">
        <f>Table14[[#This Row],[Column1]]*Table7[[#This Row],[Octane]]</f>
        <v>4.0856817138596043E-9</v>
      </c>
      <c r="AG250" s="8">
        <f>(1-$Y$4)*AG251+$Y$4*Table7[[#This Row],[Hybrid]]</f>
        <v>1.7796523978717742</v>
      </c>
      <c r="AH250" s="8">
        <f>(1-$Y$4)*AH251+$Y$4*Table7[[#This Row],[Dominus]]</f>
        <v>1.7945544194742324</v>
      </c>
      <c r="AI250" s="8">
        <f>(1-$Y$4)*AI251+$Y$4*Table7[[#This Row],[Plank]]</f>
        <v>1.7821068480215341</v>
      </c>
      <c r="AJ250" s="8">
        <f>(1-$Y$4)*AJ251+$Y$4*Table7[[#This Row],[Batmobile]]</f>
        <v>1.7542312993047786</v>
      </c>
      <c r="AK250" s="8">
        <f>(1-$Y$4)*AK251+$Y$4*Table7[[#This Row],[Breakout]]</f>
        <v>1.7992003449043044</v>
      </c>
      <c r="AL250" s="3">
        <f>Table14[[#This Row],[Column1]]-AE251</f>
        <v>3.518747036627088E-10</v>
      </c>
    </row>
    <row r="251" spans="1:38">
      <c r="A251" s="1">
        <v>1.6583333333333099</v>
      </c>
      <c r="B251" s="13">
        <f>Octane[[#This Row],[angvel_total]]</f>
        <v>1.9824999999999999</v>
      </c>
      <c r="C251" s="13">
        <f>Hybrid[[#This Row],[angvel_total]]</f>
        <v>2.0302000098512458</v>
      </c>
      <c r="D251" s="13">
        <f>Dominus[[#This Row],[angvel_total]]</f>
        <v>2.0472000000000001</v>
      </c>
      <c r="E251" s="13">
        <f>Plank[[#This Row],[angvel_total]]</f>
        <v>2.0329999999999999</v>
      </c>
      <c r="F251" s="13">
        <f>Batmobile[[#This Row],[angvel_total]]</f>
        <v>2.0012000024985008</v>
      </c>
      <c r="G251" s="13">
        <f>Breakout[[#This Row],[angvel_total]]</f>
        <v>2.0525000000000002</v>
      </c>
      <c r="AD251" s="6">
        <v>199</v>
      </c>
      <c r="AE251" s="15">
        <f>_xlfn.NORM.DIST(Table14[[#This Row],[X]],$AB$44,$AB$46,FALSE)</f>
        <v>1.7089987963925771E-9</v>
      </c>
      <c r="AF251" s="8">
        <f>Table14[[#This Row],[Column1]]*Table7[[#This Row],[Octane]]</f>
        <v>3.388090113848284E-9</v>
      </c>
      <c r="AG251" s="8">
        <f>(1-$Y$4)*AG252+$Y$4*Table7[[#This Row],[Hybrid]]</f>
        <v>1.7319290432090177</v>
      </c>
      <c r="AH251" s="8">
        <f>(1-$Y$4)*AH252+$Y$4*Table7[[#This Row],[Dominus]]</f>
        <v>1.7464314517550386</v>
      </c>
      <c r="AI251" s="8">
        <f>(1-$Y$4)*AI252+$Y$4*Table7[[#This Row],[Plank]]</f>
        <v>1.7343176762161121</v>
      </c>
      <c r="AJ251" s="8">
        <f>(1-$Y$4)*AJ252+$Y$4*Table7[[#This Row],[Batmobile]]</f>
        <v>1.7071896415535934</v>
      </c>
      <c r="AK251" s="8">
        <f>(1-$Y$4)*AK252+$Y$4*Table7[[#This Row],[Breakout]]</f>
        <v>1.7509527915527432</v>
      </c>
      <c r="AL251" s="3">
        <f>Table14[[#This Row],[Column1]]-AE252</f>
        <v>2.9336921424094816E-10</v>
      </c>
    </row>
    <row r="252" spans="1:38">
      <c r="A252" s="1">
        <v>1.6666666666666401</v>
      </c>
      <c r="B252" s="13">
        <f>Octane[[#This Row],[angvel_total]]</f>
        <v>1.9824999999999999</v>
      </c>
      <c r="C252" s="13">
        <f>Hybrid[[#This Row],[angvel_total]]</f>
        <v>2.0302000024628115</v>
      </c>
      <c r="D252" s="13">
        <f>Dominus[[#This Row],[angvel_total]]</f>
        <v>2.0472000000000001</v>
      </c>
      <c r="E252" s="13">
        <f>Plank[[#This Row],[angvel_total]]</f>
        <v>2.0329999999999999</v>
      </c>
      <c r="F252" s="13">
        <f>Batmobile[[#This Row],[angvel_total]]</f>
        <v>2.0012000024985008</v>
      </c>
      <c r="G252" s="13">
        <f>Breakout[[#This Row],[angvel_total]]</f>
        <v>2.0525000000000002</v>
      </c>
      <c r="AD252" s="6">
        <v>200</v>
      </c>
      <c r="AE252" s="15">
        <f>_xlfn.NORM.DIST(Table14[[#This Row],[X]],$AB$44,$AB$46,FALSE)</f>
        <v>1.4156295821516289E-9</v>
      </c>
      <c r="AF252" s="8">
        <f>Table14[[#This Row],[Column1]]*Table7[[#This Row],[Octane]]</f>
        <v>2.8064856466156043E-9</v>
      </c>
      <c r="AG252" s="8">
        <f>(1-$Y$4)*AG253+$Y$4*Table7[[#This Row],[Hybrid]]</f>
        <v>1.6751155257533552</v>
      </c>
      <c r="AH252" s="8">
        <f>(1-$Y$4)*AH253+$Y$4*Table7[[#This Row],[Dominus]]</f>
        <v>1.689142204470284</v>
      </c>
      <c r="AI252" s="8">
        <f>(1-$Y$4)*AI253+$Y$4*Table7[[#This Row],[Plank]]</f>
        <v>1.677425805019181</v>
      </c>
      <c r="AJ252" s="8">
        <f>(1-$Y$4)*AJ253+$Y$4*Table7[[#This Row],[Batmobile]]</f>
        <v>1.6511876680402779</v>
      </c>
      <c r="AK252" s="8">
        <f>(1-$Y$4)*AK253+$Y$4*Table7[[#This Row],[Breakout]]</f>
        <v>1.69351522803898</v>
      </c>
      <c r="AL252" s="3">
        <f>Table14[[#This Row],[Column1]]-AE253</f>
        <v>2.4431121721148442E-10</v>
      </c>
    </row>
    <row r="253" spans="1:38">
      <c r="A253" s="1">
        <v>1.6749999999999701</v>
      </c>
      <c r="B253" s="13">
        <f>Octane[[#This Row],[angvel_total]]</f>
        <v>1.9824999999999999</v>
      </c>
      <c r="C253" s="13">
        <f>Hybrid[[#This Row],[angvel_total]]</f>
        <v>2.0301999999999998</v>
      </c>
      <c r="D253" s="13">
        <f>Dominus[[#This Row],[angvel_total]]</f>
        <v>2.0472000000000001</v>
      </c>
      <c r="E253" s="13">
        <f>Plank[[#This Row],[angvel_total]]</f>
        <v>2.0329999999999999</v>
      </c>
      <c r="F253" s="13">
        <f>Batmobile[[#This Row],[angvel_total]]</f>
        <v>2.0012000099940033</v>
      </c>
      <c r="G253" s="13">
        <f>Breakout[[#This Row],[angvel_total]]</f>
        <v>2.0525000000000002</v>
      </c>
      <c r="AD253" s="6">
        <v>201</v>
      </c>
      <c r="AE253" s="15">
        <f>_xlfn.NORM.DIST(Table14[[#This Row],[X]],$AB$44,$AB$46,FALSE)</f>
        <v>1.1713183649401445E-9</v>
      </c>
      <c r="AF253" s="8">
        <f>Table14[[#This Row],[Column1]]*Table7[[#This Row],[Octane]]</f>
        <v>2.3221386584938363E-9</v>
      </c>
      <c r="AG253" s="8">
        <f>(1-$Y$4)*AG254+$Y$4*Table7[[#This Row],[Hybrid]]</f>
        <v>1.6074803873325063</v>
      </c>
      <c r="AH253" s="8">
        <f>(1-$Y$4)*AH254+$Y$4*Table7[[#This Row],[Dominus]]</f>
        <v>1.6209407196074808</v>
      </c>
      <c r="AI253" s="8">
        <f>(1-$Y$4)*AI254+$Y$4*Table7[[#This Row],[Plank]]</f>
        <v>1.6096973869275966</v>
      </c>
      <c r="AJ253" s="8">
        <f>(1-$Y$4)*AJ254+$Y$4*Table7[[#This Row],[Batmobile]]</f>
        <v>1.5845186519529977</v>
      </c>
      <c r="AK253" s="8">
        <f>(1-$Y$4)*AK254+$Y$4*Table7[[#This Row],[Breakout]]</f>
        <v>1.6251371762368811</v>
      </c>
      <c r="AL253" s="3">
        <f>Table14[[#This Row],[Column1]]-AE254</f>
        <v>2.0322392396723198E-10</v>
      </c>
    </row>
    <row r="254" spans="1:38">
      <c r="A254" s="1">
        <v>1.6833333333333</v>
      </c>
      <c r="B254" s="13">
        <f>Octane[[#This Row],[angvel_total]]</f>
        <v>1.982500002522068</v>
      </c>
      <c r="C254" s="13">
        <f>Hybrid[[#This Row],[angvel_total]]</f>
        <v>2.0301999999999998</v>
      </c>
      <c r="D254" s="13">
        <f>Dominus[[#This Row],[angvel_total]]</f>
        <v>2.0472000000000001</v>
      </c>
      <c r="E254" s="13">
        <f>Plank[[#This Row],[angvel_total]]</f>
        <v>2.0330000024594197</v>
      </c>
      <c r="F254" s="13">
        <f>Batmobile[[#This Row],[angvel_total]]</f>
        <v>2.0012000099940033</v>
      </c>
      <c r="G254" s="13">
        <f>Breakout[[#This Row],[angvel_total]]</f>
        <v>2.0525000000000002</v>
      </c>
      <c r="AD254" s="6">
        <v>202</v>
      </c>
      <c r="AE254" s="15">
        <f>_xlfn.NORM.DIST(Table14[[#This Row],[X]],$AB$44,$AB$46,FALSE)</f>
        <v>9.6809444097291251E-10</v>
      </c>
      <c r="AF254" s="8">
        <f>Table14[[#This Row],[Column1]]*Table7[[#This Row],[Octane]]</f>
        <v>1.9192472316703993E-9</v>
      </c>
      <c r="AG254" s="8">
        <f>(1-$Y$4)*AG255+$Y$4*Table7[[#This Row],[Hybrid]]</f>
        <v>1.5269623658720315</v>
      </c>
      <c r="AH254" s="8">
        <f>(1-$Y$4)*AH255+$Y$4*Table7[[#This Row],[Dominus]]</f>
        <v>1.5397484757231914</v>
      </c>
      <c r="AI254" s="8">
        <f>(1-$Y$4)*AI255+$Y$4*Table7[[#This Row],[Plank]]</f>
        <v>1.5290683177709483</v>
      </c>
      <c r="AJ254" s="8">
        <f>(1-$Y$4)*AJ255+$Y$4*Table7[[#This Row],[Batmobile]]</f>
        <v>1.5051507742309016</v>
      </c>
      <c r="AK254" s="8">
        <f>(1-$Y$4)*AK255+$Y$4*Table7[[#This Row],[Breakout]]</f>
        <v>1.5437347336153346</v>
      </c>
      <c r="AL254" s="3">
        <f>Table14[[#This Row],[Column1]]-AE255</f>
        <v>1.6885308009975908E-10</v>
      </c>
    </row>
    <row r="255" spans="1:38">
      <c r="A255" s="1">
        <v>1.69166666666663</v>
      </c>
      <c r="B255" s="13">
        <f>Octane[[#This Row],[angvel_total]]</f>
        <v>1.982500002522068</v>
      </c>
      <c r="C255" s="13">
        <f>Hybrid[[#This Row],[angvel_total]]</f>
        <v>2.0301999999999998</v>
      </c>
      <c r="D255" s="13">
        <f>Dominus[[#This Row],[angvel_total]]</f>
        <v>2.0472000000000001</v>
      </c>
      <c r="E255" s="13">
        <f>Plank[[#This Row],[angvel_total]]</f>
        <v>2.0330000024594197</v>
      </c>
      <c r="F255" s="13">
        <f>Batmobile[[#This Row],[angvel_total]]</f>
        <v>2.0012000099940033</v>
      </c>
      <c r="G255" s="13">
        <f>Breakout[[#This Row],[angvel_total]]</f>
        <v>2.0525000000000002</v>
      </c>
      <c r="AD255" s="6">
        <v>203</v>
      </c>
      <c r="AE255" s="15">
        <f>_xlfn.NORM.DIST(Table14[[#This Row],[X]],$AB$44,$AB$46,FALSE)</f>
        <v>7.9924136087315343E-10</v>
      </c>
      <c r="AF255" s="8">
        <f>Table14[[#This Row],[Column1]]*Table7[[#This Row],[Octane]]</f>
        <v>1.5844959999467679E-9</v>
      </c>
      <c r="AG255" s="8">
        <f>(1-$Y$4)*AG256+$Y$4*Table7[[#This Row],[Hybrid]]</f>
        <v>1.4311075784190852</v>
      </c>
      <c r="AH255" s="8">
        <f>(1-$Y$4)*AH256+$Y$4*Table7[[#This Row],[Dominus]]</f>
        <v>1.4430910425276087</v>
      </c>
      <c r="AI255" s="8">
        <f>(1-$Y$4)*AI256+$Y$4*Table7[[#This Row],[Plank]]</f>
        <v>1.4330813302112395</v>
      </c>
      <c r="AJ255" s="8">
        <f>(1-$Y$4)*AJ256+$Y$4*Table7[[#This Row],[Batmobile]]</f>
        <v>1.4106652055141204</v>
      </c>
      <c r="AK255" s="8">
        <f>(1-$Y$4)*AK256+$Y$4*Table7[[#This Row],[Breakout]]</f>
        <v>1.4468270638277794</v>
      </c>
      <c r="AL255" s="3">
        <f>Table14[[#This Row],[Column1]]-AE256</f>
        <v>1.4013481399833097E-10</v>
      </c>
    </row>
    <row r="256" spans="1:38">
      <c r="A256" s="1">
        <v>1.69999999999996</v>
      </c>
      <c r="B256" s="13">
        <f>Octane[[#This Row],[angvel_total]]</f>
        <v>1.982500002522068</v>
      </c>
      <c r="C256" s="13">
        <f>Hybrid[[#This Row],[angvel_total]]</f>
        <v>2.0301999999999998</v>
      </c>
      <c r="D256" s="13">
        <f>Dominus[[#This Row],[angvel_total]]</f>
        <v>2.0472000000000001</v>
      </c>
      <c r="E256" s="13">
        <f>Plank[[#This Row],[angvel_total]]</f>
        <v>2.0330000024594197</v>
      </c>
      <c r="F256" s="13">
        <f>Batmobile[[#This Row],[angvel_total]]</f>
        <v>2.0012000099940033</v>
      </c>
      <c r="G256" s="13">
        <f>Breakout[[#This Row],[angvel_total]]</f>
        <v>2.0525000000000002</v>
      </c>
      <c r="AD256" s="6">
        <v>204</v>
      </c>
      <c r="AE256" s="15">
        <f>_xlfn.NORM.DIST(Table14[[#This Row],[X]],$AB$44,$AB$46,FALSE)</f>
        <v>6.5910654687482246E-10</v>
      </c>
      <c r="AF256" s="8">
        <f>Table14[[#This Row],[Column1]]*Table7[[#This Row],[Octane]]</f>
        <v>1.3066787308416472E-9</v>
      </c>
      <c r="AG256" s="8">
        <f>(1-$Y$4)*AG257+$Y$4*Table7[[#This Row],[Hybrid]]</f>
        <v>1.3169947362131966</v>
      </c>
      <c r="AH256" s="8">
        <f>(1-$Y$4)*AH257+$Y$4*Table7[[#This Row],[Dominus]]</f>
        <v>1.3280226696757247</v>
      </c>
      <c r="AI256" s="8">
        <f>(1-$Y$4)*AI257+$Y$4*Table7[[#This Row],[Plank]]</f>
        <v>1.3188111069258719</v>
      </c>
      <c r="AJ256" s="8">
        <f>(1-$Y$4)*AJ257+$Y$4*Table7[[#This Row],[Batmobile]]</f>
        <v>1.2981823856131904</v>
      </c>
      <c r="AK256" s="8">
        <f>(1-$Y$4)*AK257+$Y$4*Table7[[#This Row],[Breakout]]</f>
        <v>1.3314607902711659</v>
      </c>
      <c r="AL256" s="3">
        <f>Table14[[#This Row],[Column1]]-AE257</f>
        <v>1.161679066219711E-10</v>
      </c>
    </row>
    <row r="257" spans="1:38">
      <c r="A257" s="1">
        <v>1.70833333333329</v>
      </c>
      <c r="B257" s="13">
        <f>Octane[[#This Row],[angvel_total]]</f>
        <v>1.982500002522068</v>
      </c>
      <c r="C257" s="13">
        <f>Hybrid[[#This Row],[angvel_total]]</f>
        <v>2.0301999999999998</v>
      </c>
      <c r="D257" s="13">
        <f>Dominus[[#This Row],[angvel_total]]</f>
        <v>2.0472000000000001</v>
      </c>
      <c r="E257" s="13">
        <f>Plank[[#This Row],[angvel_total]]</f>
        <v>2.0330000098376781</v>
      </c>
      <c r="F257" s="13">
        <f>Batmobile[[#This Row],[angvel_total]]</f>
        <v>2.0012000099940033</v>
      </c>
      <c r="G257" s="13">
        <f>Breakout[[#This Row],[angvel_total]]</f>
        <v>2.0525000000000002</v>
      </c>
      <c r="AD257" s="6">
        <v>205</v>
      </c>
      <c r="AE257" s="15">
        <f>_xlfn.NORM.DIST(Table14[[#This Row],[X]],$AB$44,$AB$46,FALSE)</f>
        <v>5.4293864025285136E-10</v>
      </c>
      <c r="AF257" s="8">
        <f>Table14[[#This Row],[Column1]]*Table7[[#This Row],[Octane]]</f>
        <v>1.0763758556706061E-9</v>
      </c>
      <c r="AG257" s="8">
        <f>(1-$Y$4)*AG258+$Y$4*Table7[[#This Row],[Hybrid]]</f>
        <v>1.1811461145395199</v>
      </c>
      <c r="AH257" s="8">
        <f>(1-$Y$4)*AH258+$Y$4*Table7[[#This Row],[Dominus]]</f>
        <v>1.1910365115187198</v>
      </c>
      <c r="AI257" s="8">
        <f>(1-$Y$4)*AI258+$Y$4*Table7[[#This Row],[Plank]]</f>
        <v>1.1827751268242437</v>
      </c>
      <c r="AJ257" s="8">
        <f>(1-$Y$4)*AJ258+$Y$4*Table7[[#This Row],[Batmobile]]</f>
        <v>1.1642742666835117</v>
      </c>
      <c r="AK257" s="8">
        <f>(1-$Y$4)*AK258+$Y$4*Table7[[#This Row],[Breakout]]</f>
        <v>1.1941199884180547</v>
      </c>
      <c r="AL257" s="3">
        <f>Table14[[#This Row],[Column1]]-AE258</f>
        <v>9.6189909854997015E-11</v>
      </c>
    </row>
    <row r="258" spans="1:38">
      <c r="A258" s="1">
        <v>1.7166666666666199</v>
      </c>
      <c r="B258" s="13">
        <f>Octane[[#This Row],[angvel_total]]</f>
        <v>1.982500002522068</v>
      </c>
      <c r="C258" s="13">
        <f>Hybrid[[#This Row],[angvel_total]]</f>
        <v>2.0301999999999998</v>
      </c>
      <c r="D258" s="13">
        <f>Dominus[[#This Row],[angvel_total]]</f>
        <v>2.0472000000000001</v>
      </c>
      <c r="E258" s="13">
        <f>Plank[[#This Row],[angvel_total]]</f>
        <v>2.0330000098376781</v>
      </c>
      <c r="F258" s="13">
        <f>Batmobile[[#This Row],[angvel_total]]</f>
        <v>2.0012000099940033</v>
      </c>
      <c r="G258" s="13">
        <f>Breakout[[#This Row],[angvel_total]]</f>
        <v>2.0525000000000002</v>
      </c>
      <c r="AD258" s="6">
        <v>206</v>
      </c>
      <c r="AE258" s="15">
        <f>_xlfn.NORM.DIST(Table14[[#This Row],[X]],$AB$44,$AB$46,FALSE)</f>
        <v>4.4674873039785434E-10</v>
      </c>
      <c r="AF258" s="8">
        <f>Table14[[#This Row],[Column1]]*Table7[[#This Row],[Octane]]</f>
        <v>8.8567935914047697E-10</v>
      </c>
      <c r="AG258" s="8">
        <f>(1-$Y$4)*AG259+$Y$4*Table7[[#This Row],[Hybrid]]</f>
        <v>1.0194215649279998</v>
      </c>
      <c r="AH258" s="8">
        <f>(1-$Y$4)*AH259+$Y$4*Table7[[#This Row],[Dominus]]</f>
        <v>1.0279577518079999</v>
      </c>
      <c r="AI258" s="8">
        <f>(1-$Y$4)*AI259+$Y$4*Table7[[#This Row],[Plank]]</f>
        <v>1.02082753005978</v>
      </c>
      <c r="AJ258" s="8">
        <f>(1-$Y$4)*AJ259+$Y$4*Table7[[#This Row],[Batmobile]]</f>
        <v>1.0048598393862753</v>
      </c>
      <c r="AK258" s="8">
        <f>(1-$Y$4)*AK259+$Y$4*Table7[[#This Row],[Breakout]]</f>
        <v>1.0306190338310175</v>
      </c>
      <c r="AL258" s="3">
        <f>Table14[[#This Row],[Column1]]-AE259</f>
        <v>7.9556609575110745E-11</v>
      </c>
    </row>
    <row r="259" spans="1:38">
      <c r="A259" s="1">
        <v>1.7249999999999499</v>
      </c>
      <c r="B259" s="13">
        <f>Octane[[#This Row],[angvel_total]]</f>
        <v>1.9824999999999999</v>
      </c>
      <c r="C259" s="13">
        <f>Hybrid[[#This Row],[angvel_total]]</f>
        <v>2.0301999999999998</v>
      </c>
      <c r="D259" s="13">
        <f>Dominus[[#This Row],[angvel_total]]</f>
        <v>2.0472000000000001</v>
      </c>
      <c r="E259" s="13">
        <f>Plank[[#This Row],[angvel_total]]</f>
        <v>2.0330000098376781</v>
      </c>
      <c r="F259" s="13">
        <f>Batmobile[[#This Row],[angvel_total]]</f>
        <v>2.0012000099940033</v>
      </c>
      <c r="G259" s="13">
        <f>Breakout[[#This Row],[angvel_total]]</f>
        <v>2.0525000000000002</v>
      </c>
      <c r="AD259" s="6">
        <v>207</v>
      </c>
      <c r="AE259" s="15">
        <f>_xlfn.NORM.DIST(Table14[[#This Row],[X]],$AB$44,$AB$46,FALSE)</f>
        <v>3.671921208227436E-10</v>
      </c>
      <c r="AF259" s="8">
        <f>Table14[[#This Row],[Column1]]*Table7[[#This Row],[Octane]]</f>
        <v>7.2795837953108915E-10</v>
      </c>
      <c r="AG259" s="8">
        <f>(1-$Y$4)*AG260+$Y$4*Table7[[#This Row],[Hybrid]]</f>
        <v>0.82689233919999983</v>
      </c>
      <c r="AH259" s="8">
        <f>(1-$Y$4)*AH260+$Y$4*Table7[[#This Row],[Dominus]]</f>
        <v>0.83381637119999996</v>
      </c>
      <c r="AI259" s="8">
        <f>(1-$Y$4)*AI260+$Y$4*Table7[[#This Row],[Plank]]</f>
        <v>0.828032772006847</v>
      </c>
      <c r="AJ259" s="8">
        <f>(1-$Y$4)*AJ260+$Y$4*Table7[[#This Row],[Batmobile]]</f>
        <v>0.8150807592705176</v>
      </c>
      <c r="AK259" s="8">
        <f>(1-$Y$4)*AK260+$Y$4*Table7[[#This Row],[Breakout]]</f>
        <v>0.83597504027502079</v>
      </c>
      <c r="AL259" s="3">
        <f>Table14[[#This Row],[Column1]]-AE260</f>
        <v>6.572439084997892E-11</v>
      </c>
    </row>
    <row r="260" spans="1:38">
      <c r="A260" s="1">
        <v>1.7333333333332801</v>
      </c>
      <c r="B260" s="13">
        <f>Octane[[#This Row],[angvel_total]]</f>
        <v>1.9824999999999999</v>
      </c>
      <c r="C260" s="13">
        <f>Hybrid[[#This Row],[angvel_total]]</f>
        <v>2.0301999999999998</v>
      </c>
      <c r="D260" s="13">
        <f>Dominus[[#This Row],[angvel_total]]</f>
        <v>2.0472000000000001</v>
      </c>
      <c r="E260" s="13">
        <f>Plank[[#This Row],[angvel_total]]</f>
        <v>2.0330000098376781</v>
      </c>
      <c r="F260" s="13">
        <f>Batmobile[[#This Row],[angvel_total]]</f>
        <v>2.0012000099940033</v>
      </c>
      <c r="G260" s="13">
        <f>Breakout[[#This Row],[angvel_total]]</f>
        <v>2.0525000000000002</v>
      </c>
      <c r="AD260" s="6">
        <v>208</v>
      </c>
      <c r="AE260" s="15">
        <f>_xlfn.NORM.DIST(Table14[[#This Row],[X]],$AB$44,$AB$46,FALSE)</f>
        <v>3.0146772997276468E-10</v>
      </c>
      <c r="AF260" s="8">
        <f>Table14[[#This Row],[Column1]]*Table7[[#This Row],[Octane]]</f>
        <v>5.9765977467100598E-10</v>
      </c>
      <c r="AG260" s="8">
        <f>(1-$Y$4)*AG261+$Y$4*Table7[[#This Row],[Hybrid]]</f>
        <v>0.59769087999999992</v>
      </c>
      <c r="AH260" s="8">
        <f>(1-$Y$4)*AH261+$Y$4*Table7[[#This Row],[Dominus]]</f>
        <v>0.60269568000000007</v>
      </c>
      <c r="AI260" s="8">
        <f>(1-$Y$4)*AI261+$Y$4*Table7[[#This Row],[Plank]]</f>
        <v>0.59851520289621241</v>
      </c>
      <c r="AJ260" s="8">
        <f>(1-$Y$4)*AJ261+$Y$4*Table7[[#This Row],[Batmobile]]</f>
        <v>0.58915328294223457</v>
      </c>
      <c r="AK260" s="8">
        <f>(1-$Y$4)*AK261+$Y$4*Table7[[#This Row],[Breakout]]</f>
        <v>0.60425600032740567</v>
      </c>
      <c r="AL260" s="3">
        <f>Table14[[#This Row],[Column1]]-AE261</f>
        <v>5.4235117216801716E-11</v>
      </c>
    </row>
    <row r="261" spans="1:38">
      <c r="A261" s="1">
        <v>1.7416666666666101</v>
      </c>
      <c r="B261" s="13">
        <f>Octane[[#This Row],[angvel_total]]</f>
        <v>1.9824999999999999</v>
      </c>
      <c r="C261" s="13">
        <f>Hybrid[[#This Row],[angvel_total]]</f>
        <v>2.0301999999999998</v>
      </c>
      <c r="D261" s="13">
        <f>Dominus[[#This Row],[angvel_total]]</f>
        <v>2.0472000000000001</v>
      </c>
      <c r="E261" s="13">
        <f>Plank[[#This Row],[angvel_total]]</f>
        <v>2.0330000098376781</v>
      </c>
      <c r="F261" s="13">
        <f>Batmobile[[#This Row],[angvel_total]]</f>
        <v>2.0012000099940033</v>
      </c>
      <c r="G261" s="13">
        <f>Breakout[[#This Row],[angvel_total]]</f>
        <v>2.0525000024360538</v>
      </c>
      <c r="AD261" s="6">
        <v>209</v>
      </c>
      <c r="AE261" s="15">
        <f>_xlfn.NORM.DIST(Table14[[#This Row],[X]],$AB$44,$AB$46,FALSE)</f>
        <v>2.4723261275596296E-10</v>
      </c>
      <c r="AF261" s="8">
        <f>Table14[[#This Row],[Column1]]*Table7[[#This Row],[Octane]]</f>
        <v>4.9013865478869654E-10</v>
      </c>
      <c r="AG261" s="8">
        <f>(1-$Y$4)*AG262+$Y$4*Table7[[#This Row],[Hybrid]]</f>
        <v>0.32483199999999995</v>
      </c>
      <c r="AH261" s="8">
        <f>(1-$Y$4)*AH262+$Y$4*Table7[[#This Row],[Dominus]]</f>
        <v>0.32755200000000001</v>
      </c>
      <c r="AI261" s="8">
        <f>(1-$Y$4)*AI262+$Y$4*Table7[[#This Row],[Plank]]</f>
        <v>0.32528000157402853</v>
      </c>
      <c r="AJ261" s="8">
        <f>(1-$Y$4)*AJ262+$Y$4*Table7[[#This Row],[Batmobile]]</f>
        <v>0.32019200159904054</v>
      </c>
      <c r="AK261" s="8">
        <f>(1-$Y$4)*AK262+$Y$4*Table7[[#This Row],[Breakout]]</f>
        <v>0.32840000038976863</v>
      </c>
      <c r="AL261" s="3">
        <f>Table14[[#This Row],[Column1]]-AE262</f>
        <v>2.4723261275596296E-10</v>
      </c>
    </row>
    <row r="262" spans="1:38">
      <c r="A262" s="1">
        <v>1.74999999999994</v>
      </c>
      <c r="B262" s="13">
        <f>Octane[[#This Row],[angvel_total]]</f>
        <v>1.9824999999999999</v>
      </c>
      <c r="C262" s="13">
        <f>Hybrid[[#This Row],[angvel_total]]</f>
        <v>2.0301999999999998</v>
      </c>
      <c r="D262" s="13">
        <f>Dominus[[#This Row],[angvel_total]]</f>
        <v>2.0472000000000001</v>
      </c>
      <c r="E262" s="13">
        <f>Plank[[#This Row],[angvel_total]]</f>
        <v>2.0330000098376781</v>
      </c>
      <c r="F262" s="13">
        <f>Batmobile[[#This Row],[angvel_total]]</f>
        <v>2.0012000099940033</v>
      </c>
      <c r="G262" s="13">
        <f>Breakout[[#This Row],[angvel_total]]</f>
        <v>2.0525000024360538</v>
      </c>
      <c r="AD262" s="6"/>
      <c r="AE262" s="11"/>
      <c r="AF262" s="8"/>
      <c r="AG262" s="8"/>
      <c r="AH262" s="8"/>
      <c r="AI262" s="8"/>
      <c r="AJ262" s="8"/>
      <c r="AK262" s="8"/>
    </row>
    <row r="263" spans="1:38">
      <c r="A263" s="1">
        <v>1.75833333333327</v>
      </c>
      <c r="B263" s="13">
        <f>Octane[[#This Row],[angvel_total]]</f>
        <v>1.9824999999999999</v>
      </c>
      <c r="C263" s="13">
        <f>Hybrid[[#This Row],[angvel_total]]</f>
        <v>2.0301999999999998</v>
      </c>
      <c r="D263" s="13">
        <f>Dominus[[#This Row],[angvel_total]]</f>
        <v>2.0472000000000001</v>
      </c>
      <c r="E263" s="13">
        <f>Plank[[#This Row],[angvel_total]]</f>
        <v>2.0330000098376781</v>
      </c>
      <c r="F263" s="13">
        <f>Batmobile[[#This Row],[angvel_total]]</f>
        <v>2.0012000099940033</v>
      </c>
      <c r="G263" s="13">
        <f>Breakout[[#This Row],[angvel_total]]</f>
        <v>2.0525000024360538</v>
      </c>
      <c r="AD263" s="6"/>
      <c r="AE263" s="11"/>
      <c r="AF263" s="8"/>
      <c r="AG263" s="8"/>
      <c r="AH263" s="8"/>
      <c r="AI263" s="8"/>
      <c r="AJ263" s="8"/>
      <c r="AK263" s="8"/>
    </row>
    <row r="264" spans="1:38">
      <c r="A264" s="1">
        <v>1.7666666666666</v>
      </c>
      <c r="B264" s="13">
        <f>Octane[[#This Row],[angvel_total]]</f>
        <v>1.9824999999999999</v>
      </c>
      <c r="C264" s="13">
        <f>Hybrid[[#This Row],[angvel_total]]</f>
        <v>2.0301999999999998</v>
      </c>
      <c r="D264" s="13">
        <f>Dominus[[#This Row],[angvel_total]]</f>
        <v>2.0472000000000001</v>
      </c>
      <c r="E264" s="13">
        <f>Plank[[#This Row],[angvel_total]]</f>
        <v>2.0330000098376781</v>
      </c>
      <c r="F264" s="13">
        <f>Batmobile[[#This Row],[angvel_total]]</f>
        <v>2.0012000099940033</v>
      </c>
      <c r="G264" s="13">
        <f>Breakout[[#This Row],[angvel_total]]</f>
        <v>2.0525000024360538</v>
      </c>
      <c r="AD264" s="6"/>
      <c r="AE264" s="11"/>
      <c r="AF264" s="8"/>
      <c r="AG264" s="8"/>
      <c r="AH264" s="8"/>
      <c r="AI264" s="8"/>
      <c r="AJ264" s="8"/>
      <c r="AK264" s="8"/>
    </row>
    <row r="265" spans="1:38">
      <c r="A265" s="1">
        <v>1.77499999999993</v>
      </c>
      <c r="B265" s="13">
        <f>Octane[[#This Row],[angvel_total]]</f>
        <v>1.9824999999999999</v>
      </c>
      <c r="C265" s="13">
        <f>Hybrid[[#This Row],[angvel_total]]</f>
        <v>2.0301999999999998</v>
      </c>
      <c r="D265" s="13">
        <f>Dominus[[#This Row],[angvel_total]]</f>
        <v>2.047300002442241</v>
      </c>
      <c r="E265" s="13">
        <f>Plank[[#This Row],[angvel_total]]</f>
        <v>2.0330000098376781</v>
      </c>
      <c r="F265" s="13">
        <f>Batmobile[[#This Row],[angvel_total]]</f>
        <v>2.0012000024985008</v>
      </c>
      <c r="G265" s="13">
        <f>Breakout[[#This Row],[angvel_total]]</f>
        <v>2.0525000024360538</v>
      </c>
      <c r="AD265" s="6"/>
      <c r="AE265" s="11"/>
      <c r="AF265" s="8"/>
      <c r="AG265" s="8"/>
      <c r="AH265" s="8"/>
      <c r="AI265" s="8"/>
      <c r="AJ265" s="8"/>
      <c r="AK265" s="8"/>
    </row>
    <row r="266" spans="1:38">
      <c r="B266">
        <f>$B265/B265</f>
        <v>1</v>
      </c>
      <c r="C266">
        <f t="shared" ref="C266:G266" si="2">$B265/C265</f>
        <v>0.9765047778543986</v>
      </c>
      <c r="D266">
        <f t="shared" si="2"/>
        <v>0.96834855548041787</v>
      </c>
      <c r="E266">
        <f t="shared" si="2"/>
        <v>0.97515985755370937</v>
      </c>
      <c r="F266">
        <f t="shared" si="2"/>
        <v>0.99065560539918351</v>
      </c>
      <c r="G266">
        <f t="shared" si="2"/>
        <v>0.96589524854909969</v>
      </c>
      <c r="AD266" s="6"/>
      <c r="AE266" s="11"/>
      <c r="AF266" s="8"/>
      <c r="AG266" s="8"/>
      <c r="AH266" s="8"/>
      <c r="AI266" s="8"/>
      <c r="AJ266" s="8"/>
      <c r="AK266" s="8"/>
    </row>
    <row r="267" spans="1:38">
      <c r="AD267" s="6"/>
      <c r="AE267" s="11"/>
      <c r="AF267" s="8"/>
      <c r="AG267" s="8"/>
      <c r="AH267" s="8"/>
      <c r="AI267" s="8"/>
      <c r="AJ267" s="8"/>
      <c r="AK267" s="8"/>
    </row>
    <row r="268" spans="1:38">
      <c r="AD268" s="6"/>
      <c r="AE268" s="11"/>
      <c r="AF268" s="8"/>
      <c r="AG268" s="8"/>
      <c r="AH268" s="8"/>
      <c r="AI268" s="8"/>
      <c r="AJ268" s="8"/>
      <c r="AK268" s="8"/>
    </row>
    <row r="269" spans="1:38">
      <c r="AD269" s="6"/>
      <c r="AE269" s="11"/>
      <c r="AF269" s="8"/>
      <c r="AG269" s="8"/>
      <c r="AH269" s="8"/>
      <c r="AI269" s="8"/>
      <c r="AJ269" s="8"/>
      <c r="AK269" s="8"/>
    </row>
    <row r="270" spans="1:38">
      <c r="AD270" s="6"/>
      <c r="AE270" s="11"/>
      <c r="AF270" s="8"/>
      <c r="AG270" s="8"/>
      <c r="AH270" s="8"/>
      <c r="AI270" s="8"/>
      <c r="AJ270" s="8"/>
      <c r="AK270" s="8"/>
    </row>
    <row r="271" spans="1:38">
      <c r="AD271" s="6"/>
      <c r="AE271" s="11"/>
      <c r="AF271" s="8"/>
      <c r="AG271" s="8"/>
      <c r="AH271" s="8"/>
      <c r="AI271" s="8"/>
      <c r="AJ271" s="8"/>
      <c r="AK271" s="8"/>
    </row>
    <row r="272" spans="1:38">
      <c r="AD272" s="6"/>
      <c r="AE272" s="11"/>
      <c r="AF272" s="8"/>
      <c r="AG272" s="8"/>
      <c r="AH272" s="8"/>
      <c r="AI272" s="8"/>
      <c r="AJ272" s="8"/>
      <c r="AK272" s="8"/>
    </row>
    <row r="273" spans="30:37">
      <c r="AD273" s="6"/>
      <c r="AE273" s="11"/>
      <c r="AF273" s="8"/>
      <c r="AG273" s="8"/>
      <c r="AH273" s="8"/>
      <c r="AI273" s="8"/>
      <c r="AJ273" s="8"/>
      <c r="AK273" s="8"/>
    </row>
    <row r="274" spans="30:37">
      <c r="AD274" s="6"/>
      <c r="AE274" s="11"/>
      <c r="AF274" s="8"/>
      <c r="AG274" s="8"/>
      <c r="AH274" s="8"/>
      <c r="AI274" s="8"/>
      <c r="AJ274" s="8"/>
      <c r="AK274" s="8"/>
    </row>
    <row r="275" spans="30:37">
      <c r="AD275" s="6"/>
      <c r="AE275" s="11"/>
      <c r="AF275" s="8"/>
      <c r="AG275" s="8"/>
      <c r="AH275" s="8"/>
      <c r="AI275" s="8"/>
      <c r="AJ275" s="8"/>
      <c r="AK275" s="8"/>
    </row>
    <row r="276" spans="30:37">
      <c r="AD276" s="6"/>
      <c r="AE276" s="11"/>
      <c r="AF276" s="8"/>
      <c r="AG276" s="8"/>
      <c r="AH276" s="8"/>
      <c r="AI276" s="8"/>
      <c r="AJ276" s="8"/>
      <c r="AK276" s="8"/>
    </row>
    <row r="277" spans="30:37">
      <c r="AD277" s="6"/>
      <c r="AE277" s="11"/>
      <c r="AF277" s="8"/>
      <c r="AG277" s="8"/>
      <c r="AH277" s="8"/>
      <c r="AI277" s="8"/>
      <c r="AJ277" s="8"/>
      <c r="AK277" s="8"/>
    </row>
    <row r="278" spans="30:37">
      <c r="AD278" s="6"/>
      <c r="AE278" s="11"/>
      <c r="AF278" s="8"/>
      <c r="AG278" s="8"/>
      <c r="AH278" s="8"/>
      <c r="AI278" s="8"/>
      <c r="AJ278" s="8"/>
      <c r="AK278" s="8"/>
    </row>
    <row r="279" spans="30:37">
      <c r="AD279" s="6"/>
      <c r="AE279" s="11"/>
      <c r="AF279" s="8"/>
      <c r="AG279" s="8"/>
      <c r="AH279" s="8"/>
      <c r="AI279" s="8"/>
      <c r="AJ279" s="8"/>
      <c r="AK279" s="8"/>
    </row>
    <row r="280" spans="30:37">
      <c r="AD280" s="6"/>
      <c r="AE280" s="11"/>
      <c r="AF280" s="8"/>
      <c r="AG280" s="8"/>
      <c r="AH280" s="8"/>
      <c r="AI280" s="8"/>
      <c r="AJ280" s="8"/>
      <c r="AK280" s="8"/>
    </row>
    <row r="281" spans="30:37">
      <c r="AD281" s="6"/>
      <c r="AE281" s="11"/>
      <c r="AF281" s="8"/>
      <c r="AG281" s="8"/>
      <c r="AH281" s="8"/>
      <c r="AI281" s="8"/>
      <c r="AJ281" s="8"/>
      <c r="AK281" s="8"/>
    </row>
    <row r="282" spans="30:37">
      <c r="AD282" s="6"/>
      <c r="AE282" s="11"/>
      <c r="AF282" s="8"/>
      <c r="AG282" s="8"/>
      <c r="AH282" s="8"/>
      <c r="AI282" s="8"/>
      <c r="AJ282" s="8"/>
      <c r="AK282" s="8"/>
    </row>
    <row r="283" spans="30:37">
      <c r="AD283" s="6"/>
      <c r="AE283" s="11"/>
      <c r="AF283" s="8"/>
      <c r="AG283" s="8"/>
      <c r="AH283" s="8"/>
      <c r="AI283" s="8"/>
      <c r="AJ283" s="8"/>
      <c r="AK283" s="8"/>
    </row>
    <row r="284" spans="30:37">
      <c r="AD284" s="6"/>
      <c r="AE284" s="11"/>
      <c r="AF284" s="8"/>
      <c r="AG284" s="8"/>
      <c r="AH284" s="8"/>
      <c r="AI284" s="8"/>
      <c r="AJ284" s="8"/>
      <c r="AK284" s="8"/>
    </row>
    <row r="285" spans="30:37">
      <c r="AD285" s="6"/>
      <c r="AE285" s="11"/>
      <c r="AF285" s="8"/>
      <c r="AG285" s="8"/>
      <c r="AH285" s="8"/>
      <c r="AI285" s="8"/>
      <c r="AJ285" s="8"/>
      <c r="AK285" s="8"/>
    </row>
    <row r="286" spans="30:37">
      <c r="AD286" s="6"/>
      <c r="AE286" s="11"/>
      <c r="AF286" s="8"/>
      <c r="AG286" s="8"/>
      <c r="AH286" s="8"/>
      <c r="AI286" s="8"/>
      <c r="AJ286" s="8"/>
      <c r="AK286" s="8"/>
    </row>
    <row r="287" spans="30:37">
      <c r="AD287" s="6"/>
      <c r="AE287" s="11"/>
      <c r="AF287" s="8"/>
      <c r="AG287" s="8"/>
      <c r="AH287" s="8"/>
      <c r="AI287" s="8"/>
      <c r="AJ287" s="8"/>
      <c r="AK287" s="8"/>
    </row>
    <row r="288" spans="30:37">
      <c r="AD288" s="6"/>
      <c r="AE288" s="11"/>
      <c r="AF288" s="8"/>
      <c r="AG288" s="8"/>
      <c r="AH288" s="8"/>
      <c r="AI288" s="8"/>
      <c r="AJ288" s="8"/>
      <c r="AK288" s="8"/>
    </row>
    <row r="289" spans="30:37">
      <c r="AD289" s="6"/>
      <c r="AE289" s="11"/>
      <c r="AF289" s="8"/>
      <c r="AG289" s="8"/>
      <c r="AH289" s="8"/>
      <c r="AI289" s="8"/>
      <c r="AJ289" s="8"/>
      <c r="AK289" s="8"/>
    </row>
    <row r="290" spans="30:37">
      <c r="AD290" s="6"/>
      <c r="AE290" s="11"/>
      <c r="AF290" s="8"/>
      <c r="AG290" s="8"/>
      <c r="AH290" s="8"/>
      <c r="AI290" s="8"/>
      <c r="AJ290" s="8"/>
      <c r="AK290" s="8"/>
    </row>
    <row r="291" spans="30:37">
      <c r="AD291" s="6"/>
      <c r="AE291" s="11"/>
      <c r="AF291" s="8"/>
      <c r="AG291" s="8"/>
      <c r="AH291" s="8"/>
      <c r="AI291" s="8"/>
      <c r="AJ291" s="8"/>
      <c r="AK291" s="8"/>
    </row>
    <row r="292" spans="30:37">
      <c r="AD292" s="6"/>
      <c r="AE292" s="11"/>
      <c r="AF292" s="8"/>
      <c r="AG292" s="8"/>
      <c r="AH292" s="8"/>
      <c r="AI292" s="8"/>
      <c r="AJ292" s="8"/>
      <c r="AK292" s="8"/>
    </row>
    <row r="293" spans="30:37">
      <c r="AD293" s="6"/>
      <c r="AE293" s="11"/>
      <c r="AF293" s="8"/>
      <c r="AG293" s="8"/>
      <c r="AH293" s="8"/>
      <c r="AI293" s="8"/>
      <c r="AJ293" s="8"/>
      <c r="AK293" s="8"/>
    </row>
    <row r="294" spans="30:37">
      <c r="AD294" s="6"/>
      <c r="AE294" s="11"/>
      <c r="AF294" s="8"/>
      <c r="AG294" s="8"/>
      <c r="AH294" s="8"/>
      <c r="AI294" s="8"/>
      <c r="AJ294" s="8"/>
      <c r="AK294" s="8"/>
    </row>
    <row r="295" spans="30:37">
      <c r="AD295" s="6"/>
      <c r="AE295" s="11"/>
      <c r="AF295" s="8"/>
      <c r="AG295" s="8"/>
      <c r="AH295" s="8"/>
      <c r="AI295" s="8"/>
      <c r="AJ295" s="8"/>
      <c r="AK295" s="8"/>
    </row>
    <row r="296" spans="30:37">
      <c r="AD296" s="6"/>
      <c r="AE296" s="11"/>
      <c r="AF296" s="8"/>
      <c r="AG296" s="8"/>
      <c r="AH296" s="8"/>
      <c r="AI296" s="8"/>
      <c r="AJ296" s="8"/>
      <c r="AK296" s="8"/>
    </row>
    <row r="297" spans="30:37">
      <c r="AD297" s="6"/>
      <c r="AE297" s="11"/>
      <c r="AF297" s="8"/>
      <c r="AG297" s="8"/>
      <c r="AH297" s="8"/>
      <c r="AI297" s="8"/>
      <c r="AJ297" s="8"/>
      <c r="AK297" s="8"/>
    </row>
    <row r="298" spans="30:37">
      <c r="AD298" s="6"/>
      <c r="AE298" s="11"/>
      <c r="AF298" s="8"/>
      <c r="AG298" s="8"/>
      <c r="AH298" s="8"/>
      <c r="AI298" s="8"/>
      <c r="AJ298" s="8"/>
      <c r="AK298" s="8"/>
    </row>
    <row r="299" spans="30:37">
      <c r="AD299" s="6"/>
      <c r="AE299" s="11"/>
      <c r="AF299" s="8"/>
      <c r="AG299" s="8"/>
      <c r="AH299" s="8"/>
      <c r="AI299" s="8"/>
      <c r="AJ299" s="8"/>
      <c r="AK299" s="8"/>
    </row>
    <row r="300" spans="30:37">
      <c r="AD300" s="6"/>
      <c r="AE300" s="11"/>
      <c r="AF300" s="8"/>
      <c r="AG300" s="8"/>
      <c r="AH300" s="8"/>
      <c r="AI300" s="8"/>
      <c r="AJ300" s="8"/>
      <c r="AK300" s="8"/>
    </row>
    <row r="301" spans="30:37">
      <c r="AD301" s="6"/>
      <c r="AE301" s="11"/>
      <c r="AF301" s="8"/>
      <c r="AG301" s="8"/>
      <c r="AH301" s="8"/>
      <c r="AI301" s="8"/>
      <c r="AJ301" s="8"/>
      <c r="AK301" s="8"/>
    </row>
    <row r="302" spans="30:37">
      <c r="AD302" s="6"/>
      <c r="AE302" s="11"/>
      <c r="AF302" s="8"/>
      <c r="AG302" s="8"/>
      <c r="AH302" s="8"/>
      <c r="AI302" s="8"/>
      <c r="AJ302" s="8"/>
      <c r="AK302" s="8"/>
    </row>
    <row r="303" spans="30:37">
      <c r="AD303" s="6"/>
      <c r="AE303" s="11"/>
      <c r="AF303" s="8"/>
      <c r="AG303" s="8"/>
      <c r="AH303" s="8"/>
      <c r="AI303" s="8"/>
      <c r="AJ303" s="8"/>
      <c r="AK303" s="8"/>
    </row>
    <row r="304" spans="30:37">
      <c r="AD304" s="6"/>
      <c r="AE304" s="11"/>
      <c r="AF304" s="8"/>
      <c r="AG304" s="8"/>
      <c r="AH304" s="8"/>
      <c r="AI304" s="8"/>
      <c r="AJ304" s="8"/>
      <c r="AK304" s="8"/>
    </row>
    <row r="305" spans="30:37">
      <c r="AD305" s="6"/>
      <c r="AE305" s="11"/>
      <c r="AF305" s="8"/>
      <c r="AG305" s="8"/>
      <c r="AH305" s="8"/>
      <c r="AI305" s="8"/>
      <c r="AJ305" s="8"/>
      <c r="AK305" s="8"/>
    </row>
    <row r="306" spans="30:37">
      <c r="AD306" s="6"/>
      <c r="AE306" s="11"/>
      <c r="AF306" s="8"/>
      <c r="AG306" s="8"/>
      <c r="AH306" s="8"/>
      <c r="AI306" s="8"/>
      <c r="AJ306" s="8"/>
      <c r="AK306" s="8"/>
    </row>
    <row r="307" spans="30:37">
      <c r="AD307" s="6"/>
      <c r="AE307" s="11"/>
      <c r="AF307" s="8"/>
      <c r="AG307" s="8"/>
      <c r="AH307" s="8"/>
      <c r="AI307" s="8"/>
      <c r="AJ307" s="8"/>
      <c r="AK307" s="8"/>
    </row>
    <row r="308" spans="30:37">
      <c r="AD308" s="6"/>
      <c r="AE308" s="11"/>
      <c r="AF308" s="8"/>
      <c r="AG308" s="8"/>
      <c r="AH308" s="8"/>
      <c r="AI308" s="8"/>
      <c r="AJ308" s="8"/>
      <c r="AK308" s="8"/>
    </row>
    <row r="309" spans="30:37">
      <c r="AD309" s="6"/>
      <c r="AE309" s="11"/>
      <c r="AF309" s="8"/>
      <c r="AG309" s="8"/>
      <c r="AH309" s="8"/>
      <c r="AI309" s="8"/>
      <c r="AJ309" s="8"/>
      <c r="AK309" s="8"/>
    </row>
    <row r="310" spans="30:37">
      <c r="AD310" s="6"/>
      <c r="AE310" s="11"/>
      <c r="AF310" s="8"/>
      <c r="AG310" s="8"/>
      <c r="AH310" s="8"/>
      <c r="AI310" s="8"/>
      <c r="AJ310" s="8"/>
      <c r="AK310" s="8"/>
    </row>
    <row r="311" spans="30:37">
      <c r="AD311" s="6"/>
      <c r="AE311" s="11"/>
      <c r="AF311" s="8"/>
      <c r="AG311" s="8"/>
      <c r="AH311" s="8"/>
      <c r="AI311" s="8"/>
      <c r="AJ311" s="8"/>
      <c r="AK311" s="8"/>
    </row>
    <row r="312" spans="30:37">
      <c r="AD312" s="6"/>
      <c r="AE312" s="11"/>
      <c r="AF312" s="8"/>
      <c r="AG312" s="8"/>
      <c r="AH312" s="8"/>
      <c r="AI312" s="8"/>
      <c r="AJ312" s="8"/>
      <c r="AK312" s="8"/>
    </row>
    <row r="313" spans="30:37">
      <c r="AD313" s="6"/>
      <c r="AE313" s="11"/>
      <c r="AF313" s="8"/>
      <c r="AG313" s="8"/>
      <c r="AH313" s="8"/>
      <c r="AI313" s="8"/>
      <c r="AJ313" s="8"/>
      <c r="AK313" s="8"/>
    </row>
    <row r="314" spans="30:37">
      <c r="AD314" s="6"/>
      <c r="AE314" s="11"/>
      <c r="AF314" s="8"/>
      <c r="AG314" s="8"/>
      <c r="AH314" s="8"/>
      <c r="AI314" s="8"/>
      <c r="AJ314" s="8"/>
      <c r="AK314" s="8"/>
    </row>
    <row r="315" spans="30:37">
      <c r="AD315" s="6"/>
      <c r="AE315" s="11"/>
      <c r="AF315" s="8"/>
      <c r="AG315" s="8"/>
      <c r="AH315" s="8"/>
      <c r="AI315" s="8"/>
      <c r="AJ315" s="8"/>
      <c r="AK315" s="8"/>
    </row>
    <row r="316" spans="30:37">
      <c r="AD316" s="6"/>
      <c r="AE316" s="11"/>
      <c r="AF316" s="8"/>
      <c r="AG316" s="8"/>
      <c r="AH316" s="8"/>
      <c r="AI316" s="8"/>
      <c r="AJ316" s="8"/>
      <c r="AK316" s="8"/>
    </row>
    <row r="317" spans="30:37">
      <c r="AD317" s="6"/>
      <c r="AE317" s="11"/>
      <c r="AF317" s="8"/>
      <c r="AG317" s="8"/>
      <c r="AH317" s="8"/>
      <c r="AI317" s="8"/>
      <c r="AJ317" s="8"/>
      <c r="AK317" s="8"/>
    </row>
    <row r="318" spans="30:37">
      <c r="AD318" s="6"/>
      <c r="AE318" s="11"/>
      <c r="AF318" s="8"/>
      <c r="AG318" s="8"/>
      <c r="AH318" s="8"/>
      <c r="AI318" s="8"/>
      <c r="AJ318" s="8"/>
      <c r="AK318" s="8"/>
    </row>
    <row r="319" spans="30:37">
      <c r="AD319" s="6"/>
      <c r="AE319" s="11"/>
      <c r="AF319" s="8"/>
      <c r="AG319" s="8"/>
      <c r="AH319" s="8"/>
      <c r="AI319" s="8"/>
      <c r="AJ319" s="8"/>
      <c r="AK319" s="8"/>
    </row>
    <row r="320" spans="30:37">
      <c r="AD320" s="6"/>
      <c r="AE320" s="11"/>
      <c r="AF320" s="8"/>
      <c r="AG320" s="8"/>
      <c r="AH320" s="8"/>
      <c r="AI320" s="8"/>
      <c r="AJ320" s="8"/>
      <c r="AK320" s="8"/>
    </row>
    <row r="321" spans="30:37">
      <c r="AD321" s="6"/>
      <c r="AE321" s="11"/>
      <c r="AF321" s="8"/>
      <c r="AG321" s="8"/>
      <c r="AH321" s="8"/>
      <c r="AI321" s="8"/>
      <c r="AJ321" s="8"/>
      <c r="AK321" s="8"/>
    </row>
    <row r="322" spans="30:37">
      <c r="AD322" s="6"/>
      <c r="AE322" s="11"/>
      <c r="AF322" s="8"/>
      <c r="AG322" s="8"/>
      <c r="AH322" s="8"/>
      <c r="AI322" s="8"/>
      <c r="AJ322" s="8"/>
      <c r="AK322" s="8"/>
    </row>
    <row r="323" spans="30:37">
      <c r="AD323" s="6"/>
      <c r="AE323" s="11"/>
      <c r="AF323" s="8"/>
      <c r="AG323" s="8"/>
      <c r="AH323" s="8"/>
      <c r="AI323" s="8"/>
      <c r="AJ323" s="8"/>
      <c r="AK323" s="8"/>
    </row>
    <row r="324" spans="30:37">
      <c r="AD324" s="6"/>
      <c r="AE324" s="11"/>
      <c r="AF324" s="8"/>
      <c r="AG324" s="8"/>
      <c r="AH324" s="8"/>
      <c r="AI324" s="8"/>
      <c r="AJ324" s="8"/>
      <c r="AK324" s="8"/>
    </row>
    <row r="325" spans="30:37">
      <c r="AD325" s="6"/>
      <c r="AE325" s="11"/>
      <c r="AF325" s="8"/>
      <c r="AG325" s="8"/>
      <c r="AH325" s="8"/>
      <c r="AI325" s="8"/>
      <c r="AJ325" s="8"/>
      <c r="AK325" s="8"/>
    </row>
    <row r="326" spans="30:37">
      <c r="AD326" s="6"/>
      <c r="AE326" s="11"/>
      <c r="AF326" s="8"/>
      <c r="AG326" s="8"/>
      <c r="AH326" s="8"/>
      <c r="AI326" s="8"/>
      <c r="AJ326" s="8"/>
      <c r="AK326" s="8"/>
    </row>
    <row r="327" spans="30:37">
      <c r="AD327" s="6"/>
      <c r="AE327" s="11"/>
      <c r="AF327" s="8"/>
      <c r="AG327" s="8"/>
      <c r="AH327" s="8"/>
      <c r="AI327" s="8"/>
      <c r="AJ327" s="8"/>
      <c r="AK327" s="8"/>
    </row>
    <row r="328" spans="30:37">
      <c r="AD328" s="6"/>
      <c r="AE328" s="11"/>
      <c r="AF328" s="8"/>
      <c r="AG328" s="8"/>
      <c r="AH328" s="8"/>
      <c r="AI328" s="8"/>
      <c r="AJ328" s="8"/>
      <c r="AK328" s="8"/>
    </row>
    <row r="329" spans="30:37">
      <c r="AD329" s="6"/>
      <c r="AE329" s="11"/>
      <c r="AF329" s="8"/>
      <c r="AG329" s="8"/>
      <c r="AH329" s="8"/>
      <c r="AI329" s="8"/>
      <c r="AJ329" s="8"/>
      <c r="AK329" s="8"/>
    </row>
    <row r="330" spans="30:37">
      <c r="AD330" s="6"/>
      <c r="AE330" s="11"/>
      <c r="AF330" s="8"/>
      <c r="AG330" s="8"/>
      <c r="AH330" s="8"/>
      <c r="AI330" s="8"/>
      <c r="AJ330" s="8"/>
      <c r="AK330" s="8"/>
    </row>
    <row r="331" spans="30:37">
      <c r="AD331" s="6"/>
      <c r="AE331" s="11"/>
      <c r="AF331" s="8"/>
      <c r="AG331" s="8"/>
      <c r="AH331" s="8"/>
      <c r="AI331" s="8"/>
      <c r="AJ331" s="8"/>
      <c r="AK331" s="8"/>
    </row>
    <row r="332" spans="30:37">
      <c r="AD332" s="6"/>
      <c r="AE332" s="11"/>
      <c r="AF332" s="8"/>
      <c r="AG332" s="8"/>
      <c r="AH332" s="8"/>
      <c r="AI332" s="8"/>
      <c r="AJ332" s="8"/>
      <c r="AK332" s="8"/>
    </row>
    <row r="333" spans="30:37">
      <c r="AD333" s="6"/>
      <c r="AE333" s="11"/>
      <c r="AF333" s="8"/>
      <c r="AG333" s="8"/>
      <c r="AH333" s="8"/>
      <c r="AI333" s="8"/>
      <c r="AJ333" s="8"/>
      <c r="AK333" s="8"/>
    </row>
    <row r="334" spans="30:37">
      <c r="AD334" s="6"/>
      <c r="AE334" s="11"/>
      <c r="AF334" s="8"/>
      <c r="AG334" s="8"/>
      <c r="AH334" s="8"/>
      <c r="AI334" s="8"/>
      <c r="AJ334" s="8"/>
      <c r="AK334" s="8"/>
    </row>
    <row r="335" spans="30:37">
      <c r="AD335" s="6"/>
      <c r="AE335" s="11"/>
      <c r="AF335" s="8"/>
      <c r="AG335" s="8"/>
      <c r="AH335" s="8"/>
      <c r="AI335" s="8"/>
      <c r="AJ335" s="8"/>
      <c r="AK335" s="8"/>
    </row>
    <row r="336" spans="30:37">
      <c r="AD336" s="6"/>
      <c r="AE336" s="11"/>
      <c r="AF336" s="8"/>
      <c r="AG336" s="8"/>
      <c r="AH336" s="8"/>
      <c r="AI336" s="8"/>
      <c r="AJ336" s="8"/>
      <c r="AK336" s="8"/>
    </row>
    <row r="337" spans="30:37">
      <c r="AD337" s="6"/>
      <c r="AE337" s="11"/>
      <c r="AF337" s="8"/>
      <c r="AG337" s="8"/>
      <c r="AH337" s="8"/>
      <c r="AI337" s="8"/>
      <c r="AJ337" s="8"/>
      <c r="AK337" s="8"/>
    </row>
    <row r="338" spans="30:37">
      <c r="AD338" s="6"/>
      <c r="AE338" s="11"/>
      <c r="AF338" s="8"/>
      <c r="AG338" s="8"/>
      <c r="AH338" s="8"/>
      <c r="AI338" s="8"/>
      <c r="AJ338" s="8"/>
      <c r="AK338" s="8"/>
    </row>
    <row r="339" spans="30:37">
      <c r="AD339" s="6"/>
      <c r="AE339" s="11"/>
      <c r="AF339" s="8"/>
      <c r="AG339" s="8"/>
      <c r="AH339" s="8"/>
      <c r="AI339" s="8"/>
      <c r="AJ339" s="8"/>
      <c r="AK339" s="8"/>
    </row>
    <row r="340" spans="30:37">
      <c r="AD340" s="6"/>
      <c r="AE340" s="11"/>
      <c r="AF340" s="8"/>
      <c r="AG340" s="8"/>
      <c r="AH340" s="8"/>
      <c r="AI340" s="8"/>
      <c r="AJ340" s="8"/>
      <c r="AK340" s="8"/>
    </row>
    <row r="341" spans="30:37">
      <c r="AD341" s="6"/>
      <c r="AE341" s="11"/>
      <c r="AF341" s="8"/>
      <c r="AG341" s="8"/>
      <c r="AH341" s="8"/>
      <c r="AI341" s="8"/>
      <c r="AJ341" s="8"/>
      <c r="AK341" s="8"/>
    </row>
    <row r="342" spans="30:37">
      <c r="AD342" s="6"/>
      <c r="AE342" s="11"/>
      <c r="AF342" s="8"/>
      <c r="AG342" s="8"/>
      <c r="AH342" s="8"/>
      <c r="AI342" s="8"/>
      <c r="AJ342" s="8"/>
      <c r="AK342" s="8"/>
    </row>
    <row r="343" spans="30:37">
      <c r="AD343" s="6"/>
      <c r="AE343" s="11"/>
      <c r="AF343" s="8"/>
      <c r="AG343" s="8"/>
      <c r="AH343" s="8"/>
      <c r="AI343" s="8"/>
      <c r="AJ343" s="8"/>
      <c r="AK343" s="8"/>
    </row>
    <row r="344" spans="30:37">
      <c r="AD344" s="6"/>
      <c r="AE344" s="11"/>
      <c r="AF344" s="8"/>
      <c r="AG344" s="8"/>
      <c r="AH344" s="8"/>
      <c r="AI344" s="8"/>
      <c r="AJ344" s="8"/>
      <c r="AK344" s="8"/>
    </row>
    <row r="345" spans="30:37">
      <c r="AD345" s="6"/>
      <c r="AE345" s="11"/>
      <c r="AF345" s="8"/>
      <c r="AG345" s="8"/>
      <c r="AH345" s="8"/>
      <c r="AI345" s="8"/>
      <c r="AJ345" s="8"/>
      <c r="AK345" s="8"/>
    </row>
    <row r="346" spans="30:37">
      <c r="AD346" s="6"/>
      <c r="AE346" s="11"/>
      <c r="AF346" s="8"/>
      <c r="AG346" s="8"/>
      <c r="AH346" s="8"/>
      <c r="AI346" s="8"/>
      <c r="AJ346" s="8"/>
      <c r="AK346" s="8"/>
    </row>
    <row r="347" spans="30:37">
      <c r="AD347" s="6"/>
      <c r="AE347" s="11"/>
      <c r="AF347" s="8"/>
      <c r="AG347" s="8"/>
      <c r="AH347" s="8"/>
      <c r="AI347" s="8"/>
      <c r="AJ347" s="8"/>
      <c r="AK347" s="8"/>
    </row>
    <row r="348" spans="30:37">
      <c r="AD348" s="6"/>
      <c r="AE348" s="11"/>
      <c r="AF348" s="8"/>
      <c r="AG348" s="8"/>
      <c r="AH348" s="8"/>
      <c r="AI348" s="8"/>
      <c r="AJ348" s="8"/>
      <c r="AK348" s="8"/>
    </row>
    <row r="349" spans="30:37">
      <c r="AD349" s="6"/>
      <c r="AE349" s="11"/>
      <c r="AF349" s="8"/>
      <c r="AG349" s="8"/>
      <c r="AH349" s="8"/>
      <c r="AI349" s="8"/>
      <c r="AJ349" s="8"/>
      <c r="AK349" s="8"/>
    </row>
    <row r="350" spans="30:37">
      <c r="AD350" s="6"/>
      <c r="AE350" s="11"/>
      <c r="AF350" s="8"/>
      <c r="AG350" s="8"/>
      <c r="AH350" s="8"/>
      <c r="AI350" s="8"/>
      <c r="AJ350" s="8"/>
      <c r="AK350" s="8"/>
    </row>
    <row r="351" spans="30:37">
      <c r="AD351" s="6"/>
      <c r="AE351" s="11"/>
      <c r="AF351" s="8"/>
      <c r="AG351" s="8"/>
      <c r="AH351" s="8"/>
      <c r="AI351" s="8"/>
      <c r="AJ351" s="8"/>
      <c r="AK351" s="8"/>
    </row>
    <row r="352" spans="30:37">
      <c r="AD352" s="6"/>
      <c r="AE352" s="11"/>
      <c r="AF352" s="8"/>
      <c r="AG352" s="8"/>
      <c r="AH352" s="8"/>
      <c r="AI352" s="8"/>
      <c r="AJ352" s="8"/>
      <c r="AK352" s="8"/>
    </row>
    <row r="353" spans="30:37">
      <c r="AD353" s="6"/>
      <c r="AE353" s="11"/>
      <c r="AF353" s="8"/>
      <c r="AG353" s="8"/>
      <c r="AH353" s="8"/>
      <c r="AI353" s="8"/>
      <c r="AJ353" s="8"/>
      <c r="AK353" s="8"/>
    </row>
    <row r="354" spans="30:37">
      <c r="AD354" s="6"/>
      <c r="AE354" s="11"/>
      <c r="AF354" s="8"/>
      <c r="AG354" s="8"/>
      <c r="AH354" s="8"/>
      <c r="AI354" s="8"/>
      <c r="AJ354" s="8"/>
      <c r="AK354" s="8"/>
    </row>
    <row r="355" spans="30:37">
      <c r="AD355" s="6"/>
      <c r="AE355" s="11"/>
      <c r="AF355" s="8"/>
      <c r="AG355" s="8"/>
      <c r="AH355" s="8"/>
      <c r="AI355" s="8"/>
      <c r="AJ355" s="8"/>
      <c r="AK355" s="8"/>
    </row>
    <row r="356" spans="30:37">
      <c r="AD356" s="6"/>
      <c r="AE356" s="11"/>
      <c r="AF356" s="8"/>
      <c r="AG356" s="8"/>
      <c r="AH356" s="8"/>
      <c r="AI356" s="8"/>
      <c r="AJ356" s="8"/>
      <c r="AK356" s="8"/>
    </row>
    <row r="357" spans="30:37">
      <c r="AD357" s="6"/>
      <c r="AE357" s="11"/>
      <c r="AF357" s="8"/>
      <c r="AG357" s="8"/>
      <c r="AH357" s="8"/>
      <c r="AI357" s="8"/>
      <c r="AJ357" s="8"/>
      <c r="AK357" s="8"/>
    </row>
    <row r="358" spans="30:37">
      <c r="AD358" s="6"/>
      <c r="AE358" s="11"/>
      <c r="AF358" s="8"/>
      <c r="AG358" s="8"/>
      <c r="AH358" s="8"/>
      <c r="AI358" s="8"/>
      <c r="AJ358" s="8"/>
      <c r="AK358" s="8"/>
    </row>
    <row r="359" spans="30:37">
      <c r="AD359" s="6"/>
      <c r="AE359" s="11"/>
      <c r="AF359" s="8"/>
      <c r="AG359" s="8"/>
      <c r="AH359" s="8"/>
      <c r="AI359" s="8"/>
      <c r="AJ359" s="8"/>
      <c r="AK359" s="8"/>
    </row>
    <row r="360" spans="30:37">
      <c r="AD360" s="6"/>
      <c r="AE360" s="11"/>
      <c r="AF360" s="8"/>
      <c r="AG360" s="8"/>
      <c r="AH360" s="8"/>
      <c r="AI360" s="8"/>
      <c r="AJ360" s="8"/>
      <c r="AK360" s="8"/>
    </row>
    <row r="361" spans="30:37">
      <c r="AD361" s="6"/>
      <c r="AE361" s="11"/>
      <c r="AF361" s="8"/>
      <c r="AG361" s="8"/>
      <c r="AH361" s="8"/>
      <c r="AI361" s="8"/>
      <c r="AJ361" s="8"/>
      <c r="AK361" s="8"/>
    </row>
    <row r="362" spans="30:37">
      <c r="AD362" s="6"/>
      <c r="AE362" s="11"/>
      <c r="AF362" s="8"/>
      <c r="AG362" s="8"/>
      <c r="AH362" s="8"/>
      <c r="AI362" s="8"/>
      <c r="AJ362" s="8"/>
      <c r="AK362" s="8"/>
    </row>
    <row r="363" spans="30:37">
      <c r="AD363" s="6"/>
      <c r="AE363" s="11"/>
      <c r="AF363" s="8"/>
      <c r="AG363" s="8"/>
      <c r="AH363" s="8"/>
      <c r="AI363" s="8"/>
      <c r="AJ363" s="8"/>
      <c r="AK363" s="8"/>
    </row>
    <row r="364" spans="30:37">
      <c r="AD364" s="6"/>
      <c r="AE364" s="11"/>
      <c r="AF364" s="8"/>
      <c r="AG364" s="8"/>
      <c r="AH364" s="8"/>
      <c r="AI364" s="8"/>
      <c r="AJ364" s="8"/>
      <c r="AK364" s="8"/>
    </row>
    <row r="365" spans="30:37">
      <c r="AD365" s="6"/>
      <c r="AE365" s="11"/>
      <c r="AF365" s="8"/>
      <c r="AG365" s="8"/>
      <c r="AH365" s="8"/>
      <c r="AI365" s="8"/>
      <c r="AJ365" s="8"/>
      <c r="AK365" s="8"/>
    </row>
    <row r="366" spans="30:37">
      <c r="AD366" s="6"/>
      <c r="AE366" s="11"/>
      <c r="AF366" s="8"/>
      <c r="AG366" s="8"/>
      <c r="AH366" s="8"/>
      <c r="AI366" s="8"/>
      <c r="AJ366" s="8"/>
      <c r="AK366" s="8"/>
    </row>
    <row r="367" spans="30:37">
      <c r="AD367" s="6"/>
      <c r="AE367" s="11"/>
      <c r="AF367" s="8"/>
      <c r="AG367" s="8"/>
      <c r="AH367" s="8"/>
      <c r="AI367" s="8"/>
      <c r="AJ367" s="8"/>
      <c r="AK367" s="8"/>
    </row>
    <row r="368" spans="30:37">
      <c r="AD368" s="6"/>
      <c r="AE368" s="11"/>
      <c r="AF368" s="8"/>
      <c r="AG368" s="8"/>
      <c r="AH368" s="8"/>
      <c r="AI368" s="8"/>
      <c r="AJ368" s="8"/>
      <c r="AK368" s="8"/>
    </row>
    <row r="369" spans="30:37">
      <c r="AD369" s="6"/>
      <c r="AE369" s="11"/>
      <c r="AF369" s="8"/>
      <c r="AG369" s="8"/>
      <c r="AH369" s="8"/>
      <c r="AI369" s="8"/>
      <c r="AJ369" s="8"/>
      <c r="AK369" s="8"/>
    </row>
    <row r="370" spans="30:37">
      <c r="AD370" s="6"/>
      <c r="AE370" s="11"/>
      <c r="AF370" s="8"/>
      <c r="AG370" s="8"/>
      <c r="AH370" s="8"/>
      <c r="AI370" s="8"/>
      <c r="AJ370" s="8"/>
      <c r="AK370" s="8"/>
    </row>
    <row r="371" spans="30:37">
      <c r="AD371" s="6"/>
      <c r="AE371" s="11"/>
      <c r="AF371" s="8"/>
      <c r="AG371" s="8"/>
      <c r="AH371" s="8"/>
      <c r="AI371" s="8"/>
      <c r="AJ371" s="8"/>
      <c r="AK371" s="8"/>
    </row>
    <row r="372" spans="30:37">
      <c r="AD372" s="6"/>
      <c r="AE372" s="11"/>
      <c r="AF372" s="8"/>
      <c r="AG372" s="8"/>
      <c r="AH372" s="8"/>
      <c r="AI372" s="8"/>
      <c r="AJ372" s="8"/>
      <c r="AK372" s="8"/>
    </row>
    <row r="373" spans="30:37">
      <c r="AD373" s="6"/>
      <c r="AE373" s="11"/>
      <c r="AF373" s="8"/>
      <c r="AG373" s="8"/>
      <c r="AH373" s="8"/>
      <c r="AI373" s="8"/>
      <c r="AJ373" s="8"/>
      <c r="AK373" s="8"/>
    </row>
    <row r="374" spans="30:37">
      <c r="AD374" s="6"/>
      <c r="AE374" s="11"/>
      <c r="AF374" s="8"/>
      <c r="AG374" s="8"/>
      <c r="AH374" s="8"/>
      <c r="AI374" s="8"/>
      <c r="AJ374" s="8"/>
      <c r="AK374" s="8"/>
    </row>
  </sheetData>
  <pageMargins left="0.7" right="0.7" top="0.75" bottom="0.75" header="0.3" footer="0.3"/>
  <drawing r:id="rId1"/>
  <tableParts count="6">
    <tablePart r:id="rId2"/>
    <tablePart r:id="rId3"/>
    <tablePart r:id="rId4"/>
    <tablePart r:id="rId5"/>
    <tablePart r:id="rId6"/>
    <tablePart r:id="rId7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77BBC-4536-4A11-A95D-6CD8C1E761A5}">
  <dimension ref="A1:O238"/>
  <sheetViews>
    <sheetView topLeftCell="I53" zoomScale="385" zoomScaleNormal="385" workbookViewId="0">
      <selection activeCell="K31" sqref="K31"/>
    </sheetView>
  </sheetViews>
  <sheetFormatPr defaultRowHeight="14.5"/>
  <cols>
    <col min="1" max="1" width="9.453125" customWidth="1"/>
    <col min="3" max="3" width="11" customWidth="1"/>
    <col min="5" max="5" width="12.26953125" customWidth="1"/>
    <col min="6" max="6" width="11.1796875" customWidth="1"/>
  </cols>
  <sheetData>
    <row r="1" spans="1:7">
      <c r="A1" t="s">
        <v>1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</row>
    <row r="2" spans="1:7">
      <c r="A2" s="1"/>
      <c r="B2" s="1" t="e">
        <f>(Table7[[#This Row],[Octane]]-angvel!B1)*120</f>
        <v>#VALUE!</v>
      </c>
      <c r="C2" s="1" t="e">
        <f>(Table7[[#This Row],[Hybrid]]-angvel!C1)*120</f>
        <v>#VALUE!</v>
      </c>
      <c r="D2" s="1" t="e">
        <f>(Table7[[#This Row],[Dominus]]-angvel!D1)*120</f>
        <v>#VALUE!</v>
      </c>
      <c r="E2" s="1" t="e">
        <f>(Table7[[#This Row],[Plank]]-angvel!E1)*120</f>
        <v>#VALUE!</v>
      </c>
      <c r="F2" s="1" t="e">
        <f>(Table7[[#This Row],[Batmobile]]-angvel!F1)*120</f>
        <v>#VALUE!</v>
      </c>
      <c r="G2" s="1" t="e">
        <f>(Table7[[#This Row],[Breakout]]-angvel!G1)*120</f>
        <v>#VALUE!</v>
      </c>
    </row>
    <row r="3" spans="1:7">
      <c r="A3" s="1"/>
      <c r="B3" s="1">
        <f>(Table7[[#This Row],[Octane]]-angvel!B2)*120</f>
        <v>0</v>
      </c>
      <c r="C3" s="1">
        <f>(Table7[[#This Row],[Hybrid]]-angvel!C2)*120</f>
        <v>0</v>
      </c>
      <c r="D3" s="1">
        <f>(Table7[[#This Row],[Dominus]]-angvel!D2)*120</f>
        <v>0</v>
      </c>
      <c r="E3" s="1">
        <f>(Table7[[#This Row],[Plank]]-angvel!E2)*120</f>
        <v>0</v>
      </c>
      <c r="F3" s="1">
        <f>(Table7[[#This Row],[Batmobile]]-angvel!F2)*120</f>
        <v>0</v>
      </c>
      <c r="G3" s="1">
        <f>(Table7[[#This Row],[Breakout]]-angvel!G2)*120</f>
        <v>0</v>
      </c>
    </row>
    <row r="4" spans="1:7">
      <c r="A4" s="1"/>
      <c r="B4" s="1">
        <f>(Table7[[#This Row],[Octane]]-angvel!B3)*120</f>
        <v>0</v>
      </c>
      <c r="C4" s="1">
        <f>(Table7[[#This Row],[Hybrid]]-angvel!C3)*120</f>
        <v>0</v>
      </c>
      <c r="D4" s="1">
        <f>(Table7[[#This Row],[Dominus]]-angvel!D3)*120</f>
        <v>0</v>
      </c>
      <c r="E4" s="1">
        <f>(Table7[[#This Row],[Plank]]-angvel!E3)*120</f>
        <v>0</v>
      </c>
      <c r="F4" s="1">
        <f>(Table7[[#This Row],[Batmobile]]-angvel!F3)*120</f>
        <v>0</v>
      </c>
      <c r="G4" s="1">
        <f>(Table7[[#This Row],[Breakout]]-angvel!G3)*120</f>
        <v>0</v>
      </c>
    </row>
    <row r="5" spans="1:7">
      <c r="A5" s="1"/>
      <c r="B5" s="1">
        <f>(Table7[[#This Row],[Octane]]-angvel!B4)*120</f>
        <v>0</v>
      </c>
      <c r="C5" s="1">
        <f>(Table7[[#This Row],[Hybrid]]-angvel!C4)*120</f>
        <v>0</v>
      </c>
      <c r="D5" s="1">
        <f>(Table7[[#This Row],[Dominus]]-angvel!D4)*120</f>
        <v>0</v>
      </c>
      <c r="E5" s="1">
        <f>(Table7[[#This Row],[Plank]]-angvel!E4)*120</f>
        <v>0</v>
      </c>
      <c r="F5" s="1">
        <f>(Table7[[#This Row],[Batmobile]]-angvel!F4)*120</f>
        <v>0</v>
      </c>
      <c r="G5" s="1">
        <f>(Table7[[#This Row],[Breakout]]-angvel!G4)*120</f>
        <v>0</v>
      </c>
    </row>
    <row r="6" spans="1:7">
      <c r="A6" s="1"/>
      <c r="B6" s="1">
        <f>(Table7[[#This Row],[Octane]]-angvel!B5)*120</f>
        <v>0</v>
      </c>
      <c r="C6" s="1">
        <f>(Table7[[#This Row],[Hybrid]]-angvel!C5)*120</f>
        <v>0</v>
      </c>
      <c r="D6" s="1">
        <f>(Table7[[#This Row],[Dominus]]-angvel!D5)*120</f>
        <v>0</v>
      </c>
      <c r="E6" s="1">
        <f>(Table7[[#This Row],[Plank]]-angvel!E5)*120</f>
        <v>0</v>
      </c>
      <c r="F6" s="1">
        <f>(Table7[[#This Row],[Batmobile]]-angvel!F5)*120</f>
        <v>0</v>
      </c>
      <c r="G6" s="1">
        <f>(Table7[[#This Row],[Breakout]]-angvel!G5)*120</f>
        <v>0</v>
      </c>
    </row>
    <row r="7" spans="1:7">
      <c r="A7" s="1"/>
      <c r="B7" s="1">
        <f>(Table7[[#This Row],[Octane]]-angvel!B6)*120</f>
        <v>0</v>
      </c>
      <c r="C7" s="1">
        <f>(Table7[[#This Row],[Hybrid]]-angvel!C6)*120</f>
        <v>0</v>
      </c>
      <c r="D7" s="1">
        <f>(Table7[[#This Row],[Dominus]]-angvel!D6)*120</f>
        <v>0</v>
      </c>
      <c r="E7" s="1">
        <f>(Table7[[#This Row],[Plank]]-angvel!E6)*120</f>
        <v>0</v>
      </c>
      <c r="F7" s="1">
        <f>(Table7[[#This Row],[Batmobile]]-angvel!F6)*120</f>
        <v>0</v>
      </c>
      <c r="G7" s="1">
        <f>(Table7[[#This Row],[Breakout]]-angvel!G6)*120</f>
        <v>0</v>
      </c>
    </row>
    <row r="8" spans="1:7">
      <c r="A8" s="1"/>
      <c r="B8" s="1">
        <f>(Table7[[#This Row],[Octane]]-angvel!B7)*120</f>
        <v>0</v>
      </c>
      <c r="C8" s="1">
        <f>(Table7[[#This Row],[Hybrid]]-angvel!C7)*120</f>
        <v>0</v>
      </c>
      <c r="D8" s="1">
        <f>(Table7[[#This Row],[Dominus]]-angvel!D7)*120</f>
        <v>0</v>
      </c>
      <c r="E8" s="1">
        <f>(Table7[[#This Row],[Plank]]-angvel!E7)*120</f>
        <v>0</v>
      </c>
      <c r="F8" s="1">
        <f>(Table7[[#This Row],[Batmobile]]-angvel!F7)*120</f>
        <v>0</v>
      </c>
      <c r="G8" s="1">
        <f>(Table7[[#This Row],[Breakout]]-angvel!G7)*120</f>
        <v>0</v>
      </c>
    </row>
    <row r="9" spans="1:7">
      <c r="A9" s="1"/>
      <c r="B9" s="1">
        <f>(Table7[[#This Row],[Octane]]-angvel!B8)*120</f>
        <v>0</v>
      </c>
      <c r="C9" s="1">
        <f>(Table7[[#This Row],[Hybrid]]-angvel!C8)*120</f>
        <v>0</v>
      </c>
      <c r="D9" s="1">
        <f>(Table7[[#This Row],[Dominus]]-angvel!D8)*120</f>
        <v>0</v>
      </c>
      <c r="E9" s="1">
        <f>(Table7[[#This Row],[Plank]]-angvel!E8)*120</f>
        <v>0</v>
      </c>
      <c r="F9" s="1">
        <f>(Table7[[#This Row],[Batmobile]]-angvel!F8)*120</f>
        <v>0</v>
      </c>
      <c r="G9" s="1">
        <f>(Table7[[#This Row],[Breakout]]-angvel!G8)*120</f>
        <v>0</v>
      </c>
    </row>
    <row r="10" spans="1:7">
      <c r="A10" s="1"/>
      <c r="B10" s="1">
        <f>(Table7[[#This Row],[Octane]]-angvel!B9)*120</f>
        <v>0</v>
      </c>
      <c r="C10" s="1">
        <f>(Table7[[#This Row],[Hybrid]]-angvel!C9)*120</f>
        <v>0</v>
      </c>
      <c r="D10" s="1">
        <f>(Table7[[#This Row],[Dominus]]-angvel!D9)*120</f>
        <v>0</v>
      </c>
      <c r="E10" s="1">
        <f>(Table7[[#This Row],[Plank]]-angvel!E9)*120</f>
        <v>0</v>
      </c>
      <c r="F10" s="1">
        <f>(Table7[[#This Row],[Batmobile]]-angvel!F9)*120</f>
        <v>0</v>
      </c>
      <c r="G10" s="1">
        <f>(Table7[[#This Row],[Breakout]]-angvel!G9)*120</f>
        <v>0</v>
      </c>
    </row>
    <row r="11" spans="1:7">
      <c r="A11" s="1"/>
      <c r="B11" s="1">
        <f>(Table7[[#This Row],[Octane]]-angvel!B10)*120</f>
        <v>0</v>
      </c>
      <c r="C11" s="1">
        <f>(Table7[[#This Row],[Hybrid]]-angvel!C10)*120</f>
        <v>0</v>
      </c>
      <c r="D11" s="1">
        <f>(Table7[[#This Row],[Dominus]]-angvel!D10)*120</f>
        <v>0</v>
      </c>
      <c r="E11" s="1">
        <f>(Table7[[#This Row],[Plank]]-angvel!E10)*120</f>
        <v>0</v>
      </c>
      <c r="F11" s="1">
        <f>(Table7[[#This Row],[Batmobile]]-angvel!F10)*120</f>
        <v>0</v>
      </c>
      <c r="G11" s="1">
        <f>(Table7[[#This Row],[Breakout]]-angvel!G10)*120</f>
        <v>0</v>
      </c>
    </row>
    <row r="12" spans="1:7">
      <c r="A12" s="1"/>
      <c r="B12" s="1">
        <f>(Table7[[#This Row],[Octane]]-angvel!B11)*120</f>
        <v>0</v>
      </c>
      <c r="C12" s="1">
        <f>(Table7[[#This Row],[Hybrid]]-angvel!C11)*120</f>
        <v>0</v>
      </c>
      <c r="D12" s="1">
        <f>(Table7[[#This Row],[Dominus]]-angvel!D11)*120</f>
        <v>0</v>
      </c>
      <c r="E12" s="1">
        <f>(Table7[[#This Row],[Plank]]-angvel!E11)*120</f>
        <v>0</v>
      </c>
      <c r="F12" s="1">
        <f>(Table7[[#This Row],[Batmobile]]-angvel!F11)*120</f>
        <v>0</v>
      </c>
      <c r="G12" s="1">
        <f>(Table7[[#This Row],[Breakout]]-angvel!G11)*120</f>
        <v>0</v>
      </c>
    </row>
    <row r="13" spans="1:7">
      <c r="A13" s="1"/>
      <c r="B13" s="1">
        <f>(Table7[[#This Row],[Octane]]-angvel!B12)*120</f>
        <v>0</v>
      </c>
      <c r="C13" s="1">
        <f>(Table7[[#This Row],[Hybrid]]-angvel!C12)*120</f>
        <v>0</v>
      </c>
      <c r="D13" s="1">
        <f>(Table7[[#This Row],[Dominus]]-angvel!D12)*120</f>
        <v>0</v>
      </c>
      <c r="E13" s="1">
        <f>(Table7[[#This Row],[Plank]]-angvel!E12)*120</f>
        <v>0</v>
      </c>
      <c r="F13" s="1">
        <f>(Table7[[#This Row],[Batmobile]]-angvel!F12)*120</f>
        <v>0</v>
      </c>
      <c r="G13" s="1">
        <f>(Table7[[#This Row],[Breakout]]-angvel!G12)*120</f>
        <v>0</v>
      </c>
    </row>
    <row r="14" spans="1:7">
      <c r="A14" s="1"/>
      <c r="B14" s="1">
        <f>(Table7[[#This Row],[Octane]]-angvel!B13)*120</f>
        <v>0</v>
      </c>
      <c r="C14" s="1">
        <f>(Table7[[#This Row],[Hybrid]]-angvel!C13)*120</f>
        <v>0</v>
      </c>
      <c r="D14" s="1">
        <f>(Table7[[#This Row],[Dominus]]-angvel!D13)*120</f>
        <v>0</v>
      </c>
      <c r="E14" s="1">
        <f>(Table7[[#This Row],[Plank]]-angvel!E13)*120</f>
        <v>0</v>
      </c>
      <c r="F14" s="1">
        <f>(Table7[[#This Row],[Batmobile]]-angvel!F13)*120</f>
        <v>0</v>
      </c>
      <c r="G14" s="1">
        <f>(Table7[[#This Row],[Breakout]]-angvel!G13)*120</f>
        <v>0</v>
      </c>
    </row>
    <row r="15" spans="1:7">
      <c r="A15" s="1"/>
      <c r="B15" s="1">
        <f>(Table7[[#This Row],[Octane]]-angvel!B14)*120</f>
        <v>0</v>
      </c>
      <c r="C15" s="1">
        <f>(Table7[[#This Row],[Hybrid]]-angvel!C14)*120</f>
        <v>0</v>
      </c>
      <c r="D15" s="1">
        <f>(Table7[[#This Row],[Dominus]]-angvel!D14)*120</f>
        <v>0</v>
      </c>
      <c r="E15" s="1">
        <f>(Table7[[#This Row],[Plank]]-angvel!E14)*120</f>
        <v>0</v>
      </c>
      <c r="F15" s="1">
        <f>(Table7[[#This Row],[Batmobile]]-angvel!F14)*120</f>
        <v>0</v>
      </c>
      <c r="G15" s="1">
        <f>(Table7[[#This Row],[Breakout]]-angvel!G14)*120</f>
        <v>0</v>
      </c>
    </row>
    <row r="16" spans="1:7">
      <c r="A16" s="1"/>
      <c r="B16" s="1">
        <f>(Table7[[#This Row],[Octane]]-angvel!B15)*120</f>
        <v>0</v>
      </c>
      <c r="C16" s="1">
        <f>(Table7[[#This Row],[Hybrid]]-angvel!C15)*120</f>
        <v>0</v>
      </c>
      <c r="D16" s="1">
        <f>(Table7[[#This Row],[Dominus]]-angvel!D15)*120</f>
        <v>0</v>
      </c>
      <c r="E16" s="1">
        <f>(Table7[[#This Row],[Plank]]-angvel!E15)*120</f>
        <v>0</v>
      </c>
      <c r="F16" s="1">
        <f>(Table7[[#This Row],[Batmobile]]-angvel!F15)*120</f>
        <v>0</v>
      </c>
      <c r="G16" s="1">
        <f>(Table7[[#This Row],[Breakout]]-angvel!G15)*120</f>
        <v>0</v>
      </c>
    </row>
    <row r="17" spans="1:15">
      <c r="A17" s="1"/>
      <c r="B17" s="1">
        <f>(Table7[[#This Row],[Octane]]-angvel!B16)*120</f>
        <v>0</v>
      </c>
      <c r="C17" s="1">
        <f>(Table7[[#This Row],[Hybrid]]-angvel!C16)*120</f>
        <v>0</v>
      </c>
      <c r="D17" s="1">
        <f>(Table7[[#This Row],[Dominus]]-angvel!D16)*120</f>
        <v>0</v>
      </c>
      <c r="E17" s="1">
        <f>(Table7[[#This Row],[Plank]]-angvel!E16)*120</f>
        <v>0</v>
      </c>
      <c r="F17" s="1">
        <f>(Table7[[#This Row],[Batmobile]]-angvel!F16)*120</f>
        <v>0</v>
      </c>
      <c r="G17" s="1">
        <f>(Table7[[#This Row],[Breakout]]-angvel!G16)*120</f>
        <v>0</v>
      </c>
    </row>
    <row r="18" spans="1:15">
      <c r="A18" s="1"/>
      <c r="B18" s="1">
        <f>(Table7[[#This Row],[Octane]]-angvel!B17)*120</f>
        <v>0</v>
      </c>
      <c r="C18" s="1">
        <f>(Table7[[#This Row],[Hybrid]]-angvel!C17)*120</f>
        <v>0</v>
      </c>
      <c r="D18" s="1">
        <f>(Table7[[#This Row],[Dominus]]-angvel!D17)*120</f>
        <v>0</v>
      </c>
      <c r="E18" s="1">
        <f>(Table7[[#This Row],[Plank]]-angvel!E17)*120</f>
        <v>0</v>
      </c>
      <c r="F18" s="1">
        <f>(Table7[[#This Row],[Batmobile]]-angvel!F17)*120</f>
        <v>0</v>
      </c>
      <c r="G18" s="1">
        <f>(Table7[[#This Row],[Breakout]]-angvel!G17)*120</f>
        <v>0</v>
      </c>
    </row>
    <row r="19" spans="1:15">
      <c r="A19" s="1"/>
      <c r="B19" s="1">
        <f>(Table7[[#This Row],[Octane]]-angvel!B18)*120</f>
        <v>0</v>
      </c>
      <c r="C19" s="1">
        <f>(Table7[[#This Row],[Hybrid]]-angvel!C18)*120</f>
        <v>0</v>
      </c>
      <c r="D19" s="1">
        <f>(Table7[[#This Row],[Dominus]]-angvel!D18)*120</f>
        <v>0</v>
      </c>
      <c r="E19" s="1">
        <f>(Table7[[#This Row],[Plank]]-angvel!E18)*120</f>
        <v>0</v>
      </c>
      <c r="F19" s="1">
        <f>(Table7[[#This Row],[Batmobile]]-angvel!F18)*120</f>
        <v>0</v>
      </c>
      <c r="G19" s="1">
        <f>(Table7[[#This Row],[Breakout]]-angvel!G18)*120</f>
        <v>0</v>
      </c>
    </row>
    <row r="20" spans="1:15">
      <c r="A20" s="1"/>
      <c r="B20" s="1">
        <f>(Table7[[#This Row],[Octane]]-angvel!B19)*120</f>
        <v>0</v>
      </c>
      <c r="C20" s="1">
        <f>(Table7[[#This Row],[Hybrid]]-angvel!C19)*120</f>
        <v>0</v>
      </c>
      <c r="D20" s="1">
        <f>(Table7[[#This Row],[Dominus]]-angvel!D19)*120</f>
        <v>0</v>
      </c>
      <c r="E20" s="1">
        <f>(Table7[[#This Row],[Plank]]-angvel!E19)*120</f>
        <v>0</v>
      </c>
      <c r="F20" s="1">
        <f>(Table7[[#This Row],[Batmobile]]-angvel!F19)*120</f>
        <v>0</v>
      </c>
      <c r="G20" s="1">
        <f>(Table7[[#This Row],[Breakout]]-angvel!G19)*120</f>
        <v>0</v>
      </c>
    </row>
    <row r="21" spans="1:15">
      <c r="A21" s="1"/>
      <c r="B21" s="1">
        <f>(Table7[[#This Row],[Octane]]-angvel!B20)*120</f>
        <v>0</v>
      </c>
      <c r="C21" s="1">
        <f>(Table7[[#This Row],[Hybrid]]-angvel!C20)*120</f>
        <v>0</v>
      </c>
      <c r="D21" s="1">
        <f>(Table7[[#This Row],[Dominus]]-angvel!D20)*120</f>
        <v>0</v>
      </c>
      <c r="E21" s="1">
        <f>(Table7[[#This Row],[Plank]]-angvel!E20)*120</f>
        <v>0</v>
      </c>
      <c r="F21" s="1">
        <f>(Table7[[#This Row],[Batmobile]]-angvel!F20)*120</f>
        <v>0</v>
      </c>
      <c r="G21" s="1">
        <f>(Table7[[#This Row],[Breakout]]-angvel!G20)*120</f>
        <v>0</v>
      </c>
    </row>
    <row r="22" spans="1:15">
      <c r="A22" s="1"/>
      <c r="B22" s="1">
        <f>(Table7[[#This Row],[Octane]]-angvel!B21)*120</f>
        <v>0</v>
      </c>
      <c r="C22" s="1">
        <f>(Table7[[#This Row],[Hybrid]]-angvel!C21)*120</f>
        <v>0</v>
      </c>
      <c r="D22" s="1">
        <f>(Table7[[#This Row],[Dominus]]-angvel!D21)*120</f>
        <v>0</v>
      </c>
      <c r="E22" s="1">
        <f>(Table7[[#This Row],[Plank]]-angvel!E21)*120</f>
        <v>0</v>
      </c>
      <c r="F22" s="1">
        <f>(Table7[[#This Row],[Batmobile]]-angvel!F21)*120</f>
        <v>0</v>
      </c>
      <c r="G22" s="1">
        <f>(Table7[[#This Row],[Breakout]]-angvel!G21)*120</f>
        <v>0</v>
      </c>
    </row>
    <row r="23" spans="1:15">
      <c r="A23" s="1"/>
      <c r="B23" s="1">
        <f>(Table7[[#This Row],[Octane]]-angvel!B22)*120</f>
        <v>0</v>
      </c>
      <c r="C23" s="1">
        <f>(Table7[[#This Row],[Hybrid]]-angvel!C22)*120</f>
        <v>0</v>
      </c>
      <c r="D23" s="1">
        <f>(Table7[[#This Row],[Dominus]]-angvel!D22)*120</f>
        <v>0</v>
      </c>
      <c r="E23" s="1">
        <f>(Table7[[#This Row],[Plank]]-angvel!E22)*120</f>
        <v>0</v>
      </c>
      <c r="F23" s="1">
        <f>(Table7[[#This Row],[Batmobile]]-angvel!F22)*120</f>
        <v>0</v>
      </c>
      <c r="G23" s="1">
        <f>(Table7[[#This Row],[Breakout]]-angvel!G22)*120</f>
        <v>0</v>
      </c>
    </row>
    <row r="24" spans="1:15">
      <c r="A24" s="1"/>
      <c r="B24" s="1">
        <f>(Table7[[#This Row],[Octane]]-angvel!B23)*120</f>
        <v>0</v>
      </c>
      <c r="C24" s="1">
        <f>(Table7[[#This Row],[Hybrid]]-angvel!C23)*120</f>
        <v>0</v>
      </c>
      <c r="D24" s="1">
        <f>(Table7[[#This Row],[Dominus]]-angvel!D23)*120</f>
        <v>0</v>
      </c>
      <c r="E24" s="1">
        <f>(Table7[[#This Row],[Plank]]-angvel!E23)*120</f>
        <v>0</v>
      </c>
      <c r="F24" s="1">
        <f>(Table7[[#This Row],[Batmobile]]-angvel!F23)*120</f>
        <v>0</v>
      </c>
      <c r="G24" s="1">
        <f>(Table7[[#This Row],[Breakout]]-angvel!G23)*120</f>
        <v>0</v>
      </c>
    </row>
    <row r="25" spans="1:15">
      <c r="A25" s="1"/>
      <c r="B25" s="1">
        <f>(Table7[[#This Row],[Octane]]-angvel!B24)*120</f>
        <v>0</v>
      </c>
      <c r="C25" s="1">
        <f>(Table7[[#This Row],[Hybrid]]-angvel!C24)*120</f>
        <v>0</v>
      </c>
      <c r="D25" s="1">
        <f>(Table7[[#This Row],[Dominus]]-angvel!D24)*120</f>
        <v>0</v>
      </c>
      <c r="E25" s="1">
        <f>(Table7[[#This Row],[Plank]]-angvel!E24)*120</f>
        <v>0</v>
      </c>
      <c r="F25" s="1">
        <f>(Table7[[#This Row],[Batmobile]]-angvel!F24)*120</f>
        <v>0</v>
      </c>
      <c r="G25" s="1">
        <f>(Table7[[#This Row],[Breakout]]-angvel!G24)*120</f>
        <v>0</v>
      </c>
    </row>
    <row r="26" spans="1:15">
      <c r="A26" s="1"/>
      <c r="B26" s="1">
        <f>(Table7[[#This Row],[Octane]]-angvel!B25)*120</f>
        <v>0</v>
      </c>
      <c r="C26" s="1">
        <f>(Table7[[#This Row],[Hybrid]]-angvel!C25)*120</f>
        <v>0</v>
      </c>
      <c r="D26" s="1">
        <f>(Table7[[#This Row],[Dominus]]-angvel!D25)*120</f>
        <v>0</v>
      </c>
      <c r="E26" s="1">
        <f>(Table7[[#This Row],[Plank]]-angvel!E25)*120</f>
        <v>0</v>
      </c>
      <c r="F26" s="1">
        <f>(Table7[[#This Row],[Batmobile]]-angvel!F25)*120</f>
        <v>0</v>
      </c>
      <c r="G26" s="1">
        <f>(Table7[[#This Row],[Breakout]]-angvel!G25)*120</f>
        <v>0</v>
      </c>
    </row>
    <row r="27" spans="1:15">
      <c r="A27" s="1"/>
      <c r="B27" s="1">
        <f>(Table7[[#This Row],[Octane]]-angvel!B26)*120</f>
        <v>0</v>
      </c>
      <c r="C27" s="1">
        <f>(Table7[[#This Row],[Hybrid]]-angvel!C26)*120</f>
        <v>0</v>
      </c>
      <c r="D27" s="1">
        <f>(Table7[[#This Row],[Dominus]]-angvel!D26)*120</f>
        <v>0</v>
      </c>
      <c r="E27" s="1">
        <f>(Table7[[#This Row],[Plank]]-angvel!E26)*120</f>
        <v>0</v>
      </c>
      <c r="F27" s="1">
        <f>(Table7[[#This Row],[Batmobile]]-angvel!F26)*120</f>
        <v>0</v>
      </c>
      <c r="G27" s="1">
        <f>(Table7[[#This Row],[Breakout]]-angvel!G26)*120</f>
        <v>0</v>
      </c>
    </row>
    <row r="28" spans="1:15">
      <c r="A28" s="1"/>
      <c r="B28" s="1">
        <f>(Table7[[#This Row],[Octane]]-angvel!B27)*120</f>
        <v>0</v>
      </c>
      <c r="C28" s="1">
        <f>(Table7[[#This Row],[Hybrid]]-angvel!C27)*120</f>
        <v>0</v>
      </c>
      <c r="D28" s="1">
        <f>(Table7[[#This Row],[Dominus]]-angvel!D27)*120</f>
        <v>0</v>
      </c>
      <c r="E28" s="1">
        <f>(Table7[[#This Row],[Plank]]-angvel!E27)*120</f>
        <v>0</v>
      </c>
      <c r="F28" s="1">
        <f>(Table7[[#This Row],[Batmobile]]-angvel!F27)*120</f>
        <v>0</v>
      </c>
      <c r="G28" s="1">
        <f>(Table7[[#This Row],[Breakout]]-angvel!G27)*120</f>
        <v>0</v>
      </c>
    </row>
    <row r="29" spans="1:15">
      <c r="A29" s="1"/>
      <c r="B29" s="1">
        <f>(Table7[[#This Row],[Octane]]-angvel!B28)*120</f>
        <v>0</v>
      </c>
      <c r="C29" s="1">
        <f>(Table7[[#This Row],[Hybrid]]-angvel!C28)*120</f>
        <v>0</v>
      </c>
      <c r="D29" s="1">
        <f>(Table7[[#This Row],[Dominus]]-angvel!D28)*120</f>
        <v>0</v>
      </c>
      <c r="E29" s="1">
        <f>(Table7[[#This Row],[Plank]]-angvel!E28)*120</f>
        <v>0</v>
      </c>
      <c r="F29" s="1">
        <f>(Table7[[#This Row],[Batmobile]]-angvel!F28)*120</f>
        <v>0</v>
      </c>
      <c r="G29" s="1">
        <f>(Table7[[#This Row],[Breakout]]-angvel!G28)*120</f>
        <v>0</v>
      </c>
    </row>
    <row r="30" spans="1:15">
      <c r="A30" s="1"/>
      <c r="B30" s="1">
        <f>(Table7[[#This Row],[Octane]]-angvel!B29)*120</f>
        <v>0</v>
      </c>
      <c r="C30" s="1">
        <f>(Table7[[#This Row],[Hybrid]]-angvel!C29)*120</f>
        <v>0</v>
      </c>
      <c r="D30" s="1">
        <f>(Table7[[#This Row],[Dominus]]-angvel!D29)*120</f>
        <v>0</v>
      </c>
      <c r="E30" s="1">
        <f>(Table7[[#This Row],[Plank]]-angvel!E29)*120</f>
        <v>0</v>
      </c>
      <c r="F30" s="1">
        <f>(Table7[[#This Row],[Batmobile]]-angvel!F29)*120</f>
        <v>0</v>
      </c>
      <c r="G30" s="1">
        <f>(Table7[[#This Row],[Breakout]]-angvel!G29)*120</f>
        <v>0</v>
      </c>
      <c r="J30" t="s">
        <v>20</v>
      </c>
      <c r="K30" t="s">
        <v>21</v>
      </c>
      <c r="L30" t="s">
        <v>22</v>
      </c>
      <c r="M30" t="s">
        <v>23</v>
      </c>
      <c r="N30" t="s">
        <v>24</v>
      </c>
      <c r="O30" t="s">
        <v>25</v>
      </c>
    </row>
    <row r="31" spans="1:15">
      <c r="A31" s="1"/>
      <c r="B31" s="1">
        <f>(Table7[[#This Row],[Octane]]-angvel!B30)*120</f>
        <v>0</v>
      </c>
      <c r="C31" s="1">
        <f>(Table7[[#This Row],[Hybrid]]-angvel!C30)*120</f>
        <v>0</v>
      </c>
      <c r="D31" s="1">
        <f>(Table7[[#This Row],[Dominus]]-angvel!D30)*120</f>
        <v>0</v>
      </c>
      <c r="E31" s="1">
        <f>(Table7[[#This Row],[Plank]]-angvel!E30)*120</f>
        <v>0</v>
      </c>
      <c r="F31" s="1">
        <f>(Table7[[#This Row],[Batmobile]]-angvel!F30)*120</f>
        <v>0</v>
      </c>
      <c r="G31" s="1">
        <f>(Table7[[#This Row],[Breakout]]-angvel!G30)*120</f>
        <v>0</v>
      </c>
      <c r="I31" t="s">
        <v>48</v>
      </c>
      <c r="J31" s="7">
        <v>0.157679226777304</v>
      </c>
      <c r="K31" s="7">
        <v>0.15447069107116199</v>
      </c>
    </row>
    <row r="32" spans="1:15">
      <c r="A32" s="1"/>
      <c r="B32" s="1">
        <f>(Table7[[#This Row],[Octane]]-angvel!B31)*120</f>
        <v>0</v>
      </c>
      <c r="C32" s="1">
        <f>(Table7[[#This Row],[Hybrid]]-angvel!C31)*120</f>
        <v>0</v>
      </c>
      <c r="D32" s="1">
        <f>(Table7[[#This Row],[Dominus]]-angvel!D31)*120</f>
        <v>0</v>
      </c>
      <c r="E32" s="1">
        <f>(Table7[[#This Row],[Plank]]-angvel!E31)*120</f>
        <v>0</v>
      </c>
      <c r="F32" s="1">
        <f>(Table7[[#This Row],[Batmobile]]-angvel!F31)*120</f>
        <v>0</v>
      </c>
      <c r="G32" s="1">
        <f>(Table7[[#This Row],[Breakout]]-angvel!G31)*120</f>
        <v>0</v>
      </c>
      <c r="I32" t="s">
        <v>49</v>
      </c>
      <c r="J32" s="7">
        <v>3.49415264107021</v>
      </c>
    </row>
    <row r="33" spans="1:7">
      <c r="A33" s="1"/>
      <c r="B33" s="1">
        <f>(Table7[[#This Row],[Octane]]-angvel!B32)*120</f>
        <v>0</v>
      </c>
      <c r="C33" s="1">
        <f>(Table7[[#This Row],[Hybrid]]-angvel!C32)*120</f>
        <v>0</v>
      </c>
      <c r="D33" s="1">
        <f>(Table7[[#This Row],[Dominus]]-angvel!D32)*120</f>
        <v>0</v>
      </c>
      <c r="E33" s="1">
        <f>(Table7[[#This Row],[Plank]]-angvel!E32)*120</f>
        <v>0</v>
      </c>
      <c r="F33" s="1">
        <f>(Table7[[#This Row],[Batmobile]]-angvel!F32)*120</f>
        <v>0</v>
      </c>
      <c r="G33" s="1">
        <f>(Table7[[#This Row],[Breakout]]-angvel!G32)*120</f>
        <v>0</v>
      </c>
    </row>
    <row r="34" spans="1:7">
      <c r="A34" s="1"/>
      <c r="B34" s="1">
        <f>(Table7[[#This Row],[Octane]]-angvel!B33)*120</f>
        <v>0</v>
      </c>
      <c r="C34" s="1">
        <f>(Table7[[#This Row],[Hybrid]]-angvel!C33)*120</f>
        <v>0</v>
      </c>
      <c r="D34" s="1">
        <f>(Table7[[#This Row],[Dominus]]-angvel!D33)*120</f>
        <v>0</v>
      </c>
      <c r="E34" s="1">
        <f>(Table7[[#This Row],[Plank]]-angvel!E33)*120</f>
        <v>0</v>
      </c>
      <c r="F34" s="1">
        <f>(Table7[[#This Row],[Batmobile]]-angvel!F33)*120</f>
        <v>0</v>
      </c>
      <c r="G34" s="1">
        <f>(Table7[[#This Row],[Breakout]]-angvel!G33)*120</f>
        <v>0</v>
      </c>
    </row>
    <row r="35" spans="1:7">
      <c r="A35" s="1"/>
      <c r="B35" s="1">
        <f>(Table7[[#This Row],[Octane]]-angvel!B34)*120</f>
        <v>0</v>
      </c>
      <c r="C35" s="1">
        <f>(Table7[[#This Row],[Hybrid]]-angvel!C34)*120</f>
        <v>0</v>
      </c>
      <c r="D35" s="1">
        <f>(Table7[[#This Row],[Dominus]]-angvel!D34)*120</f>
        <v>0</v>
      </c>
      <c r="E35" s="1">
        <f>(Table7[[#This Row],[Plank]]-angvel!E34)*120</f>
        <v>0</v>
      </c>
      <c r="F35" s="1">
        <f>(Table7[[#This Row],[Batmobile]]-angvel!F34)*120</f>
        <v>0</v>
      </c>
      <c r="G35" s="1">
        <f>(Table7[[#This Row],[Breakout]]-angvel!G34)*120</f>
        <v>0</v>
      </c>
    </row>
    <row r="36" spans="1:7">
      <c r="A36" s="1"/>
      <c r="B36" s="1">
        <f>(Table7[[#This Row],[Octane]]-angvel!B35)*120</f>
        <v>0</v>
      </c>
      <c r="C36" s="1">
        <f>(Table7[[#This Row],[Hybrid]]-angvel!C35)*120</f>
        <v>0</v>
      </c>
      <c r="D36" s="1">
        <f>(Table7[[#This Row],[Dominus]]-angvel!D35)*120</f>
        <v>0</v>
      </c>
      <c r="E36" s="1">
        <f>(Table7[[#This Row],[Plank]]-angvel!E35)*120</f>
        <v>0</v>
      </c>
      <c r="F36" s="1">
        <f>(Table7[[#This Row],[Batmobile]]-angvel!F35)*120</f>
        <v>0</v>
      </c>
      <c r="G36" s="1">
        <f>(Table7[[#This Row],[Breakout]]-angvel!G35)*120</f>
        <v>0</v>
      </c>
    </row>
    <row r="37" spans="1:7">
      <c r="A37" s="1"/>
      <c r="B37" s="1">
        <f>(Table7[[#This Row],[Octane]]-angvel!B36)*120</f>
        <v>0</v>
      </c>
      <c r="C37" s="1">
        <f>(Table7[[#This Row],[Hybrid]]-angvel!C36)*120</f>
        <v>0</v>
      </c>
      <c r="D37" s="1">
        <f>(Table7[[#This Row],[Dominus]]-angvel!D36)*120</f>
        <v>0</v>
      </c>
      <c r="E37" s="1">
        <f>(Table7[[#This Row],[Plank]]-angvel!E36)*120</f>
        <v>0</v>
      </c>
      <c r="F37" s="1">
        <f>(Table7[[#This Row],[Batmobile]]-angvel!F36)*120</f>
        <v>0</v>
      </c>
      <c r="G37" s="1">
        <f>(Table7[[#This Row],[Breakout]]-angvel!G36)*120</f>
        <v>0</v>
      </c>
    </row>
    <row r="38" spans="1:7">
      <c r="A38" s="1"/>
      <c r="B38" s="1">
        <f>(Table7[[#This Row],[Octane]]-angvel!B37)*120</f>
        <v>0</v>
      </c>
      <c r="C38" s="1">
        <f>(Table7[[#This Row],[Hybrid]]-angvel!C37)*120</f>
        <v>0</v>
      </c>
      <c r="D38" s="1">
        <f>(Table7[[#This Row],[Dominus]]-angvel!D37)*120</f>
        <v>0</v>
      </c>
      <c r="E38" s="1">
        <f>(Table7[[#This Row],[Plank]]-angvel!E37)*120</f>
        <v>0</v>
      </c>
      <c r="F38" s="1">
        <f>(Table7[[#This Row],[Batmobile]]-angvel!F37)*120</f>
        <v>0</v>
      </c>
      <c r="G38" s="1">
        <f>(Table7[[#This Row],[Breakout]]-angvel!G37)*120</f>
        <v>0</v>
      </c>
    </row>
    <row r="39" spans="1:7">
      <c r="A39" s="1"/>
      <c r="B39" s="1">
        <f>(Table7[[#This Row],[Octane]]-angvel!B38)*120</f>
        <v>0</v>
      </c>
      <c r="C39" s="1">
        <f>(Table7[[#This Row],[Hybrid]]-angvel!C38)*120</f>
        <v>0</v>
      </c>
      <c r="D39" s="1">
        <f>(Table7[[#This Row],[Dominus]]-angvel!D38)*120</f>
        <v>0</v>
      </c>
      <c r="E39" s="1">
        <f>(Table7[[#This Row],[Plank]]-angvel!E38)*120</f>
        <v>0</v>
      </c>
      <c r="F39" s="1">
        <f>(Table7[[#This Row],[Batmobile]]-angvel!F38)*120</f>
        <v>0</v>
      </c>
      <c r="G39" s="1">
        <f>(Table7[[#This Row],[Breakout]]-angvel!G38)*120</f>
        <v>0</v>
      </c>
    </row>
    <row r="40" spans="1:7">
      <c r="A40" s="1"/>
      <c r="B40" s="1">
        <f>(Table7[[#This Row],[Octane]]-angvel!B39)*120</f>
        <v>0</v>
      </c>
      <c r="C40" s="1">
        <f>(Table7[[#This Row],[Hybrid]]-angvel!C39)*120</f>
        <v>0</v>
      </c>
      <c r="D40" s="1">
        <f>(Table7[[#This Row],[Dominus]]-angvel!D39)*120</f>
        <v>0</v>
      </c>
      <c r="E40" s="1">
        <f>(Table7[[#This Row],[Plank]]-angvel!E39)*120</f>
        <v>0</v>
      </c>
      <c r="F40" s="1">
        <f>(Table7[[#This Row],[Batmobile]]-angvel!F39)*120</f>
        <v>0</v>
      </c>
      <c r="G40" s="1">
        <f>(Table7[[#This Row],[Breakout]]-angvel!G39)*120</f>
        <v>0</v>
      </c>
    </row>
    <row r="41" spans="1:7">
      <c r="A41" s="1"/>
      <c r="B41" s="1">
        <f>(Table7[[#This Row],[Octane]]-angvel!B40)*120</f>
        <v>0</v>
      </c>
      <c r="C41" s="1">
        <f>(Table7[[#This Row],[Hybrid]]-angvel!C40)*120</f>
        <v>0</v>
      </c>
      <c r="D41" s="1">
        <f>(Table7[[#This Row],[Dominus]]-angvel!D40)*120</f>
        <v>0</v>
      </c>
      <c r="E41" s="1">
        <f>(Table7[[#This Row],[Plank]]-angvel!E40)*120</f>
        <v>0</v>
      </c>
      <c r="F41" s="1">
        <f>(Table7[[#This Row],[Batmobile]]-angvel!F40)*120</f>
        <v>0</v>
      </c>
      <c r="G41" s="1">
        <f>(Table7[[#This Row],[Breakout]]-angvel!G40)*120</f>
        <v>0</v>
      </c>
    </row>
    <row r="42" spans="1:7">
      <c r="A42" s="1"/>
      <c r="B42" s="1">
        <f>(Table7[[#This Row],[Octane]]-angvel!B41)*120</f>
        <v>0</v>
      </c>
      <c r="C42" s="1">
        <f>(Table7[[#This Row],[Hybrid]]-angvel!C41)*120</f>
        <v>0</v>
      </c>
      <c r="D42" s="1">
        <f>(Table7[[#This Row],[Dominus]]-angvel!D41)*120</f>
        <v>0</v>
      </c>
      <c r="E42" s="1">
        <f>(Table7[[#This Row],[Plank]]-angvel!E41)*120</f>
        <v>0</v>
      </c>
      <c r="F42" s="1">
        <f>(Table7[[#This Row],[Batmobile]]-angvel!F41)*120</f>
        <v>0</v>
      </c>
      <c r="G42" s="1">
        <f>(Table7[[#This Row],[Breakout]]-angvel!G41)*120</f>
        <v>0</v>
      </c>
    </row>
    <row r="43" spans="1:7">
      <c r="A43" s="1"/>
      <c r="B43" s="1">
        <f>(Table7[[#This Row],[Octane]]-angvel!B42)*120</f>
        <v>0</v>
      </c>
      <c r="C43" s="1">
        <f>(Table7[[#This Row],[Hybrid]]-angvel!C42)*120</f>
        <v>0</v>
      </c>
      <c r="D43" s="1">
        <f>(Table7[[#This Row],[Dominus]]-angvel!D42)*120</f>
        <v>0</v>
      </c>
      <c r="E43" s="1">
        <f>(Table7[[#This Row],[Plank]]-angvel!E42)*120</f>
        <v>0</v>
      </c>
      <c r="F43" s="1">
        <f>(Table7[[#This Row],[Batmobile]]-angvel!F42)*120</f>
        <v>0</v>
      </c>
      <c r="G43" s="1">
        <f>(Table7[[#This Row],[Breakout]]-angvel!G42)*120</f>
        <v>0</v>
      </c>
    </row>
    <row r="44" spans="1:7">
      <c r="A44" s="1"/>
      <c r="B44" s="1">
        <f>(Table7[[#This Row],[Octane]]-angvel!B43)*120</f>
        <v>0</v>
      </c>
      <c r="C44" s="1">
        <f>(Table7[[#This Row],[Hybrid]]-angvel!C43)*120</f>
        <v>0</v>
      </c>
      <c r="D44" s="1">
        <f>(Table7[[#This Row],[Dominus]]-angvel!D43)*120</f>
        <v>0</v>
      </c>
      <c r="E44" s="1">
        <f>(Table7[[#This Row],[Plank]]-angvel!E43)*120</f>
        <v>0</v>
      </c>
      <c r="F44" s="1">
        <f>(Table7[[#This Row],[Batmobile]]-angvel!F43)*120</f>
        <v>0</v>
      </c>
      <c r="G44" s="1">
        <f>(Table7[[#This Row],[Breakout]]-angvel!G43)*120</f>
        <v>0</v>
      </c>
    </row>
    <row r="45" spans="1:7">
      <c r="A45" s="1"/>
      <c r="B45" s="1">
        <f>(Table7[[#This Row],[Octane]]-angvel!B44)*120</f>
        <v>0</v>
      </c>
      <c r="C45" s="1">
        <f>(Table7[[#This Row],[Hybrid]]-angvel!C44)*120</f>
        <v>0</v>
      </c>
      <c r="D45" s="1">
        <f>(Table7[[#This Row],[Dominus]]-angvel!D44)*120</f>
        <v>0</v>
      </c>
      <c r="E45" s="1">
        <f>(Table7[[#This Row],[Plank]]-angvel!E44)*120</f>
        <v>0</v>
      </c>
      <c r="F45" s="1">
        <f>(Table7[[#This Row],[Batmobile]]-angvel!F44)*120</f>
        <v>0</v>
      </c>
      <c r="G45" s="1">
        <f>(Table7[[#This Row],[Breakout]]-angvel!G44)*120</f>
        <v>0</v>
      </c>
    </row>
    <row r="46" spans="1:7">
      <c r="A46" s="1"/>
      <c r="B46" s="1">
        <f>(Table7[[#This Row],[Octane]]-angvel!B45)*120</f>
        <v>0</v>
      </c>
      <c r="C46" s="1">
        <f>(Table7[[#This Row],[Hybrid]]-angvel!C45)*120</f>
        <v>0</v>
      </c>
      <c r="D46" s="1">
        <f>(Table7[[#This Row],[Dominus]]-angvel!D45)*120</f>
        <v>0</v>
      </c>
      <c r="E46" s="1">
        <f>(Table7[[#This Row],[Plank]]-angvel!E45)*120</f>
        <v>0</v>
      </c>
      <c r="F46" s="1">
        <f>(Table7[[#This Row],[Batmobile]]-angvel!F45)*120</f>
        <v>0</v>
      </c>
      <c r="G46" s="1">
        <f>(Table7[[#This Row],[Breakout]]-angvel!G45)*120</f>
        <v>0</v>
      </c>
    </row>
    <row r="47" spans="1:7">
      <c r="A47" s="1"/>
      <c r="B47" s="1">
        <f>(Table7[[#This Row],[Octane]]-angvel!B46)*120</f>
        <v>0</v>
      </c>
      <c r="C47" s="1">
        <f>(Table7[[#This Row],[Hybrid]]-angvel!C46)*120</f>
        <v>0</v>
      </c>
      <c r="D47" s="1">
        <f>(Table7[[#This Row],[Dominus]]-angvel!D46)*120</f>
        <v>0</v>
      </c>
      <c r="E47" s="1">
        <f>(Table7[[#This Row],[Plank]]-angvel!E46)*120</f>
        <v>0</v>
      </c>
      <c r="F47" s="1">
        <f>(Table7[[#This Row],[Batmobile]]-angvel!F46)*120</f>
        <v>0</v>
      </c>
      <c r="G47" s="1">
        <f>(Table7[[#This Row],[Breakout]]-angvel!G46)*120</f>
        <v>0</v>
      </c>
    </row>
    <row r="48" spans="1:7">
      <c r="A48" s="1"/>
      <c r="B48" s="1">
        <f>(Table7[[#This Row],[Octane]]-angvel!B47)*120</f>
        <v>0</v>
      </c>
      <c r="C48" s="1">
        <f>(Table7[[#This Row],[Hybrid]]-angvel!C47)*120</f>
        <v>0</v>
      </c>
      <c r="D48" s="1">
        <f>(Table7[[#This Row],[Dominus]]-angvel!D47)*120</f>
        <v>0</v>
      </c>
      <c r="E48" s="1">
        <f>(Table7[[#This Row],[Plank]]-angvel!E47)*120</f>
        <v>0</v>
      </c>
      <c r="F48" s="1">
        <f>(Table7[[#This Row],[Batmobile]]-angvel!F47)*120</f>
        <v>0</v>
      </c>
      <c r="G48" s="1">
        <f>(Table7[[#This Row],[Breakout]]-angvel!G47)*120</f>
        <v>0</v>
      </c>
    </row>
    <row r="49" spans="1:7">
      <c r="A49" s="1"/>
      <c r="B49" s="1">
        <f>(Table7[[#This Row],[Octane]]-angvel!B48)*120</f>
        <v>0</v>
      </c>
      <c r="C49" s="1">
        <f>(Table7[[#This Row],[Hybrid]]-angvel!C48)*120</f>
        <v>0</v>
      </c>
      <c r="D49" s="1">
        <f>(Table7[[#This Row],[Dominus]]-angvel!D48)*120</f>
        <v>0</v>
      </c>
      <c r="E49" s="1">
        <f>(Table7[[#This Row],[Plank]]-angvel!E48)*120</f>
        <v>0</v>
      </c>
      <c r="F49" s="1">
        <f>(Table7[[#This Row],[Batmobile]]-angvel!F48)*120</f>
        <v>0</v>
      </c>
      <c r="G49" s="1">
        <f>(Table7[[#This Row],[Breakout]]-angvel!G48)*120</f>
        <v>0</v>
      </c>
    </row>
    <row r="50" spans="1:7">
      <c r="A50" s="1"/>
      <c r="B50" s="1">
        <f>(Table7[[#This Row],[Octane]]-angvel!B49)*120</f>
        <v>0</v>
      </c>
      <c r="C50" s="1">
        <f>(Table7[[#This Row],[Hybrid]]-angvel!C49)*120</f>
        <v>0</v>
      </c>
      <c r="D50" s="1">
        <f>(Table7[[#This Row],[Dominus]]-angvel!D49)*120</f>
        <v>0</v>
      </c>
      <c r="E50" s="1">
        <f>(Table7[[#This Row],[Plank]]-angvel!E49)*120</f>
        <v>0</v>
      </c>
      <c r="F50" s="1">
        <f>(Table7[[#This Row],[Batmobile]]-angvel!F49)*120</f>
        <v>0</v>
      </c>
      <c r="G50" s="1">
        <f>(Table7[[#This Row],[Breakout]]-angvel!G49)*120</f>
        <v>0</v>
      </c>
    </row>
    <row r="51" spans="1:7">
      <c r="A51" s="1"/>
      <c r="B51" s="1">
        <f>(Table7[[#This Row],[Octane]]-angvel!B50)*120</f>
        <v>0</v>
      </c>
      <c r="C51" s="1">
        <f>(Table7[[#This Row],[Hybrid]]-angvel!C50)*120</f>
        <v>0</v>
      </c>
      <c r="D51" s="1">
        <f>(Table7[[#This Row],[Dominus]]-angvel!D50)*120</f>
        <v>0</v>
      </c>
      <c r="E51" s="1">
        <f>(Table7[[#This Row],[Plank]]-angvel!E50)*120</f>
        <v>0</v>
      </c>
      <c r="F51" s="1">
        <f>(Table7[[#This Row],[Batmobile]]-angvel!F50)*120</f>
        <v>0</v>
      </c>
      <c r="G51" s="1">
        <f>(Table7[[#This Row],[Breakout]]-angvel!G50)*120</f>
        <v>0</v>
      </c>
    </row>
    <row r="52" spans="1:7">
      <c r="A52" s="1"/>
      <c r="B52" s="1">
        <f>(Table7[[#This Row],[Octane]]-angvel!B51)*120</f>
        <v>0</v>
      </c>
      <c r="C52" s="1">
        <f>(Table7[[#This Row],[Hybrid]]-angvel!C51)*120</f>
        <v>0</v>
      </c>
      <c r="D52" s="1">
        <f>(Table7[[#This Row],[Dominus]]-angvel!D51)*120</f>
        <v>0</v>
      </c>
      <c r="E52" s="1">
        <f>(Table7[[#This Row],[Plank]]-angvel!E51)*120</f>
        <v>0</v>
      </c>
      <c r="F52" s="1">
        <f>(Table7[[#This Row],[Batmobile]]-angvel!F51)*120</f>
        <v>0</v>
      </c>
      <c r="G52" s="1">
        <f>(Table7[[#This Row],[Breakout]]-angvel!G51)*120</f>
        <v>0</v>
      </c>
    </row>
    <row r="53" spans="1:7">
      <c r="A53" s="6">
        <v>0</v>
      </c>
      <c r="B53" s="1">
        <f>(Table7[[#This Row],[Octane]]-angvel!B52)*120</f>
        <v>34.646010999134454</v>
      </c>
      <c r="C53" s="1">
        <f>(Table7[[#This Row],[Hybrid]]-angvel!C52)*120</f>
        <v>32.970276742457074</v>
      </c>
      <c r="D53" s="1">
        <f>(Table7[[#This Row],[Dominus]]-angvel!D52)*120</f>
        <v>32.666165943933521</v>
      </c>
      <c r="E53" s="1">
        <f>(Table7[[#This Row],[Plank]]-angvel!E52)*120</f>
        <v>31.332535422464616</v>
      </c>
      <c r="F53" s="1">
        <f>(Table7[[#This Row],[Batmobile]]-angvel!F52)*120</f>
        <v>31.320478157269566</v>
      </c>
      <c r="G53" s="1">
        <f>(Table7[[#This Row],[Breakout]]-angvel!G52)*120</f>
        <v>31.492459175157812</v>
      </c>
    </row>
    <row r="54" spans="1:7">
      <c r="A54" s="6">
        <v>1</v>
      </c>
      <c r="B54" s="1">
        <f>(Table7[[#This Row],[Octane]]-angvel!B53)*120</f>
        <v>27.768385268289883</v>
      </c>
      <c r="C54" s="1">
        <f>(Table7[[#This Row],[Hybrid]]-angvel!C53)*120</f>
        <v>26.676292566082974</v>
      </c>
      <c r="D54" s="1">
        <f>(Table7[[#This Row],[Dominus]]-angvel!D53)*120</f>
        <v>26.47246718294079</v>
      </c>
      <c r="E54" s="1">
        <f>(Table7[[#This Row],[Plank]]-angvel!E53)*120</f>
        <v>25.524237050126548</v>
      </c>
      <c r="F54" s="1">
        <f>(Table7[[#This Row],[Batmobile]]-angvel!F53)*120</f>
        <v>25.48816188982186</v>
      </c>
      <c r="G54" s="1">
        <f>(Table7[[#This Row],[Breakout]]-angvel!G53)*120</f>
        <v>25.572544807336573</v>
      </c>
    </row>
    <row r="55" spans="1:7">
      <c r="A55" s="6">
        <v>2</v>
      </c>
      <c r="B55" s="1">
        <f>(Table7[[#This Row],[Octane]]-angvel!B54)*120</f>
        <v>23.483885628324416</v>
      </c>
      <c r="C55" s="1">
        <f>(Table7[[#This Row],[Hybrid]]-angvel!C54)*120</f>
        <v>22.775888688450166</v>
      </c>
      <c r="D55" s="1">
        <f>(Table7[[#This Row],[Dominus]]-angvel!D54)*120</f>
        <v>22.631099978746715</v>
      </c>
      <c r="E55" s="1">
        <f>(Table7[[#This Row],[Plank]]-angvel!E54)*120</f>
        <v>21.984032089513605</v>
      </c>
      <c r="F55" s="1">
        <f>(Table7[[#This Row],[Batmobile]]-angvel!F54)*120</f>
        <v>21.936049373846672</v>
      </c>
      <c r="G55" s="1">
        <f>(Table7[[#This Row],[Breakout]]-angvel!G54)*120</f>
        <v>21.947135535796129</v>
      </c>
    </row>
    <row r="56" spans="1:7">
      <c r="A56" s="6">
        <v>3</v>
      </c>
      <c r="B56" s="1">
        <f>(Table7[[#This Row],[Octane]]-angvel!B55)*120</f>
        <v>19.88357140927118</v>
      </c>
      <c r="C56" s="1">
        <f>(Table7[[#This Row],[Hybrid]]-angvel!C55)*120</f>
        <v>19.463647419421708</v>
      </c>
      <c r="D56" s="1">
        <f>(Table7[[#This Row],[Dominus]]-angvel!D55)*120</f>
        <v>19.390658594662348</v>
      </c>
      <c r="E56" s="1">
        <f>(Table7[[#This Row],[Plank]]-angvel!E55)*120</f>
        <v>18.959944882876471</v>
      </c>
      <c r="F56" s="1">
        <f>(Table7[[#This Row],[Batmobile]]-angvel!F55)*120</f>
        <v>18.887924146455461</v>
      </c>
      <c r="G56" s="1">
        <f>(Table7[[#This Row],[Breakout]]-angvel!G55)*120</f>
        <v>18.862801253632163</v>
      </c>
    </row>
    <row r="57" spans="1:7">
      <c r="A57" s="6">
        <v>4</v>
      </c>
      <c r="B57" s="1">
        <f>(Table7[[#This Row],[Octane]]-angvel!B56)*120</f>
        <v>16.859498990257663</v>
      </c>
      <c r="C57" s="1">
        <f>(Table7[[#This Row],[Hybrid]]-angvel!C56)*120</f>
        <v>16.679598747881496</v>
      </c>
      <c r="D57" s="1">
        <f>(Table7[[#This Row],[Dominus]]-angvel!D56)*120</f>
        <v>16.642750845288123</v>
      </c>
      <c r="E57" s="1">
        <f>(Table7[[#This Row],[Plank]]-angvel!E56)*120</f>
        <v>16.379859066271667</v>
      </c>
      <c r="F57" s="1">
        <f>(Table7[[#This Row],[Batmobile]]-angvel!F56)*120</f>
        <v>16.29586294309086</v>
      </c>
      <c r="G57" s="1">
        <f>(Table7[[#This Row],[Breakout]]-angvel!G56)*120</f>
        <v>16.258847360357088</v>
      </c>
    </row>
    <row r="58" spans="1:7">
      <c r="A58" s="6">
        <v>5</v>
      </c>
      <c r="B58" s="1">
        <f>(Table7[[#This Row],[Octane]]-angvel!B57)*120</f>
        <v>14.339557524851072</v>
      </c>
      <c r="C58" s="1">
        <f>(Table7[[#This Row],[Hybrid]]-angvel!C57)*120</f>
        <v>14.33961087850574</v>
      </c>
      <c r="D58" s="1">
        <f>(Table7[[#This Row],[Dominus]]-angvel!D57)*120</f>
        <v>14.339035400952875</v>
      </c>
      <c r="E58" s="1">
        <f>(Table7[[#This Row],[Plank]]-angvel!E57)*120</f>
        <v>14.195858117175533</v>
      </c>
      <c r="F58" s="1">
        <f>(Table7[[#This Row],[Batmobile]]-angvel!F57)*120</f>
        <v>14.099866539013796</v>
      </c>
      <c r="G58" s="1">
        <f>(Table7[[#This Row],[Breakout]]-angvel!G57)*120</f>
        <v>14.063132523098512</v>
      </c>
    </row>
    <row r="59" spans="1:7">
      <c r="A59" s="6">
        <v>6</v>
      </c>
      <c r="B59" s="1">
        <f>(Table7[[#This Row],[Octane]]-angvel!B58)*120</f>
        <v>12.251615775667313</v>
      </c>
      <c r="C59" s="1">
        <f>(Table7[[#This Row],[Hybrid]]-angvel!C58)*120</f>
        <v>12.371712222176665</v>
      </c>
      <c r="D59" s="1">
        <f>(Table7[[#This Row],[Dominus]]-angvel!D58)*120</f>
        <v>12.395353371788964</v>
      </c>
      <c r="E59" s="1">
        <f>(Table7[[#This Row],[Plank]]-angvel!E58)*120</f>
        <v>12.335859313544395</v>
      </c>
      <c r="F59" s="1">
        <f>(Table7[[#This Row],[Batmobile]]-angvel!F58)*120</f>
        <v>12.227885389740809</v>
      </c>
      <c r="G59" s="1">
        <f>(Table7[[#This Row],[Breakout]]-angvel!G58)*120</f>
        <v>12.203465845585049</v>
      </c>
    </row>
    <row r="60" spans="1:7">
      <c r="A60" s="6">
        <v>7</v>
      </c>
      <c r="B60" s="1">
        <f>(Table7[[#This Row],[Octane]]-angvel!B59)*120</f>
        <v>10.499742912763583</v>
      </c>
      <c r="C60" s="1">
        <f>(Table7[[#This Row],[Hybrid]]-angvel!C59)*120</f>
        <v>10.715779505912364</v>
      </c>
      <c r="D60" s="1">
        <f>(Table7[[#This Row],[Dominus]]-angvel!D59)*120</f>
        <v>10.775659154711672</v>
      </c>
      <c r="E60" s="1">
        <f>(Table7[[#This Row],[Plank]]-angvel!E59)*120</f>
        <v>10.763879872669877</v>
      </c>
      <c r="F60" s="1">
        <f>(Table7[[#This Row],[Batmobile]]-angvel!F59)*120</f>
        <v>10.643903727701121</v>
      </c>
      <c r="G60" s="1">
        <f>(Table7[[#This Row],[Breakout]]-angvel!G59)*120</f>
        <v>10.643712609550562</v>
      </c>
    </row>
    <row r="61" spans="1:7">
      <c r="A61" s="6">
        <v>8</v>
      </c>
      <c r="B61" s="1">
        <f>(Table7[[#This Row],[Octane]]-angvel!B60)*120</f>
        <v>9.0358380936383398</v>
      </c>
      <c r="C61" s="1">
        <f>(Table7[[#This Row],[Hybrid]]-angvel!C60)*120</f>
        <v>9.3238779506641212</v>
      </c>
      <c r="D61" s="1">
        <f>(Table7[[#This Row],[Dominus]]-angvel!D60)*120</f>
        <v>9.3958698456073808</v>
      </c>
      <c r="E61" s="1">
        <f>(Table7[[#This Row],[Plank]]-angvel!E60)*120</f>
        <v>9.4319060504835939</v>
      </c>
      <c r="F61" s="1">
        <f>(Table7[[#This Row],[Batmobile]]-angvel!F60)*120</f>
        <v>9.3119383895569463</v>
      </c>
      <c r="G61" s="1">
        <f>(Table7[[#This Row],[Breakout]]-angvel!G60)*120</f>
        <v>9.3239053774806724</v>
      </c>
    </row>
    <row r="62" spans="1:7">
      <c r="A62" s="6">
        <v>9</v>
      </c>
      <c r="B62" s="1">
        <f>(Table7[[#This Row],[Octane]]-angvel!B61)*120</f>
        <v>7.8119145905735543</v>
      </c>
      <c r="C62" s="1">
        <f>(Table7[[#This Row],[Hybrid]]-angvel!C61)*120</f>
        <v>8.1479413506891873</v>
      </c>
      <c r="D62" s="1">
        <f>(Table7[[#This Row],[Dominus]]-angvel!D61)*120</f>
        <v>8.2319918037729156</v>
      </c>
      <c r="E62" s="1">
        <f>(Table7[[#This Row],[Plank]]-angvel!E61)*120</f>
        <v>8.2919379221003986</v>
      </c>
      <c r="F62" s="1">
        <f>(Table7[[#This Row],[Batmobile]]-angvel!F61)*120</f>
        <v>8.159954245724732</v>
      </c>
      <c r="G62" s="1">
        <f>(Table7[[#This Row],[Breakout]]-angvel!G61)*120</f>
        <v>8.2080091745680406</v>
      </c>
    </row>
    <row r="63" spans="1:7">
      <c r="A63" s="6">
        <v>10</v>
      </c>
      <c r="B63" s="1">
        <f>(Table7[[#This Row],[Octane]]-angvel!B62)*120</f>
        <v>6.7919788072285403</v>
      </c>
      <c r="C63" s="1">
        <f>(Table7[[#This Row],[Hybrid]]-angvel!C62)*120</f>
        <v>7.1519898301148643</v>
      </c>
      <c r="D63" s="1">
        <f>(Table7[[#This Row],[Dominus]]-angvel!D62)*120</f>
        <v>7.2360432660236462</v>
      </c>
      <c r="E63" s="1">
        <f>(Table7[[#This Row],[Plank]]-angvel!E62)*120</f>
        <v>7.3079640818325142</v>
      </c>
      <c r="F63" s="1">
        <f>(Table7[[#This Row],[Batmobile]]-angvel!F62)*120</f>
        <v>7.1879821697534219</v>
      </c>
      <c r="G63" s="1">
        <f>(Table7[[#This Row],[Breakout]]-angvel!G62)*120</f>
        <v>7.2480395543223253</v>
      </c>
    </row>
    <row r="64" spans="1:7">
      <c r="A64" s="6">
        <v>11</v>
      </c>
      <c r="B64" s="1">
        <f>(Table7[[#This Row],[Octane]]-angvel!B63)*120</f>
        <v>5.9160129269370287</v>
      </c>
      <c r="C64" s="1">
        <f>(Table7[[#This Row],[Hybrid]]-angvel!C63)*120</f>
        <v>6.3000140708856289</v>
      </c>
      <c r="D64" s="1">
        <f>(Table7[[#This Row],[Dominus]]-angvel!D63)*120</f>
        <v>6.3840681093058116</v>
      </c>
      <c r="E64" s="1">
        <f>(Table7[[#This Row],[Plank]]-angvel!E63)*120</f>
        <v>6.4799865244091759</v>
      </c>
      <c r="F64" s="1">
        <f>(Table7[[#This Row],[Batmobile]]-angvel!F63)*120</f>
        <v>6.3479934238292124</v>
      </c>
      <c r="G64" s="1">
        <f>(Table7[[#This Row],[Breakout]]-angvel!G63)*120</f>
        <v>6.4320530162178269</v>
      </c>
    </row>
    <row r="65" spans="1:7">
      <c r="A65" s="6">
        <v>12</v>
      </c>
      <c r="B65" s="1">
        <f>(Table7[[#This Row],[Octane]]-angvel!B64)*120</f>
        <v>5.1840303716457203</v>
      </c>
      <c r="C65" s="1">
        <f>(Table7[[#This Row],[Hybrid]]-angvel!C64)*120</f>
        <v>5.5680241193730851</v>
      </c>
      <c r="D65" s="1">
        <f>(Table7[[#This Row],[Dominus]]-angvel!D64)*120</f>
        <v>5.6640571715132726</v>
      </c>
      <c r="E65" s="1">
        <f>(Table7[[#This Row],[Plank]]-angvel!E64)*120</f>
        <v>5.7480015139578455</v>
      </c>
      <c r="F65" s="1">
        <f>(Table7[[#This Row],[Batmobile]]-angvel!F64)*120</f>
        <v>5.628000372048092</v>
      </c>
      <c r="G65" s="1">
        <f>(Table7[[#This Row],[Breakout]]-angvel!G64)*120</f>
        <v>5.7360469159638416</v>
      </c>
    </row>
    <row r="66" spans="1:7">
      <c r="A66" s="6">
        <v>13</v>
      </c>
      <c r="B66" s="1">
        <f>(Table7[[#This Row],[Octane]]-angvel!B65)*120</f>
        <v>4.5480319183750684</v>
      </c>
      <c r="C66" s="1">
        <f>(Table7[[#This Row],[Hybrid]]-angvel!C65)*120</f>
        <v>4.9320222476988995</v>
      </c>
      <c r="D66" s="1">
        <f>(Table7[[#This Row],[Dominus]]-angvel!D65)*120</f>
        <v>5.0400422212877238</v>
      </c>
      <c r="E66" s="1">
        <f>(Table7[[#This Row],[Plank]]-angvel!E65)*120</f>
        <v>5.1240073776245865</v>
      </c>
      <c r="F66" s="1">
        <f>(Table7[[#This Row],[Batmobile]]-angvel!F65)*120</f>
        <v>5.004005963216196</v>
      </c>
      <c r="G66" s="1">
        <f>(Table7[[#This Row],[Breakout]]-angvel!G65)*120</f>
        <v>5.1240306003800917</v>
      </c>
    </row>
    <row r="67" spans="1:7">
      <c r="A67" s="6">
        <v>14</v>
      </c>
      <c r="B67" s="1">
        <f>(Table7[[#This Row],[Octane]]-angvel!B66)*120</f>
        <v>4.0080297103458484</v>
      </c>
      <c r="C67" s="1">
        <f>(Table7[[#This Row],[Hybrid]]-angvel!C66)*120</f>
        <v>4.3920271015622969</v>
      </c>
      <c r="D67" s="1">
        <f>(Table7[[#This Row],[Dominus]]-angvel!D66)*120</f>
        <v>4.4880201345022375</v>
      </c>
      <c r="E67" s="1">
        <f>(Table7[[#This Row],[Plank]]-angvel!E66)*120</f>
        <v>4.584008856086399</v>
      </c>
      <c r="F67" s="1">
        <f>(Table7[[#This Row],[Batmobile]]-angvel!F66)*120</f>
        <v>4.4640049641248858</v>
      </c>
      <c r="G67" s="1">
        <f>(Table7[[#This Row],[Breakout]]-angvel!G66)*120</f>
        <v>4.5960190294069303</v>
      </c>
    </row>
    <row r="68" spans="1:7">
      <c r="A68" s="6">
        <v>15</v>
      </c>
      <c r="B68" s="1">
        <f>(Table7[[#This Row],[Octane]]-angvel!B67)*120</f>
        <v>3.5400264239117885</v>
      </c>
      <c r="C68" s="1">
        <f>(Table7[[#This Row],[Hybrid]]-angvel!C67)*120</f>
        <v>3.9240143237359781</v>
      </c>
      <c r="D68" s="1">
        <f>(Table7[[#This Row],[Dominus]]-angvel!D67)*120</f>
        <v>4.0200062029178163</v>
      </c>
      <c r="E68" s="1">
        <f>(Table7[[#This Row],[Plank]]-angvel!E67)*120</f>
        <v>4.1160120721306548</v>
      </c>
      <c r="F68" s="1">
        <f>(Table7[[#This Row],[Batmobile]]-angvel!F67)*120</f>
        <v>3.9960062152533382</v>
      </c>
      <c r="G68" s="1">
        <f>(Table7[[#This Row],[Breakout]]-angvel!G67)*120</f>
        <v>4.1399958422302152</v>
      </c>
    </row>
    <row r="69" spans="1:7">
      <c r="A69" s="6">
        <v>16</v>
      </c>
      <c r="B69" s="1">
        <f>(Table7[[#This Row],[Octane]]-angvel!B68)*120</f>
        <v>3.1440172502305241</v>
      </c>
      <c r="C69" s="1">
        <f>(Table7[[#This Row],[Hybrid]]-angvel!C68)*120</f>
        <v>3.5160153990420007</v>
      </c>
      <c r="D69" s="1">
        <f>(Table7[[#This Row],[Dominus]]-angvel!D68)*120</f>
        <v>3.6119817052015524</v>
      </c>
      <c r="E69" s="1">
        <f>(Table7[[#This Row],[Plank]]-angvel!E68)*120</f>
        <v>3.6960092328535676</v>
      </c>
      <c r="F69" s="1">
        <f>(Table7[[#This Row],[Batmobile]]-angvel!F68)*120</f>
        <v>3.5760074297673405</v>
      </c>
      <c r="G69" s="1">
        <f>(Table7[[#This Row],[Breakout]]-angvel!G68)*120</f>
        <v>3.7319834410401587</v>
      </c>
    </row>
    <row r="70" spans="1:7">
      <c r="A70" s="6">
        <v>17</v>
      </c>
      <c r="B70" s="1">
        <f>(Table7[[#This Row],[Octane]]-angvel!B69)*120</f>
        <v>2.795998045602115</v>
      </c>
      <c r="C70" s="1">
        <f>(Table7[[#This Row],[Hybrid]]-angvel!C69)*120</f>
        <v>3.1440053041260985</v>
      </c>
      <c r="D70" s="1">
        <f>(Table7[[#This Row],[Dominus]]-angvel!D69)*120</f>
        <v>3.2399603499899943</v>
      </c>
      <c r="E70" s="1">
        <f>(Table7[[#This Row],[Plank]]-angvel!E69)*120</f>
        <v>3.3240103677861566</v>
      </c>
      <c r="F70" s="1">
        <f>(Table7[[#This Row],[Batmobile]]-angvel!F69)*120</f>
        <v>3.2160041123130689</v>
      </c>
      <c r="G70" s="1">
        <f>(Table7[[#This Row],[Breakout]]-angvel!G69)*120</f>
        <v>3.3719757056428623</v>
      </c>
    </row>
    <row r="71" spans="1:7">
      <c r="A71" s="6">
        <v>18</v>
      </c>
      <c r="B71" s="1">
        <f>(Table7[[#This Row],[Octane]]-angvel!B70)*120</f>
        <v>2.4839983063148807</v>
      </c>
      <c r="C71" s="1">
        <f>(Table7[[#This Row],[Hybrid]]-angvel!C70)*120</f>
        <v>2.8319879536339698</v>
      </c>
      <c r="D71" s="1">
        <f>(Table7[[#This Row],[Dominus]]-angvel!D70)*120</f>
        <v>2.9279650915841327</v>
      </c>
      <c r="E71" s="1">
        <f>(Table7[[#This Row],[Plank]]-angvel!E70)*120</f>
        <v>3.0000057322324913</v>
      </c>
      <c r="F71" s="1">
        <f>(Table7[[#This Row],[Batmobile]]-angvel!F70)*120</f>
        <v>2.9040040364778186</v>
      </c>
      <c r="G71" s="1">
        <f>(Table7[[#This Row],[Breakout]]-angvel!G70)*120</f>
        <v>3.0599675080406463</v>
      </c>
    </row>
    <row r="72" spans="1:7">
      <c r="A72" s="6">
        <v>19</v>
      </c>
      <c r="B72" s="1">
        <f>(Table7[[#This Row],[Octane]]-angvel!B71)*120</f>
        <v>2.2199875847013129</v>
      </c>
      <c r="C72" s="1">
        <f>(Table7[[#This Row],[Hybrid]]-angvel!C71)*120</f>
        <v>2.5559890590475742</v>
      </c>
      <c r="D72" s="1">
        <f>(Table7[[#This Row],[Dominus]]-angvel!D71)*120</f>
        <v>2.6399694794239359</v>
      </c>
      <c r="E72" s="1">
        <f>(Table7[[#This Row],[Plank]]-angvel!E71)*120</f>
        <v>2.7119993002940213</v>
      </c>
      <c r="F72" s="1">
        <f>(Table7[[#This Row],[Batmobile]]-angvel!F71)*120</f>
        <v>2.6159995893000509</v>
      </c>
      <c r="G72" s="1">
        <f>(Table7[[#This Row],[Breakout]]-angvel!G71)*120</f>
        <v>2.7839719037293165</v>
      </c>
    </row>
    <row r="73" spans="1:7">
      <c r="A73" s="6">
        <v>20</v>
      </c>
      <c r="B73" s="1">
        <f>(Table7[[#This Row],[Octane]]-angvel!B72)*120</f>
        <v>1.9919790959228312</v>
      </c>
      <c r="C73" s="1">
        <f>(Table7[[#This Row],[Hybrid]]-angvel!C72)*120</f>
        <v>2.3039900744716402</v>
      </c>
      <c r="D73" s="1">
        <f>(Table7[[#This Row],[Dominus]]-angvel!D72)*120</f>
        <v>2.3879735749206521</v>
      </c>
      <c r="E73" s="1">
        <f>(Table7[[#This Row],[Plank]]-angvel!E72)*120</f>
        <v>2.4599993803859554</v>
      </c>
      <c r="F73" s="1">
        <f>(Table7[[#This Row],[Batmobile]]-angvel!F72)*120</f>
        <v>2.3639996374325367</v>
      </c>
      <c r="G73" s="1">
        <f>(Table7[[#This Row],[Breakout]]-angvel!G72)*120</f>
        <v>2.5319760154166548</v>
      </c>
    </row>
    <row r="74" spans="1:7">
      <c r="A74" s="6">
        <v>21</v>
      </c>
      <c r="B74" s="1">
        <f>(Table7[[#This Row],[Octane]]-angvel!B73)*120</f>
        <v>1.7879821617917191</v>
      </c>
      <c r="C74" s="1">
        <f>(Table7[[#This Row],[Hybrid]]-angvel!C73)*120</f>
        <v>2.0759910152758199</v>
      </c>
      <c r="D74" s="1">
        <f>(Table7[[#This Row],[Dominus]]-angvel!D73)*120</f>
        <v>2.171991653253027</v>
      </c>
      <c r="E74" s="1">
        <f>(Table7[[#This Row],[Plank]]-angvel!E73)*120</f>
        <v>2.2319994498043982</v>
      </c>
      <c r="F74" s="1">
        <f>(Table7[[#This Row],[Batmobile]]-angvel!F73)*120</f>
        <v>2.1359996791691493</v>
      </c>
      <c r="G74" s="1">
        <f>(Table7[[#This Row],[Breakout]]-angvel!G73)*120</f>
        <v>2.3159798936850251</v>
      </c>
    </row>
    <row r="75" spans="1:7">
      <c r="A75" s="6">
        <v>22</v>
      </c>
      <c r="B75" s="1">
        <f>(Table7[[#This Row],[Octane]]-angvel!B74)*120</f>
        <v>1.6079918861575848</v>
      </c>
      <c r="C75" s="1">
        <f>(Table7[[#This Row],[Hybrid]]-angvel!C74)*120</f>
        <v>1.883991890022676</v>
      </c>
      <c r="D75" s="1">
        <f>(Table7[[#This Row],[Dominus]]-angvel!D74)*120</f>
        <v>1.9679851592662079</v>
      </c>
      <c r="E75" s="1">
        <f>(Table7[[#This Row],[Plank]]-angvel!E74)*120</f>
        <v>2.0279995096834291</v>
      </c>
      <c r="F75" s="1">
        <f>(Table7[[#This Row],[Batmobile]]-angvel!F74)*120</f>
        <v>1.9439997134290454</v>
      </c>
      <c r="G75" s="1">
        <f>(Table7[[#This Row],[Breakout]]-angvel!G74)*120</f>
        <v>2.1119939765445128</v>
      </c>
    </row>
    <row r="76" spans="1:7">
      <c r="A76" s="6">
        <v>23</v>
      </c>
      <c r="B76" s="1">
        <f>(Table7[[#This Row],[Octane]]-angvel!B75)*120</f>
        <v>1.4399927032295068</v>
      </c>
      <c r="C76" s="1">
        <f>(Table7[[#This Row],[Hybrid]]-angvel!C75)*120</f>
        <v>1.7039927184472781</v>
      </c>
      <c r="D76" s="1">
        <f>(Table7[[#This Row],[Dominus]]-angvel!D75)*120</f>
        <v>1.787986732384903</v>
      </c>
      <c r="E76" s="1">
        <f>(Table7[[#This Row],[Plank]]-angvel!E75)*120</f>
        <v>1.8479947364958704</v>
      </c>
      <c r="F76" s="1">
        <f>(Table7[[#This Row],[Batmobile]]-angvel!F75)*120</f>
        <v>1.7639997443161182</v>
      </c>
      <c r="G76" s="1">
        <f>(Table7[[#This Row],[Breakout]]-angvel!G75)*120</f>
        <v>1.9319892965001806</v>
      </c>
    </row>
    <row r="77" spans="1:7">
      <c r="A77" s="6">
        <v>24</v>
      </c>
      <c r="B77" s="1">
        <f>(Table7[[#This Row],[Octane]]-angvel!B76)*120</f>
        <v>1.2959934806730455</v>
      </c>
      <c r="C77" s="1">
        <f>(Table7[[#This Row],[Hybrid]]-angvel!C76)*120</f>
        <v>1.5479868547746012</v>
      </c>
      <c r="D77" s="1">
        <f>(Table7[[#This Row],[Dominus]]-angvel!D76)*120</f>
        <v>1.6199882347303163</v>
      </c>
      <c r="E77" s="1">
        <f>(Table7[[#This Row],[Plank]]-angvel!E76)*120</f>
        <v>1.6799996430331721</v>
      </c>
      <c r="F77" s="1">
        <f>(Table7[[#This Row],[Batmobile]]-angvel!F76)*120</f>
        <v>1.5959955770240519</v>
      </c>
      <c r="G77" s="1">
        <f>(Table7[[#This Row],[Breakout]]-angvel!G76)*120</f>
        <v>1.763990776079245</v>
      </c>
    </row>
    <row r="78" spans="1:7">
      <c r="A78" s="6">
        <v>25</v>
      </c>
      <c r="B78" s="1">
        <f>(Table7[[#This Row],[Octane]]-angvel!B77)*120</f>
        <v>1.1639869202989495</v>
      </c>
      <c r="C78" s="1">
        <f>(Table7[[#This Row],[Hybrid]]-angvel!C77)*120</f>
        <v>1.4159883168441212</v>
      </c>
      <c r="D78" s="1">
        <f>(Table7[[#This Row],[Dominus]]-angvel!D77)*120</f>
        <v>1.4759950043642256</v>
      </c>
      <c r="E78" s="1">
        <f>(Table7[[#This Row],[Plank]]-angvel!E77)*120</f>
        <v>1.5359895318718131</v>
      </c>
      <c r="F78" s="1">
        <f>(Table7[[#This Row],[Batmobile]]-angvel!F77)*120</f>
        <v>1.4519998226466679</v>
      </c>
      <c r="G78" s="1">
        <f>(Table7[[#This Row],[Breakout]]-angvel!G77)*120</f>
        <v>1.6199963195482781</v>
      </c>
    </row>
    <row r="79" spans="1:7">
      <c r="A79" s="6">
        <v>26</v>
      </c>
      <c r="B79" s="1">
        <f>(Table7[[#This Row],[Octane]]-angvel!B78)*120</f>
        <v>1.0559842291453148</v>
      </c>
      <c r="C79" s="1">
        <f>(Table7[[#This Row],[Hybrid]]-angvel!C78)*120</f>
        <v>1.2839897318127313</v>
      </c>
      <c r="D79" s="1">
        <f>(Table7[[#This Row],[Dominus]]-angvel!D78)*120</f>
        <v>1.3439957118639256</v>
      </c>
      <c r="E79" s="1">
        <f>(Table7[[#This Row],[Plank]]-angvel!E78)*120</f>
        <v>1.4039997720361441</v>
      </c>
      <c r="F79" s="1">
        <f>(Table7[[#This Row],[Batmobile]]-angvel!F78)*120</f>
        <v>1.3319963333333362</v>
      </c>
      <c r="G79" s="1">
        <f>(Table7[[#This Row],[Breakout]]-angvel!G78)*120</f>
        <v>1.4879970129802178</v>
      </c>
    </row>
    <row r="80" spans="1:7">
      <c r="A80" s="6">
        <v>27</v>
      </c>
      <c r="B80" s="1">
        <f>(Table7[[#This Row],[Octane]]-angvel!B79)*120</f>
        <v>0.94799037229374328</v>
      </c>
      <c r="C80" s="1">
        <f>(Table7[[#This Row],[Hybrid]]-angvel!C79)*120</f>
        <v>1.1639957744826557</v>
      </c>
      <c r="D80" s="1">
        <f>(Table7[[#This Row],[Dominus]]-angvel!D79)*120</f>
        <v>1.2359963963752119</v>
      </c>
      <c r="E80" s="1">
        <f>(Table7[[#This Row],[Plank]]-angvel!E79)*120</f>
        <v>1.2839910197400162</v>
      </c>
      <c r="F80" s="1">
        <f>(Table7[[#This Row],[Batmobile]]-angvel!F79)*120</f>
        <v>1.2119928996016238</v>
      </c>
      <c r="G80" s="1">
        <f>(Table7[[#This Row],[Breakout]]-angvel!G79)*120</f>
        <v>1.3679976868616617</v>
      </c>
    </row>
    <row r="81" spans="1:7">
      <c r="A81" s="6">
        <v>28</v>
      </c>
      <c r="B81" s="1">
        <f>(Table7[[#This Row],[Octane]]-angvel!B80)*120</f>
        <v>0.86399171571120981</v>
      </c>
      <c r="C81" s="1">
        <f>(Table7[[#This Row],[Hybrid]]-angvel!C80)*120</f>
        <v>1.0679964477792048</v>
      </c>
      <c r="D81" s="1">
        <f>(Table7[[#This Row],[Dominus]]-angvel!D80)*120</f>
        <v>1.1279970650101578</v>
      </c>
      <c r="E81" s="1">
        <f>(Table7[[#This Row],[Plank]]-angvel!E80)*120</f>
        <v>1.1639951826403205</v>
      </c>
      <c r="F81" s="1">
        <f>(Table7[[#This Row],[Batmobile]]-angvel!F80)*120</f>
        <v>1.1039942414219439</v>
      </c>
      <c r="G81" s="1">
        <f>(Table7[[#This Row],[Breakout]]-angvel!G80)*120</f>
        <v>1.2599983443257301</v>
      </c>
    </row>
    <row r="82" spans="1:7">
      <c r="A82" s="6">
        <v>29</v>
      </c>
      <c r="B82" s="1">
        <f>(Table7[[#This Row],[Octane]]-angvel!B81)*120</f>
        <v>0.77999303493690775</v>
      </c>
      <c r="C82" s="1">
        <f>(Table7[[#This Row],[Hybrid]]-angvel!C81)*120</f>
        <v>0.97199710744364509</v>
      </c>
      <c r="D82" s="1">
        <f>(Table7[[#This Row],[Dominus]]-angvel!D81)*120</f>
        <v>1.0199924988074738</v>
      </c>
      <c r="E82" s="1">
        <f>(Table7[[#This Row],[Plank]]-angvel!E81)*120</f>
        <v>1.0679998937868174</v>
      </c>
      <c r="F82" s="1">
        <f>(Table7[[#This Row],[Batmobile]]-angvel!F81)*120</f>
        <v>1.0079955553848929</v>
      </c>
      <c r="G82" s="1">
        <f>(Table7[[#This Row],[Breakout]]-angvel!G81)*120</f>
        <v>1.1519999182040763</v>
      </c>
    </row>
    <row r="83" spans="1:7">
      <c r="A83" s="6">
        <v>30</v>
      </c>
      <c r="B83" s="1">
        <f>(Table7[[#This Row],[Octane]]-angvel!B82)*120</f>
        <v>0.70799433254618904</v>
      </c>
      <c r="C83" s="1">
        <f>(Table7[[#This Row],[Hybrid]]-angvel!C82)*120</f>
        <v>0.88799775418591409</v>
      </c>
      <c r="D83" s="1">
        <f>(Table7[[#This Row],[Dominus]]-angvel!D82)*120</f>
        <v>0.93599379276223971</v>
      </c>
      <c r="E83" s="1">
        <f>(Table7[[#This Row],[Plank]]-angvel!E82)*120</f>
        <v>0.98399310413630481</v>
      </c>
      <c r="F83" s="1">
        <f>(Table7[[#This Row],[Batmobile]]-angvel!F82)*120</f>
        <v>0.9239999747787131</v>
      </c>
      <c r="G83" s="1">
        <f>(Table7[[#This Row],[Breakout]]-angvel!G82)*120</f>
        <v>1.0679959158435892</v>
      </c>
    </row>
    <row r="84" spans="1:7">
      <c r="A84" s="6">
        <v>31</v>
      </c>
      <c r="B84" s="1">
        <f>(Table7[[#This Row],[Octane]]-angvel!B83)*120</f>
        <v>0.63599561296783236</v>
      </c>
      <c r="C84" s="1">
        <f>(Table7[[#This Row],[Hybrid]]-angvel!C83)*120</f>
        <v>0.8039983911876547</v>
      </c>
      <c r="D84" s="1">
        <f>(Table7[[#This Row],[Dominus]]-angvel!D83)*120</f>
        <v>0.85199597911545411</v>
      </c>
      <c r="E84" s="1">
        <f>(Table7[[#This Row],[Plank]]-angvel!E83)*120</f>
        <v>0.89999655180867499</v>
      </c>
      <c r="F84" s="1">
        <f>(Table7[[#This Row],[Batmobile]]-angvel!F83)*120</f>
        <v>0.83999904213318821</v>
      </c>
      <c r="G84" s="1">
        <f>(Table7[[#This Row],[Breakout]]-angvel!G83)*120</f>
        <v>0.97199657065186074</v>
      </c>
    </row>
    <row r="85" spans="1:7">
      <c r="A85" s="6">
        <v>32</v>
      </c>
      <c r="B85" s="1">
        <f>(Table7[[#This Row],[Octane]]-angvel!B84)*120</f>
        <v>0.57599718866855554</v>
      </c>
      <c r="C85" s="1">
        <f>(Table7[[#This Row],[Hybrid]]-angvel!C84)*120</f>
        <v>0.7319999352969031</v>
      </c>
      <c r="D85" s="1">
        <f>(Table7[[#This Row],[Dominus]]-angvel!D84)*120</f>
        <v>0.77999570671000384</v>
      </c>
      <c r="E85" s="1">
        <f>(Table7[[#This Row],[Plank]]-angvel!E84)*120</f>
        <v>0.81599995611584042</v>
      </c>
      <c r="F85" s="1">
        <f>(Table7[[#This Row],[Batmobile]]-angvel!F84)*120</f>
        <v>0.76799967176852668</v>
      </c>
      <c r="G85" s="1">
        <f>(Table7[[#This Row],[Breakout]]-angvel!G84)*120</f>
        <v>0.89999721252490339</v>
      </c>
    </row>
    <row r="86" spans="1:7">
      <c r="A86" s="6">
        <v>33</v>
      </c>
      <c r="B86" s="1">
        <f>(Table7[[#This Row],[Octane]]-angvel!B85)*120</f>
        <v>0.5279999880358055</v>
      </c>
      <c r="C86" s="1">
        <f>(Table7[[#This Row],[Hybrid]]-angvel!C85)*120</f>
        <v>0.67199537219376104</v>
      </c>
      <c r="D86" s="1">
        <f>(Table7[[#This Row],[Dominus]]-angvel!D85)*120</f>
        <v>0.71999725018058847</v>
      </c>
      <c r="E86" s="1">
        <f>(Table7[[#This Row],[Plank]]-angvel!E85)*120</f>
        <v>0.75599720746089005</v>
      </c>
      <c r="F86" s="1">
        <f>(Table7[[#This Row],[Batmobile]]-angvel!F85)*120</f>
        <v>0.69599781692724072</v>
      </c>
      <c r="G86" s="1">
        <f>(Table7[[#This Row],[Breakout]]-angvel!G85)*120</f>
        <v>0.82799784451046854</v>
      </c>
    </row>
    <row r="87" spans="1:7">
      <c r="A87" s="6">
        <v>34</v>
      </c>
      <c r="B87" s="1">
        <f>(Table7[[#This Row],[Octane]]-angvel!B86)*120</f>
        <v>0.47999782756472875</v>
      </c>
      <c r="C87" s="1">
        <f>(Table7[[#This Row],[Hybrid]]-angvel!C86)*120</f>
        <v>0.61199600894756401</v>
      </c>
      <c r="D87" s="1">
        <f>(Table7[[#This Row],[Dominus]]-angvel!D86)*120</f>
        <v>0.65999756943417864</v>
      </c>
      <c r="E87" s="1">
        <f>(Table7[[#This Row],[Plank]]-angvel!E86)*120</f>
        <v>0.69599783690462047</v>
      </c>
      <c r="F87" s="1">
        <f>(Table7[[#This Row],[Batmobile]]-angvel!F86)*120</f>
        <v>0.64799844784893423</v>
      </c>
      <c r="G87" s="1">
        <f>(Table7[[#This Row],[Breakout]]-angvel!G86)*120</f>
        <v>0.76799755615875931</v>
      </c>
    </row>
    <row r="88" spans="1:7">
      <c r="A88" s="6">
        <v>35</v>
      </c>
      <c r="B88" s="1">
        <f>(Table7[[#This Row],[Octane]]-angvel!B87)*120</f>
        <v>0.43199999428910729</v>
      </c>
      <c r="C88" s="1">
        <f>(Table7[[#This Row],[Hybrid]]-angvel!C87)*120</f>
        <v>0.56399663731188987</v>
      </c>
      <c r="D88" s="1">
        <f>(Table7[[#This Row],[Dominus]]-angvel!D87)*120</f>
        <v>0.5999984867729502</v>
      </c>
      <c r="E88" s="1">
        <f>(Table7[[#This Row],[Plank]]-angvel!E87)*120</f>
        <v>0.63599633063138761</v>
      </c>
      <c r="F88" s="1">
        <f>(Table7[[#This Row],[Batmobile]]-angvel!F87)*120</f>
        <v>0.5879999968912486</v>
      </c>
      <c r="G88" s="1">
        <f>(Table7[[#This Row],[Breakout]]-angvel!G87)*120</f>
        <v>0.70799908656619337</v>
      </c>
    </row>
    <row r="89" spans="1:7">
      <c r="A89" s="6">
        <v>36</v>
      </c>
      <c r="B89" s="1">
        <f>(Table7[[#This Row],[Octane]]-angvel!B88)*120</f>
        <v>0.39599999478354242</v>
      </c>
      <c r="C89" s="1">
        <f>(Table7[[#This Row],[Hybrid]]-angvel!C88)*120</f>
        <v>0.51599725917669481</v>
      </c>
      <c r="D89" s="1">
        <f>(Table7[[#This Row],[Dominus]]-angvel!D88)*120</f>
        <v>0.55199909546437276</v>
      </c>
      <c r="E89" s="1">
        <f>(Table7[[#This Row],[Plank]]-angvel!E88)*120</f>
        <v>0.5879990802439039</v>
      </c>
      <c r="F89" s="1">
        <f>(Table7[[#This Row],[Batmobile]]-angvel!F88)*120</f>
        <v>0.53999999715871994</v>
      </c>
      <c r="G89" s="1">
        <f>(Table7[[#This Row],[Breakout]]-angvel!G88)*120</f>
        <v>0.65999939406182762</v>
      </c>
    </row>
    <row r="90" spans="1:7">
      <c r="A90" s="6">
        <v>37</v>
      </c>
      <c r="B90" s="1">
        <f>(Table7[[#This Row],[Octane]]-angvel!B89)*120</f>
        <v>0.35999999527304816</v>
      </c>
      <c r="C90" s="1">
        <f>(Table7[[#This Row],[Hybrid]]-angvel!C89)*120</f>
        <v>0.46799787535157122</v>
      </c>
      <c r="D90" s="1">
        <f>(Table7[[#This Row],[Dominus]]-angvel!D89)*120</f>
        <v>0.50399969941388179</v>
      </c>
      <c r="E90" s="1">
        <f>(Table7[[#This Row],[Plank]]-angvel!E89)*120</f>
        <v>0.52799848002718086</v>
      </c>
      <c r="F90" s="1">
        <f>(Table7[[#This Row],[Batmobile]]-angvel!F89)*120</f>
        <v>0.49199999742267408</v>
      </c>
      <c r="G90" s="1">
        <f>(Table7[[#This Row],[Breakout]]-angvel!G89)*120</f>
        <v>0.59999999999998721</v>
      </c>
    </row>
    <row r="91" spans="1:7">
      <c r="A91" s="6">
        <v>38</v>
      </c>
      <c r="B91" s="1">
        <f>(Table7[[#This Row],[Octane]]-angvel!B90)*120</f>
        <v>0.32399999575815741</v>
      </c>
      <c r="C91" s="1">
        <f>(Table7[[#This Row],[Hybrid]]-angvel!C90)*120</f>
        <v>0.43199999290714608</v>
      </c>
      <c r="D91" s="1">
        <f>(Table7[[#This Row],[Dominus]]-angvel!D90)*120</f>
        <v>0.4679999999999751</v>
      </c>
      <c r="E91" s="1">
        <f>(Table7[[#This Row],[Plank]]-angvel!E90)*120</f>
        <v>0.49199999687692397</v>
      </c>
      <c r="F91" s="1">
        <f>(Table7[[#This Row],[Batmobile]]-angvel!F90)*120</f>
        <v>0.45600030377458189</v>
      </c>
      <c r="G91" s="1">
        <f>(Table7[[#This Row],[Breakout]]-angvel!G90)*120</f>
        <v>0.55200000000001914</v>
      </c>
    </row>
    <row r="92" spans="1:7">
      <c r="A92" s="6">
        <v>39</v>
      </c>
      <c r="B92" s="1">
        <f>(Table7[[#This Row],[Octane]]-angvel!B91)*120</f>
        <v>0.28799999623929651</v>
      </c>
      <c r="C92" s="1">
        <f>(Table7[[#This Row],[Hybrid]]-angvel!C91)*120</f>
        <v>0.39599999352065929</v>
      </c>
      <c r="D92" s="1">
        <f>(Table7[[#This Row],[Dominus]]-angvel!D91)*120</f>
        <v>0.4200002988494056</v>
      </c>
      <c r="E92" s="1">
        <f>(Table7[[#This Row],[Plank]]-angvel!E91)*120</f>
        <v>0.44399909280640415</v>
      </c>
      <c r="F92" s="1">
        <f>(Table7[[#This Row],[Batmobile]]-angvel!F91)*120</f>
        <v>0.407999997348929</v>
      </c>
      <c r="G92" s="1">
        <f>(Table7[[#This Row],[Breakout]]-angvel!G91)*120</f>
        <v>0.51599999999999646</v>
      </c>
    </row>
    <row r="93" spans="1:7">
      <c r="A93" s="6">
        <v>40</v>
      </c>
      <c r="B93" s="1">
        <f>(Table7[[#This Row],[Octane]]-angvel!B92)*120</f>
        <v>0.26399999656077533</v>
      </c>
      <c r="C93" s="1">
        <f>(Table7[[#This Row],[Hybrid]]-angvel!C92)*120</f>
        <v>0.35999999412831052</v>
      </c>
      <c r="D93" s="1">
        <f>(Table7[[#This Row],[Dominus]]-angvel!D92)*120</f>
        <v>0.39599999950965525</v>
      </c>
      <c r="E93" s="1">
        <f>(Table7[[#This Row],[Plank]]-angvel!E92)*120</f>
        <v>0.41999999894160034</v>
      </c>
      <c r="F93" s="1">
        <f>(Table7[[#This Row],[Batmobile]]-angvel!F92)*120</f>
        <v>0.38399999751320024</v>
      </c>
      <c r="G93" s="1">
        <f>(Table7[[#This Row],[Breakout]]-angvel!G92)*120</f>
        <v>0.48000000000000043</v>
      </c>
    </row>
    <row r="94" spans="1:7">
      <c r="A94" s="6">
        <v>41</v>
      </c>
      <c r="B94" s="1">
        <f>(Table7[[#This Row],[Octane]]-angvel!B93)*120</f>
        <v>0.23999999688012252</v>
      </c>
      <c r="C94" s="1">
        <f>(Table7[[#This Row],[Hybrid]]-angvel!C93)*120</f>
        <v>0.3239999947305261</v>
      </c>
      <c r="D94" s="1">
        <f>(Table7[[#This Row],[Dominus]]-angvel!D93)*120</f>
        <v>0.36000089329931484</v>
      </c>
      <c r="E94" s="1">
        <f>(Table7[[#This Row],[Plank]]-angvel!E93)*120</f>
        <v>0.38399969858490479</v>
      </c>
      <c r="F94" s="1">
        <f>(Table7[[#This Row],[Batmobile]]-angvel!F93)*120</f>
        <v>0.34799999775338541</v>
      </c>
      <c r="G94" s="1">
        <f>(Table7[[#This Row],[Breakout]]-angvel!G93)*120</f>
        <v>0.44399999999997775</v>
      </c>
    </row>
    <row r="95" spans="1:7">
      <c r="A95" s="6">
        <v>42</v>
      </c>
      <c r="B95" s="1">
        <f>(Table7[[#This Row],[Octane]]-angvel!B94)*120</f>
        <v>0.22799999704199436</v>
      </c>
      <c r="C95" s="1">
        <f>(Table7[[#This Row],[Hybrid]]-angvel!C94)*120</f>
        <v>0.2999999951335397</v>
      </c>
      <c r="D95" s="1">
        <f>(Table7[[#This Row],[Dominus]]-angvel!D94)*120</f>
        <v>0.32400148598332734</v>
      </c>
      <c r="E95" s="1">
        <f>(Table7[[#This Row],[Plank]]-angvel!E94)*120</f>
        <v>0.34799999956431016</v>
      </c>
      <c r="F95" s="1">
        <f>(Table7[[#This Row],[Batmobile]]-angvel!F94)*120</f>
        <v>0.31199908516615693</v>
      </c>
      <c r="G95" s="1">
        <f>(Table7[[#This Row],[Breakout]]-angvel!G94)*120</f>
        <v>0.40800000000000836</v>
      </c>
    </row>
    <row r="96" spans="1:7">
      <c r="A96" s="6">
        <v>43</v>
      </c>
      <c r="B96" s="1">
        <f>(Table7[[#This Row],[Octane]]-angvel!B95)*120</f>
        <v>0.2039996921389875</v>
      </c>
      <c r="C96" s="1">
        <f>(Table7[[#This Row],[Hybrid]]-angvel!C95)*120</f>
        <v>0.27599909791225841</v>
      </c>
      <c r="D96" s="1">
        <f>(Table7[[#This Row],[Dominus]]-angvel!D95)*120</f>
        <v>0.29999999668477884</v>
      </c>
      <c r="E96" s="1">
        <f>(Table7[[#This Row],[Plank]]-angvel!E95)*120</f>
        <v>0.32399999959554115</v>
      </c>
      <c r="F96" s="1">
        <f>(Table7[[#This Row],[Batmobile]]-angvel!F95)*120</f>
        <v>0.28799969535504566</v>
      </c>
      <c r="G96" s="1">
        <f>(Table7[[#This Row],[Breakout]]-angvel!G95)*120</f>
        <v>0.37199999999998568</v>
      </c>
    </row>
    <row r="97" spans="1:7">
      <c r="A97" s="6">
        <v>44</v>
      </c>
      <c r="B97" s="1">
        <f>(Table7[[#This Row],[Octane]]-angvel!B96)*120</f>
        <v>0.17999999790552224</v>
      </c>
      <c r="C97" s="1">
        <f>(Table7[[#This Row],[Hybrid]]-angvel!C96)*120</f>
        <v>0.25199999686991603</v>
      </c>
      <c r="D97" s="1">
        <f>(Table7[[#This Row],[Dominus]]-angvel!D96)*120</f>
        <v>0.27599999695720356</v>
      </c>
      <c r="E97" s="1">
        <f>(Table7[[#This Row],[Plank]]-angvel!E96)*120</f>
        <v>0.28799999964132184</v>
      </c>
      <c r="F97" s="1">
        <f>(Table7[[#This Row],[Batmobile]]-angvel!F96)*120</f>
        <v>0.26399999966173482</v>
      </c>
      <c r="G97" s="1">
        <f>(Table7[[#This Row],[Breakout]]-angvel!G96)*120</f>
        <v>0.34800000000004161</v>
      </c>
    </row>
    <row r="98" spans="1:7">
      <c r="A98" s="6">
        <v>45</v>
      </c>
      <c r="B98" s="1">
        <f>(Table7[[#This Row],[Octane]]-angvel!B97)*120</f>
        <v>0.1679999980480229</v>
      </c>
      <c r="C98" s="1">
        <f>(Table7[[#This Row],[Hybrid]]-angvel!C97)*120</f>
        <v>0.22799969856219349</v>
      </c>
      <c r="D98" s="1">
        <f>(Table7[[#This Row],[Dominus]]-angvel!D97)*120</f>
        <v>0.25200207273680775</v>
      </c>
      <c r="E98" s="1">
        <f>(Table7[[#This Row],[Plank]]-angvel!E97)*120</f>
        <v>0.27599999965712385</v>
      </c>
      <c r="F98" s="1">
        <f>(Table7[[#This Row],[Batmobile]]-angvel!F97)*120</f>
        <v>0.25199999967780329</v>
      </c>
      <c r="G98" s="1">
        <f>(Table7[[#This Row],[Breakout]]-angvel!G97)*120</f>
        <v>0.32399999999999096</v>
      </c>
    </row>
    <row r="99" spans="1:7">
      <c r="A99" s="6">
        <v>46</v>
      </c>
      <c r="B99" s="1">
        <f>(Table7[[#This Row],[Octane]]-angvel!B98)*120</f>
        <v>0.15599999818996402</v>
      </c>
      <c r="C99" s="1">
        <f>(Table7[[#This Row],[Hybrid]]-angvel!C98)*120</f>
        <v>0.21600208600382587</v>
      </c>
      <c r="D99" s="1">
        <f>(Table7[[#This Row],[Dominus]]-angvel!D98)*120</f>
        <v>0.2279999955499612</v>
      </c>
      <c r="E99" s="1">
        <f>(Table7[[#This Row],[Plank]]-angvel!E98)*120</f>
        <v>0.25199999968760878</v>
      </c>
      <c r="F99" s="1">
        <f>(Table7[[#This Row],[Batmobile]]-angvel!F98)*120</f>
        <v>0.22799999970908758</v>
      </c>
      <c r="G99" s="1">
        <f>(Table7[[#This Row],[Breakout]]-angvel!G98)*120</f>
        <v>0.29999999999999361</v>
      </c>
    </row>
    <row r="100" spans="1:7">
      <c r="A100" s="6">
        <v>47</v>
      </c>
      <c r="B100" s="1">
        <f>(Table7[[#This Row],[Octane]]-angvel!B99)*120</f>
        <v>0.13199999847027577</v>
      </c>
      <c r="C100" s="1">
        <f>(Table7[[#This Row],[Hybrid]]-angvel!C99)*120</f>
        <v>0.1919999962053609</v>
      </c>
      <c r="D100" s="1">
        <f>(Table7[[#This Row],[Dominus]]-angvel!D99)*120</f>
        <v>0.21599999579182239</v>
      </c>
      <c r="E100" s="1">
        <f>(Table7[[#This Row],[Plank]]-angvel!E99)*120</f>
        <v>0.22799999971793383</v>
      </c>
      <c r="F100" s="1">
        <f>(Table7[[#This Row],[Batmobile]]-angvel!F99)*120</f>
        <v>0.20399999974018534</v>
      </c>
      <c r="G100" s="1">
        <f>(Table7[[#This Row],[Breakout]]-angvel!G99)*120</f>
        <v>0.27599999999999625</v>
      </c>
    </row>
    <row r="101" spans="1:7">
      <c r="A101" s="6">
        <v>48</v>
      </c>
      <c r="B101" s="1">
        <f>(Table7[[#This Row],[Octane]]-angvel!B100)*120</f>
        <v>0.11999999861083133</v>
      </c>
      <c r="C101" s="1">
        <f>(Table7[[#This Row],[Hybrid]]-angvel!C100)*120</f>
        <v>0.17999999644791487</v>
      </c>
      <c r="D101" s="1">
        <f>(Table7[[#This Row],[Dominus]]-angvel!D100)*120</f>
        <v>0.19199999626568598</v>
      </c>
      <c r="E101" s="1">
        <f>(Table7[[#This Row],[Plank]]-angvel!E100)*120</f>
        <v>0.20399999974804572</v>
      </c>
      <c r="F101" s="1">
        <f>(Table7[[#This Row],[Batmobile]]-angvel!F100)*120</f>
        <v>0.19200030220570596</v>
      </c>
      <c r="G101" s="1">
        <f>(Table7[[#This Row],[Breakout]]-angvel!G100)*120</f>
        <v>0.25199999999999889</v>
      </c>
    </row>
    <row r="102" spans="1:7">
      <c r="A102" s="6">
        <v>49</v>
      </c>
      <c r="B102" s="1">
        <f>(Table7[[#This Row],[Octane]]-angvel!B101)*120</f>
        <v>0.11999999861224353</v>
      </c>
      <c r="C102" s="1">
        <f>(Table7[[#This Row],[Hybrid]]-angvel!C101)*120</f>
        <v>0.16799791294273447</v>
      </c>
      <c r="D102" s="1">
        <f>(Table7[[#This Row],[Dominus]]-angvel!D101)*120</f>
        <v>0.17999999650440301</v>
      </c>
      <c r="E102" s="1">
        <f>(Table7[[#This Row],[Plank]]-angvel!E101)*120</f>
        <v>0.19199999976331483</v>
      </c>
      <c r="F102" s="1">
        <f>(Table7[[#This Row],[Batmobile]]-angvel!F101)*120</f>
        <v>0.1800009062069563</v>
      </c>
      <c r="G102" s="1">
        <f>(Table7[[#This Row],[Breakout]]-angvel!G101)*120</f>
        <v>0.24000000000002686</v>
      </c>
    </row>
    <row r="103" spans="1:7">
      <c r="A103" s="6">
        <v>50</v>
      </c>
      <c r="B103" s="1">
        <f>(Table7[[#This Row],[Octane]]-angvel!B102)*120</f>
        <v>0.10799999875218624</v>
      </c>
      <c r="C103" s="1">
        <f>(Table7[[#This Row],[Hybrid]]-angvel!C102)*120</f>
        <v>0.14399851090095339</v>
      </c>
      <c r="D103" s="1">
        <f>(Table7[[#This Row],[Dominus]]-angvel!D102)*120</f>
        <v>0.16799999674210753</v>
      </c>
      <c r="E103" s="1">
        <f>(Table7[[#This Row],[Plank]]-angvel!E102)*120</f>
        <v>0.17999999977837078</v>
      </c>
      <c r="F103" s="1">
        <f>(Table7[[#This Row],[Batmobile]]-angvel!F102)*120</f>
        <v>0.15599999901114714</v>
      </c>
      <c r="G103" s="1">
        <f>(Table7[[#This Row],[Breakout]]-angvel!G102)*120</f>
        <v>0.21599999999997621</v>
      </c>
    </row>
    <row r="104" spans="1:7">
      <c r="A104" s="6">
        <v>51</v>
      </c>
      <c r="B104" s="1">
        <f>(Table7[[#This Row],[Octane]]-angvel!B103)*120</f>
        <v>9.6002125689453877E-2</v>
      </c>
      <c r="C104" s="1">
        <f>(Table7[[#This Row],[Hybrid]]-angvel!C103)*120</f>
        <v>0.1319991073348703</v>
      </c>
      <c r="D104" s="1">
        <f>(Table7[[#This Row],[Dominus]]-angvel!D103)*120</f>
        <v>0.15599999697885281</v>
      </c>
      <c r="E104" s="1">
        <f>(Table7[[#This Row],[Plank]]-angvel!E103)*120</f>
        <v>0.16799999979353331</v>
      </c>
      <c r="F104" s="1">
        <f>(Table7[[#This Row],[Batmobile]]-angvel!F103)*120</f>
        <v>0.14399999908836669</v>
      </c>
      <c r="G104" s="1">
        <f>(Table7[[#This Row],[Breakout]]-angvel!G103)*120</f>
        <v>0.20400000000000418</v>
      </c>
    </row>
    <row r="105" spans="1:7">
      <c r="A105" s="6">
        <v>52</v>
      </c>
      <c r="B105" s="1">
        <f>(Table7[[#This Row],[Octane]]-angvel!B104)*120</f>
        <v>8.4000301998017335E-2</v>
      </c>
      <c r="C105" s="1">
        <f>(Table7[[#This Row],[Hybrid]]-angvel!C104)*120</f>
        <v>0.11999999985274457</v>
      </c>
      <c r="D105" s="1">
        <f>(Table7[[#This Row],[Dominus]]-angvel!D104)*120</f>
        <v>0.14399999721458556</v>
      </c>
      <c r="E105" s="1">
        <f>(Table7[[#This Row],[Plank]]-angvel!E104)*120</f>
        <v>0.14399999982316558</v>
      </c>
      <c r="F105" s="1">
        <f>(Table7[[#This Row],[Batmobile]]-angvel!F104)*120</f>
        <v>0.13199999916529315</v>
      </c>
      <c r="G105" s="1">
        <f>(Table7[[#This Row],[Breakout]]-angvel!G104)*120</f>
        <v>0.18000000000000682</v>
      </c>
    </row>
    <row r="106" spans="1:7">
      <c r="A106" s="6">
        <v>53</v>
      </c>
      <c r="B106" s="1">
        <f>(Table7[[#This Row],[Octane]]-angvel!B105)*120</f>
        <v>7.1999998432286105E-2</v>
      </c>
      <c r="C106" s="1">
        <f>(Table7[[#This Row],[Hybrid]]-angvel!C105)*120</f>
        <v>0.11999999985285115</v>
      </c>
      <c r="D106" s="1">
        <f>(Table7[[#This Row],[Dominus]]-angvel!D105)*120</f>
        <v>0.13199999744967883</v>
      </c>
      <c r="E106" s="1">
        <f>(Table7[[#This Row],[Plank]]-angvel!E105)*120</f>
        <v>0.14399999982343203</v>
      </c>
      <c r="F106" s="1">
        <f>(Table7[[#This Row],[Batmobile]]-angvel!F105)*120</f>
        <v>0.11999999924200644</v>
      </c>
      <c r="G106" s="1">
        <f>(Table7[[#This Row],[Breakout]]-angvel!G105)*120</f>
        <v>0.1679999999999815</v>
      </c>
    </row>
    <row r="107" spans="1:7">
      <c r="A107" s="6">
        <v>54</v>
      </c>
      <c r="B107" s="1">
        <f>(Table7[[#This Row],[Octane]]-angvel!B106)*120</f>
        <v>7.1999998433245338E-2</v>
      </c>
      <c r="C107" s="1">
        <f>(Table7[[#This Row],[Hybrid]]-angvel!C106)*120</f>
        <v>0.10799999986769393</v>
      </c>
      <c r="D107" s="1">
        <f>(Table7[[#This Row],[Dominus]]-angvel!D106)*120</f>
        <v>0.11999999768386616</v>
      </c>
      <c r="E107" s="1">
        <f>(Table7[[#This Row],[Plank]]-angvel!E106)*120</f>
        <v>0.13199999983832811</v>
      </c>
      <c r="F107" s="1">
        <f>(Table7[[#This Row],[Batmobile]]-angvel!F106)*120</f>
        <v>0.11999999924272586</v>
      </c>
      <c r="G107" s="1">
        <f>(Table7[[#This Row],[Breakout]]-angvel!G106)*120</f>
        <v>0.15600000000000946</v>
      </c>
    </row>
    <row r="108" spans="1:7">
      <c r="A108" s="6">
        <v>55</v>
      </c>
      <c r="B108" s="1">
        <f>(Table7[[#This Row],[Octane]]-angvel!B107)*120</f>
        <v>5.9997874479087443E-2</v>
      </c>
      <c r="C108" s="1">
        <f>(Table7[[#This Row],[Hybrid]]-angvel!C107)*120</f>
        <v>9.5999999882483422E-2</v>
      </c>
      <c r="D108" s="1">
        <f>(Table7[[#This Row],[Dominus]]-angvel!D107)*120</f>
        <v>0.10799999791746728</v>
      </c>
      <c r="E108" s="1">
        <f>(Table7[[#This Row],[Plank]]-angvel!E107)*120</f>
        <v>0.11999999985317089</v>
      </c>
      <c r="F108" s="1">
        <f>(Table7[[#This Row],[Batmobile]]-angvel!F107)*120</f>
        <v>0.1079996980840825</v>
      </c>
      <c r="G108" s="1">
        <f>(Table7[[#This Row],[Breakout]]-angvel!G107)*120</f>
        <v>0.14399999999998414</v>
      </c>
    </row>
    <row r="109" spans="1:7">
      <c r="A109" s="6">
        <v>56</v>
      </c>
      <c r="B109" s="1">
        <f>(Table7[[#This Row],[Octane]]-angvel!B108)*120</f>
        <v>5.9998482319212343E-2</v>
      </c>
      <c r="C109" s="1">
        <f>(Table7[[#This Row],[Hybrid]]-angvel!C108)*120</f>
        <v>8.3999999897326205E-2</v>
      </c>
      <c r="D109" s="1">
        <f>(Table7[[#This Row],[Dominus]]-angvel!D108)*120</f>
        <v>9.5999998150428922E-2</v>
      </c>
      <c r="E109" s="1">
        <f>(Table7[[#This Row],[Plank]]-angvel!E108)*120</f>
        <v>0.10799970326409891</v>
      </c>
      <c r="F109" s="1">
        <f>(Table7[[#This Row],[Batmobile]]-angvel!F108)*120</f>
        <v>9.5999096173855492E-2</v>
      </c>
      <c r="G109" s="1">
        <f>(Table7[[#This Row],[Breakout]]-angvel!G108)*120</f>
        <v>0.13200000000001211</v>
      </c>
    </row>
    <row r="110" spans="1:7">
      <c r="A110" s="6">
        <v>57</v>
      </c>
      <c r="B110" s="1">
        <f>(Table7[[#This Row],[Octane]]-angvel!B109)*120</f>
        <v>4.7999999693253415E-2</v>
      </c>
      <c r="C110" s="1">
        <f>(Table7[[#This Row],[Hybrid]]-angvel!C109)*120</f>
        <v>8.4000889664999079E-2</v>
      </c>
      <c r="D110" s="1">
        <f>(Table7[[#This Row],[Dominus]]-angvel!D109)*120</f>
        <v>9.5999998151814481E-2</v>
      </c>
      <c r="E110" s="1">
        <f>(Table7[[#This Row],[Plank]]-angvel!E109)*120</f>
        <v>9.5999999999989427E-2</v>
      </c>
      <c r="F110" s="1">
        <f>(Table7[[#This Row],[Batmobile]]-angvel!F109)*120</f>
        <v>8.399999989426199E-2</v>
      </c>
      <c r="G110" s="1">
        <f>(Table7[[#This Row],[Breakout]]-angvel!G109)*120</f>
        <v>0.13200000000001211</v>
      </c>
    </row>
    <row r="111" spans="1:7">
      <c r="A111" s="6">
        <v>58</v>
      </c>
      <c r="B111" s="1">
        <f>(Table7[[#This Row],[Octane]]-angvel!B110)*120</f>
        <v>4.7999999693386641E-2</v>
      </c>
      <c r="C111" s="1">
        <f>(Table7[[#This Row],[Hybrid]]-angvel!C110)*120</f>
        <v>7.2001482154657737E-2</v>
      </c>
      <c r="D111" s="1">
        <f>(Table7[[#This Row],[Dominus]]-angvel!D110)*120</f>
        <v>8.399999838403005E-2</v>
      </c>
      <c r="E111" s="1">
        <f>(Table7[[#This Row],[Plank]]-angvel!E110)*120</f>
        <v>9.6000000000042718E-2</v>
      </c>
      <c r="F111" s="1">
        <f>(Table7[[#This Row],[Batmobile]]-angvel!F110)*120</f>
        <v>8.3999698991625849E-2</v>
      </c>
      <c r="G111" s="1">
        <f>(Table7[[#This Row],[Breakout]]-angvel!G110)*120</f>
        <v>0.12000029403113288</v>
      </c>
    </row>
    <row r="112" spans="1:7">
      <c r="A112" s="6">
        <v>59</v>
      </c>
      <c r="B112" s="1">
        <f>(Table7[[#This Row],[Octane]]-angvel!B111)*120</f>
        <v>4.7999999693519868E-2</v>
      </c>
      <c r="C112" s="1">
        <f>(Table7[[#This Row],[Hybrid]]-angvel!C111)*120</f>
        <v>7.1999999208998133E-2</v>
      </c>
      <c r="D112" s="1">
        <f>(Table7[[#This Row],[Dominus]]-angvel!D111)*120</f>
        <v>7.1999998615819294E-2</v>
      </c>
      <c r="E112" s="1">
        <f>(Table7[[#This Row],[Plank]]-angvel!E111)*120</f>
        <v>8.3999999999964103E-2</v>
      </c>
      <c r="F112" s="1">
        <f>(Table7[[#This Row],[Batmobile]]-angvel!F111)*120</f>
        <v>7.199999999999207E-2</v>
      </c>
      <c r="G112" s="1">
        <f>(Table7[[#This Row],[Breakout]]-angvel!G111)*120</f>
        <v>0.10800088157504106</v>
      </c>
    </row>
    <row r="113" spans="1:7">
      <c r="A113" s="6">
        <v>60</v>
      </c>
      <c r="B113" s="1">
        <f>(Table7[[#This Row],[Octane]]-angvel!B112)*120</f>
        <v>3.5999999770206514E-2</v>
      </c>
      <c r="C113" s="1">
        <f>(Table7[[#This Row],[Hybrid]]-angvel!C112)*120</f>
        <v>5.999999934124034E-2</v>
      </c>
      <c r="D113" s="1">
        <f>(Table7[[#This Row],[Dominus]]-angvel!D112)*120</f>
        <v>7.1999998616565364E-2</v>
      </c>
      <c r="E113" s="1">
        <f>(Table7[[#This Row],[Plank]]-angvel!E112)*120</f>
        <v>7.199999999999207E-2</v>
      </c>
      <c r="F113" s="1">
        <f>(Table7[[#This Row],[Batmobile]]-angvel!F112)*120</f>
        <v>7.2000000000018716E-2</v>
      </c>
      <c r="G113" s="1">
        <f>(Table7[[#This Row],[Breakout]]-angvel!G112)*120</f>
        <v>9.5999999539451153E-2</v>
      </c>
    </row>
    <row r="114" spans="1:7">
      <c r="A114" s="6">
        <v>61</v>
      </c>
      <c r="B114" s="1">
        <f>(Table7[[#This Row],[Octane]]-angvel!B113)*120</f>
        <v>3.5999696663440162E-2</v>
      </c>
      <c r="C114" s="1">
        <f>(Table7[[#This Row],[Hybrid]]-angvel!C113)*120</f>
        <v>5.9999999341506793E-2</v>
      </c>
      <c r="D114" s="1">
        <f>(Table7[[#This Row],[Dominus]]-angvel!D113)*120</f>
        <v>5.999999884776841E-2</v>
      </c>
      <c r="E114" s="1">
        <f>(Table7[[#This Row],[Plank]]-angvel!E113)*120</f>
        <v>7.2000000000045361E-2</v>
      </c>
      <c r="F114" s="1">
        <f>(Table7[[#This Row],[Batmobile]]-angvel!F113)*120</f>
        <v>5.9999999999993392E-2</v>
      </c>
      <c r="G114" s="1">
        <f>(Table7[[#This Row],[Breakout]]-angvel!G113)*120</f>
        <v>9.5999999539877479E-2</v>
      </c>
    </row>
    <row r="115" spans="1:7">
      <c r="A115" s="6">
        <v>62</v>
      </c>
      <c r="B115" s="1">
        <f>(Table7[[#This Row],[Octane]]-angvel!B114)*120</f>
        <v>3.6001515120824834E-2</v>
      </c>
      <c r="C115" s="1">
        <f>(Table7[[#This Row],[Hybrid]]-angvel!C114)*120</f>
        <v>4.7998518430780734E-2</v>
      </c>
      <c r="D115" s="1">
        <f>(Table7[[#This Row],[Dominus]]-angvel!D114)*120</f>
        <v>5.9999998848354608E-2</v>
      </c>
      <c r="E115" s="1">
        <f>(Table7[[#This Row],[Plank]]-angvel!E114)*120</f>
        <v>5.9999999999966747E-2</v>
      </c>
      <c r="F115" s="1">
        <f>(Table7[[#This Row],[Batmobile]]-angvel!F114)*120</f>
        <v>5.9999999999993392E-2</v>
      </c>
      <c r="G115" s="1">
        <f>(Table7[[#This Row],[Breakout]]-angvel!G114)*120</f>
        <v>8.399999959767257E-2</v>
      </c>
    </row>
    <row r="116" spans="1:7">
      <c r="A116" s="6">
        <v>63</v>
      </c>
      <c r="B116" s="1">
        <f>(Table7[[#This Row],[Octane]]-angvel!B115)*120</f>
        <v>3.5999999586753262E-2</v>
      </c>
      <c r="C116" s="1">
        <f>(Table7[[#This Row],[Hybrid]]-angvel!C115)*120</f>
        <v>4.7999111315935039E-2</v>
      </c>
      <c r="D116" s="1">
        <f>(Table7[[#This Row],[Dominus]]-angvel!D115)*120</f>
        <v>5.9997942344054422E-2</v>
      </c>
      <c r="E116" s="1">
        <f>(Table7[[#This Row],[Plank]]-angvel!E115)*120</f>
        <v>6.0000000000020037E-2</v>
      </c>
      <c r="F116" s="1">
        <f>(Table7[[#This Row],[Batmobile]]-angvel!F115)*120</f>
        <v>4.7999999999994714E-2</v>
      </c>
      <c r="G116" s="1">
        <f>(Table7[[#This Row],[Breakout]]-angvel!G115)*120</f>
        <v>8.3999119187101456E-2</v>
      </c>
    </row>
    <row r="117" spans="1:7">
      <c r="A117" s="6">
        <v>64</v>
      </c>
      <c r="B117" s="1">
        <f>(Table7[[#This Row],[Octane]]-angvel!B116)*120</f>
        <v>2.3999999724564347E-2</v>
      </c>
      <c r="C117" s="1">
        <f>(Table7[[#This Row],[Hybrid]]-angvel!C116)*120</f>
        <v>4.7999703850010178E-2</v>
      </c>
      <c r="D117" s="1">
        <f>(Table7[[#This Row],[Dominus]]-angvel!D116)*120</f>
        <v>4.7999999482222222E-2</v>
      </c>
      <c r="E117" s="1">
        <f>(Table7[[#This Row],[Plank]]-angvel!E116)*120</f>
        <v>6.0000295872519871E-2</v>
      </c>
      <c r="F117" s="1">
        <f>(Table7[[#This Row],[Batmobile]]-angvel!F116)*120</f>
        <v>4.8000000000021359E-2</v>
      </c>
      <c r="G117" s="1">
        <f>(Table7[[#This Row],[Breakout]]-angvel!G116)*120</f>
        <v>7.1999706529730645E-2</v>
      </c>
    </row>
    <row r="118" spans="1:7">
      <c r="A118" s="6">
        <v>65</v>
      </c>
      <c r="B118" s="1">
        <f>(Table7[[#This Row],[Octane]]-angvel!B117)*120</f>
        <v>2.3999999724644283E-2</v>
      </c>
      <c r="C118" s="1">
        <f>(Table7[[#This Row],[Hybrid]]-angvel!C117)*120</f>
        <v>3.599999999996939E-2</v>
      </c>
      <c r="D118" s="1">
        <f>(Table7[[#This Row],[Dominus]]-angvel!D117)*120</f>
        <v>4.7998531125532651E-2</v>
      </c>
      <c r="E118" s="1">
        <f>(Table7[[#This Row],[Plank]]-angvel!E117)*120</f>
        <v>4.7999999941694682E-2</v>
      </c>
      <c r="F118" s="1">
        <f>(Table7[[#This Row],[Batmobile]]-angvel!F117)*120</f>
        <v>4.7999999999994714E-2</v>
      </c>
      <c r="G118" s="1">
        <f>(Table7[[#This Row],[Breakout]]-angvel!G117)*120</f>
        <v>7.199999999999207E-2</v>
      </c>
    </row>
    <row r="119" spans="1:7">
      <c r="A119" s="6">
        <v>66</v>
      </c>
      <c r="B119" s="1">
        <f>(Table7[[#This Row],[Octane]]-angvel!B118)*120</f>
        <v>2.3999999724670928E-2</v>
      </c>
      <c r="C119" s="1">
        <f>(Table7[[#This Row],[Hybrid]]-angvel!C118)*120</f>
        <v>3.6000000000022681E-2</v>
      </c>
      <c r="D119" s="1">
        <f>(Table7[[#This Row],[Dominus]]-angvel!D118)*120</f>
        <v>4.7999999770045321E-2</v>
      </c>
      <c r="E119" s="1">
        <f>(Table7[[#This Row],[Plank]]-angvel!E118)*120</f>
        <v>4.7999999941694682E-2</v>
      </c>
      <c r="F119" s="1">
        <f>(Table7[[#This Row],[Batmobile]]-angvel!F118)*120</f>
        <v>3.6000300345397918E-2</v>
      </c>
      <c r="G119" s="1">
        <f>(Table7[[#This Row],[Breakout]]-angvel!G118)*120</f>
        <v>5.9999999999966747E-2</v>
      </c>
    </row>
    <row r="120" spans="1:7">
      <c r="A120" s="6">
        <v>67</v>
      </c>
      <c r="B120" s="1">
        <f>(Table7[[#This Row],[Octane]]-angvel!B119)*120</f>
        <v>2.3998485261662594E-2</v>
      </c>
      <c r="C120" s="1">
        <f>(Table7[[#This Row],[Hybrid]]-angvel!C119)*120</f>
        <v>3.599999999996939E-2</v>
      </c>
      <c r="D120" s="1">
        <f>(Table7[[#This Row],[Dominus]]-angvel!D119)*120</f>
        <v>3.5999119115217582E-2</v>
      </c>
      <c r="E120" s="1">
        <f>(Table7[[#This Row],[Plank]]-angvel!E119)*120</f>
        <v>4.7999999941694682E-2</v>
      </c>
      <c r="F120" s="1">
        <f>(Table7[[#This Row],[Batmobile]]-angvel!F119)*120</f>
        <v>3.5999999954885453E-2</v>
      </c>
      <c r="G120" s="1">
        <f>(Table7[[#This Row],[Breakout]]-angvel!G119)*120</f>
        <v>6.0000000000020037E-2</v>
      </c>
    </row>
    <row r="121" spans="1:7">
      <c r="A121" s="6">
        <v>68</v>
      </c>
      <c r="B121" s="1">
        <f>(Table7[[#This Row],[Octane]]-angvel!B120)*120</f>
        <v>2.399909129155553E-2</v>
      </c>
      <c r="C121" s="1">
        <f>(Table7[[#This Row],[Hybrid]]-angvel!C120)*120</f>
        <v>3.6000000000022681E-2</v>
      </c>
      <c r="D121" s="1">
        <f>(Table7[[#This Row],[Dominus]]-angvel!D120)*120</f>
        <v>3.59999999569105E-2</v>
      </c>
      <c r="E121" s="1">
        <f>(Table7[[#This Row],[Plank]]-angvel!E120)*120</f>
        <v>3.6000886917921804E-2</v>
      </c>
      <c r="F121" s="1">
        <f>(Table7[[#This Row],[Batmobile]]-angvel!F120)*120</f>
        <v>3.6000300210146108E-2</v>
      </c>
      <c r="G121" s="1">
        <f>(Table7[[#This Row],[Breakout]]-angvel!G120)*120</f>
        <v>4.7999999999994714E-2</v>
      </c>
    </row>
    <row r="122" spans="1:7">
      <c r="A122" s="6">
        <v>69</v>
      </c>
      <c r="B122" s="1">
        <f>(Table7[[#This Row],[Octane]]-angvel!B121)*120</f>
        <v>1.1999999984704246E-2</v>
      </c>
      <c r="C122" s="1">
        <f>(Table7[[#This Row],[Hybrid]]-angvel!C121)*120</f>
        <v>2.3999999999997357E-2</v>
      </c>
      <c r="D122" s="1">
        <f>(Table7[[#This Row],[Dominus]]-angvel!D121)*120</f>
        <v>3.5999999956963791E-2</v>
      </c>
      <c r="E122" s="1">
        <f>(Table7[[#This Row],[Plank]]-angvel!E121)*120</f>
        <v>3.5999999825229168E-2</v>
      </c>
      <c r="F122" s="1">
        <f>(Table7[[#This Row],[Batmobile]]-angvel!F121)*120</f>
        <v>3.5999999909854807E-2</v>
      </c>
      <c r="G122" s="1">
        <f>(Table7[[#This Row],[Breakout]]-angvel!G121)*120</f>
        <v>4.800029304030673E-2</v>
      </c>
    </row>
    <row r="123" spans="1:7">
      <c r="A123" s="6">
        <v>70</v>
      </c>
      <c r="B123" s="1">
        <f>(Table7[[#This Row],[Octane]]-angvel!B122)*120</f>
        <v>1.1999999984704246E-2</v>
      </c>
      <c r="C123" s="1">
        <f>(Table7[[#This Row],[Hybrid]]-angvel!C122)*120</f>
        <v>2.4000295858002119E-2</v>
      </c>
      <c r="D123" s="1">
        <f>(Table7[[#This Row],[Dominus]]-angvel!D122)*120</f>
        <v>2.3999999971273667E-2</v>
      </c>
      <c r="E123" s="1">
        <f>(Table7[[#This Row],[Plank]]-angvel!E122)*120</f>
        <v>3.5999999825175877E-2</v>
      </c>
      <c r="F123" s="1">
        <f>(Table7[[#This Row],[Batmobile]]-angvel!F122)*120</f>
        <v>2.4000900480247722E-2</v>
      </c>
      <c r="G123" s="1">
        <f>(Table7[[#This Row],[Breakout]]-angvel!G122)*120</f>
        <v>4.8000878891887311E-2</v>
      </c>
    </row>
    <row r="124" spans="1:7">
      <c r="A124" s="6">
        <v>71</v>
      </c>
      <c r="B124" s="1">
        <f>(Table7[[#This Row],[Octane]]-angvel!B123)*120</f>
        <v>1.1999999984730891E-2</v>
      </c>
      <c r="C124" s="1">
        <f>(Table7[[#This Row],[Hybrid]]-angvel!C123)*120</f>
        <v>2.4000887457251707E-2</v>
      </c>
      <c r="D124" s="1">
        <f>(Table7[[#This Row],[Dominus]]-angvel!D123)*120</f>
        <v>2.3999999971273667E-2</v>
      </c>
      <c r="E124" s="1">
        <f>(Table7[[#This Row],[Plank]]-angvel!E123)*120</f>
        <v>2.3999999883557166E-2</v>
      </c>
      <c r="F124" s="1">
        <f>(Table7[[#This Row],[Batmobile]]-angvel!F123)*120</f>
        <v>2.3999999849850795E-2</v>
      </c>
      <c r="G124" s="1">
        <f>(Table7[[#This Row],[Breakout]]-angvel!G123)*120</f>
        <v>4.7999999771164426E-2</v>
      </c>
    </row>
    <row r="125" spans="1:7">
      <c r="A125" s="6">
        <v>72</v>
      </c>
      <c r="B125" s="1">
        <f>(Table7[[#This Row],[Octane]]-angvel!B124)*120</f>
        <v>1.1999999984704246E-2</v>
      </c>
      <c r="C125" s="1">
        <f>(Table7[[#This Row],[Hybrid]]-angvel!C124)*120</f>
        <v>2.3999999883290712E-2</v>
      </c>
      <c r="D125" s="1">
        <f>(Table7[[#This Row],[Dominus]]-angvel!D124)*120</f>
        <v>2.3999999971326957E-2</v>
      </c>
      <c r="E125" s="1">
        <f>(Table7[[#This Row],[Plank]]-angvel!E124)*120</f>
        <v>2.3999999883610457E-2</v>
      </c>
      <c r="F125" s="1">
        <f>(Table7[[#This Row],[Batmobile]]-angvel!F124)*120</f>
        <v>2.3999999849850795E-2</v>
      </c>
      <c r="G125" s="1">
        <f>(Table7[[#This Row],[Breakout]]-angvel!G124)*120</f>
        <v>3.599999982842661E-2</v>
      </c>
    </row>
    <row r="126" spans="1:7">
      <c r="A126" s="6">
        <v>73</v>
      </c>
      <c r="B126" s="1">
        <f>(Table7[[#This Row],[Octane]]-angvel!B125)*120</f>
        <v>1.1999999984704246E-2</v>
      </c>
      <c r="C126" s="1">
        <f>(Table7[[#This Row],[Hybrid]]-angvel!C125)*120</f>
        <v>2.3999999883344003E-2</v>
      </c>
      <c r="D126" s="1">
        <f>(Table7[[#This Row],[Dominus]]-angvel!D125)*120</f>
        <v>2.3999999971326957E-2</v>
      </c>
      <c r="E126" s="1">
        <f>(Table7[[#This Row],[Plank]]-angvel!E125)*120</f>
        <v>2.3999999883557166E-2</v>
      </c>
      <c r="F126" s="1">
        <f>(Table7[[#This Row],[Batmobile]]-angvel!F125)*120</f>
        <v>2.3999999849904086E-2</v>
      </c>
      <c r="G126" s="1">
        <f>(Table7[[#This Row],[Breakout]]-angvel!G125)*120</f>
        <v>3.5999121308289972E-2</v>
      </c>
    </row>
    <row r="127" spans="1:7">
      <c r="A127" s="6">
        <v>74</v>
      </c>
      <c r="B127" s="1">
        <f>(Table7[[#This Row],[Octane]]-angvel!B126)*120</f>
        <v>1.1999999984730891E-2</v>
      </c>
      <c r="C127" s="1">
        <f>(Table7[[#This Row],[Hybrid]]-angvel!C126)*120</f>
        <v>2.3999999883397294E-2</v>
      </c>
      <c r="D127" s="1">
        <f>(Table7[[#This Row],[Dominus]]-angvel!D126)*120</f>
        <v>2.3999999971273667E-2</v>
      </c>
      <c r="E127" s="1">
        <f>(Table7[[#This Row],[Plank]]-angvel!E126)*120</f>
        <v>2.3999999883610457E-2</v>
      </c>
      <c r="F127" s="1">
        <f>(Table7[[#This Row],[Batmobile]]-angvel!F126)*120</f>
        <v>2.3999999849904086E-2</v>
      </c>
      <c r="G127" s="1">
        <f>(Table7[[#This Row],[Breakout]]-angvel!G126)*120</f>
        <v>3.5999707159923844E-2</v>
      </c>
    </row>
    <row r="128" spans="1:7">
      <c r="A128" s="6">
        <v>75</v>
      </c>
      <c r="B128" s="1">
        <f>(Table7[[#This Row],[Octane]]-angvel!B127)*120</f>
        <v>1.2000908249953923E-2</v>
      </c>
      <c r="C128" s="1">
        <f>(Table7[[#This Row],[Hybrid]]-angvel!C127)*120</f>
        <v>1.1999112761476027E-2</v>
      </c>
      <c r="D128" s="1">
        <f>(Table7[[#This Row],[Dominus]]-angvel!D127)*120</f>
        <v>2.399970665885931E-2</v>
      </c>
      <c r="E128" s="1">
        <f>(Table7[[#This Row],[Plank]]-angvel!E127)*120</f>
        <v>2.3999999883610457E-2</v>
      </c>
      <c r="F128" s="1">
        <f>(Table7[[#This Row],[Batmobile]]-angvel!F127)*120</f>
        <v>2.3999999849984022E-2</v>
      </c>
      <c r="G128" s="1">
        <f>(Table7[[#This Row],[Breakout]]-angvel!G127)*120</f>
        <v>3.6000000000022681E-2</v>
      </c>
    </row>
    <row r="129" spans="1:7">
      <c r="A129" s="6">
        <v>76</v>
      </c>
      <c r="B129" s="1">
        <f>(Table7[[#This Row],[Octane]]-angvel!B128)*120</f>
        <v>1.199999993887424E-2</v>
      </c>
      <c r="C129" s="1">
        <f>(Table7[[#This Row],[Hybrid]]-angvel!C128)*120</f>
        <v>1.1999704273222278E-2</v>
      </c>
      <c r="D129" s="1">
        <f>(Table7[[#This Row],[Dominus]]-angvel!D128)*120</f>
        <v>2.3999999999997357E-2</v>
      </c>
      <c r="E129" s="1">
        <f>(Table7[[#This Row],[Plank]]-angvel!E128)*120</f>
        <v>2.3999999883663747E-2</v>
      </c>
      <c r="F129" s="1">
        <f>(Table7[[#This Row],[Batmobile]]-angvel!F128)*120</f>
        <v>1.1999099879966835E-2</v>
      </c>
      <c r="G129" s="1">
        <f>(Table7[[#This Row],[Breakout]]-angvel!G128)*120</f>
        <v>2.3999999999997357E-2</v>
      </c>
    </row>
    <row r="130" spans="1:7">
      <c r="A130" s="6">
        <v>77</v>
      </c>
      <c r="B130" s="1">
        <f>(Table7[[#This Row],[Octane]]-angvel!B129)*120</f>
        <v>1.2001513561488153E-2</v>
      </c>
      <c r="C130" s="1">
        <f>(Table7[[#This Row],[Hybrid]]-angvel!C129)*120</f>
        <v>1.2000000000025324E-2</v>
      </c>
      <c r="D130" s="1">
        <f>(Table7[[#This Row],[Dominus]]-angvel!D129)*120</f>
        <v>1.2000000000025324E-2</v>
      </c>
      <c r="E130" s="1">
        <f>(Table7[[#This Row],[Plank]]-angvel!E129)*120</f>
        <v>2.3999999883663747E-2</v>
      </c>
      <c r="F130" s="1">
        <f>(Table7[[#This Row],[Batmobile]]-angvel!F129)*120</f>
        <v>1.1999699969971189E-2</v>
      </c>
      <c r="G130" s="1">
        <f>(Table7[[#This Row],[Breakout]]-angvel!G129)*120</f>
        <v>2.3999999999997357E-2</v>
      </c>
    </row>
    <row r="131" spans="1:7">
      <c r="A131" s="6">
        <v>78</v>
      </c>
      <c r="B131" s="1">
        <f>(Table7[[#This Row],[Octane]]-angvel!B130)*120</f>
        <v>1.199999986256195E-2</v>
      </c>
      <c r="C131" s="1">
        <f>(Table7[[#This Row],[Hybrid]]-angvel!C130)*120</f>
        <v>1.1999999999972033E-2</v>
      </c>
      <c r="D131" s="1">
        <f>(Table7[[#This Row],[Dominus]]-angvel!D130)*120</f>
        <v>1.2000293255098882E-2</v>
      </c>
      <c r="E131" s="1">
        <f>(Table7[[#This Row],[Plank]]-angvel!E130)*120</f>
        <v>1.1999999941831874E-2</v>
      </c>
      <c r="F131" s="1">
        <f>(Table7[[#This Row],[Batmobile]]-angvel!F130)*120</f>
        <v>1.1999999985050636E-2</v>
      </c>
      <c r="G131" s="1">
        <f>(Table7[[#This Row],[Breakout]]-angvel!G130)*120</f>
        <v>2.3999999999997357E-2</v>
      </c>
    </row>
    <row r="132" spans="1:7">
      <c r="A132" s="6">
        <v>79</v>
      </c>
      <c r="B132" s="1">
        <f>(Table7[[#This Row],[Octane]]-angvel!B131)*120</f>
        <v>1.1999999862535304E-2</v>
      </c>
      <c r="C132" s="1">
        <f>(Table7[[#This Row],[Hybrid]]-angvel!C131)*120</f>
        <v>1.2000000000025324E-2</v>
      </c>
      <c r="D132" s="1">
        <f>(Table7[[#This Row],[Dominus]]-angvel!D131)*120</f>
        <v>1.1999999985690124E-2</v>
      </c>
      <c r="E132" s="1">
        <f>(Table7[[#This Row],[Plank]]-angvel!E131)*120</f>
        <v>1.1999999941885164E-2</v>
      </c>
      <c r="F132" s="1">
        <f>(Table7[[#This Row],[Batmobile]]-angvel!F131)*120</f>
        <v>1.1999999984944054E-2</v>
      </c>
      <c r="G132" s="1">
        <f>(Table7[[#This Row],[Breakout]]-angvel!G131)*120</f>
        <v>2.4000292640096177E-2</v>
      </c>
    </row>
    <row r="133" spans="1:7">
      <c r="A133" s="6">
        <v>80</v>
      </c>
      <c r="B133" s="1">
        <f>(Table7[[#This Row],[Octane]]-angvel!B132)*120</f>
        <v>1.2000302541270713E-2</v>
      </c>
      <c r="C133" s="1">
        <f>(Table7[[#This Row],[Hybrid]]-angvel!C132)*120</f>
        <v>1.1999999999972033E-2</v>
      </c>
      <c r="D133" s="1">
        <f>(Table7[[#This Row],[Dominus]]-angvel!D132)*120</f>
        <v>1.2000879665059472E-2</v>
      </c>
      <c r="E133" s="1">
        <f>(Table7[[#This Row],[Plank]]-angvel!E132)*120</f>
        <v>1.1999113984231258E-2</v>
      </c>
      <c r="F133" s="1">
        <f>(Table7[[#This Row],[Batmobile]]-angvel!F132)*120</f>
        <v>1.1999999985050636E-2</v>
      </c>
      <c r="G133" s="1">
        <f>(Table7[[#This Row],[Breakout]]-angvel!G132)*120</f>
        <v>2.4000877806091836E-2</v>
      </c>
    </row>
    <row r="134" spans="1:7">
      <c r="A134" s="6">
        <v>81</v>
      </c>
      <c r="B134" s="1">
        <f>(Table7[[#This Row],[Octane]]-angvel!B133)*120</f>
        <v>-1.5133935171718349E-6</v>
      </c>
      <c r="C134" s="1">
        <f>(Table7[[#This Row],[Hybrid]]-angvel!C133)*120</f>
        <v>1.2000000000025324E-2</v>
      </c>
      <c r="D134" s="1">
        <f>(Table7[[#This Row],[Dominus]]-angvel!D133)*120</f>
        <v>1.1999999942684525E-2</v>
      </c>
      <c r="E134" s="1">
        <f>(Table7[[#This Row],[Plank]]-angvel!E133)*120</f>
        <v>1.1999704680842882E-2</v>
      </c>
      <c r="F134" s="1">
        <f>(Table7[[#This Row],[Batmobile]]-angvel!F133)*120</f>
        <v>1.1999700044977857E-2</v>
      </c>
      <c r="G134" s="1">
        <f>(Table7[[#This Row],[Breakout]]-angvel!G133)*120</f>
        <v>2.3999999885901957E-2</v>
      </c>
    </row>
    <row r="135" spans="1:7">
      <c r="A135" s="6">
        <v>82</v>
      </c>
      <c r="B135" s="1">
        <f>(Table7[[#This Row],[Octane]]-angvel!B134)*120</f>
        <v>-9.080361262903125E-7</v>
      </c>
      <c r="C135" s="1">
        <f>(Table7[[#This Row],[Hybrid]]-angvel!C134)*120</f>
        <v>1.2000295624723378E-2</v>
      </c>
      <c r="D135" s="1">
        <f>(Table7[[#This Row],[Dominus]]-angvel!D134)*120</f>
        <v>1.1999999942737816E-2</v>
      </c>
      <c r="E135" s="1">
        <f>(Table7[[#This Row],[Plank]]-angvel!E134)*120</f>
        <v>1.1999999999972033E-2</v>
      </c>
      <c r="F135" s="1">
        <f>(Table7[[#This Row],[Batmobile]]-angvel!F134)*120</f>
        <v>1.2000000000025324E-2</v>
      </c>
      <c r="G135" s="1">
        <f>(Table7[[#This Row],[Breakout]]-angvel!G134)*120</f>
        <v>2.3999999885848666E-2</v>
      </c>
    </row>
    <row r="136" spans="1:7">
      <c r="A136" s="6">
        <v>83</v>
      </c>
      <c r="B136" s="1">
        <f>(Table7[[#This Row],[Octane]]-angvel!B135)*120</f>
        <v>0</v>
      </c>
      <c r="C136" s="1">
        <f>(Table7[[#This Row],[Hybrid]]-angvel!C135)*120</f>
        <v>1.1999999985476961E-2</v>
      </c>
      <c r="D136" s="1">
        <f>(Table7[[#This Row],[Dominus]]-angvel!D135)*120</f>
        <v>1.2001465860045357E-2</v>
      </c>
      <c r="E136" s="1">
        <f>(Table7[[#This Row],[Plank]]-angvel!E135)*120</f>
        <v>1.2000000000025324E-2</v>
      </c>
      <c r="F136" s="1">
        <f>(Table7[[#This Row],[Batmobile]]-angvel!F135)*120</f>
        <v>1.2000299909988854E-2</v>
      </c>
      <c r="G136" s="1">
        <f>(Table7[[#This Row],[Breakout]]-angvel!G135)*120</f>
        <v>1.1999122322308153E-2</v>
      </c>
    </row>
    <row r="137" spans="1:7">
      <c r="A137" s="6">
        <v>84</v>
      </c>
      <c r="B137" s="1">
        <f>(Table7[[#This Row],[Octane]]-angvel!B136)*120</f>
        <v>-3.0267868211808491E-7</v>
      </c>
      <c r="C137" s="1">
        <f>(Table7[[#This Row],[Hybrid]]-angvel!C136)*120</f>
        <v>1.1999999985423671E-2</v>
      </c>
      <c r="D137" s="1">
        <f>(Table7[[#This Row],[Dominus]]-angvel!D136)*120</f>
        <v>1.1999999871115108E-2</v>
      </c>
      <c r="E137" s="1">
        <f>(Table7[[#This Row],[Plank]]-angvel!E136)*120</f>
        <v>1.1999999999972033E-2</v>
      </c>
      <c r="F137" s="1">
        <f>(Table7[[#This Row],[Batmobile]]-angvel!F136)*120</f>
        <v>1.1999999985050636E-2</v>
      </c>
      <c r="G137" s="1">
        <f>(Table7[[#This Row],[Breakout]]-angvel!G136)*120</f>
        <v>1.1999707459739994E-2</v>
      </c>
    </row>
    <row r="138" spans="1:7">
      <c r="A138" s="6">
        <v>85</v>
      </c>
      <c r="B138" s="1">
        <f>(Table7[[#This Row],[Octane]]-angvel!B137)*120</f>
        <v>0</v>
      </c>
      <c r="C138" s="1">
        <f>(Table7[[#This Row],[Hybrid]]-angvel!C137)*120</f>
        <v>1.1999999985423671E-2</v>
      </c>
      <c r="D138" s="1">
        <f>(Table7[[#This Row],[Dominus]]-angvel!D137)*120</f>
        <v>1.1999999871061817E-2</v>
      </c>
      <c r="E138" s="1">
        <f>(Table7[[#This Row],[Plank]]-angvel!E137)*120</f>
        <v>1.2000000000025324E-2</v>
      </c>
      <c r="F138" s="1">
        <f>(Table7[[#This Row],[Batmobile]]-angvel!F137)*120</f>
        <v>1.1999999984944054E-2</v>
      </c>
      <c r="G138" s="1">
        <f>(Table7[[#This Row],[Breakout]]-angvel!G137)*120</f>
        <v>1.2000000000025324E-2</v>
      </c>
    </row>
    <row r="139" spans="1:7">
      <c r="A139" s="6">
        <v>86</v>
      </c>
      <c r="B139" s="1">
        <f>(Table7[[#This Row],[Octane]]-angvel!B138)*120</f>
        <v>0</v>
      </c>
      <c r="C139" s="1">
        <f>(Table7[[#This Row],[Hybrid]]-angvel!C138)*120</f>
        <v>0</v>
      </c>
      <c r="D139" s="1">
        <f>(Table7[[#This Row],[Dominus]]-angvel!D138)*120</f>
        <v>1.2002051854658191E-2</v>
      </c>
      <c r="E139" s="1">
        <f>(Table7[[#This Row],[Plank]]-angvel!E138)*120</f>
        <v>1.2000000000025324E-2</v>
      </c>
      <c r="F139" s="1">
        <f>(Table7[[#This Row],[Batmobile]]-angvel!F138)*120</f>
        <v>1.1999999985103926E-2</v>
      </c>
      <c r="G139" s="1">
        <f>(Table7[[#This Row],[Breakout]]-angvel!G138)*120</f>
        <v>1.1999999999972033E-2</v>
      </c>
    </row>
    <row r="140" spans="1:7">
      <c r="A140" s="6">
        <v>87</v>
      </c>
      <c r="B140" s="1">
        <f>(Table7[[#This Row],[Octane]]-angvel!B139)*120</f>
        <v>0</v>
      </c>
      <c r="C140" s="1">
        <f>(Table7[[#This Row],[Hybrid]]-angvel!C139)*120</f>
        <v>0</v>
      </c>
      <c r="D140" s="1">
        <f>(Table7[[#This Row],[Dominus]]-angvel!D139)*120</f>
        <v>1.1999999770822001E-2</v>
      </c>
      <c r="E140" s="1">
        <f>(Table7[[#This Row],[Plank]]-angvel!E139)*120</f>
        <v>1.2000295217422519E-2</v>
      </c>
      <c r="F140" s="1">
        <f>(Table7[[#This Row],[Batmobile]]-angvel!F139)*120</f>
        <v>1.2000299835008832E-2</v>
      </c>
      <c r="G140" s="1">
        <f>(Table7[[#This Row],[Breakout]]-angvel!G139)*120</f>
        <v>1.2000000000025324E-2</v>
      </c>
    </row>
    <row r="141" spans="1:7">
      <c r="A141" s="6">
        <v>88</v>
      </c>
      <c r="B141" s="1">
        <f>(Table7[[#This Row],[Octane]]-angvel!B140)*120</f>
        <v>9.080361262903125E-7</v>
      </c>
      <c r="C141" s="1">
        <f>(Table7[[#This Row],[Hybrid]]-angvel!C140)*120</f>
        <v>1.2000886684884193E-2</v>
      </c>
      <c r="D141" s="1">
        <f>(Table7[[#This Row],[Dominus]]-angvel!D140)*120</f>
        <v>0</v>
      </c>
      <c r="E141" s="1">
        <f>(Table7[[#This Row],[Plank]]-angvel!E140)*120</f>
        <v>1.1999999985530252E-2</v>
      </c>
      <c r="F141" s="1">
        <f>(Table7[[#This Row],[Batmobile]]-angvel!F140)*120</f>
        <v>0</v>
      </c>
      <c r="G141" s="1">
        <f>(Table7[[#This Row],[Breakout]]-angvel!G140)*120</f>
        <v>1.2000292468901108E-2</v>
      </c>
    </row>
    <row r="142" spans="1:7">
      <c r="A142" s="6">
        <v>89</v>
      </c>
      <c r="B142" s="1">
        <f>(Table7[[#This Row],[Octane]]-angvel!B141)*120</f>
        <v>0</v>
      </c>
      <c r="C142" s="1">
        <f>(Table7[[#This Row],[Hybrid]]-angvel!C141)*120</f>
        <v>1.4778325230224709E-6</v>
      </c>
      <c r="D142" s="1">
        <f>(Table7[[#This Row],[Dominus]]-angvel!D141)*120</f>
        <v>0</v>
      </c>
      <c r="E142" s="1">
        <f>(Table7[[#This Row],[Plank]]-angvel!E141)*120</f>
        <v>1.1999999985423671E-2</v>
      </c>
      <c r="F142" s="1">
        <f>(Table7[[#This Row],[Batmobile]]-angvel!F141)*120</f>
        <v>-2.9985006477772913E-7</v>
      </c>
      <c r="G142" s="1">
        <f>(Table7[[#This Row],[Breakout]]-angvel!G141)*120</f>
        <v>1.2000877349791494E-2</v>
      </c>
    </row>
    <row r="143" spans="1:7">
      <c r="A143" s="6">
        <v>90</v>
      </c>
      <c r="B143" s="1">
        <f>(Table7[[#This Row],[Octane]]-angvel!B142)*120</f>
        <v>1.5133934905264823E-6</v>
      </c>
      <c r="C143" s="1">
        <f>(Table7[[#This Row],[Hybrid]]-angvel!C142)*120</f>
        <v>0</v>
      </c>
      <c r="D143" s="1">
        <f>(Table7[[#This Row],[Dominus]]-angvel!D142)*120</f>
        <v>1.1999999770928582E-2</v>
      </c>
      <c r="E143" s="1">
        <f>(Table7[[#This Row],[Plank]]-angvel!E142)*120</f>
        <v>8.8556527444438871E-7</v>
      </c>
      <c r="F143" s="1">
        <f>(Table7[[#This Row],[Batmobile]]-angvel!F142)*120</f>
        <v>8.9955024762389257E-7</v>
      </c>
      <c r="G143" s="1">
        <f>(Table7[[#This Row],[Breakout]]-angvel!G142)*120</f>
        <v>1.1999999942950978E-2</v>
      </c>
    </row>
    <row r="144" spans="1:7">
      <c r="A144" s="6">
        <v>91</v>
      </c>
      <c r="B144" s="1">
        <f>(Table7[[#This Row],[Octane]]-angvel!B143)*120</f>
        <v>1.1999999862588595E-2</v>
      </c>
      <c r="C144" s="1">
        <f>(Table7[[#This Row],[Hybrid]]-angvel!C143)*120</f>
        <v>1.199999986898348E-2</v>
      </c>
      <c r="D144" s="1">
        <f>(Table7[[#This Row],[Dominus]]-angvel!D143)*120</f>
        <v>0</v>
      </c>
      <c r="E144" s="1">
        <f>(Table7[[#This Row],[Plank]]-angvel!E143)*120</f>
        <v>0</v>
      </c>
      <c r="F144" s="1">
        <f>(Table7[[#This Row],[Batmobile]]-angvel!F143)*120</f>
        <v>0</v>
      </c>
      <c r="G144" s="1">
        <f>(Table7[[#This Row],[Breakout]]-angvel!G143)*120</f>
        <v>1.2001462073794045E-2</v>
      </c>
    </row>
    <row r="145" spans="1:7">
      <c r="A145" s="6">
        <v>92</v>
      </c>
      <c r="B145" s="1">
        <f>(Table7[[#This Row],[Octane]]-angvel!B144)*120</f>
        <v>0</v>
      </c>
      <c r="C145" s="1">
        <f>(Table7[[#This Row],[Hybrid]]-angvel!C144)*120</f>
        <v>-1.4777596746284871E-6</v>
      </c>
      <c r="D145" s="1">
        <f>(Table7[[#This Row],[Dominus]]-angvel!D144)*120</f>
        <v>0</v>
      </c>
      <c r="E145" s="1">
        <f>(Table7[[#This Row],[Plank]]-angvel!E144)*120</f>
        <v>0</v>
      </c>
      <c r="F145" s="1">
        <f>(Table7[[#This Row],[Batmobile]]-angvel!F144)*120</f>
        <v>0</v>
      </c>
      <c r="G145" s="1">
        <f>(Table7[[#This Row],[Breakout]]-angvel!G144)*120</f>
        <v>1.1999999871701306E-2</v>
      </c>
    </row>
    <row r="146" spans="1:7">
      <c r="A146" s="6">
        <v>93</v>
      </c>
      <c r="B146" s="1">
        <f>(Table7[[#This Row],[Octane]]-angvel!B145)*120</f>
        <v>0</v>
      </c>
      <c r="C146" s="1">
        <f>(Table7[[#This Row],[Hybrid]]-angvel!C145)*120</f>
        <v>-8.8665586872593849E-7</v>
      </c>
      <c r="D146" s="1">
        <f>(Table7[[#This Row],[Dominus]]-angvel!D145)*120</f>
        <v>1.1999999770875291E-2</v>
      </c>
      <c r="E146" s="1">
        <f>(Table7[[#This Row],[Plank]]-angvel!E145)*120</f>
        <v>0</v>
      </c>
      <c r="F146" s="1">
        <f>(Table7[[#This Row],[Batmobile]]-angvel!F145)*120</f>
        <v>0</v>
      </c>
      <c r="G146" s="1">
        <f>(Table7[[#This Row],[Breakout]]-angvel!G145)*120</f>
        <v>1.1999999871807887E-2</v>
      </c>
    </row>
    <row r="147" spans="1:7">
      <c r="A147" s="6">
        <v>94</v>
      </c>
      <c r="B147" s="1">
        <f>(Table7[[#This Row],[Octane]]-angvel!B146)*120</f>
        <v>2.4213074745205176E-6</v>
      </c>
      <c r="C147" s="1">
        <f>(Table7[[#This Row],[Hybrid]]-angvel!C146)*120</f>
        <v>1.1999704448069082E-2</v>
      </c>
      <c r="D147" s="1">
        <f>(Table7[[#This Row],[Dominus]]-angvel!D146)*120</f>
        <v>0</v>
      </c>
      <c r="E147" s="1">
        <f>(Table7[[#This Row],[Plank]]-angvel!E146)*120</f>
        <v>1.1999999941991746E-2</v>
      </c>
      <c r="F147" s="1">
        <f>(Table7[[#This Row],[Batmobile]]-angvel!F146)*120</f>
        <v>0</v>
      </c>
      <c r="G147" s="1">
        <f>(Table7[[#This Row],[Breakout]]-angvel!G146)*120</f>
        <v>1.1999999871754596E-2</v>
      </c>
    </row>
    <row r="148" spans="1:7">
      <c r="A148" s="6">
        <v>95</v>
      </c>
      <c r="B148" s="1">
        <f>(Table7[[#This Row],[Octane]]-angvel!B147)*120</f>
        <v>9.0799029628385597E-7</v>
      </c>
      <c r="C148" s="1">
        <f>(Table7[[#This Row],[Hybrid]]-angvel!C147)*120</f>
        <v>0</v>
      </c>
      <c r="D148" s="1">
        <f>(Table7[[#This Row],[Dominus]]-angvel!D147)*120</f>
        <v>0</v>
      </c>
      <c r="E148" s="1">
        <f>(Table7[[#This Row],[Plank]]-angvel!E147)*120</f>
        <v>0</v>
      </c>
      <c r="F148" s="1">
        <f>(Table7[[#This Row],[Batmobile]]-angvel!F147)*120</f>
        <v>0</v>
      </c>
      <c r="G148" s="1">
        <f>(Table7[[#This Row],[Breakout]]-angvel!G147)*120</f>
        <v>1.1999999871754596E-2</v>
      </c>
    </row>
    <row r="149" spans="1:7">
      <c r="A149" s="6">
        <v>96</v>
      </c>
      <c r="B149" s="1">
        <f>(Table7[[#This Row],[Octane]]-angvel!B148)*120</f>
        <v>1.5133171515913091E-6</v>
      </c>
      <c r="C149" s="1">
        <f>(Table7[[#This Row],[Hybrid]]-angvel!C148)*120</f>
        <v>0</v>
      </c>
      <c r="D149" s="1">
        <f>(Table7[[#This Row],[Dominus]]-angvel!D148)*120</f>
        <v>0</v>
      </c>
      <c r="E149" s="1">
        <f>(Table7[[#This Row],[Plank]]-angvel!E148)*120</f>
        <v>0</v>
      </c>
      <c r="F149" s="1">
        <f>(Table7[[#This Row],[Batmobile]]-angvel!F148)*120</f>
        <v>0</v>
      </c>
      <c r="G149" s="1">
        <f>(Table7[[#This Row],[Breakout]]-angvel!G148)*120</f>
        <v>0</v>
      </c>
    </row>
    <row r="150" spans="1:7">
      <c r="A150" s="6">
        <v>97</v>
      </c>
      <c r="B150" s="1">
        <f>(Table7[[#This Row],[Octane]]-angvel!B149)*120</f>
        <v>1.1999999618330648E-2</v>
      </c>
      <c r="C150" s="1">
        <f>(Table7[[#This Row],[Hybrid]]-angvel!C149)*120</f>
        <v>0</v>
      </c>
      <c r="D150" s="1">
        <f>(Table7[[#This Row],[Dominus]]-angvel!D149)*120</f>
        <v>0</v>
      </c>
      <c r="E150" s="1">
        <f>(Table7[[#This Row],[Plank]]-angvel!E149)*120</f>
        <v>0</v>
      </c>
      <c r="F150" s="1">
        <f>(Table7[[#This Row],[Batmobile]]-angvel!F149)*120</f>
        <v>2.9985006477772913E-7</v>
      </c>
      <c r="G150" s="1">
        <f>(Table7[[#This Row],[Breakout]]-angvel!G149)*120</f>
        <v>0</v>
      </c>
    </row>
    <row r="151" spans="1:7">
      <c r="A151" s="6">
        <v>98</v>
      </c>
      <c r="B151" s="1">
        <f>(Table7[[#This Row],[Octane]]-angvel!B150)*120</f>
        <v>-2.1185371590348723E-6</v>
      </c>
      <c r="C151" s="1">
        <f>(Table7[[#This Row],[Hybrid]]-angvel!C150)*120</f>
        <v>0</v>
      </c>
      <c r="D151" s="1">
        <f>(Table7[[#This Row],[Dominus]]-angvel!D150)*120</f>
        <v>0</v>
      </c>
      <c r="E151" s="1">
        <f>(Table7[[#This Row],[Plank]]-angvel!E150)*120</f>
        <v>0</v>
      </c>
      <c r="F151" s="1">
        <f>(Table7[[#This Row],[Batmobile]]-angvel!F150)*120</f>
        <v>0</v>
      </c>
      <c r="G151" s="1">
        <f>(Table7[[#This Row],[Breakout]]-angvel!G150)*120</f>
        <v>2.0465841288341835E-6</v>
      </c>
    </row>
    <row r="152" spans="1:7">
      <c r="A152" s="6">
        <v>99</v>
      </c>
      <c r="B152" s="1">
        <f>(Table7[[#This Row],[Octane]]-angvel!B151)*120</f>
        <v>-3.0264816519576243E-6</v>
      </c>
      <c r="C152" s="1">
        <f>(Table7[[#This Row],[Hybrid]]-angvel!C151)*120</f>
        <v>0</v>
      </c>
      <c r="D152" s="1">
        <f>(Table7[[#This Row],[Dominus]]-angvel!D151)*120</f>
        <v>0</v>
      </c>
      <c r="E152" s="1">
        <f>(Table7[[#This Row],[Plank]]-angvel!E151)*120</f>
        <v>1.1999999941885164E-2</v>
      </c>
      <c r="F152" s="1">
        <f>(Table7[[#This Row],[Batmobile]]-angvel!F151)*120</f>
        <v>0</v>
      </c>
      <c r="G152" s="1">
        <f>(Table7[[#This Row],[Breakout]]-angvel!G151)*120</f>
        <v>1.1999999772047687E-2</v>
      </c>
    </row>
    <row r="153" spans="1:7">
      <c r="A153" s="6">
        <v>100</v>
      </c>
      <c r="B153" s="1">
        <f>(Table7[[#This Row],[Octane]]-angvel!B152)*120</f>
        <v>0</v>
      </c>
      <c r="C153" s="1">
        <f>(Table7[[#This Row],[Hybrid]]-angvel!C152)*120</f>
        <v>0</v>
      </c>
      <c r="D153" s="1">
        <f>(Table7[[#This Row],[Dominus]]-angvel!D152)*120</f>
        <v>0</v>
      </c>
      <c r="E153" s="1">
        <f>(Table7[[#This Row],[Plank]]-angvel!E152)*120</f>
        <v>0</v>
      </c>
      <c r="F153" s="1">
        <f>(Table7[[#This Row],[Batmobile]]-angvel!F152)*120</f>
        <v>0</v>
      </c>
      <c r="G153" s="1">
        <f>(Table7[[#This Row],[Breakout]]-angvel!G152)*120</f>
        <v>0</v>
      </c>
    </row>
    <row r="154" spans="1:7">
      <c r="A154" s="6">
        <v>101</v>
      </c>
      <c r="B154" s="1">
        <f>(Table7[[#This Row],[Octane]]-angvel!B153)*120</f>
        <v>-9.0794449292275203E-7</v>
      </c>
      <c r="C154" s="1">
        <f>(Table7[[#This Row],[Hybrid]]-angvel!C153)*120</f>
        <v>2.9553740787946481E-7</v>
      </c>
      <c r="D154" s="1">
        <f>(Table7[[#This Row],[Dominus]]-angvel!D153)*120</f>
        <v>0</v>
      </c>
      <c r="E154" s="1">
        <f>(Table7[[#This Row],[Plank]]-angvel!E153)*120</f>
        <v>0</v>
      </c>
      <c r="F154" s="1">
        <f>(Table7[[#This Row],[Batmobile]]-angvel!F153)*120</f>
        <v>8.9955024762389257E-7</v>
      </c>
      <c r="G154" s="1">
        <f>(Table7[[#This Row],[Breakout]]-angvel!G153)*120</f>
        <v>2.9235488696599532E-7</v>
      </c>
    </row>
    <row r="155" spans="1:7">
      <c r="A155" s="6">
        <v>102</v>
      </c>
      <c r="B155" s="1">
        <f>(Table7[[#This Row],[Octane]]-angvel!B154)*120</f>
        <v>0</v>
      </c>
      <c r="C155" s="1">
        <f>(Table7[[#This Row],[Hybrid]]-angvel!C154)*120</f>
        <v>0</v>
      </c>
      <c r="D155" s="1">
        <f>(Table7[[#This Row],[Dominus]]-angvel!D154)*120</f>
        <v>1.2000292854192907E-2</v>
      </c>
      <c r="E155" s="1">
        <f>(Table7[[#This Row],[Plank]]-angvel!E154)*120</f>
        <v>0</v>
      </c>
      <c r="F155" s="1">
        <f>(Table7[[#This Row],[Batmobile]]-angvel!F154)*120</f>
        <v>0</v>
      </c>
      <c r="G155" s="1">
        <f>(Table7[[#This Row],[Breakout]]-angvel!G154)*120</f>
        <v>1.2000876779847403E-2</v>
      </c>
    </row>
    <row r="156" spans="1:7">
      <c r="A156" s="6">
        <v>103</v>
      </c>
      <c r="B156" s="1">
        <f>(Table7[[#This Row],[Octane]]-angvel!B155)*120</f>
        <v>0</v>
      </c>
      <c r="C156" s="1">
        <f>(Table7[[#This Row],[Hybrid]]-angvel!C155)*120</f>
        <v>8.8661211705698406E-7</v>
      </c>
      <c r="D156" s="1">
        <f>(Table7[[#This Row],[Dominus]]-angvel!D155)*120</f>
        <v>0</v>
      </c>
      <c r="E156" s="1">
        <f>(Table7[[#This Row],[Plank]]-angvel!E155)*120</f>
        <v>1.1999999941938455E-2</v>
      </c>
      <c r="F156" s="1">
        <f>(Table7[[#This Row],[Batmobile]]-angvel!F155)*120</f>
        <v>0</v>
      </c>
      <c r="G156" s="1">
        <f>(Table7[[#This Row],[Breakout]]-angvel!G155)*120</f>
        <v>0</v>
      </c>
    </row>
    <row r="157" spans="1:7">
      <c r="A157" s="6">
        <v>104</v>
      </c>
      <c r="B157" s="1">
        <f>(Table7[[#This Row],[Octane]]-angvel!B156)*120</f>
        <v>0</v>
      </c>
      <c r="C157" s="1">
        <f>(Table7[[#This Row],[Hybrid]]-angvel!C156)*120</f>
        <v>0</v>
      </c>
      <c r="D157" s="1">
        <f>(Table7[[#This Row],[Dominus]]-angvel!D156)*120</f>
        <v>-2.0515826371081403E-6</v>
      </c>
      <c r="E157" s="1">
        <f>(Table7[[#This Row],[Plank]]-angvel!E156)*120</f>
        <v>0</v>
      </c>
      <c r="F157" s="1">
        <f>(Table7[[#This Row],[Batmobile]]-angvel!F156)*120</f>
        <v>0</v>
      </c>
      <c r="G157" s="1">
        <f>(Table7[[#This Row],[Breakout]]-angvel!G156)*120</f>
        <v>0</v>
      </c>
    </row>
    <row r="158" spans="1:7">
      <c r="A158" s="6">
        <v>105</v>
      </c>
      <c r="B158" s="1">
        <f>(Table7[[#This Row],[Octane]]-angvel!B157)*120</f>
        <v>0</v>
      </c>
      <c r="C158" s="1">
        <f>(Table7[[#This Row],[Hybrid]]-angvel!C157)*120</f>
        <v>0</v>
      </c>
      <c r="D158" s="1">
        <f>(Table7[[#This Row],[Dominus]]-angvel!D157)*120</f>
        <v>0</v>
      </c>
      <c r="E158" s="1">
        <f>(Table7[[#This Row],[Plank]]-angvel!E157)*120</f>
        <v>-5.9028973709018828E-7</v>
      </c>
      <c r="F158" s="1">
        <f>(Table7[[#This Row],[Batmobile]]-angvel!F157)*120</f>
        <v>0</v>
      </c>
      <c r="G158" s="1">
        <f>(Table7[[#This Row],[Breakout]]-angvel!G157)*120</f>
        <v>0</v>
      </c>
    </row>
    <row r="159" spans="1:7">
      <c r="A159" s="6">
        <v>106</v>
      </c>
      <c r="B159" s="1">
        <f>(Table7[[#This Row],[Octane]]-angvel!B158)*120</f>
        <v>0</v>
      </c>
      <c r="C159" s="1">
        <f>(Table7[[#This Row],[Hybrid]]-angvel!C158)*120</f>
        <v>0</v>
      </c>
      <c r="D159" s="1">
        <f>(Table7[[#This Row],[Dominus]]-angvel!D158)*120</f>
        <v>-1.4654161617499994E-6</v>
      </c>
      <c r="E159" s="1">
        <f>(Table7[[#This Row],[Plank]]-angvel!E158)*120</f>
        <v>0</v>
      </c>
      <c r="F159" s="1">
        <f>(Table7[[#This Row],[Batmobile]]-angvel!F158)*120</f>
        <v>1.1999999880121237E-2</v>
      </c>
      <c r="G159" s="1">
        <f>(Table7[[#This Row],[Breakout]]-angvel!G158)*120</f>
        <v>0</v>
      </c>
    </row>
    <row r="160" spans="1:7">
      <c r="A160" s="6">
        <v>107</v>
      </c>
      <c r="B160" s="1">
        <f>(Table7[[#This Row],[Octane]]-angvel!B159)*120</f>
        <v>0</v>
      </c>
      <c r="C160" s="1">
        <f>(Table7[[#This Row],[Hybrid]]-angvel!C159)*120</f>
        <v>0</v>
      </c>
      <c r="D160" s="1">
        <f>(Table7[[#This Row],[Dominus]]-angvel!D159)*120</f>
        <v>-8.7924968639185863E-7</v>
      </c>
      <c r="E160" s="1">
        <f>(Table7[[#This Row],[Plank]]-angvel!E159)*120</f>
        <v>1.2000590231622255E-2</v>
      </c>
      <c r="F160" s="1">
        <f>(Table7[[#This Row],[Batmobile]]-angvel!F159)*120</f>
        <v>-8.9950527026871896E-7</v>
      </c>
      <c r="G160" s="1">
        <f>(Table7[[#This Row],[Breakout]]-angvel!G159)*120</f>
        <v>1.1999999715186505E-2</v>
      </c>
    </row>
    <row r="161" spans="1:7">
      <c r="A161" s="6">
        <v>108</v>
      </c>
      <c r="B161" s="1">
        <f>(Table7[[#This Row],[Octane]]-angvel!B160)*120</f>
        <v>0</v>
      </c>
      <c r="C161" s="1">
        <f>(Table7[[#This Row],[Hybrid]]-angvel!C160)*120</f>
        <v>0</v>
      </c>
      <c r="D161" s="1">
        <f>(Table7[[#This Row],[Dominus]]-angvel!D160)*120</f>
        <v>0</v>
      </c>
      <c r="E161" s="1">
        <f>(Table7[[#This Row],[Plank]]-angvel!E160)*120</f>
        <v>0</v>
      </c>
      <c r="F161" s="1">
        <f>(Table7[[#This Row],[Batmobile]]-angvel!F160)*120</f>
        <v>-8.9950527026871896E-7</v>
      </c>
      <c r="G161" s="1">
        <f>(Table7[[#This Row],[Breakout]]-angvel!G160)*120</f>
        <v>0</v>
      </c>
    </row>
    <row r="162" spans="1:7">
      <c r="A162" s="6">
        <v>109</v>
      </c>
      <c r="B162" s="1">
        <f>(Table7[[#This Row],[Octane]]-angvel!B161)*120</f>
        <v>0</v>
      </c>
      <c r="C162" s="1">
        <f>(Table7[[#This Row],[Hybrid]]-angvel!C161)*120</f>
        <v>0</v>
      </c>
      <c r="D162" s="1">
        <f>(Table7[[#This Row],[Dominus]]-angvel!D161)*120</f>
        <v>-2.93083264324423E-7</v>
      </c>
      <c r="E162" s="1">
        <f>(Table7[[#This Row],[Plank]]-angvel!E161)*120</f>
        <v>0</v>
      </c>
      <c r="F162" s="1">
        <f>(Table7[[#This Row],[Batmobile]]-angvel!F161)*120</f>
        <v>0</v>
      </c>
      <c r="G162" s="1">
        <f>(Table7[[#This Row],[Breakout]]-angvel!G161)*120</f>
        <v>0</v>
      </c>
    </row>
    <row r="163" spans="1:7">
      <c r="A163" s="6">
        <v>110</v>
      </c>
      <c r="B163" s="1">
        <f>(Table7[[#This Row],[Octane]]-angvel!B162)*120</f>
        <v>0</v>
      </c>
      <c r="C163" s="1">
        <f>(Table7[[#This Row],[Hybrid]]-angvel!C162)*120</f>
        <v>2.9553740787946481E-7</v>
      </c>
      <c r="D163" s="1">
        <f>(Table7[[#This Row],[Dominus]]-angvel!D162)*120</f>
        <v>0</v>
      </c>
      <c r="E163" s="1">
        <f>(Table7[[#This Row],[Plank]]-angvel!E162)*120</f>
        <v>0</v>
      </c>
      <c r="F163" s="1">
        <f>(Table7[[#This Row],[Batmobile]]-angvel!F162)*120</f>
        <v>-2.9983509008957299E-7</v>
      </c>
      <c r="G163" s="1">
        <f>(Table7[[#This Row],[Breakout]]-angvel!G162)*120</f>
        <v>1.4616321486471406E-6</v>
      </c>
    </row>
    <row r="164" spans="1:7">
      <c r="A164" s="6">
        <v>111</v>
      </c>
      <c r="B164" s="1">
        <f>(Table7[[#This Row],[Octane]]-angvel!B163)*120</f>
        <v>-9.0794451956810462E-7</v>
      </c>
      <c r="C164" s="1">
        <f>(Table7[[#This Row],[Hybrid]]-angvel!C163)*120</f>
        <v>0</v>
      </c>
      <c r="D164" s="1">
        <f>(Table7[[#This Row],[Dominus]]-angvel!D163)*120</f>
        <v>0</v>
      </c>
      <c r="E164" s="1">
        <f>(Table7[[#This Row],[Plank]]-angvel!E163)*120</f>
        <v>2.9513037347328464E-7</v>
      </c>
      <c r="F164" s="1">
        <f>(Table7[[#This Row],[Batmobile]]-angvel!F163)*120</f>
        <v>0</v>
      </c>
      <c r="G164" s="1">
        <f>(Table7[[#This Row],[Breakout]]-angvel!G163)*120</f>
        <v>-2.0462850081059969E-6</v>
      </c>
    </row>
    <row r="165" spans="1:7">
      <c r="A165" s="6">
        <v>112</v>
      </c>
      <c r="B165" s="1">
        <f>(Table7[[#This Row],[Octane]]-angvel!B164)*120</f>
        <v>9.0794451956810462E-7</v>
      </c>
      <c r="C165" s="1">
        <f>(Table7[[#This Row],[Hybrid]]-angvel!C164)*120</f>
        <v>0</v>
      </c>
      <c r="D165" s="1">
        <f>(Table7[[#This Row],[Dominus]]-angvel!D164)*120</f>
        <v>0</v>
      </c>
      <c r="E165" s="1">
        <f>(Table7[[#This Row],[Plank]]-angvel!E164)*120</f>
        <v>0</v>
      </c>
      <c r="F165" s="1">
        <f>(Table7[[#This Row],[Batmobile]]-angvel!F164)*120</f>
        <v>1.1999999984997345E-2</v>
      </c>
      <c r="G165" s="1">
        <f>(Table7[[#This Row],[Breakout]]-angvel!G164)*120</f>
        <v>0</v>
      </c>
    </row>
    <row r="166" spans="1:7">
      <c r="A166" s="6">
        <v>113</v>
      </c>
      <c r="B166" s="1">
        <f>(Table7[[#This Row],[Octane]]-angvel!B165)*120</f>
        <v>0</v>
      </c>
      <c r="C166" s="1">
        <f>(Table7[[#This Row],[Hybrid]]-angvel!C165)*120</f>
        <v>1.4776869328159137E-6</v>
      </c>
      <c r="D166" s="1">
        <f>(Table7[[#This Row],[Dominus]]-angvel!D165)*120</f>
        <v>0</v>
      </c>
      <c r="E166" s="1">
        <f>(Table7[[#This Row],[Plank]]-angvel!E165)*120</f>
        <v>0</v>
      </c>
      <c r="F166" s="1">
        <f>(Table7[[#This Row],[Batmobile]]-angvel!F165)*120</f>
        <v>0</v>
      </c>
      <c r="G166" s="1">
        <f>(Table7[[#This Row],[Breakout]]-angvel!G165)*120</f>
        <v>-1.4616320953564355E-6</v>
      </c>
    </row>
    <row r="167" spans="1:7">
      <c r="A167" s="6">
        <v>114</v>
      </c>
      <c r="B167" s="1">
        <f>(Table7[[#This Row],[Octane]]-angvel!B166)*120</f>
        <v>0</v>
      </c>
      <c r="C167" s="1">
        <f>(Table7[[#This Row],[Hybrid]]-angvel!C166)*120</f>
        <v>0</v>
      </c>
      <c r="D167" s="1">
        <f>(Table7[[#This Row],[Dominus]]-angvel!D166)*120</f>
        <v>0</v>
      </c>
      <c r="E167" s="1">
        <f>(Table7[[#This Row],[Plank]]-angvel!E166)*120</f>
        <v>8.8539106712914872E-7</v>
      </c>
      <c r="F167" s="1">
        <f>(Table7[[#This Row],[Batmobile]]-angvel!F166)*120</f>
        <v>0</v>
      </c>
      <c r="G167" s="1">
        <f>(Table7[[#This Row],[Breakout]]-angvel!G166)*120</f>
        <v>-1.4616321486471406E-6</v>
      </c>
    </row>
    <row r="168" spans="1:7">
      <c r="A168" s="6">
        <v>115</v>
      </c>
      <c r="B168" s="1">
        <f>(Table7[[#This Row],[Octane]]-angvel!B167)*120</f>
        <v>0</v>
      </c>
      <c r="C168" s="1">
        <f>(Table7[[#This Row],[Hybrid]]-angvel!C167)*120</f>
        <v>0</v>
      </c>
      <c r="D168" s="1">
        <f>(Table7[[#This Row],[Dominus]]-angvel!D167)*120</f>
        <v>0</v>
      </c>
      <c r="E168" s="1">
        <f>(Table7[[#This Row],[Plank]]-angvel!E167)*120</f>
        <v>-8.8539106712914872E-7</v>
      </c>
      <c r="F168" s="1">
        <f>(Table7[[#This Row],[Batmobile]]-angvel!F167)*120</f>
        <v>8.9946029291354535E-7</v>
      </c>
      <c r="G168" s="1">
        <f>(Table7[[#This Row],[Breakout]]-angvel!G167)*120</f>
        <v>-8.7697928918828438E-7</v>
      </c>
    </row>
    <row r="169" spans="1:7">
      <c r="A169" s="6">
        <v>116</v>
      </c>
      <c r="B169" s="1">
        <f>(Table7[[#This Row],[Octane]]-angvel!B168)*120</f>
        <v>-9.0794451956810462E-7</v>
      </c>
      <c r="C169" s="1">
        <f>(Table7[[#This Row],[Hybrid]]-angvel!C168)*120</f>
        <v>0</v>
      </c>
      <c r="D169" s="1">
        <f>(Table7[[#This Row],[Dominus]]-angvel!D168)*120</f>
        <v>0</v>
      </c>
      <c r="E169" s="1">
        <f>(Table7[[#This Row],[Plank]]-angvel!E168)*120</f>
        <v>-2.9513037347328464E-7</v>
      </c>
      <c r="F169" s="1">
        <f>(Table7[[#This Row],[Batmobile]]-angvel!F168)*120</f>
        <v>0</v>
      </c>
      <c r="G169" s="1">
        <f>(Table7[[#This Row],[Breakout]]-angvel!G168)*120</f>
        <v>-2.9232642972942813E-7</v>
      </c>
    </row>
    <row r="170" spans="1:7">
      <c r="A170" s="6">
        <v>117</v>
      </c>
      <c r="B170" s="1">
        <f>(Table7[[#This Row],[Octane]]-angvel!B169)*120</f>
        <v>0</v>
      </c>
      <c r="C170" s="1">
        <f>(Table7[[#This Row],[Hybrid]]-angvel!C169)*120</f>
        <v>0</v>
      </c>
      <c r="D170" s="1">
        <f>(Table7[[#This Row],[Dominus]]-angvel!D169)*120</f>
        <v>0</v>
      </c>
      <c r="E170" s="1">
        <f>(Table7[[#This Row],[Plank]]-angvel!E169)*120</f>
        <v>0</v>
      </c>
      <c r="F170" s="1">
        <f>(Table7[[#This Row],[Batmobile]]-angvel!F169)*120</f>
        <v>1.4991005770070842E-6</v>
      </c>
      <c r="G170" s="1">
        <f>(Table7[[#This Row],[Breakout]]-angvel!G169)*120</f>
        <v>0</v>
      </c>
    </row>
    <row r="171" spans="1:7">
      <c r="A171" s="6">
        <v>118</v>
      </c>
      <c r="B171" s="1">
        <f>(Table7[[#This Row],[Octane]]-angvel!B170)*120</f>
        <v>-3.0264817318936821E-7</v>
      </c>
      <c r="C171" s="1">
        <f>(Table7[[#This Row],[Hybrid]]-angvel!C170)*120</f>
        <v>0</v>
      </c>
      <c r="D171" s="1">
        <f>(Table7[[#This Row],[Dominus]]-angvel!D170)*120</f>
        <v>0</v>
      </c>
      <c r="E171" s="1">
        <f>(Table7[[#This Row],[Plank]]-angvel!E170)*120</f>
        <v>0</v>
      </c>
      <c r="F171" s="1">
        <f>(Table7[[#This Row],[Batmobile]]-angvel!F170)*120</f>
        <v>0</v>
      </c>
      <c r="G171" s="1">
        <f>(Table7[[#This Row],[Breakout]]-angvel!G170)*120</f>
        <v>0</v>
      </c>
    </row>
    <row r="172" spans="1:7">
      <c r="A172" s="6">
        <v>119</v>
      </c>
      <c r="B172" s="1">
        <f>(Table7[[#This Row],[Octane]]-angvel!B171)*120</f>
        <v>0</v>
      </c>
      <c r="C172" s="1">
        <f>(Table7[[#This Row],[Hybrid]]-angvel!C171)*120</f>
        <v>0</v>
      </c>
      <c r="D172" s="1">
        <f>(Table7[[#This Row],[Dominus]]-angvel!D171)*120</f>
        <v>0</v>
      </c>
      <c r="E172" s="1">
        <f>(Table7[[#This Row],[Plank]]-angvel!E171)*120</f>
        <v>0</v>
      </c>
      <c r="F172" s="1">
        <f>(Table7[[#This Row],[Batmobile]]-angvel!F171)*120</f>
        <v>2.0987407012285075E-6</v>
      </c>
      <c r="G172" s="1">
        <f>(Table7[[#This Row],[Breakout]]-angvel!G171)*120</f>
        <v>-8.7697928918828438E-7</v>
      </c>
    </row>
    <row r="173" spans="1:7">
      <c r="A173" s="6">
        <v>120</v>
      </c>
      <c r="B173" s="1">
        <f>(Table7[[#This Row],[Octane]]-angvel!B172)*120</f>
        <v>0</v>
      </c>
      <c r="C173" s="1">
        <f>(Table7[[#This Row],[Hybrid]]-angvel!C172)*120</f>
        <v>0</v>
      </c>
      <c r="D173" s="1">
        <f>(Table7[[#This Row],[Dominus]]-angvel!D172)*120</f>
        <v>0</v>
      </c>
      <c r="E173" s="1">
        <f>(Table7[[#This Row],[Plank]]-angvel!E172)*120</f>
        <v>0</v>
      </c>
      <c r="F173" s="1">
        <f>(Table7[[#This Row],[Batmobile]]-angvel!F172)*120</f>
        <v>0</v>
      </c>
      <c r="G173" s="1">
        <f>(Table7[[#This Row],[Breakout]]-angvel!G172)*120</f>
        <v>0</v>
      </c>
    </row>
    <row r="174" spans="1:7">
      <c r="A174" s="6">
        <v>121</v>
      </c>
      <c r="B174" s="1">
        <f>(Table7[[#This Row],[Octane]]-angvel!B173)*120</f>
        <v>-3.0264817318936821E-7</v>
      </c>
      <c r="C174" s="1">
        <f>(Table7[[#This Row],[Hybrid]]-angvel!C173)*120</f>
        <v>0</v>
      </c>
      <c r="D174" s="1">
        <f>(Table7[[#This Row],[Dominus]]-angvel!D173)*120</f>
        <v>0</v>
      </c>
      <c r="E174" s="1">
        <f>(Table7[[#This Row],[Plank]]-angvel!E173)*120</f>
        <v>0</v>
      </c>
      <c r="F174" s="1">
        <f>(Table7[[#This Row],[Batmobile]]-angvel!F173)*120</f>
        <v>0</v>
      </c>
      <c r="G174" s="1">
        <f>(Table7[[#This Row],[Breakout]]-angvel!G173)*120</f>
        <v>-2.9232642972942813E-7</v>
      </c>
    </row>
    <row r="175" spans="1:7">
      <c r="A175" s="6">
        <v>122</v>
      </c>
      <c r="B175" s="1">
        <f>(Table7[[#This Row],[Octane]]-angvel!B174)*120</f>
        <v>0</v>
      </c>
      <c r="C175" s="1">
        <f>(Table7[[#This Row],[Hybrid]]-angvel!C174)*120</f>
        <v>0</v>
      </c>
      <c r="D175" s="1">
        <f>(Table7[[#This Row],[Dominus]]-angvel!D174)*120</f>
        <v>2.93083264324423E-7</v>
      </c>
      <c r="E175" s="1">
        <f>(Table7[[#This Row],[Plank]]-angvel!E174)*120</f>
        <v>0</v>
      </c>
      <c r="F175" s="1">
        <f>(Table7[[#This Row],[Batmobile]]-angvel!F174)*120</f>
        <v>2.6983809320313412E-6</v>
      </c>
      <c r="G175" s="1">
        <f>(Table7[[#This Row],[Breakout]]-angvel!G174)*120</f>
        <v>0</v>
      </c>
    </row>
    <row r="176" spans="1:7">
      <c r="A176" s="6">
        <v>123</v>
      </c>
      <c r="B176" s="1">
        <f>(Table7[[#This Row],[Octane]]-angvel!B175)*120</f>
        <v>0</v>
      </c>
      <c r="C176" s="1">
        <f>(Table7[[#This Row],[Hybrid]]-angvel!C175)*120</f>
        <v>0</v>
      </c>
      <c r="D176" s="1">
        <f>(Table7[[#This Row],[Dominus]]-angvel!D175)*120</f>
        <v>0</v>
      </c>
      <c r="E176" s="1">
        <f>(Table7[[#This Row],[Plank]]-angvel!E175)*120</f>
        <v>0</v>
      </c>
      <c r="F176" s="1">
        <f>(Table7[[#This Row],[Batmobile]]-angvel!F175)*120</f>
        <v>0</v>
      </c>
      <c r="G176" s="1">
        <f>(Table7[[#This Row],[Breakout]]-angvel!G175)*120</f>
        <v>0</v>
      </c>
    </row>
    <row r="177" spans="1:7">
      <c r="A177" s="6">
        <v>124</v>
      </c>
      <c r="B177" s="1">
        <f>(Table7[[#This Row],[Octane]]-angvel!B176)*120</f>
        <v>0</v>
      </c>
      <c r="C177" s="1">
        <f>(Table7[[#This Row],[Hybrid]]-angvel!C176)*120</f>
        <v>0</v>
      </c>
      <c r="D177" s="1">
        <f>(Table7[[#This Row],[Dominus]]-angvel!D176)*120</f>
        <v>-2.93083264324423E-7</v>
      </c>
      <c r="E177" s="1">
        <f>(Table7[[#This Row],[Plank]]-angvel!E176)*120</f>
        <v>0</v>
      </c>
      <c r="F177" s="1">
        <f>(Table7[[#This Row],[Batmobile]]-angvel!F176)*120</f>
        <v>0</v>
      </c>
      <c r="G177" s="1">
        <f>(Table7[[#This Row],[Breakout]]-angvel!G176)*120</f>
        <v>0</v>
      </c>
    </row>
    <row r="178" spans="1:7">
      <c r="A178" s="6">
        <v>125</v>
      </c>
      <c r="B178" s="1">
        <f>(Table7[[#This Row],[Octane]]-angvel!B177)*120</f>
        <v>0</v>
      </c>
      <c r="C178" s="1">
        <f>(Table7[[#This Row],[Hybrid]]-angvel!C177)*120</f>
        <v>-1.4776869328159137E-6</v>
      </c>
      <c r="D178" s="1">
        <f>(Table7[[#This Row],[Dominus]]-angvel!D177)*120</f>
        <v>0</v>
      </c>
      <c r="E178" s="1">
        <f>(Table7[[#This Row],[Plank]]-angvel!E177)*120</f>
        <v>0</v>
      </c>
      <c r="F178" s="1">
        <f>(Table7[[#This Row],[Batmobile]]-angvel!F177)*120</f>
        <v>0</v>
      </c>
      <c r="G178" s="1">
        <f>(Table7[[#This Row],[Breakout]]-angvel!G177)*120</f>
        <v>0</v>
      </c>
    </row>
    <row r="179" spans="1:7">
      <c r="A179" s="6">
        <v>126</v>
      </c>
      <c r="B179" s="1">
        <f>(Table7[[#This Row],[Octane]]-angvel!B178)*120</f>
        <v>0</v>
      </c>
      <c r="C179" s="1">
        <f>(Table7[[#This Row],[Hybrid]]-angvel!C178)*120</f>
        <v>-8.8661217034768924E-7</v>
      </c>
      <c r="D179" s="1">
        <f>(Table7[[#This Row],[Dominus]]-angvel!D178)*120</f>
        <v>0</v>
      </c>
      <c r="E179" s="1">
        <f>(Table7[[#This Row],[Plank]]-angvel!E178)*120</f>
        <v>0</v>
      </c>
      <c r="F179" s="1">
        <f>(Table7[[#This Row],[Batmobile]]-angvel!F178)*120</f>
        <v>0</v>
      </c>
      <c r="G179" s="1">
        <f>(Table7[[#This Row],[Breakout]]-angvel!G178)*120</f>
        <v>0</v>
      </c>
    </row>
    <row r="180" spans="1:7">
      <c r="A180" s="6">
        <v>127</v>
      </c>
      <c r="B180" s="1">
        <f>(Table7[[#This Row],[Octane]]-angvel!B179)*120</f>
        <v>0</v>
      </c>
      <c r="C180" s="1">
        <f>(Table7[[#This Row],[Hybrid]]-angvel!C179)*120</f>
        <v>-2.9553735458875963E-7</v>
      </c>
      <c r="D180" s="1">
        <f>(Table7[[#This Row],[Dominus]]-angvel!D179)*120</f>
        <v>0</v>
      </c>
      <c r="E180" s="1">
        <f>(Table7[[#This Row],[Plank]]-angvel!E179)*120</f>
        <v>-8.8539101383844354E-7</v>
      </c>
      <c r="F180" s="1">
        <f>(Table7[[#This Row],[Batmobile]]-angvel!F179)*120</f>
        <v>0</v>
      </c>
      <c r="G180" s="1">
        <f>(Table7[[#This Row],[Breakout]]-angvel!G179)*120</f>
        <v>0</v>
      </c>
    </row>
    <row r="181" spans="1:7">
      <c r="A181" s="6">
        <v>128</v>
      </c>
      <c r="B181" s="1">
        <f>(Table7[[#This Row],[Octane]]-angvel!B180)*120</f>
        <v>3.0264817318936821E-7</v>
      </c>
      <c r="C181" s="1">
        <f>(Table7[[#This Row],[Hybrid]]-angvel!C180)*120</f>
        <v>0</v>
      </c>
      <c r="D181" s="1">
        <f>(Table7[[#This Row],[Dominus]]-angvel!D180)*120</f>
        <v>0</v>
      </c>
      <c r="E181" s="1">
        <f>(Table7[[#This Row],[Plank]]-angvel!E180)*120</f>
        <v>0</v>
      </c>
      <c r="F181" s="1">
        <f>(Table7[[#This Row],[Batmobile]]-angvel!F180)*120</f>
        <v>0</v>
      </c>
      <c r="G181" s="1">
        <f>(Table7[[#This Row],[Breakout]]-angvel!G180)*120</f>
        <v>0</v>
      </c>
    </row>
    <row r="182" spans="1:7">
      <c r="A182" s="6">
        <v>129</v>
      </c>
      <c r="B182" s="1">
        <f>(Table7[[#This Row],[Octane]]-angvel!B181)*120</f>
        <v>9.0794451956810462E-7</v>
      </c>
      <c r="C182" s="1">
        <f>(Table7[[#This Row],[Hybrid]]-angvel!C181)*120</f>
        <v>0</v>
      </c>
      <c r="D182" s="1">
        <f>(Table7[[#This Row],[Dominus]]-angvel!D181)*120</f>
        <v>-2.9308321103371782E-7</v>
      </c>
      <c r="E182" s="1">
        <f>(Table7[[#This Row],[Plank]]-angvel!E181)*120</f>
        <v>0</v>
      </c>
      <c r="F182" s="1">
        <f>(Table7[[#This Row],[Batmobile]]-angvel!F181)*120</f>
        <v>0</v>
      </c>
      <c r="G182" s="1">
        <f>(Table7[[#This Row],[Breakout]]-angvel!G181)*120</f>
        <v>0</v>
      </c>
    </row>
    <row r="183" spans="1:7">
      <c r="A183" s="6">
        <v>130</v>
      </c>
      <c r="B183" s="1">
        <f>(Table7[[#This Row],[Octane]]-angvel!B182)*120</f>
        <v>0</v>
      </c>
      <c r="C183" s="1">
        <f>(Table7[[#This Row],[Hybrid]]-angvel!C182)*120</f>
        <v>-2.9553740787946481E-7</v>
      </c>
      <c r="D183" s="1">
        <f>(Table7[[#This Row],[Dominus]]-angvel!D182)*120</f>
        <v>0</v>
      </c>
      <c r="E183" s="1">
        <f>(Table7[[#This Row],[Plank]]-angvel!E182)*120</f>
        <v>0</v>
      </c>
      <c r="F183" s="1">
        <f>(Table7[[#This Row],[Batmobile]]-angvel!F182)*120</f>
        <v>0</v>
      </c>
      <c r="G183" s="1">
        <f>(Table7[[#This Row],[Breakout]]-angvel!G182)*120</f>
        <v>0</v>
      </c>
    </row>
    <row r="184" spans="1:7">
      <c r="A184" s="6">
        <v>131</v>
      </c>
      <c r="B184" s="1">
        <f>(Table7[[#This Row],[Octane]]-angvel!B183)*120</f>
        <v>0</v>
      </c>
      <c r="C184" s="1">
        <f>(Table7[[#This Row],[Hybrid]]-angvel!C183)*120</f>
        <v>0</v>
      </c>
      <c r="D184" s="1">
        <f>(Table7[[#This Row],[Dominus]]-angvel!D183)*120</f>
        <v>0</v>
      </c>
      <c r="E184" s="1">
        <f>(Table7[[#This Row],[Plank]]-angvel!E183)*120</f>
        <v>0</v>
      </c>
      <c r="F184" s="1">
        <f>(Table7[[#This Row],[Batmobile]]-angvel!F183)*120</f>
        <v>0</v>
      </c>
      <c r="G184" s="1">
        <f>(Table7[[#This Row],[Breakout]]-angvel!G183)*120</f>
        <v>0</v>
      </c>
    </row>
    <row r="185" spans="1:7">
      <c r="A185" s="6">
        <v>132</v>
      </c>
      <c r="B185" s="1">
        <f>(Table7[[#This Row],[Octane]]-angvel!B184)*120</f>
        <v>0</v>
      </c>
      <c r="C185" s="1">
        <f>(Table7[[#This Row],[Hybrid]]-angvel!C184)*120</f>
        <v>0</v>
      </c>
      <c r="D185" s="1">
        <f>(Table7[[#This Row],[Dominus]]-angvel!D184)*120</f>
        <v>0</v>
      </c>
      <c r="E185" s="1">
        <f>(Table7[[#This Row],[Plank]]-angvel!E184)*120</f>
        <v>0</v>
      </c>
      <c r="F185" s="1">
        <f>(Table7[[#This Row],[Batmobile]]-angvel!F184)*120</f>
        <v>0</v>
      </c>
      <c r="G185" s="1">
        <f>(Table7[[#This Row],[Breakout]]-angvel!G184)*120</f>
        <v>0</v>
      </c>
    </row>
    <row r="186" spans="1:7">
      <c r="A186" s="6">
        <v>133</v>
      </c>
      <c r="B186" s="1">
        <f>(Table7[[#This Row],[Octane]]-angvel!B185)*120</f>
        <v>-9.0794451956810462E-7</v>
      </c>
      <c r="C186" s="1">
        <f>(Table7[[#This Row],[Hybrid]]-angvel!C185)*120</f>
        <v>0</v>
      </c>
      <c r="D186" s="1">
        <f>(Table7[[#This Row],[Dominus]]-angvel!D185)*120</f>
        <v>0</v>
      </c>
      <c r="E186" s="1">
        <f>(Table7[[#This Row],[Plank]]-angvel!E185)*120</f>
        <v>0</v>
      </c>
      <c r="F186" s="1">
        <f>(Table7[[#This Row],[Batmobile]]-angvel!F185)*120</f>
        <v>0</v>
      </c>
      <c r="G186" s="1">
        <f>(Table7[[#This Row],[Breakout]]-angvel!G185)*120</f>
        <v>0</v>
      </c>
    </row>
    <row r="187" spans="1:7">
      <c r="A187" s="6">
        <v>134</v>
      </c>
      <c r="B187" s="1">
        <f>(Table7[[#This Row],[Octane]]-angvel!B186)*120</f>
        <v>-3.0264817318936821E-7</v>
      </c>
      <c r="C187" s="1">
        <f>(Table7[[#This Row],[Hybrid]]-angvel!C186)*120</f>
        <v>0</v>
      </c>
      <c r="D187" s="1">
        <f>(Table7[[#This Row],[Dominus]]-angvel!D186)*120</f>
        <v>0</v>
      </c>
      <c r="E187" s="1">
        <f>(Table7[[#This Row],[Plank]]-angvel!E186)*120</f>
        <v>2.9513032018257945E-7</v>
      </c>
      <c r="F187" s="1">
        <f>(Table7[[#This Row],[Batmobile]]-angvel!F186)*120</f>
        <v>0</v>
      </c>
      <c r="G187" s="1">
        <f>(Table7[[#This Row],[Breakout]]-angvel!G186)*120</f>
        <v>0</v>
      </c>
    </row>
    <row r="188" spans="1:7">
      <c r="A188" s="6">
        <v>135</v>
      </c>
      <c r="B188" s="1">
        <f>(Table7[[#This Row],[Octane]]-angvel!B187)*120</f>
        <v>0</v>
      </c>
      <c r="C188" s="1">
        <f>(Table7[[#This Row],[Hybrid]]-angvel!C187)*120</f>
        <v>0</v>
      </c>
      <c r="D188" s="1">
        <f>(Table7[[#This Row],[Dominus]]-angvel!D187)*120</f>
        <v>0</v>
      </c>
      <c r="E188" s="1">
        <f>(Table7[[#This Row],[Plank]]-angvel!E187)*120</f>
        <v>0</v>
      </c>
      <c r="F188" s="1">
        <f>(Table7[[#This Row],[Batmobile]]-angvel!F187)*120</f>
        <v>0</v>
      </c>
      <c r="G188" s="1">
        <f>(Table7[[#This Row],[Breakout]]-angvel!G187)*120</f>
        <v>0</v>
      </c>
    </row>
    <row r="189" spans="1:7">
      <c r="A189" s="6">
        <v>136</v>
      </c>
      <c r="B189" s="1">
        <f>(Table7[[#This Row],[Octane]]-angvel!B188)*120</f>
        <v>0</v>
      </c>
      <c r="C189" s="1">
        <f>(Table7[[#This Row],[Hybrid]]-angvel!C188)*120</f>
        <v>0</v>
      </c>
      <c r="D189" s="1">
        <f>(Table7[[#This Row],[Dominus]]-angvel!D188)*120</f>
        <v>0</v>
      </c>
      <c r="E189" s="1">
        <f>(Table7[[#This Row],[Plank]]-angvel!E188)*120</f>
        <v>8.8539106712914872E-7</v>
      </c>
      <c r="F189" s="1">
        <f>(Table7[[#This Row],[Batmobile]]-angvel!F188)*120</f>
        <v>0</v>
      </c>
      <c r="G189" s="1">
        <f>(Table7[[#This Row],[Breakout]]-angvel!G188)*120</f>
        <v>0</v>
      </c>
    </row>
    <row r="190" spans="1:7">
      <c r="A190" s="6">
        <v>137</v>
      </c>
      <c r="B190" s="1">
        <f>(Table7[[#This Row],[Octane]]-angvel!B189)*120</f>
        <v>0</v>
      </c>
      <c r="C190" s="1">
        <f>(Table7[[#This Row],[Hybrid]]-angvel!C189)*120</f>
        <v>0</v>
      </c>
      <c r="D190" s="1">
        <f>(Table7[[#This Row],[Dominus]]-angvel!D189)*120</f>
        <v>0</v>
      </c>
      <c r="E190" s="1">
        <f>(Table7[[#This Row],[Plank]]-angvel!E189)*120</f>
        <v>1.4756517074943076E-6</v>
      </c>
      <c r="F190" s="1">
        <f>(Table7[[#This Row],[Batmobile]]-angvel!F189)*120</f>
        <v>0</v>
      </c>
      <c r="G190" s="1">
        <f>(Table7[[#This Row],[Breakout]]-angvel!G189)*120</f>
        <v>0</v>
      </c>
    </row>
    <row r="191" spans="1:7">
      <c r="A191" s="6">
        <v>138</v>
      </c>
      <c r="B191" s="1">
        <f>(Table7[[#This Row],[Octane]]-angvel!B190)*120</f>
        <v>0</v>
      </c>
      <c r="C191" s="1">
        <f>(Table7[[#This Row],[Hybrid]]-angvel!C190)*120</f>
        <v>0</v>
      </c>
      <c r="D191" s="1">
        <f>(Table7[[#This Row],[Dominus]]-angvel!D190)*120</f>
        <v>0</v>
      </c>
      <c r="E191" s="1">
        <f>(Table7[[#This Row],[Plank]]-angvel!E190)*120</f>
        <v>0</v>
      </c>
      <c r="F191" s="1">
        <f>(Table7[[#This Row],[Batmobile]]-angvel!F190)*120</f>
        <v>-2.3985608166299244E-6</v>
      </c>
      <c r="G191" s="1">
        <f>(Table7[[#This Row],[Breakout]]-angvel!G190)*120</f>
        <v>0</v>
      </c>
    </row>
    <row r="192" spans="1:7">
      <c r="A192" s="6">
        <v>139</v>
      </c>
      <c r="B192" s="1">
        <f>(Table7[[#This Row],[Octane]]-angvel!B191)*120</f>
        <v>0</v>
      </c>
      <c r="C192" s="1">
        <f>(Table7[[#This Row],[Hybrid]]-angvel!C191)*120</f>
        <v>0</v>
      </c>
      <c r="D192" s="1">
        <f>(Table7[[#This Row],[Dominus]]-angvel!D191)*120</f>
        <v>0</v>
      </c>
      <c r="E192" s="1">
        <f>(Table7[[#This Row],[Plank]]-angvel!E191)*120</f>
        <v>2.0659124011501717E-6</v>
      </c>
      <c r="F192" s="1">
        <f>(Table7[[#This Row],[Batmobile]]-angvel!F191)*120</f>
        <v>0</v>
      </c>
      <c r="G192" s="1">
        <f>(Table7[[#This Row],[Breakout]]-angvel!G191)*120</f>
        <v>0</v>
      </c>
    </row>
    <row r="193" spans="1:6">
      <c r="A193" s="1"/>
      <c r="B193" s="1"/>
      <c r="C193" s="1"/>
      <c r="D193" s="1"/>
      <c r="E193" s="1"/>
      <c r="F193" s="1"/>
    </row>
    <row r="194" spans="1:6">
      <c r="A194" s="1"/>
      <c r="B194" s="1"/>
      <c r="C194" s="1"/>
      <c r="D194" s="1"/>
      <c r="E194" s="1"/>
      <c r="F194" s="1"/>
    </row>
    <row r="195" spans="1:6">
      <c r="A195" s="1"/>
      <c r="B195" s="1"/>
      <c r="C195" s="1"/>
      <c r="D195" s="1"/>
      <c r="E195" s="1"/>
      <c r="F195" s="1"/>
    </row>
    <row r="196" spans="1:6">
      <c r="A196" s="1"/>
      <c r="B196" s="1"/>
      <c r="C196" s="1"/>
      <c r="D196" s="1"/>
      <c r="E196" s="1"/>
      <c r="F196" s="1"/>
    </row>
    <row r="197" spans="1:6">
      <c r="A197" s="1"/>
      <c r="B197" s="1"/>
      <c r="C197" s="1"/>
      <c r="D197" s="1"/>
      <c r="E197" s="1"/>
      <c r="F197" s="1"/>
    </row>
    <row r="198" spans="1:6">
      <c r="A198" s="1"/>
      <c r="B198" s="1"/>
      <c r="C198" s="1"/>
      <c r="D198" s="1"/>
      <c r="E198" s="1"/>
      <c r="F198" s="1"/>
    </row>
    <row r="199" spans="1:6">
      <c r="A199" s="1"/>
      <c r="B199" s="1"/>
      <c r="C199" s="1"/>
      <c r="D199" s="1"/>
      <c r="E199" s="1"/>
      <c r="F199" s="1"/>
    </row>
    <row r="200" spans="1:6">
      <c r="A200" s="1"/>
      <c r="B200" s="1"/>
      <c r="C200" s="1"/>
      <c r="D200" s="1"/>
      <c r="E200" s="1"/>
      <c r="F200" s="1"/>
    </row>
    <row r="201" spans="1:6">
      <c r="A201" s="1"/>
      <c r="B201" s="1"/>
      <c r="C201" s="1"/>
      <c r="D201" s="1"/>
      <c r="E201" s="1"/>
      <c r="F201" s="1"/>
    </row>
    <row r="202" spans="1:6">
      <c r="A202" s="1"/>
      <c r="B202" s="1"/>
      <c r="C202" s="1"/>
      <c r="D202" s="1"/>
      <c r="E202" s="1"/>
      <c r="F202" s="1"/>
    </row>
    <row r="203" spans="1:6">
      <c r="A203" s="1"/>
      <c r="B203" s="1"/>
      <c r="C203" s="1"/>
      <c r="D203" s="1"/>
      <c r="E203" s="1"/>
      <c r="F203" s="1"/>
    </row>
    <row r="204" spans="1:6">
      <c r="A204" s="1"/>
      <c r="B204" s="1"/>
      <c r="C204" s="1"/>
      <c r="D204" s="1"/>
      <c r="E204" s="1"/>
      <c r="F204" s="1"/>
    </row>
    <row r="205" spans="1:6">
      <c r="A205" s="1"/>
      <c r="B205" s="1"/>
      <c r="C205" s="1"/>
      <c r="D205" s="1"/>
      <c r="E205" s="1"/>
      <c r="F205" s="1"/>
    </row>
    <row r="206" spans="1:6">
      <c r="A206" s="1"/>
      <c r="B206" s="1"/>
      <c r="C206" s="1"/>
      <c r="D206" s="1"/>
      <c r="E206" s="1"/>
      <c r="F206" s="1"/>
    </row>
    <row r="207" spans="1:6">
      <c r="A207" s="1"/>
      <c r="B207" s="1"/>
      <c r="C207" s="1"/>
      <c r="D207" s="1"/>
      <c r="E207" s="1"/>
      <c r="F207" s="1"/>
    </row>
    <row r="208" spans="1:6">
      <c r="A208" s="1"/>
      <c r="B208" s="1"/>
      <c r="C208" s="1"/>
      <c r="D208" s="1"/>
      <c r="E208" s="1"/>
      <c r="F208" s="1"/>
    </row>
    <row r="209" spans="1:6">
      <c r="A209" s="1"/>
      <c r="B209" s="1"/>
      <c r="C209" s="1"/>
      <c r="D209" s="1"/>
      <c r="E209" s="1"/>
      <c r="F209" s="1"/>
    </row>
    <row r="210" spans="1:6">
      <c r="A210" s="1"/>
      <c r="B210" s="1"/>
      <c r="C210" s="1"/>
      <c r="D210" s="1"/>
      <c r="E210" s="1"/>
      <c r="F210" s="1"/>
    </row>
    <row r="211" spans="1:6">
      <c r="A211" s="1"/>
      <c r="B211" s="1"/>
      <c r="C211" s="1"/>
      <c r="D211" s="1"/>
      <c r="E211" s="1"/>
      <c r="F211" s="1"/>
    </row>
    <row r="212" spans="1:6">
      <c r="A212" s="1"/>
      <c r="B212" s="1"/>
      <c r="C212" s="1"/>
      <c r="D212" s="1"/>
      <c r="E212" s="1"/>
      <c r="F212" s="1"/>
    </row>
    <row r="213" spans="1:6">
      <c r="A213" s="1"/>
      <c r="B213" s="1"/>
      <c r="C213" s="1"/>
      <c r="D213" s="1"/>
      <c r="E213" s="1"/>
      <c r="F213" s="1"/>
    </row>
    <row r="214" spans="1:6">
      <c r="A214" s="1"/>
      <c r="B214" s="1"/>
      <c r="C214" s="1"/>
      <c r="D214" s="1"/>
      <c r="E214" s="1"/>
      <c r="F214" s="1"/>
    </row>
    <row r="215" spans="1:6">
      <c r="A215" s="1"/>
      <c r="B215" s="1"/>
      <c r="C215" s="1"/>
      <c r="D215" s="1"/>
      <c r="E215" s="1"/>
      <c r="F215" s="1"/>
    </row>
    <row r="216" spans="1:6">
      <c r="A216" s="1"/>
      <c r="B216" s="1"/>
      <c r="C216" s="1"/>
      <c r="D216" s="1"/>
      <c r="E216" s="1"/>
      <c r="F216" s="1"/>
    </row>
    <row r="217" spans="1:6">
      <c r="A217" s="1"/>
      <c r="B217" s="1"/>
      <c r="C217" s="1"/>
      <c r="D217" s="1"/>
      <c r="E217" s="1"/>
      <c r="F217" s="1"/>
    </row>
    <row r="218" spans="1:6">
      <c r="A218" s="1"/>
      <c r="B218" s="1"/>
      <c r="C218" s="1"/>
      <c r="D218" s="1"/>
      <c r="E218" s="1"/>
      <c r="F218" s="1"/>
    </row>
    <row r="219" spans="1:6">
      <c r="A219" s="1"/>
      <c r="B219" s="1"/>
      <c r="C219" s="1"/>
      <c r="D219" s="1"/>
      <c r="E219" s="1"/>
      <c r="F219" s="1"/>
    </row>
    <row r="220" spans="1:6">
      <c r="A220" s="1"/>
      <c r="B220" s="1"/>
      <c r="C220" s="1"/>
      <c r="D220" s="1"/>
      <c r="E220" s="1"/>
      <c r="F220" s="1"/>
    </row>
    <row r="221" spans="1:6">
      <c r="A221" s="1"/>
      <c r="B221" s="1"/>
      <c r="C221" s="1"/>
      <c r="D221" s="1"/>
      <c r="E221" s="1"/>
      <c r="F221" s="1"/>
    </row>
    <row r="222" spans="1:6">
      <c r="A222" s="1"/>
      <c r="B222" s="1"/>
      <c r="C222" s="1"/>
      <c r="D222" s="1"/>
      <c r="E222" s="1"/>
      <c r="F222" s="1"/>
    </row>
    <row r="223" spans="1:6">
      <c r="A223" s="1"/>
      <c r="B223" s="1"/>
      <c r="C223" s="1"/>
      <c r="D223" s="1"/>
      <c r="E223" s="1"/>
      <c r="F223" s="1"/>
    </row>
    <row r="224" spans="1:6">
      <c r="A224" s="1"/>
      <c r="B224" s="1"/>
      <c r="C224" s="1"/>
      <c r="D224" s="1"/>
      <c r="E224" s="1"/>
      <c r="F224" s="1"/>
    </row>
    <row r="225" spans="1:6">
      <c r="A225" s="1"/>
      <c r="B225" s="1"/>
      <c r="C225" s="1"/>
      <c r="D225" s="1"/>
      <c r="E225" s="1"/>
      <c r="F225" s="1"/>
    </row>
    <row r="226" spans="1:6">
      <c r="A226" s="1"/>
      <c r="B226" s="1"/>
      <c r="C226" s="1"/>
      <c r="D226" s="1"/>
      <c r="E226" s="1"/>
      <c r="F226" s="1"/>
    </row>
    <row r="227" spans="1:6">
      <c r="A227" s="1"/>
      <c r="B227" s="1"/>
      <c r="C227" s="1"/>
      <c r="D227" s="1"/>
      <c r="E227" s="1"/>
      <c r="F227" s="1"/>
    </row>
    <row r="228" spans="1:6">
      <c r="A228" s="1"/>
      <c r="B228" s="1"/>
      <c r="C228" s="1"/>
      <c r="D228" s="1"/>
      <c r="E228" s="1"/>
      <c r="F228" s="1"/>
    </row>
    <row r="229" spans="1:6">
      <c r="A229" s="1"/>
      <c r="B229" s="1"/>
      <c r="C229" s="1"/>
      <c r="D229" s="1"/>
      <c r="E229" s="1"/>
      <c r="F229" s="1"/>
    </row>
    <row r="230" spans="1:6">
      <c r="A230" s="1"/>
      <c r="B230" s="1"/>
      <c r="C230" s="1"/>
      <c r="D230" s="1"/>
      <c r="E230" s="1"/>
      <c r="F230" s="1"/>
    </row>
    <row r="231" spans="1:6">
      <c r="A231" s="1"/>
      <c r="B231" s="1"/>
      <c r="C231" s="1"/>
      <c r="D231" s="1"/>
      <c r="E231" s="1"/>
      <c r="F231" s="1"/>
    </row>
    <row r="232" spans="1:6">
      <c r="A232" s="1"/>
      <c r="B232" s="1"/>
      <c r="C232" s="1"/>
      <c r="D232" s="1"/>
      <c r="E232" s="1"/>
      <c r="F232" s="1"/>
    </row>
    <row r="233" spans="1:6">
      <c r="A233" s="1"/>
      <c r="B233" s="1"/>
      <c r="C233" s="1"/>
      <c r="D233" s="1"/>
      <c r="E233" s="1"/>
      <c r="F233" s="1"/>
    </row>
    <row r="234" spans="1:6">
      <c r="A234" s="1"/>
      <c r="B234" s="1"/>
      <c r="C234" s="1"/>
      <c r="D234" s="1"/>
      <c r="E234" s="1"/>
      <c r="F234" s="1"/>
    </row>
    <row r="235" spans="1:6">
      <c r="A235" s="1"/>
      <c r="B235" s="1"/>
      <c r="C235" s="1"/>
      <c r="D235" s="1"/>
      <c r="E235" s="1"/>
      <c r="F235" s="1"/>
    </row>
    <row r="236" spans="1:6">
      <c r="A236" s="1"/>
      <c r="B236" s="1"/>
      <c r="C236" s="1"/>
      <c r="D236" s="1"/>
      <c r="E236" s="1"/>
      <c r="F236" s="1"/>
    </row>
    <row r="237" spans="1:6">
      <c r="A237" s="1"/>
      <c r="B237" s="1"/>
      <c r="C237" s="1"/>
      <c r="D237" s="1"/>
      <c r="E237" s="1"/>
      <c r="F237" s="1"/>
    </row>
    <row r="238" spans="1:6">
      <c r="A238" s="1"/>
      <c r="B238" s="1"/>
      <c r="C238" s="1"/>
      <c r="D238" s="1"/>
      <c r="E238" s="1"/>
      <c r="F238" s="1"/>
    </row>
  </sheetData>
  <pageMargins left="0.7" right="0.7" top="0.75" bottom="0.75" header="0.3" footer="0.3"/>
  <pageSetup paperSize="9" orientation="portrait" horizontalDpi="4294967293" verticalDpi="0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452"/>
  <sheetViews>
    <sheetView topLeftCell="E1" zoomScaleNormal="100" workbookViewId="0">
      <selection activeCell="U34" sqref="U34"/>
    </sheetView>
  </sheetViews>
  <sheetFormatPr defaultRowHeight="14.5"/>
  <cols>
    <col min="1" max="2" width="10.81640625" customWidth="1"/>
    <col min="3" max="3" width="11.1796875" bestFit="1" customWidth="1"/>
    <col min="5" max="5" width="12.453125" bestFit="1" customWidth="1"/>
    <col min="6" max="6" width="11.26953125" bestFit="1" customWidth="1"/>
    <col min="8" max="8" width="10.81640625" customWidth="1"/>
    <col min="9" max="9" width="12.81640625" customWidth="1"/>
    <col min="10" max="10" width="9.81640625" customWidth="1"/>
    <col min="11" max="11" width="14" customWidth="1"/>
    <col min="12" max="12" width="13.1796875" customWidth="1"/>
    <col min="14" max="14" width="10.1796875" customWidth="1"/>
    <col min="15" max="15" width="13.1796875" bestFit="1" customWidth="1"/>
    <col min="16" max="16" width="10.1796875" bestFit="1" customWidth="1"/>
    <col min="17" max="17" width="14.453125" bestFit="1" customWidth="1"/>
    <col min="18" max="18" width="13.26953125" bestFit="1" customWidth="1"/>
  </cols>
  <sheetData>
    <row r="1" spans="1:18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H1" t="s">
        <v>59</v>
      </c>
      <c r="I1" t="s">
        <v>36</v>
      </c>
      <c r="J1" t="s">
        <v>37</v>
      </c>
      <c r="K1" t="s">
        <v>38</v>
      </c>
      <c r="L1" t="s">
        <v>39</v>
      </c>
      <c r="M1" t="s">
        <v>40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</row>
    <row r="2" spans="1:18">
      <c r="A2" s="1">
        <f>Octane[[#This Row],[Degrees turned]]</f>
        <v>0</v>
      </c>
      <c r="B2" s="1">
        <f>Hybrid[[#This Row],[Degrees turned]]</f>
        <v>0</v>
      </c>
      <c r="C2" s="1">
        <f>Dominus[[#This Row],[Degrees turned]]</f>
        <v>0</v>
      </c>
      <c r="D2" s="1">
        <f>Plank[[#This Row],[Degrees turned]]</f>
        <v>0</v>
      </c>
      <c r="E2" s="1">
        <f>Batmobile[[#This Row],[Degrees turned]]</f>
        <v>0</v>
      </c>
      <c r="F2" s="1">
        <f>Breakout[[#This Row],[Degrees turned]]</f>
        <v>0</v>
      </c>
      <c r="H2" s="1">
        <v>0</v>
      </c>
      <c r="I2" s="3" t="e">
        <f>Table9[[#This Row],[Hybrid]]/Table9[[#This Row],[Octane]]</f>
        <v>#DIV/0!</v>
      </c>
      <c r="J2" s="3">
        <f>Table9[[#This Row],[Dominus]]-Table9[[#This Row],[Octane]]</f>
        <v>0</v>
      </c>
      <c r="K2" s="3">
        <f>Table9[[#This Row],[Plank]]-Table9[[#This Row],[Octane]]</f>
        <v>0</v>
      </c>
      <c r="L2" s="3">
        <f>Table9[[#This Row],[Batmobile]]-Table9[[#This Row],[Octane]]</f>
        <v>0</v>
      </c>
      <c r="M2" s="3">
        <f>Table9[[#This Row],[Breakout]]-Table9[[#This Row],[Octane]]</f>
        <v>0</v>
      </c>
      <c r="N2" s="4" t="e">
        <f>Table9[[#This Row],[Octane]]/Table9[[#This Row],[Hybrid]]</f>
        <v>#DIV/0!</v>
      </c>
      <c r="O2" s="4" t="e">
        <f>Table9[[#This Row],[Octane]]/Table9[[#This Row],[Dominus]]</f>
        <v>#DIV/0!</v>
      </c>
      <c r="P2" s="4" t="e">
        <f>Table9[[#This Row],[Octane]]/Table9[[#This Row],[Plank]]</f>
        <v>#DIV/0!</v>
      </c>
      <c r="Q2" s="4" t="e">
        <f>Table9[[#This Row],[Octane]]/Table9[[#This Row],[Batmobile]]</f>
        <v>#DIV/0!</v>
      </c>
      <c r="R2" s="4" t="e">
        <f>Table9[[#This Row],[Octane]]/Table9[[#This Row],[Breakout]]</f>
        <v>#DIV/0!</v>
      </c>
    </row>
    <row r="3" spans="1:18">
      <c r="A3" s="1">
        <f>Octane[[#This Row],[Degrees turned]]</f>
        <v>0</v>
      </c>
      <c r="B3" s="1">
        <f>Hybrid[[#This Row],[Degrees turned]]</f>
        <v>0</v>
      </c>
      <c r="C3" s="1">
        <f>Dominus[[#This Row],[Degrees turned]]</f>
        <v>0</v>
      </c>
      <c r="D3" s="1">
        <f>Plank[[#This Row],[Degrees turned]]</f>
        <v>0</v>
      </c>
      <c r="E3" s="1">
        <f>Batmobile[[#This Row],[Degrees turned]]</f>
        <v>0</v>
      </c>
      <c r="F3" s="1">
        <f>Breakout[[#This Row],[Degrees turned]]</f>
        <v>0</v>
      </c>
      <c r="H3" s="1">
        <v>0</v>
      </c>
      <c r="I3" s="3">
        <f>Table9[[#This Row],[Hybrid]]-Table9[[#This Row],[Octane]]</f>
        <v>0</v>
      </c>
      <c r="J3" s="3">
        <f>Table9[[#This Row],[Dominus]]-Table9[[#This Row],[Octane]]</f>
        <v>0</v>
      </c>
      <c r="K3" s="3">
        <f>Table9[[#This Row],[Plank]]-Table9[[#This Row],[Octane]]</f>
        <v>0</v>
      </c>
      <c r="L3" s="3">
        <f>Table9[[#This Row],[Batmobile]]-Table9[[#This Row],[Octane]]</f>
        <v>0</v>
      </c>
      <c r="M3" s="3">
        <f>Table9[[#This Row],[Breakout]]-Table9[[#This Row],[Octane]]</f>
        <v>0</v>
      </c>
      <c r="N3" s="4" t="e">
        <f>Table9[[#This Row],[Octane]]/Table9[[#This Row],[Hybrid]]</f>
        <v>#DIV/0!</v>
      </c>
      <c r="O3" s="4" t="e">
        <f>Table9[[#This Row],[Octane]]/Table9[[#This Row],[Dominus]]</f>
        <v>#DIV/0!</v>
      </c>
      <c r="P3" s="4" t="e">
        <f>Table9[[#This Row],[Octane]]/Table9[[#This Row],[Plank]]</f>
        <v>#DIV/0!</v>
      </c>
      <c r="Q3" s="4" t="e">
        <f>Table9[[#This Row],[Octane]]/Table9[[#This Row],[Batmobile]]</f>
        <v>#DIV/0!</v>
      </c>
      <c r="R3" s="4" t="e">
        <f>Table9[[#This Row],[Octane]]/Table9[[#This Row],[Breakout]]</f>
        <v>#DIV/0!</v>
      </c>
    </row>
    <row r="4" spans="1:18">
      <c r="A4" s="1">
        <f>Octane[[#This Row],[Degrees turned]]</f>
        <v>0</v>
      </c>
      <c r="B4" s="1">
        <f>Hybrid[[#This Row],[Degrees turned]]</f>
        <v>0</v>
      </c>
      <c r="C4" s="1">
        <f>Dominus[[#This Row],[Degrees turned]]</f>
        <v>0</v>
      </c>
      <c r="D4" s="1">
        <f>Plank[[#This Row],[Degrees turned]]</f>
        <v>0</v>
      </c>
      <c r="E4" s="1">
        <f>Batmobile[[#This Row],[Degrees turned]]</f>
        <v>0</v>
      </c>
      <c r="F4" s="1">
        <f>Breakout[[#This Row],[Degrees turned]]</f>
        <v>0</v>
      </c>
      <c r="H4" s="1">
        <v>0</v>
      </c>
      <c r="I4" s="3">
        <f>Table9[[#This Row],[Hybrid]]-Table9[[#This Row],[Octane]]</f>
        <v>0</v>
      </c>
      <c r="J4" s="3">
        <f>Table9[[#This Row],[Dominus]]-Table9[[#This Row],[Octane]]</f>
        <v>0</v>
      </c>
      <c r="K4" s="3">
        <f>Table9[[#This Row],[Plank]]-Table9[[#This Row],[Octane]]</f>
        <v>0</v>
      </c>
      <c r="L4" s="3">
        <f>Table9[[#This Row],[Batmobile]]-Table9[[#This Row],[Octane]]</f>
        <v>0</v>
      </c>
      <c r="M4" s="3">
        <f>Table9[[#This Row],[Breakout]]-Table9[[#This Row],[Octane]]</f>
        <v>0</v>
      </c>
      <c r="N4" s="4" t="e">
        <f>Table9[[#This Row],[Octane]]/Table9[[#This Row],[Hybrid]]</f>
        <v>#DIV/0!</v>
      </c>
      <c r="O4" s="4" t="e">
        <f>Table9[[#This Row],[Octane]]/Table9[[#This Row],[Dominus]]</f>
        <v>#DIV/0!</v>
      </c>
      <c r="P4" s="4" t="e">
        <f>Table9[[#This Row],[Octane]]/Table9[[#This Row],[Plank]]</f>
        <v>#DIV/0!</v>
      </c>
      <c r="Q4" s="4" t="e">
        <f>Table9[[#This Row],[Octane]]/Table9[[#This Row],[Batmobile]]</f>
        <v>#DIV/0!</v>
      </c>
      <c r="R4" s="4" t="e">
        <f>Table9[[#This Row],[Octane]]/Table9[[#This Row],[Breakout]]</f>
        <v>#DIV/0!</v>
      </c>
    </row>
    <row r="5" spans="1:18">
      <c r="A5" s="1">
        <f>Octane[[#This Row],[Degrees turned]]</f>
        <v>0</v>
      </c>
      <c r="B5" s="1">
        <f>Hybrid[[#This Row],[Degrees turned]]</f>
        <v>0</v>
      </c>
      <c r="C5" s="1">
        <f>Dominus[[#This Row],[Degrees turned]]</f>
        <v>0</v>
      </c>
      <c r="D5" s="1">
        <f>Plank[[#This Row],[Degrees turned]]</f>
        <v>0</v>
      </c>
      <c r="E5" s="1">
        <f>Batmobile[[#This Row],[Degrees turned]]</f>
        <v>0</v>
      </c>
      <c r="F5" s="1">
        <f>Breakout[[#This Row],[Degrees turned]]</f>
        <v>0</v>
      </c>
      <c r="H5" s="1">
        <v>0</v>
      </c>
      <c r="I5" s="3">
        <f>Table9[[#This Row],[Hybrid]]-Table9[[#This Row],[Octane]]</f>
        <v>0</v>
      </c>
      <c r="J5" s="3">
        <f>Table9[[#This Row],[Dominus]]-Table9[[#This Row],[Octane]]</f>
        <v>0</v>
      </c>
      <c r="K5" s="3">
        <f>Table9[[#This Row],[Plank]]-Table9[[#This Row],[Octane]]</f>
        <v>0</v>
      </c>
      <c r="L5" s="3">
        <f>Table9[[#This Row],[Batmobile]]-Table9[[#This Row],[Octane]]</f>
        <v>0</v>
      </c>
      <c r="M5" s="3">
        <f>Table9[[#This Row],[Breakout]]-Table9[[#This Row],[Octane]]</f>
        <v>0</v>
      </c>
      <c r="N5" s="4" t="e">
        <f>Table9[[#This Row],[Octane]]/Table9[[#This Row],[Hybrid]]</f>
        <v>#DIV/0!</v>
      </c>
      <c r="O5" s="4" t="e">
        <f>Table9[[#This Row],[Octane]]/Table9[[#This Row],[Dominus]]</f>
        <v>#DIV/0!</v>
      </c>
      <c r="P5" s="4" t="e">
        <f>Table9[[#This Row],[Octane]]/Table9[[#This Row],[Plank]]</f>
        <v>#DIV/0!</v>
      </c>
      <c r="Q5" s="4" t="e">
        <f>Table9[[#This Row],[Octane]]/Table9[[#This Row],[Batmobile]]</f>
        <v>#DIV/0!</v>
      </c>
      <c r="R5" s="4" t="e">
        <f>Table9[[#This Row],[Octane]]/Table9[[#This Row],[Breakout]]</f>
        <v>#DIV/0!</v>
      </c>
    </row>
    <row r="6" spans="1:18">
      <c r="A6" s="1">
        <f>Octane[[#This Row],[Degrees turned]]</f>
        <v>0</v>
      </c>
      <c r="B6" s="1">
        <f>Hybrid[[#This Row],[Degrees turned]]</f>
        <v>0</v>
      </c>
      <c r="C6" s="1">
        <f>Dominus[[#This Row],[Degrees turned]]</f>
        <v>0</v>
      </c>
      <c r="D6" s="1">
        <f>Plank[[#This Row],[Degrees turned]]</f>
        <v>0</v>
      </c>
      <c r="E6" s="1">
        <f>Batmobile[[#This Row],[Degrees turned]]</f>
        <v>0</v>
      </c>
      <c r="F6" s="1">
        <f>Breakout[[#This Row],[Degrees turned]]</f>
        <v>0</v>
      </c>
      <c r="H6" s="1">
        <v>0</v>
      </c>
      <c r="I6" s="3">
        <f>Table9[[#This Row],[Hybrid]]-Table9[[#This Row],[Octane]]</f>
        <v>0</v>
      </c>
      <c r="J6" s="3">
        <f>Table9[[#This Row],[Dominus]]-Table9[[#This Row],[Octane]]</f>
        <v>0</v>
      </c>
      <c r="K6" s="3">
        <f>Table9[[#This Row],[Plank]]-Table9[[#This Row],[Octane]]</f>
        <v>0</v>
      </c>
      <c r="L6" s="3">
        <f>Table9[[#This Row],[Batmobile]]-Table9[[#This Row],[Octane]]</f>
        <v>0</v>
      </c>
      <c r="M6" s="3">
        <f>Table9[[#This Row],[Breakout]]-Table9[[#This Row],[Octane]]</f>
        <v>0</v>
      </c>
      <c r="N6" s="4" t="e">
        <f>Table9[[#This Row],[Octane]]/Table9[[#This Row],[Hybrid]]</f>
        <v>#DIV/0!</v>
      </c>
      <c r="O6" s="4" t="e">
        <f>Table9[[#This Row],[Octane]]/Table9[[#This Row],[Dominus]]</f>
        <v>#DIV/0!</v>
      </c>
      <c r="P6" s="4" t="e">
        <f>Table9[[#This Row],[Octane]]/Table9[[#This Row],[Plank]]</f>
        <v>#DIV/0!</v>
      </c>
      <c r="Q6" s="4" t="e">
        <f>Table9[[#This Row],[Octane]]/Table9[[#This Row],[Batmobile]]</f>
        <v>#DIV/0!</v>
      </c>
      <c r="R6" s="4" t="e">
        <f>Table9[[#This Row],[Octane]]/Table9[[#This Row],[Breakout]]</f>
        <v>#DIV/0!</v>
      </c>
    </row>
    <row r="7" spans="1:18">
      <c r="A7" s="1">
        <f>Octane[[#This Row],[Degrees turned]]</f>
        <v>0</v>
      </c>
      <c r="B7" s="1">
        <f>Hybrid[[#This Row],[Degrees turned]]</f>
        <v>0</v>
      </c>
      <c r="C7" s="1">
        <f>Dominus[[#This Row],[Degrees turned]]</f>
        <v>0</v>
      </c>
      <c r="D7" s="1">
        <f>Plank[[#This Row],[Degrees turned]]</f>
        <v>0</v>
      </c>
      <c r="E7" s="1">
        <f>Batmobile[[#This Row],[Degrees turned]]</f>
        <v>0</v>
      </c>
      <c r="F7" s="1">
        <f>Breakout[[#This Row],[Degrees turned]]</f>
        <v>0</v>
      </c>
      <c r="H7" s="1">
        <v>0</v>
      </c>
      <c r="I7" s="3">
        <f>Table9[[#This Row],[Hybrid]]-Table9[[#This Row],[Octane]]</f>
        <v>0</v>
      </c>
      <c r="J7" s="3">
        <f>Table9[[#This Row],[Dominus]]-Table9[[#This Row],[Octane]]</f>
        <v>0</v>
      </c>
      <c r="K7" s="3">
        <f>Table9[[#This Row],[Plank]]-Table9[[#This Row],[Octane]]</f>
        <v>0</v>
      </c>
      <c r="L7" s="3">
        <f>Table9[[#This Row],[Batmobile]]-Table9[[#This Row],[Octane]]</f>
        <v>0</v>
      </c>
      <c r="M7" s="3">
        <f>Table9[[#This Row],[Breakout]]-Table9[[#This Row],[Octane]]</f>
        <v>0</v>
      </c>
      <c r="N7" s="4" t="e">
        <f>Table9[[#This Row],[Octane]]/Table9[[#This Row],[Hybrid]]</f>
        <v>#DIV/0!</v>
      </c>
      <c r="O7" s="4" t="e">
        <f>Table9[[#This Row],[Octane]]/Table9[[#This Row],[Dominus]]</f>
        <v>#DIV/0!</v>
      </c>
      <c r="P7" s="4" t="e">
        <f>Table9[[#This Row],[Octane]]/Table9[[#This Row],[Plank]]</f>
        <v>#DIV/0!</v>
      </c>
      <c r="Q7" s="4" t="e">
        <f>Table9[[#This Row],[Octane]]/Table9[[#This Row],[Batmobile]]</f>
        <v>#DIV/0!</v>
      </c>
      <c r="R7" s="4" t="e">
        <f>Table9[[#This Row],[Octane]]/Table9[[#This Row],[Breakout]]</f>
        <v>#DIV/0!</v>
      </c>
    </row>
    <row r="8" spans="1:18">
      <c r="A8" s="1">
        <f>Octane[[#This Row],[Degrees turned]]</f>
        <v>0</v>
      </c>
      <c r="B8" s="1">
        <f>Hybrid[[#This Row],[Degrees turned]]</f>
        <v>0</v>
      </c>
      <c r="C8" s="1">
        <f>Dominus[[#This Row],[Degrees turned]]</f>
        <v>0</v>
      </c>
      <c r="D8" s="1">
        <f>Plank[[#This Row],[Degrees turned]]</f>
        <v>0</v>
      </c>
      <c r="E8" s="1">
        <f>Batmobile[[#This Row],[Degrees turned]]</f>
        <v>0</v>
      </c>
      <c r="F8" s="1">
        <f>Breakout[[#This Row],[Degrees turned]]</f>
        <v>0</v>
      </c>
      <c r="H8" s="1">
        <v>0</v>
      </c>
      <c r="I8" s="3">
        <f>Table9[[#This Row],[Hybrid]]-Table9[[#This Row],[Octane]]</f>
        <v>0</v>
      </c>
      <c r="J8" s="3">
        <f>Table9[[#This Row],[Dominus]]-Table9[[#This Row],[Octane]]</f>
        <v>0</v>
      </c>
      <c r="K8" s="3">
        <f>Table9[[#This Row],[Plank]]-Table9[[#This Row],[Octane]]</f>
        <v>0</v>
      </c>
      <c r="L8" s="3">
        <f>Table9[[#This Row],[Batmobile]]-Table9[[#This Row],[Octane]]</f>
        <v>0</v>
      </c>
      <c r="M8" s="3">
        <f>Table9[[#This Row],[Breakout]]-Table9[[#This Row],[Octane]]</f>
        <v>0</v>
      </c>
      <c r="N8" s="4" t="e">
        <f>Table9[[#This Row],[Octane]]/Table9[[#This Row],[Hybrid]]</f>
        <v>#DIV/0!</v>
      </c>
      <c r="O8" s="4" t="e">
        <f>Table9[[#This Row],[Octane]]/Table9[[#This Row],[Dominus]]</f>
        <v>#DIV/0!</v>
      </c>
      <c r="P8" s="4" t="e">
        <f>Table9[[#This Row],[Octane]]/Table9[[#This Row],[Plank]]</f>
        <v>#DIV/0!</v>
      </c>
      <c r="Q8" s="4" t="e">
        <f>Table9[[#This Row],[Octane]]/Table9[[#This Row],[Batmobile]]</f>
        <v>#DIV/0!</v>
      </c>
      <c r="R8" s="4" t="e">
        <f>Table9[[#This Row],[Octane]]/Table9[[#This Row],[Breakout]]</f>
        <v>#DIV/0!</v>
      </c>
    </row>
    <row r="9" spans="1:18">
      <c r="A9" s="1">
        <f>Octane[[#This Row],[Degrees turned]]</f>
        <v>0</v>
      </c>
      <c r="B9" s="1">
        <f>Hybrid[[#This Row],[Degrees turned]]</f>
        <v>0</v>
      </c>
      <c r="C9" s="1">
        <f>Dominus[[#This Row],[Degrees turned]]</f>
        <v>0</v>
      </c>
      <c r="D9" s="1">
        <f>Plank[[#This Row],[Degrees turned]]</f>
        <v>0</v>
      </c>
      <c r="E9" s="1">
        <f>Batmobile[[#This Row],[Degrees turned]]</f>
        <v>0</v>
      </c>
      <c r="F9" s="1">
        <f>Breakout[[#This Row],[Degrees turned]]</f>
        <v>0</v>
      </c>
      <c r="H9" s="1">
        <v>0</v>
      </c>
      <c r="I9" s="3">
        <f>Table9[[#This Row],[Hybrid]]-Table9[[#This Row],[Octane]]</f>
        <v>0</v>
      </c>
      <c r="J9" s="3">
        <f>Table9[[#This Row],[Dominus]]-Table9[[#This Row],[Octane]]</f>
        <v>0</v>
      </c>
      <c r="K9" s="3">
        <f>Table9[[#This Row],[Plank]]-Table9[[#This Row],[Octane]]</f>
        <v>0</v>
      </c>
      <c r="L9" s="3">
        <f>Table9[[#This Row],[Batmobile]]-Table9[[#This Row],[Octane]]</f>
        <v>0</v>
      </c>
      <c r="M9" s="3">
        <f>Table9[[#This Row],[Breakout]]-Table9[[#This Row],[Octane]]</f>
        <v>0</v>
      </c>
      <c r="N9" s="4" t="e">
        <f>Table9[[#This Row],[Octane]]/Table9[[#This Row],[Hybrid]]</f>
        <v>#DIV/0!</v>
      </c>
      <c r="O9" s="4" t="e">
        <f>Table9[[#This Row],[Octane]]/Table9[[#This Row],[Dominus]]</f>
        <v>#DIV/0!</v>
      </c>
      <c r="P9" s="4" t="e">
        <f>Table9[[#This Row],[Octane]]/Table9[[#This Row],[Plank]]</f>
        <v>#DIV/0!</v>
      </c>
      <c r="Q9" s="4" t="e">
        <f>Table9[[#This Row],[Octane]]/Table9[[#This Row],[Batmobile]]</f>
        <v>#DIV/0!</v>
      </c>
      <c r="R9" s="4" t="e">
        <f>Table9[[#This Row],[Octane]]/Table9[[#This Row],[Breakout]]</f>
        <v>#DIV/0!</v>
      </c>
    </row>
    <row r="10" spans="1:18">
      <c r="A10" s="1">
        <f>Octane[[#This Row],[Degrees turned]]</f>
        <v>0</v>
      </c>
      <c r="B10" s="1">
        <f>Hybrid[[#This Row],[Degrees turned]]</f>
        <v>0</v>
      </c>
      <c r="C10" s="1">
        <f>Dominus[[#This Row],[Degrees turned]]</f>
        <v>0</v>
      </c>
      <c r="D10" s="1">
        <f>Plank[[#This Row],[Degrees turned]]</f>
        <v>0</v>
      </c>
      <c r="E10" s="1">
        <f>Batmobile[[#This Row],[Degrees turned]]</f>
        <v>0</v>
      </c>
      <c r="F10" s="1">
        <f>Breakout[[#This Row],[Degrees turned]]</f>
        <v>0</v>
      </c>
      <c r="H10" s="1">
        <v>0</v>
      </c>
      <c r="I10" s="3">
        <f>Table9[[#This Row],[Hybrid]]-Table9[[#This Row],[Octane]]</f>
        <v>0</v>
      </c>
      <c r="J10" s="3">
        <f>Table9[[#This Row],[Dominus]]-Table9[[#This Row],[Octane]]</f>
        <v>0</v>
      </c>
      <c r="K10" s="3">
        <f>Table9[[#This Row],[Plank]]-Table9[[#This Row],[Octane]]</f>
        <v>0</v>
      </c>
      <c r="L10" s="3">
        <f>Table9[[#This Row],[Batmobile]]-Table9[[#This Row],[Octane]]</f>
        <v>0</v>
      </c>
      <c r="M10" s="3">
        <f>Table9[[#This Row],[Breakout]]-Table9[[#This Row],[Octane]]</f>
        <v>0</v>
      </c>
      <c r="N10" s="4" t="e">
        <f>Table9[[#This Row],[Octane]]/Table9[[#This Row],[Hybrid]]</f>
        <v>#DIV/0!</v>
      </c>
      <c r="O10" s="4" t="e">
        <f>Table9[[#This Row],[Octane]]/Table9[[#This Row],[Dominus]]</f>
        <v>#DIV/0!</v>
      </c>
      <c r="P10" s="4" t="e">
        <f>Table9[[#This Row],[Octane]]/Table9[[#This Row],[Plank]]</f>
        <v>#DIV/0!</v>
      </c>
      <c r="Q10" s="4" t="e">
        <f>Table9[[#This Row],[Octane]]/Table9[[#This Row],[Batmobile]]</f>
        <v>#DIV/0!</v>
      </c>
      <c r="R10" s="4" t="e">
        <f>Table9[[#This Row],[Octane]]/Table9[[#This Row],[Breakout]]</f>
        <v>#DIV/0!</v>
      </c>
    </row>
    <row r="11" spans="1:18">
      <c r="A11" s="1">
        <f>Octane[[#This Row],[Degrees turned]]</f>
        <v>0</v>
      </c>
      <c r="B11" s="1">
        <f>Hybrid[[#This Row],[Degrees turned]]</f>
        <v>0</v>
      </c>
      <c r="C11" s="1">
        <f>Dominus[[#This Row],[Degrees turned]]</f>
        <v>0</v>
      </c>
      <c r="D11" s="1">
        <f>Plank[[#This Row],[Degrees turned]]</f>
        <v>0</v>
      </c>
      <c r="E11" s="1">
        <f>Batmobile[[#This Row],[Degrees turned]]</f>
        <v>0</v>
      </c>
      <c r="F11" s="1">
        <f>Breakout[[#This Row],[Degrees turned]]</f>
        <v>0</v>
      </c>
      <c r="H11" s="1">
        <v>0</v>
      </c>
      <c r="I11" s="3">
        <f>Table9[[#This Row],[Hybrid]]-Table9[[#This Row],[Octane]]</f>
        <v>0</v>
      </c>
      <c r="J11" s="3">
        <f>Table9[[#This Row],[Dominus]]-Table9[[#This Row],[Octane]]</f>
        <v>0</v>
      </c>
      <c r="K11" s="3">
        <f>Table9[[#This Row],[Plank]]-Table9[[#This Row],[Octane]]</f>
        <v>0</v>
      </c>
      <c r="L11" s="3">
        <f>Table9[[#This Row],[Batmobile]]-Table9[[#This Row],[Octane]]</f>
        <v>0</v>
      </c>
      <c r="M11" s="3">
        <f>Table9[[#This Row],[Breakout]]-Table9[[#This Row],[Octane]]</f>
        <v>0</v>
      </c>
      <c r="N11" s="4" t="e">
        <f>Table9[[#This Row],[Octane]]/Table9[[#This Row],[Hybrid]]</f>
        <v>#DIV/0!</v>
      </c>
      <c r="O11" s="4" t="e">
        <f>Table9[[#This Row],[Octane]]/Table9[[#This Row],[Dominus]]</f>
        <v>#DIV/0!</v>
      </c>
      <c r="P11" s="4" t="e">
        <f>Table9[[#This Row],[Octane]]/Table9[[#This Row],[Plank]]</f>
        <v>#DIV/0!</v>
      </c>
      <c r="Q11" s="4" t="e">
        <f>Table9[[#This Row],[Octane]]/Table9[[#This Row],[Batmobile]]</f>
        <v>#DIV/0!</v>
      </c>
      <c r="R11" s="4" t="e">
        <f>Table9[[#This Row],[Octane]]/Table9[[#This Row],[Breakout]]</f>
        <v>#DIV/0!</v>
      </c>
    </row>
    <row r="12" spans="1:18">
      <c r="A12" s="1">
        <f>Octane[[#This Row],[Degrees turned]]</f>
        <v>0</v>
      </c>
      <c r="B12" s="1">
        <f>Hybrid[[#This Row],[Degrees turned]]</f>
        <v>0</v>
      </c>
      <c r="C12" s="1">
        <f>Dominus[[#This Row],[Degrees turned]]</f>
        <v>0</v>
      </c>
      <c r="D12" s="1">
        <f>Plank[[#This Row],[Degrees turned]]</f>
        <v>0</v>
      </c>
      <c r="E12" s="1">
        <f>Batmobile[[#This Row],[Degrees turned]]</f>
        <v>0</v>
      </c>
      <c r="F12" s="1">
        <f>Breakout[[#This Row],[Degrees turned]]</f>
        <v>0</v>
      </c>
      <c r="H12" s="1">
        <v>0</v>
      </c>
      <c r="I12" s="3">
        <f>Table9[[#This Row],[Hybrid]]-Table9[[#This Row],[Octane]]</f>
        <v>0</v>
      </c>
      <c r="J12" s="3">
        <f>Table9[[#This Row],[Dominus]]-Table9[[#This Row],[Octane]]</f>
        <v>0</v>
      </c>
      <c r="K12" s="3">
        <f>Table9[[#This Row],[Plank]]-Table9[[#This Row],[Octane]]</f>
        <v>0</v>
      </c>
      <c r="L12" s="3">
        <f>Table9[[#This Row],[Batmobile]]-Table9[[#This Row],[Octane]]</f>
        <v>0</v>
      </c>
      <c r="M12" s="3">
        <f>Table9[[#This Row],[Breakout]]-Table9[[#This Row],[Octane]]</f>
        <v>0</v>
      </c>
      <c r="N12" s="4" t="e">
        <f>Table9[[#This Row],[Octane]]/Table9[[#This Row],[Hybrid]]</f>
        <v>#DIV/0!</v>
      </c>
      <c r="O12" s="4" t="e">
        <f>Table9[[#This Row],[Octane]]/Table9[[#This Row],[Dominus]]</f>
        <v>#DIV/0!</v>
      </c>
      <c r="P12" s="4" t="e">
        <f>Table9[[#This Row],[Octane]]/Table9[[#This Row],[Plank]]</f>
        <v>#DIV/0!</v>
      </c>
      <c r="Q12" s="4" t="e">
        <f>Table9[[#This Row],[Octane]]/Table9[[#This Row],[Batmobile]]</f>
        <v>#DIV/0!</v>
      </c>
      <c r="R12" s="4" t="e">
        <f>Table9[[#This Row],[Octane]]/Table9[[#This Row],[Breakout]]</f>
        <v>#DIV/0!</v>
      </c>
    </row>
    <row r="13" spans="1:18">
      <c r="A13" s="1">
        <f>Octane[[#This Row],[Degrees turned]]</f>
        <v>0</v>
      </c>
      <c r="B13" s="1">
        <f>Hybrid[[#This Row],[Degrees turned]]</f>
        <v>0</v>
      </c>
      <c r="C13" s="1">
        <f>Dominus[[#This Row],[Degrees turned]]</f>
        <v>0</v>
      </c>
      <c r="D13" s="1">
        <f>Plank[[#This Row],[Degrees turned]]</f>
        <v>0</v>
      </c>
      <c r="E13" s="1">
        <f>Batmobile[[#This Row],[Degrees turned]]</f>
        <v>0</v>
      </c>
      <c r="F13" s="1">
        <f>Breakout[[#This Row],[Degrees turned]]</f>
        <v>0</v>
      </c>
      <c r="H13" s="1">
        <v>0</v>
      </c>
      <c r="I13" s="3">
        <f>Table9[[#This Row],[Hybrid]]-Table9[[#This Row],[Octane]]</f>
        <v>0</v>
      </c>
      <c r="J13" s="3">
        <f>Table9[[#This Row],[Dominus]]-Table9[[#This Row],[Octane]]</f>
        <v>0</v>
      </c>
      <c r="K13" s="3">
        <f>Table9[[#This Row],[Plank]]-Table9[[#This Row],[Octane]]</f>
        <v>0</v>
      </c>
      <c r="L13" s="3">
        <f>Table9[[#This Row],[Batmobile]]-Table9[[#This Row],[Octane]]</f>
        <v>0</v>
      </c>
      <c r="M13" s="3">
        <f>Table9[[#This Row],[Breakout]]-Table9[[#This Row],[Octane]]</f>
        <v>0</v>
      </c>
      <c r="N13" s="4" t="e">
        <f>Table9[[#This Row],[Octane]]/Table9[[#This Row],[Hybrid]]</f>
        <v>#DIV/0!</v>
      </c>
      <c r="O13" s="4" t="e">
        <f>Table9[[#This Row],[Octane]]/Table9[[#This Row],[Dominus]]</f>
        <v>#DIV/0!</v>
      </c>
      <c r="P13" s="4" t="e">
        <f>Table9[[#This Row],[Octane]]/Table9[[#This Row],[Plank]]</f>
        <v>#DIV/0!</v>
      </c>
      <c r="Q13" s="4" t="e">
        <f>Table9[[#This Row],[Octane]]/Table9[[#This Row],[Batmobile]]</f>
        <v>#DIV/0!</v>
      </c>
      <c r="R13" s="4" t="e">
        <f>Table9[[#This Row],[Octane]]/Table9[[#This Row],[Breakout]]</f>
        <v>#DIV/0!</v>
      </c>
    </row>
    <row r="14" spans="1:18">
      <c r="A14" s="1">
        <f>Octane[[#This Row],[Degrees turned]]</f>
        <v>0</v>
      </c>
      <c r="B14" s="1">
        <f>Hybrid[[#This Row],[Degrees turned]]</f>
        <v>0</v>
      </c>
      <c r="C14" s="1">
        <f>Dominus[[#This Row],[Degrees turned]]</f>
        <v>0</v>
      </c>
      <c r="D14" s="1">
        <f>Plank[[#This Row],[Degrees turned]]</f>
        <v>0</v>
      </c>
      <c r="E14" s="1">
        <f>Batmobile[[#This Row],[Degrees turned]]</f>
        <v>0</v>
      </c>
      <c r="F14" s="1">
        <f>Breakout[[#This Row],[Degrees turned]]</f>
        <v>0</v>
      </c>
      <c r="H14" s="1">
        <v>0</v>
      </c>
      <c r="I14" s="3">
        <f>Table9[[#This Row],[Hybrid]]-Table9[[#This Row],[Octane]]</f>
        <v>0</v>
      </c>
      <c r="J14" s="3">
        <f>Table9[[#This Row],[Dominus]]-Table9[[#This Row],[Octane]]</f>
        <v>0</v>
      </c>
      <c r="K14" s="3">
        <f>Table9[[#This Row],[Plank]]-Table9[[#This Row],[Octane]]</f>
        <v>0</v>
      </c>
      <c r="L14" s="3">
        <f>Table9[[#This Row],[Batmobile]]-Table9[[#This Row],[Octane]]</f>
        <v>0</v>
      </c>
      <c r="M14" s="3">
        <f>Table9[[#This Row],[Breakout]]-Table9[[#This Row],[Octane]]</f>
        <v>0</v>
      </c>
      <c r="N14" s="4" t="e">
        <f>Table9[[#This Row],[Octane]]/Table9[[#This Row],[Hybrid]]</f>
        <v>#DIV/0!</v>
      </c>
      <c r="O14" s="4" t="e">
        <f>Table9[[#This Row],[Octane]]/Table9[[#This Row],[Dominus]]</f>
        <v>#DIV/0!</v>
      </c>
      <c r="P14" s="4" t="e">
        <f>Table9[[#This Row],[Octane]]/Table9[[#This Row],[Plank]]</f>
        <v>#DIV/0!</v>
      </c>
      <c r="Q14" s="4" t="e">
        <f>Table9[[#This Row],[Octane]]/Table9[[#This Row],[Batmobile]]</f>
        <v>#DIV/0!</v>
      </c>
      <c r="R14" s="4" t="e">
        <f>Table9[[#This Row],[Octane]]/Table9[[#This Row],[Breakout]]</f>
        <v>#DIV/0!</v>
      </c>
    </row>
    <row r="15" spans="1:18">
      <c r="A15" s="1">
        <f>Octane[[#This Row],[Degrees turned]]</f>
        <v>0</v>
      </c>
      <c r="B15" s="1">
        <f>Hybrid[[#This Row],[Degrees turned]]</f>
        <v>0</v>
      </c>
      <c r="C15" s="1">
        <f>Dominus[[#This Row],[Degrees turned]]</f>
        <v>0</v>
      </c>
      <c r="D15" s="1">
        <f>Plank[[#This Row],[Degrees turned]]</f>
        <v>0</v>
      </c>
      <c r="E15" s="1">
        <f>Batmobile[[#This Row],[Degrees turned]]</f>
        <v>0</v>
      </c>
      <c r="F15" s="1">
        <f>Breakout[[#This Row],[Degrees turned]]</f>
        <v>0</v>
      </c>
      <c r="H15" s="1">
        <v>0</v>
      </c>
      <c r="I15" s="3">
        <f>Table9[[#This Row],[Hybrid]]-Table9[[#This Row],[Octane]]</f>
        <v>0</v>
      </c>
      <c r="J15" s="3">
        <f>Table9[[#This Row],[Dominus]]-Table9[[#This Row],[Octane]]</f>
        <v>0</v>
      </c>
      <c r="K15" s="3">
        <f>Table9[[#This Row],[Plank]]-Table9[[#This Row],[Octane]]</f>
        <v>0</v>
      </c>
      <c r="L15" s="3">
        <f>Table9[[#This Row],[Batmobile]]-Table9[[#This Row],[Octane]]</f>
        <v>0</v>
      </c>
      <c r="M15" s="3">
        <f>Table9[[#This Row],[Breakout]]-Table9[[#This Row],[Octane]]</f>
        <v>0</v>
      </c>
      <c r="N15" s="4" t="e">
        <f>Table9[[#This Row],[Octane]]/Table9[[#This Row],[Hybrid]]</f>
        <v>#DIV/0!</v>
      </c>
      <c r="O15" s="4" t="e">
        <f>Table9[[#This Row],[Octane]]/Table9[[#This Row],[Dominus]]</f>
        <v>#DIV/0!</v>
      </c>
      <c r="P15" s="4" t="e">
        <f>Table9[[#This Row],[Octane]]/Table9[[#This Row],[Plank]]</f>
        <v>#DIV/0!</v>
      </c>
      <c r="Q15" s="4" t="e">
        <f>Table9[[#This Row],[Octane]]/Table9[[#This Row],[Batmobile]]</f>
        <v>#DIV/0!</v>
      </c>
      <c r="R15" s="4" t="e">
        <f>Table9[[#This Row],[Octane]]/Table9[[#This Row],[Breakout]]</f>
        <v>#DIV/0!</v>
      </c>
    </row>
    <row r="16" spans="1:18">
      <c r="A16" s="1">
        <f>Octane[[#This Row],[Degrees turned]]</f>
        <v>0</v>
      </c>
      <c r="B16" s="1">
        <f>Hybrid[[#This Row],[Degrees turned]]</f>
        <v>0</v>
      </c>
      <c r="C16" s="1">
        <f>Dominus[[#This Row],[Degrees turned]]</f>
        <v>0</v>
      </c>
      <c r="D16" s="1">
        <f>Plank[[#This Row],[Degrees turned]]</f>
        <v>0</v>
      </c>
      <c r="E16" s="1">
        <f>Batmobile[[#This Row],[Degrees turned]]</f>
        <v>0</v>
      </c>
      <c r="F16" s="1">
        <f>Breakout[[#This Row],[Degrees turned]]</f>
        <v>0</v>
      </c>
      <c r="H16" s="1">
        <v>0</v>
      </c>
      <c r="I16" s="3">
        <f>Table9[[#This Row],[Hybrid]]-Table9[[#This Row],[Octane]]</f>
        <v>0</v>
      </c>
      <c r="J16" s="3">
        <f>Table9[[#This Row],[Dominus]]-Table9[[#This Row],[Octane]]</f>
        <v>0</v>
      </c>
      <c r="K16" s="3">
        <f>Table9[[#This Row],[Plank]]-Table9[[#This Row],[Octane]]</f>
        <v>0</v>
      </c>
      <c r="L16" s="3">
        <f>Table9[[#This Row],[Batmobile]]-Table9[[#This Row],[Octane]]</f>
        <v>0</v>
      </c>
      <c r="M16" s="3">
        <f>Table9[[#This Row],[Breakout]]-Table9[[#This Row],[Octane]]</f>
        <v>0</v>
      </c>
      <c r="N16" s="4" t="e">
        <f>Table9[[#This Row],[Octane]]/Table9[[#This Row],[Hybrid]]</f>
        <v>#DIV/0!</v>
      </c>
      <c r="O16" s="4" t="e">
        <f>Table9[[#This Row],[Octane]]/Table9[[#This Row],[Dominus]]</f>
        <v>#DIV/0!</v>
      </c>
      <c r="P16" s="4" t="e">
        <f>Table9[[#This Row],[Octane]]/Table9[[#This Row],[Plank]]</f>
        <v>#DIV/0!</v>
      </c>
      <c r="Q16" s="4" t="e">
        <f>Table9[[#This Row],[Octane]]/Table9[[#This Row],[Batmobile]]</f>
        <v>#DIV/0!</v>
      </c>
      <c r="R16" s="4" t="e">
        <f>Table9[[#This Row],[Octane]]/Table9[[#This Row],[Breakout]]</f>
        <v>#DIV/0!</v>
      </c>
    </row>
    <row r="17" spans="1:18">
      <c r="A17" s="1">
        <f>Octane[[#This Row],[Degrees turned]]</f>
        <v>0</v>
      </c>
      <c r="B17" s="1">
        <f>Hybrid[[#This Row],[Degrees turned]]</f>
        <v>0</v>
      </c>
      <c r="C17" s="1">
        <f>Dominus[[#This Row],[Degrees turned]]</f>
        <v>0</v>
      </c>
      <c r="D17" s="1">
        <f>Plank[[#This Row],[Degrees turned]]</f>
        <v>0</v>
      </c>
      <c r="E17" s="1">
        <f>Batmobile[[#This Row],[Degrees turned]]</f>
        <v>0</v>
      </c>
      <c r="F17" s="1">
        <f>Breakout[[#This Row],[Degrees turned]]</f>
        <v>0</v>
      </c>
      <c r="H17" s="1">
        <v>0</v>
      </c>
      <c r="I17" s="3">
        <f>Table9[[#This Row],[Hybrid]]-Table9[[#This Row],[Octane]]</f>
        <v>0</v>
      </c>
      <c r="J17" s="3">
        <f>Table9[[#This Row],[Dominus]]-Table9[[#This Row],[Octane]]</f>
        <v>0</v>
      </c>
      <c r="K17" s="3">
        <f>Table9[[#This Row],[Plank]]-Table9[[#This Row],[Octane]]</f>
        <v>0</v>
      </c>
      <c r="L17" s="3">
        <f>Table9[[#This Row],[Batmobile]]-Table9[[#This Row],[Octane]]</f>
        <v>0</v>
      </c>
      <c r="M17" s="3">
        <f>Table9[[#This Row],[Breakout]]-Table9[[#This Row],[Octane]]</f>
        <v>0</v>
      </c>
      <c r="N17" s="4" t="e">
        <f>Table9[[#This Row],[Octane]]/Table9[[#This Row],[Hybrid]]</f>
        <v>#DIV/0!</v>
      </c>
      <c r="O17" s="4" t="e">
        <f>Table9[[#This Row],[Octane]]/Table9[[#This Row],[Dominus]]</f>
        <v>#DIV/0!</v>
      </c>
      <c r="P17" s="4" t="e">
        <f>Table9[[#This Row],[Octane]]/Table9[[#This Row],[Plank]]</f>
        <v>#DIV/0!</v>
      </c>
      <c r="Q17" s="4" t="e">
        <f>Table9[[#This Row],[Octane]]/Table9[[#This Row],[Batmobile]]</f>
        <v>#DIV/0!</v>
      </c>
      <c r="R17" s="4" t="e">
        <f>Table9[[#This Row],[Octane]]/Table9[[#This Row],[Breakout]]</f>
        <v>#DIV/0!</v>
      </c>
    </row>
    <row r="18" spans="1:18">
      <c r="A18" s="1">
        <f>Octane[[#This Row],[Degrees turned]]</f>
        <v>0</v>
      </c>
      <c r="B18" s="1">
        <f>Hybrid[[#This Row],[Degrees turned]]</f>
        <v>0</v>
      </c>
      <c r="C18" s="1">
        <f>Dominus[[#This Row],[Degrees turned]]</f>
        <v>0</v>
      </c>
      <c r="D18" s="1">
        <f>Plank[[#This Row],[Degrees turned]]</f>
        <v>0</v>
      </c>
      <c r="E18" s="1">
        <f>Batmobile[[#This Row],[Degrees turned]]</f>
        <v>0</v>
      </c>
      <c r="F18" s="1">
        <f>Breakout[[#This Row],[Degrees turned]]</f>
        <v>0</v>
      </c>
      <c r="H18" s="1">
        <v>0</v>
      </c>
      <c r="I18" s="3">
        <f>Table9[[#This Row],[Hybrid]]-Table9[[#This Row],[Octane]]</f>
        <v>0</v>
      </c>
      <c r="J18" s="3">
        <f>Table9[[#This Row],[Dominus]]-Table9[[#This Row],[Octane]]</f>
        <v>0</v>
      </c>
      <c r="K18" s="3">
        <f>Table9[[#This Row],[Plank]]-Table9[[#This Row],[Octane]]</f>
        <v>0</v>
      </c>
      <c r="L18" s="3">
        <f>Table9[[#This Row],[Batmobile]]-Table9[[#This Row],[Octane]]</f>
        <v>0</v>
      </c>
      <c r="M18" s="3">
        <f>Table9[[#This Row],[Breakout]]-Table9[[#This Row],[Octane]]</f>
        <v>0</v>
      </c>
      <c r="N18" s="4" t="e">
        <f>Table9[[#This Row],[Octane]]/Table9[[#This Row],[Hybrid]]</f>
        <v>#DIV/0!</v>
      </c>
      <c r="O18" s="4" t="e">
        <f>Table9[[#This Row],[Octane]]/Table9[[#This Row],[Dominus]]</f>
        <v>#DIV/0!</v>
      </c>
      <c r="P18" s="4" t="e">
        <f>Table9[[#This Row],[Octane]]/Table9[[#This Row],[Plank]]</f>
        <v>#DIV/0!</v>
      </c>
      <c r="Q18" s="4" t="e">
        <f>Table9[[#This Row],[Octane]]/Table9[[#This Row],[Batmobile]]</f>
        <v>#DIV/0!</v>
      </c>
      <c r="R18" s="4" t="e">
        <f>Table9[[#This Row],[Octane]]/Table9[[#This Row],[Breakout]]</f>
        <v>#DIV/0!</v>
      </c>
    </row>
    <row r="19" spans="1:18">
      <c r="A19" s="1">
        <f>Octane[[#This Row],[Degrees turned]]</f>
        <v>0</v>
      </c>
      <c r="B19" s="1">
        <f>Hybrid[[#This Row],[Degrees turned]]</f>
        <v>0</v>
      </c>
      <c r="C19" s="1">
        <f>Dominus[[#This Row],[Degrees turned]]</f>
        <v>0</v>
      </c>
      <c r="D19" s="1">
        <f>Plank[[#This Row],[Degrees turned]]</f>
        <v>0</v>
      </c>
      <c r="E19" s="1">
        <f>Batmobile[[#This Row],[Degrees turned]]</f>
        <v>0</v>
      </c>
      <c r="F19" s="1">
        <f>Breakout[[#This Row],[Degrees turned]]</f>
        <v>0</v>
      </c>
      <c r="H19" s="1">
        <v>0</v>
      </c>
      <c r="I19" s="3">
        <f>Table9[[#This Row],[Hybrid]]-Table9[[#This Row],[Octane]]</f>
        <v>0</v>
      </c>
      <c r="J19" s="3">
        <f>Table9[[#This Row],[Dominus]]-Table9[[#This Row],[Octane]]</f>
        <v>0</v>
      </c>
      <c r="K19" s="3">
        <f>Table9[[#This Row],[Plank]]-Table9[[#This Row],[Octane]]</f>
        <v>0</v>
      </c>
      <c r="L19" s="3">
        <f>Table9[[#This Row],[Batmobile]]-Table9[[#This Row],[Octane]]</f>
        <v>0</v>
      </c>
      <c r="M19" s="3">
        <f>Table9[[#This Row],[Breakout]]-Table9[[#This Row],[Octane]]</f>
        <v>0</v>
      </c>
      <c r="N19" s="4" t="e">
        <f>Table9[[#This Row],[Octane]]/Table9[[#This Row],[Hybrid]]</f>
        <v>#DIV/0!</v>
      </c>
      <c r="O19" s="4" t="e">
        <f>Table9[[#This Row],[Octane]]/Table9[[#This Row],[Dominus]]</f>
        <v>#DIV/0!</v>
      </c>
      <c r="P19" s="4" t="e">
        <f>Table9[[#This Row],[Octane]]/Table9[[#This Row],[Plank]]</f>
        <v>#DIV/0!</v>
      </c>
      <c r="Q19" s="4" t="e">
        <f>Table9[[#This Row],[Octane]]/Table9[[#This Row],[Batmobile]]</f>
        <v>#DIV/0!</v>
      </c>
      <c r="R19" s="4" t="e">
        <f>Table9[[#This Row],[Octane]]/Table9[[#This Row],[Breakout]]</f>
        <v>#DIV/0!</v>
      </c>
    </row>
    <row r="20" spans="1:18">
      <c r="A20" s="1">
        <f>Octane[[#This Row],[Degrees turned]]</f>
        <v>0</v>
      </c>
      <c r="B20" s="1">
        <f>Hybrid[[#This Row],[Degrees turned]]</f>
        <v>0</v>
      </c>
      <c r="C20" s="1">
        <f>Dominus[[#This Row],[Degrees turned]]</f>
        <v>0</v>
      </c>
      <c r="D20" s="1">
        <f>Plank[[#This Row],[Degrees turned]]</f>
        <v>0</v>
      </c>
      <c r="E20" s="1">
        <f>Batmobile[[#This Row],[Degrees turned]]</f>
        <v>0</v>
      </c>
      <c r="F20" s="1">
        <f>Breakout[[#This Row],[Degrees turned]]</f>
        <v>0</v>
      </c>
      <c r="H20" s="1">
        <v>0</v>
      </c>
      <c r="I20" s="3">
        <f>Table9[[#This Row],[Hybrid]]-Table9[[#This Row],[Octane]]</f>
        <v>0</v>
      </c>
      <c r="J20" s="3">
        <f>Table9[[#This Row],[Dominus]]-Table9[[#This Row],[Octane]]</f>
        <v>0</v>
      </c>
      <c r="K20" s="3">
        <f>Table9[[#This Row],[Plank]]-Table9[[#This Row],[Octane]]</f>
        <v>0</v>
      </c>
      <c r="L20" s="3">
        <f>Table9[[#This Row],[Batmobile]]-Table9[[#This Row],[Octane]]</f>
        <v>0</v>
      </c>
      <c r="M20" s="3">
        <f>Table9[[#This Row],[Breakout]]-Table9[[#This Row],[Octane]]</f>
        <v>0</v>
      </c>
      <c r="N20" s="4" t="e">
        <f>Table9[[#This Row],[Octane]]/Table9[[#This Row],[Hybrid]]</f>
        <v>#DIV/0!</v>
      </c>
      <c r="O20" s="4" t="e">
        <f>Table9[[#This Row],[Octane]]/Table9[[#This Row],[Dominus]]</f>
        <v>#DIV/0!</v>
      </c>
      <c r="P20" s="4" t="e">
        <f>Table9[[#This Row],[Octane]]/Table9[[#This Row],[Plank]]</f>
        <v>#DIV/0!</v>
      </c>
      <c r="Q20" s="4" t="e">
        <f>Table9[[#This Row],[Octane]]/Table9[[#This Row],[Batmobile]]</f>
        <v>#DIV/0!</v>
      </c>
      <c r="R20" s="4" t="e">
        <f>Table9[[#This Row],[Octane]]/Table9[[#This Row],[Breakout]]</f>
        <v>#DIV/0!</v>
      </c>
    </row>
    <row r="21" spans="1:18">
      <c r="A21" s="1">
        <f>Octane[[#This Row],[Degrees turned]]</f>
        <v>0</v>
      </c>
      <c r="B21" s="1">
        <f>Hybrid[[#This Row],[Degrees turned]]</f>
        <v>0</v>
      </c>
      <c r="C21" s="1">
        <f>Dominus[[#This Row],[Degrees turned]]</f>
        <v>0</v>
      </c>
      <c r="D21" s="1">
        <f>Plank[[#This Row],[Degrees turned]]</f>
        <v>0</v>
      </c>
      <c r="E21" s="1">
        <f>Batmobile[[#This Row],[Degrees turned]]</f>
        <v>0</v>
      </c>
      <c r="F21" s="1">
        <f>Breakout[[#This Row],[Degrees turned]]</f>
        <v>0</v>
      </c>
      <c r="H21" s="1">
        <v>0</v>
      </c>
      <c r="I21" s="3">
        <f>Table9[[#This Row],[Hybrid]]-Table9[[#This Row],[Octane]]</f>
        <v>0</v>
      </c>
      <c r="J21" s="3">
        <f>Table9[[#This Row],[Dominus]]-Table9[[#This Row],[Octane]]</f>
        <v>0</v>
      </c>
      <c r="K21" s="3">
        <f>Table9[[#This Row],[Plank]]-Table9[[#This Row],[Octane]]</f>
        <v>0</v>
      </c>
      <c r="L21" s="3">
        <f>Table9[[#This Row],[Batmobile]]-Table9[[#This Row],[Octane]]</f>
        <v>0</v>
      </c>
      <c r="M21" s="3">
        <f>Table9[[#This Row],[Breakout]]-Table9[[#This Row],[Octane]]</f>
        <v>0</v>
      </c>
      <c r="N21" s="4" t="e">
        <f>Table9[[#This Row],[Octane]]/Table9[[#This Row],[Hybrid]]</f>
        <v>#DIV/0!</v>
      </c>
      <c r="O21" s="4" t="e">
        <f>Table9[[#This Row],[Octane]]/Table9[[#This Row],[Dominus]]</f>
        <v>#DIV/0!</v>
      </c>
      <c r="P21" s="4" t="e">
        <f>Table9[[#This Row],[Octane]]/Table9[[#This Row],[Plank]]</f>
        <v>#DIV/0!</v>
      </c>
      <c r="Q21" s="4" t="e">
        <f>Table9[[#This Row],[Octane]]/Table9[[#This Row],[Batmobile]]</f>
        <v>#DIV/0!</v>
      </c>
      <c r="R21" s="4" t="e">
        <f>Table9[[#This Row],[Octane]]/Table9[[#This Row],[Breakout]]</f>
        <v>#DIV/0!</v>
      </c>
    </row>
    <row r="22" spans="1:18">
      <c r="A22" s="1">
        <f>Octane[[#This Row],[Degrees turned]]</f>
        <v>0</v>
      </c>
      <c r="B22" s="1">
        <f>Hybrid[[#This Row],[Degrees turned]]</f>
        <v>0</v>
      </c>
      <c r="C22" s="1">
        <f>Dominus[[#This Row],[Degrees turned]]</f>
        <v>0</v>
      </c>
      <c r="D22" s="1">
        <f>Plank[[#This Row],[Degrees turned]]</f>
        <v>0</v>
      </c>
      <c r="E22" s="1">
        <f>Batmobile[[#This Row],[Degrees turned]]</f>
        <v>0</v>
      </c>
      <c r="F22" s="1">
        <f>Breakout[[#This Row],[Degrees turned]]</f>
        <v>0</v>
      </c>
      <c r="H22" s="1">
        <v>0</v>
      </c>
      <c r="I22" s="3">
        <f>Table9[[#This Row],[Hybrid]]-Table9[[#This Row],[Octane]]</f>
        <v>0</v>
      </c>
      <c r="J22" s="3">
        <f>Table9[[#This Row],[Dominus]]-Table9[[#This Row],[Octane]]</f>
        <v>0</v>
      </c>
      <c r="K22" s="3">
        <f>Table9[[#This Row],[Plank]]-Table9[[#This Row],[Octane]]</f>
        <v>0</v>
      </c>
      <c r="L22" s="3">
        <f>Table9[[#This Row],[Batmobile]]-Table9[[#This Row],[Octane]]</f>
        <v>0</v>
      </c>
      <c r="M22" s="3">
        <f>Table9[[#This Row],[Breakout]]-Table9[[#This Row],[Octane]]</f>
        <v>0</v>
      </c>
      <c r="N22" s="4" t="e">
        <f>Table9[[#This Row],[Octane]]/Table9[[#This Row],[Hybrid]]</f>
        <v>#DIV/0!</v>
      </c>
      <c r="O22" s="4" t="e">
        <f>Table9[[#This Row],[Octane]]/Table9[[#This Row],[Dominus]]</f>
        <v>#DIV/0!</v>
      </c>
      <c r="P22" s="4" t="e">
        <f>Table9[[#This Row],[Octane]]/Table9[[#This Row],[Plank]]</f>
        <v>#DIV/0!</v>
      </c>
      <c r="Q22" s="4" t="e">
        <f>Table9[[#This Row],[Octane]]/Table9[[#This Row],[Batmobile]]</f>
        <v>#DIV/0!</v>
      </c>
      <c r="R22" s="4" t="e">
        <f>Table9[[#This Row],[Octane]]/Table9[[#This Row],[Breakout]]</f>
        <v>#DIV/0!</v>
      </c>
    </row>
    <row r="23" spans="1:18">
      <c r="A23" s="1">
        <f>Octane[[#This Row],[Degrees turned]]</f>
        <v>0</v>
      </c>
      <c r="B23" s="1">
        <f>Hybrid[[#This Row],[Degrees turned]]</f>
        <v>0</v>
      </c>
      <c r="C23" s="1">
        <f>Dominus[[#This Row],[Degrees turned]]</f>
        <v>0</v>
      </c>
      <c r="D23" s="1">
        <f>Plank[[#This Row],[Degrees turned]]</f>
        <v>0</v>
      </c>
      <c r="E23" s="1">
        <f>Batmobile[[#This Row],[Degrees turned]]</f>
        <v>0</v>
      </c>
      <c r="F23" s="1">
        <f>Breakout[[#This Row],[Degrees turned]]</f>
        <v>0</v>
      </c>
      <c r="H23" s="1">
        <v>0</v>
      </c>
      <c r="I23" s="3">
        <f>Table9[[#This Row],[Hybrid]]-Table9[[#This Row],[Octane]]</f>
        <v>0</v>
      </c>
      <c r="J23" s="3">
        <f>Table9[[#This Row],[Dominus]]-Table9[[#This Row],[Octane]]</f>
        <v>0</v>
      </c>
      <c r="K23" s="3">
        <f>Table9[[#This Row],[Plank]]-Table9[[#This Row],[Octane]]</f>
        <v>0</v>
      </c>
      <c r="L23" s="3">
        <f>Table9[[#This Row],[Batmobile]]-Table9[[#This Row],[Octane]]</f>
        <v>0</v>
      </c>
      <c r="M23" s="3">
        <f>Table9[[#This Row],[Breakout]]-Table9[[#This Row],[Octane]]</f>
        <v>0</v>
      </c>
      <c r="N23" s="4" t="e">
        <f>Table9[[#This Row],[Octane]]/Table9[[#This Row],[Hybrid]]</f>
        <v>#DIV/0!</v>
      </c>
      <c r="O23" s="4" t="e">
        <f>Table9[[#This Row],[Octane]]/Table9[[#This Row],[Dominus]]</f>
        <v>#DIV/0!</v>
      </c>
      <c r="P23" s="4" t="e">
        <f>Table9[[#This Row],[Octane]]/Table9[[#This Row],[Plank]]</f>
        <v>#DIV/0!</v>
      </c>
      <c r="Q23" s="4" t="e">
        <f>Table9[[#This Row],[Octane]]/Table9[[#This Row],[Batmobile]]</f>
        <v>#DIV/0!</v>
      </c>
      <c r="R23" s="4" t="e">
        <f>Table9[[#This Row],[Octane]]/Table9[[#This Row],[Breakout]]</f>
        <v>#DIV/0!</v>
      </c>
    </row>
    <row r="24" spans="1:18">
      <c r="A24" s="1">
        <f>Octane[[#This Row],[Degrees turned]]</f>
        <v>0</v>
      </c>
      <c r="B24" s="1">
        <f>Hybrid[[#This Row],[Degrees turned]]</f>
        <v>0</v>
      </c>
      <c r="C24" s="1">
        <f>Dominus[[#This Row],[Degrees turned]]</f>
        <v>0</v>
      </c>
      <c r="D24" s="1">
        <f>Plank[[#This Row],[Degrees turned]]</f>
        <v>0</v>
      </c>
      <c r="E24" s="1">
        <f>Batmobile[[#This Row],[Degrees turned]]</f>
        <v>0</v>
      </c>
      <c r="F24" s="1">
        <f>Breakout[[#This Row],[Degrees turned]]</f>
        <v>0</v>
      </c>
      <c r="H24" s="1">
        <v>0</v>
      </c>
      <c r="I24" s="3">
        <f>Table9[[#This Row],[Hybrid]]-Table9[[#This Row],[Octane]]</f>
        <v>0</v>
      </c>
      <c r="J24" s="3">
        <f>Table9[[#This Row],[Dominus]]-Table9[[#This Row],[Octane]]</f>
        <v>0</v>
      </c>
      <c r="K24" s="3">
        <f>Table9[[#This Row],[Plank]]-Table9[[#This Row],[Octane]]</f>
        <v>0</v>
      </c>
      <c r="L24" s="3">
        <f>Table9[[#This Row],[Batmobile]]-Table9[[#This Row],[Octane]]</f>
        <v>0</v>
      </c>
      <c r="M24" s="3">
        <f>Table9[[#This Row],[Breakout]]-Table9[[#This Row],[Octane]]</f>
        <v>0</v>
      </c>
      <c r="N24" s="4" t="e">
        <f>Table9[[#This Row],[Octane]]/Table9[[#This Row],[Hybrid]]</f>
        <v>#DIV/0!</v>
      </c>
      <c r="O24" s="4" t="e">
        <f>Table9[[#This Row],[Octane]]/Table9[[#This Row],[Dominus]]</f>
        <v>#DIV/0!</v>
      </c>
      <c r="P24" s="4" t="e">
        <f>Table9[[#This Row],[Octane]]/Table9[[#This Row],[Plank]]</f>
        <v>#DIV/0!</v>
      </c>
      <c r="Q24" s="4" t="e">
        <f>Table9[[#This Row],[Octane]]/Table9[[#This Row],[Batmobile]]</f>
        <v>#DIV/0!</v>
      </c>
      <c r="R24" s="4" t="e">
        <f>Table9[[#This Row],[Octane]]/Table9[[#This Row],[Breakout]]</f>
        <v>#DIV/0!</v>
      </c>
    </row>
    <row r="25" spans="1:18">
      <c r="A25" s="1">
        <f>Octane[[#This Row],[Degrees turned]]</f>
        <v>0</v>
      </c>
      <c r="B25" s="1">
        <f>Hybrid[[#This Row],[Degrees turned]]</f>
        <v>0</v>
      </c>
      <c r="C25" s="1">
        <f>Dominus[[#This Row],[Degrees turned]]</f>
        <v>0</v>
      </c>
      <c r="D25" s="1">
        <f>Plank[[#This Row],[Degrees turned]]</f>
        <v>0</v>
      </c>
      <c r="E25" s="1">
        <f>Batmobile[[#This Row],[Degrees turned]]</f>
        <v>0</v>
      </c>
      <c r="F25" s="1">
        <f>Breakout[[#This Row],[Degrees turned]]</f>
        <v>0</v>
      </c>
      <c r="H25" s="1">
        <v>0</v>
      </c>
      <c r="I25" s="3">
        <f>Table9[[#This Row],[Hybrid]]-Table9[[#This Row],[Octane]]</f>
        <v>0</v>
      </c>
      <c r="J25" s="3">
        <f>Table9[[#This Row],[Dominus]]-Table9[[#This Row],[Octane]]</f>
        <v>0</v>
      </c>
      <c r="K25" s="3">
        <f>Table9[[#This Row],[Plank]]-Table9[[#This Row],[Octane]]</f>
        <v>0</v>
      </c>
      <c r="L25" s="3">
        <f>Table9[[#This Row],[Batmobile]]-Table9[[#This Row],[Octane]]</f>
        <v>0</v>
      </c>
      <c r="M25" s="3">
        <f>Table9[[#This Row],[Breakout]]-Table9[[#This Row],[Octane]]</f>
        <v>0</v>
      </c>
      <c r="N25" s="4" t="e">
        <f>Table9[[#This Row],[Octane]]/Table9[[#This Row],[Hybrid]]</f>
        <v>#DIV/0!</v>
      </c>
      <c r="O25" s="4" t="e">
        <f>Table9[[#This Row],[Octane]]/Table9[[#This Row],[Dominus]]</f>
        <v>#DIV/0!</v>
      </c>
      <c r="P25" s="4" t="e">
        <f>Table9[[#This Row],[Octane]]/Table9[[#This Row],[Plank]]</f>
        <v>#DIV/0!</v>
      </c>
      <c r="Q25" s="4" t="e">
        <f>Table9[[#This Row],[Octane]]/Table9[[#This Row],[Batmobile]]</f>
        <v>#DIV/0!</v>
      </c>
      <c r="R25" s="4" t="e">
        <f>Table9[[#This Row],[Octane]]/Table9[[#This Row],[Breakout]]</f>
        <v>#DIV/0!</v>
      </c>
    </row>
    <row r="26" spans="1:18">
      <c r="A26" s="1">
        <f>Octane[[#This Row],[Degrees turned]]</f>
        <v>0</v>
      </c>
      <c r="B26" s="1">
        <f>Hybrid[[#This Row],[Degrees turned]]</f>
        <v>0</v>
      </c>
      <c r="C26" s="1">
        <f>Dominus[[#This Row],[Degrees turned]]</f>
        <v>0</v>
      </c>
      <c r="D26" s="1">
        <f>Plank[[#This Row],[Degrees turned]]</f>
        <v>0</v>
      </c>
      <c r="E26" s="1">
        <f>Batmobile[[#This Row],[Degrees turned]]</f>
        <v>0</v>
      </c>
      <c r="F26" s="1">
        <f>Breakout[[#This Row],[Degrees turned]]</f>
        <v>0</v>
      </c>
      <c r="H26" s="1">
        <v>0</v>
      </c>
      <c r="I26" s="3">
        <f>Table9[[#This Row],[Hybrid]]-Table9[[#This Row],[Octane]]</f>
        <v>0</v>
      </c>
      <c r="J26" s="3">
        <f>Table9[[#This Row],[Dominus]]-Table9[[#This Row],[Octane]]</f>
        <v>0</v>
      </c>
      <c r="K26" s="3">
        <f>Table9[[#This Row],[Plank]]-Table9[[#This Row],[Octane]]</f>
        <v>0</v>
      </c>
      <c r="L26" s="3">
        <f>Table9[[#This Row],[Batmobile]]-Table9[[#This Row],[Octane]]</f>
        <v>0</v>
      </c>
      <c r="M26" s="3">
        <f>Table9[[#This Row],[Breakout]]-Table9[[#This Row],[Octane]]</f>
        <v>0</v>
      </c>
      <c r="N26" s="4" t="e">
        <f>Table9[[#This Row],[Octane]]/Table9[[#This Row],[Hybrid]]</f>
        <v>#DIV/0!</v>
      </c>
      <c r="O26" s="4" t="e">
        <f>Table9[[#This Row],[Octane]]/Table9[[#This Row],[Dominus]]</f>
        <v>#DIV/0!</v>
      </c>
      <c r="P26" s="4" t="e">
        <f>Table9[[#This Row],[Octane]]/Table9[[#This Row],[Plank]]</f>
        <v>#DIV/0!</v>
      </c>
      <c r="Q26" s="4" t="e">
        <f>Table9[[#This Row],[Octane]]/Table9[[#This Row],[Batmobile]]</f>
        <v>#DIV/0!</v>
      </c>
      <c r="R26" s="4" t="e">
        <f>Table9[[#This Row],[Octane]]/Table9[[#This Row],[Breakout]]</f>
        <v>#DIV/0!</v>
      </c>
    </row>
    <row r="27" spans="1:18">
      <c r="A27" s="1">
        <f>Octane[[#This Row],[Degrees turned]]</f>
        <v>0</v>
      </c>
      <c r="B27" s="1">
        <f>Hybrid[[#This Row],[Degrees turned]]</f>
        <v>0</v>
      </c>
      <c r="C27" s="1">
        <f>Dominus[[#This Row],[Degrees turned]]</f>
        <v>0</v>
      </c>
      <c r="D27" s="1">
        <f>Plank[[#This Row],[Degrees turned]]</f>
        <v>0</v>
      </c>
      <c r="E27" s="1">
        <f>Batmobile[[#This Row],[Degrees turned]]</f>
        <v>0</v>
      </c>
      <c r="F27" s="1">
        <f>Breakout[[#This Row],[Degrees turned]]</f>
        <v>0</v>
      </c>
      <c r="H27" s="1">
        <v>0</v>
      </c>
      <c r="I27" s="3">
        <f>Table9[[#This Row],[Hybrid]]-Table9[[#This Row],[Octane]]</f>
        <v>0</v>
      </c>
      <c r="J27" s="3">
        <f>Table9[[#This Row],[Dominus]]-Table9[[#This Row],[Octane]]</f>
        <v>0</v>
      </c>
      <c r="K27" s="3">
        <f>Table9[[#This Row],[Plank]]-Table9[[#This Row],[Octane]]</f>
        <v>0</v>
      </c>
      <c r="L27" s="3">
        <f>Table9[[#This Row],[Batmobile]]-Table9[[#This Row],[Octane]]</f>
        <v>0</v>
      </c>
      <c r="M27" s="3">
        <f>Table9[[#This Row],[Breakout]]-Table9[[#This Row],[Octane]]</f>
        <v>0</v>
      </c>
      <c r="N27" s="4" t="e">
        <f>Table9[[#This Row],[Octane]]/Table9[[#This Row],[Hybrid]]</f>
        <v>#DIV/0!</v>
      </c>
      <c r="O27" s="4" t="e">
        <f>Table9[[#This Row],[Octane]]/Table9[[#This Row],[Dominus]]</f>
        <v>#DIV/0!</v>
      </c>
      <c r="P27" s="4" t="e">
        <f>Table9[[#This Row],[Octane]]/Table9[[#This Row],[Plank]]</f>
        <v>#DIV/0!</v>
      </c>
      <c r="Q27" s="4" t="e">
        <f>Table9[[#This Row],[Octane]]/Table9[[#This Row],[Batmobile]]</f>
        <v>#DIV/0!</v>
      </c>
      <c r="R27" s="4" t="e">
        <f>Table9[[#This Row],[Octane]]/Table9[[#This Row],[Breakout]]</f>
        <v>#DIV/0!</v>
      </c>
    </row>
    <row r="28" spans="1:18">
      <c r="A28" s="1">
        <f>Octane[[#This Row],[Degrees turned]]</f>
        <v>0</v>
      </c>
      <c r="B28" s="1">
        <f>Hybrid[[#This Row],[Degrees turned]]</f>
        <v>0</v>
      </c>
      <c r="C28" s="1">
        <f>Dominus[[#This Row],[Degrees turned]]</f>
        <v>0</v>
      </c>
      <c r="D28" s="1">
        <f>Plank[[#This Row],[Degrees turned]]</f>
        <v>0</v>
      </c>
      <c r="E28" s="1">
        <f>Batmobile[[#This Row],[Degrees turned]]</f>
        <v>0</v>
      </c>
      <c r="F28" s="1">
        <f>Breakout[[#This Row],[Degrees turned]]</f>
        <v>0</v>
      </c>
      <c r="H28" s="1">
        <v>0</v>
      </c>
      <c r="I28" s="3">
        <f>Table9[[#This Row],[Hybrid]]-Table9[[#This Row],[Octane]]</f>
        <v>0</v>
      </c>
      <c r="J28" s="3">
        <f>Table9[[#This Row],[Dominus]]-Table9[[#This Row],[Octane]]</f>
        <v>0</v>
      </c>
      <c r="K28" s="3">
        <f>Table9[[#This Row],[Plank]]-Table9[[#This Row],[Octane]]</f>
        <v>0</v>
      </c>
      <c r="L28" s="3">
        <f>Table9[[#This Row],[Batmobile]]-Table9[[#This Row],[Octane]]</f>
        <v>0</v>
      </c>
      <c r="M28" s="3">
        <f>Table9[[#This Row],[Breakout]]-Table9[[#This Row],[Octane]]</f>
        <v>0</v>
      </c>
      <c r="N28" s="4" t="e">
        <f>Table9[[#This Row],[Octane]]/Table9[[#This Row],[Hybrid]]</f>
        <v>#DIV/0!</v>
      </c>
      <c r="O28" s="4" t="e">
        <f>Table9[[#This Row],[Octane]]/Table9[[#This Row],[Dominus]]</f>
        <v>#DIV/0!</v>
      </c>
      <c r="P28" s="4" t="e">
        <f>Table9[[#This Row],[Octane]]/Table9[[#This Row],[Plank]]</f>
        <v>#DIV/0!</v>
      </c>
      <c r="Q28" s="4" t="e">
        <f>Table9[[#This Row],[Octane]]/Table9[[#This Row],[Batmobile]]</f>
        <v>#DIV/0!</v>
      </c>
      <c r="R28" s="4" t="e">
        <f>Table9[[#This Row],[Octane]]/Table9[[#This Row],[Breakout]]</f>
        <v>#DIV/0!</v>
      </c>
    </row>
    <row r="29" spans="1:18">
      <c r="A29" s="1">
        <f>Octane[[#This Row],[Degrees turned]]</f>
        <v>0</v>
      </c>
      <c r="B29" s="1">
        <f>Hybrid[[#This Row],[Degrees turned]]</f>
        <v>0</v>
      </c>
      <c r="C29" s="1">
        <f>Dominus[[#This Row],[Degrees turned]]</f>
        <v>0</v>
      </c>
      <c r="D29" s="1">
        <f>Plank[[#This Row],[Degrees turned]]</f>
        <v>0</v>
      </c>
      <c r="E29" s="1">
        <f>Batmobile[[#This Row],[Degrees turned]]</f>
        <v>0</v>
      </c>
      <c r="F29" s="1">
        <f>Breakout[[#This Row],[Degrees turned]]</f>
        <v>0</v>
      </c>
      <c r="H29" s="1">
        <v>0</v>
      </c>
      <c r="I29" s="3">
        <f>Table9[[#This Row],[Hybrid]]-Table9[[#This Row],[Octane]]</f>
        <v>0</v>
      </c>
      <c r="J29" s="3">
        <f>Table9[[#This Row],[Dominus]]-Table9[[#This Row],[Octane]]</f>
        <v>0</v>
      </c>
      <c r="K29" s="3">
        <f>Table9[[#This Row],[Plank]]-Table9[[#This Row],[Octane]]</f>
        <v>0</v>
      </c>
      <c r="L29" s="3">
        <f>Table9[[#This Row],[Batmobile]]-Table9[[#This Row],[Octane]]</f>
        <v>0</v>
      </c>
      <c r="M29" s="3">
        <f>Table9[[#This Row],[Breakout]]-Table9[[#This Row],[Octane]]</f>
        <v>0</v>
      </c>
      <c r="N29" s="4" t="e">
        <f>Table9[[#This Row],[Octane]]/Table9[[#This Row],[Hybrid]]</f>
        <v>#DIV/0!</v>
      </c>
      <c r="O29" s="4" t="e">
        <f>Table9[[#This Row],[Octane]]/Table9[[#This Row],[Dominus]]</f>
        <v>#DIV/0!</v>
      </c>
      <c r="P29" s="4" t="e">
        <f>Table9[[#This Row],[Octane]]/Table9[[#This Row],[Plank]]</f>
        <v>#DIV/0!</v>
      </c>
      <c r="Q29" s="4" t="e">
        <f>Table9[[#This Row],[Octane]]/Table9[[#This Row],[Batmobile]]</f>
        <v>#DIV/0!</v>
      </c>
      <c r="R29" s="4" t="e">
        <f>Table9[[#This Row],[Octane]]/Table9[[#This Row],[Breakout]]</f>
        <v>#DIV/0!</v>
      </c>
    </row>
    <row r="30" spans="1:18">
      <c r="A30" s="1">
        <f>Octane[[#This Row],[Degrees turned]]</f>
        <v>0</v>
      </c>
      <c r="B30" s="1">
        <f>Hybrid[[#This Row],[Degrees turned]]</f>
        <v>0</v>
      </c>
      <c r="C30" s="1">
        <f>Dominus[[#This Row],[Degrees turned]]</f>
        <v>0</v>
      </c>
      <c r="D30" s="1">
        <f>Plank[[#This Row],[Degrees turned]]</f>
        <v>0</v>
      </c>
      <c r="E30" s="1">
        <f>Batmobile[[#This Row],[Degrees turned]]</f>
        <v>0</v>
      </c>
      <c r="F30" s="1">
        <f>Breakout[[#This Row],[Degrees turned]]</f>
        <v>0</v>
      </c>
      <c r="H30" s="1">
        <v>0</v>
      </c>
      <c r="I30" s="3">
        <f>Table9[[#This Row],[Hybrid]]-Table9[[#This Row],[Octane]]</f>
        <v>0</v>
      </c>
      <c r="J30" s="3">
        <f>Table9[[#This Row],[Dominus]]-Table9[[#This Row],[Octane]]</f>
        <v>0</v>
      </c>
      <c r="K30" s="3">
        <f>Table9[[#This Row],[Plank]]-Table9[[#This Row],[Octane]]</f>
        <v>0</v>
      </c>
      <c r="L30" s="3">
        <f>Table9[[#This Row],[Batmobile]]-Table9[[#This Row],[Octane]]</f>
        <v>0</v>
      </c>
      <c r="M30" s="3">
        <f>Table9[[#This Row],[Breakout]]-Table9[[#This Row],[Octane]]</f>
        <v>0</v>
      </c>
      <c r="N30" s="4" t="e">
        <f>Table9[[#This Row],[Octane]]/Table9[[#This Row],[Hybrid]]</f>
        <v>#DIV/0!</v>
      </c>
      <c r="O30" s="4" t="e">
        <f>Table9[[#This Row],[Octane]]/Table9[[#This Row],[Dominus]]</f>
        <v>#DIV/0!</v>
      </c>
      <c r="P30" s="4" t="e">
        <f>Table9[[#This Row],[Octane]]/Table9[[#This Row],[Plank]]</f>
        <v>#DIV/0!</v>
      </c>
      <c r="Q30" s="4" t="e">
        <f>Table9[[#This Row],[Octane]]/Table9[[#This Row],[Batmobile]]</f>
        <v>#DIV/0!</v>
      </c>
      <c r="R30" s="4" t="e">
        <f>Table9[[#This Row],[Octane]]/Table9[[#This Row],[Breakout]]</f>
        <v>#DIV/0!</v>
      </c>
    </row>
    <row r="31" spans="1:18">
      <c r="A31" s="1">
        <f>Octane[[#This Row],[Degrees turned]]</f>
        <v>0</v>
      </c>
      <c r="B31" s="1">
        <f>Hybrid[[#This Row],[Degrees turned]]</f>
        <v>0</v>
      </c>
      <c r="C31" s="1">
        <f>Dominus[[#This Row],[Degrees turned]]</f>
        <v>0</v>
      </c>
      <c r="D31" s="1">
        <f>Plank[[#This Row],[Degrees turned]]</f>
        <v>0</v>
      </c>
      <c r="E31" s="1">
        <f>Batmobile[[#This Row],[Degrees turned]]</f>
        <v>0</v>
      </c>
      <c r="F31" s="1">
        <f>Breakout[[#This Row],[Degrees turned]]</f>
        <v>0</v>
      </c>
      <c r="H31" s="1">
        <v>0</v>
      </c>
      <c r="I31" s="3">
        <f>Table9[[#This Row],[Hybrid]]-Table9[[#This Row],[Octane]]</f>
        <v>0</v>
      </c>
      <c r="J31" s="3">
        <f>Table9[[#This Row],[Dominus]]-Table9[[#This Row],[Octane]]</f>
        <v>0</v>
      </c>
      <c r="K31" s="3">
        <f>Table9[[#This Row],[Plank]]-Table9[[#This Row],[Octane]]</f>
        <v>0</v>
      </c>
      <c r="L31" s="3">
        <f>Table9[[#This Row],[Batmobile]]-Table9[[#This Row],[Octane]]</f>
        <v>0</v>
      </c>
      <c r="M31" s="3">
        <f>Table9[[#This Row],[Breakout]]-Table9[[#This Row],[Octane]]</f>
        <v>0</v>
      </c>
      <c r="N31" s="4" t="e">
        <f>Table9[[#This Row],[Octane]]/Table9[[#This Row],[Hybrid]]</f>
        <v>#DIV/0!</v>
      </c>
      <c r="O31" s="4" t="e">
        <f>Table9[[#This Row],[Octane]]/Table9[[#This Row],[Dominus]]</f>
        <v>#DIV/0!</v>
      </c>
      <c r="P31" s="4" t="e">
        <f>Table9[[#This Row],[Octane]]/Table9[[#This Row],[Plank]]</f>
        <v>#DIV/0!</v>
      </c>
      <c r="Q31" s="4" t="e">
        <f>Table9[[#This Row],[Octane]]/Table9[[#This Row],[Batmobile]]</f>
        <v>#DIV/0!</v>
      </c>
      <c r="R31" s="4" t="e">
        <f>Table9[[#This Row],[Octane]]/Table9[[#This Row],[Breakout]]</f>
        <v>#DIV/0!</v>
      </c>
    </row>
    <row r="32" spans="1:18">
      <c r="A32" s="1">
        <f>Octane[[#This Row],[Degrees turned]]</f>
        <v>0</v>
      </c>
      <c r="B32" s="1">
        <f>Hybrid[[#This Row],[Degrees turned]]</f>
        <v>0</v>
      </c>
      <c r="C32" s="1">
        <f>Dominus[[#This Row],[Degrees turned]]</f>
        <v>0</v>
      </c>
      <c r="D32" s="1">
        <f>Plank[[#This Row],[Degrees turned]]</f>
        <v>0</v>
      </c>
      <c r="E32" s="1">
        <f>Batmobile[[#This Row],[Degrees turned]]</f>
        <v>0</v>
      </c>
      <c r="F32" s="1">
        <f>Breakout[[#This Row],[Degrees turned]]</f>
        <v>0</v>
      </c>
      <c r="H32" s="1">
        <v>0</v>
      </c>
      <c r="I32" s="3">
        <f>Table9[[#This Row],[Hybrid]]-Table9[[#This Row],[Octane]]</f>
        <v>0</v>
      </c>
      <c r="J32" s="3">
        <f>Table9[[#This Row],[Dominus]]-Table9[[#This Row],[Octane]]</f>
        <v>0</v>
      </c>
      <c r="K32" s="3">
        <f>Table9[[#This Row],[Plank]]-Table9[[#This Row],[Octane]]</f>
        <v>0</v>
      </c>
      <c r="L32" s="3">
        <f>Table9[[#This Row],[Batmobile]]-Table9[[#This Row],[Octane]]</f>
        <v>0</v>
      </c>
      <c r="M32" s="3">
        <f>Table9[[#This Row],[Breakout]]-Table9[[#This Row],[Octane]]</f>
        <v>0</v>
      </c>
      <c r="N32" s="4" t="e">
        <f>Table9[[#This Row],[Octane]]/Table9[[#This Row],[Hybrid]]</f>
        <v>#DIV/0!</v>
      </c>
      <c r="O32" s="4" t="e">
        <f>Table9[[#This Row],[Octane]]/Table9[[#This Row],[Dominus]]</f>
        <v>#DIV/0!</v>
      </c>
      <c r="P32" s="4" t="e">
        <f>Table9[[#This Row],[Octane]]/Table9[[#This Row],[Plank]]</f>
        <v>#DIV/0!</v>
      </c>
      <c r="Q32" s="4" t="e">
        <f>Table9[[#This Row],[Octane]]/Table9[[#This Row],[Batmobile]]</f>
        <v>#DIV/0!</v>
      </c>
      <c r="R32" s="4" t="e">
        <f>Table9[[#This Row],[Octane]]/Table9[[#This Row],[Breakout]]</f>
        <v>#DIV/0!</v>
      </c>
    </row>
    <row r="33" spans="1:18">
      <c r="A33" s="1">
        <f>Octane[[#This Row],[Degrees turned]]</f>
        <v>0</v>
      </c>
      <c r="B33" s="1">
        <f>Hybrid[[#This Row],[Degrees turned]]</f>
        <v>0</v>
      </c>
      <c r="C33" s="1">
        <f>Dominus[[#This Row],[Degrees turned]]</f>
        <v>0</v>
      </c>
      <c r="D33" s="1">
        <f>Plank[[#This Row],[Degrees turned]]</f>
        <v>0</v>
      </c>
      <c r="E33" s="1">
        <f>Batmobile[[#This Row],[Degrees turned]]</f>
        <v>0</v>
      </c>
      <c r="F33" s="1">
        <f>Breakout[[#This Row],[Degrees turned]]</f>
        <v>0</v>
      </c>
      <c r="H33" s="1">
        <v>0</v>
      </c>
      <c r="I33" s="3">
        <f>Table9[[#This Row],[Hybrid]]-Table9[[#This Row],[Octane]]</f>
        <v>0</v>
      </c>
      <c r="J33" s="3">
        <f>Table9[[#This Row],[Dominus]]-Table9[[#This Row],[Octane]]</f>
        <v>0</v>
      </c>
      <c r="K33" s="3">
        <f>Table9[[#This Row],[Plank]]-Table9[[#This Row],[Octane]]</f>
        <v>0</v>
      </c>
      <c r="L33" s="3">
        <f>Table9[[#This Row],[Batmobile]]-Table9[[#This Row],[Octane]]</f>
        <v>0</v>
      </c>
      <c r="M33" s="3">
        <f>Table9[[#This Row],[Breakout]]-Table9[[#This Row],[Octane]]</f>
        <v>0</v>
      </c>
      <c r="N33" s="4" t="e">
        <f>Table9[[#This Row],[Octane]]/Table9[[#This Row],[Hybrid]]</f>
        <v>#DIV/0!</v>
      </c>
      <c r="O33" s="4" t="e">
        <f>Table9[[#This Row],[Octane]]/Table9[[#This Row],[Dominus]]</f>
        <v>#DIV/0!</v>
      </c>
      <c r="P33" s="4" t="e">
        <f>Table9[[#This Row],[Octane]]/Table9[[#This Row],[Plank]]</f>
        <v>#DIV/0!</v>
      </c>
      <c r="Q33" s="4" t="e">
        <f>Table9[[#This Row],[Octane]]/Table9[[#This Row],[Batmobile]]</f>
        <v>#DIV/0!</v>
      </c>
      <c r="R33" s="4" t="e">
        <f>Table9[[#This Row],[Octane]]/Table9[[#This Row],[Breakout]]</f>
        <v>#DIV/0!</v>
      </c>
    </row>
    <row r="34" spans="1:18">
      <c r="A34" s="1">
        <f>Octane[[#This Row],[Degrees turned]]</f>
        <v>0</v>
      </c>
      <c r="B34" s="1">
        <f>Hybrid[[#This Row],[Degrees turned]]</f>
        <v>0</v>
      </c>
      <c r="C34" s="1">
        <f>Dominus[[#This Row],[Degrees turned]]</f>
        <v>0</v>
      </c>
      <c r="D34" s="1">
        <f>Plank[[#This Row],[Degrees turned]]</f>
        <v>0</v>
      </c>
      <c r="E34" s="1">
        <f>Batmobile[[#This Row],[Degrees turned]]</f>
        <v>0</v>
      </c>
      <c r="F34" s="1">
        <f>Breakout[[#This Row],[Degrees turned]]</f>
        <v>0</v>
      </c>
      <c r="H34" s="1">
        <v>0</v>
      </c>
      <c r="I34" s="3">
        <f>Table9[[#This Row],[Hybrid]]-Table9[[#This Row],[Octane]]</f>
        <v>0</v>
      </c>
      <c r="J34" s="3">
        <f>Table9[[#This Row],[Dominus]]-Table9[[#This Row],[Octane]]</f>
        <v>0</v>
      </c>
      <c r="K34" s="3">
        <f>Table9[[#This Row],[Plank]]-Table9[[#This Row],[Octane]]</f>
        <v>0</v>
      </c>
      <c r="L34" s="3">
        <f>Table9[[#This Row],[Batmobile]]-Table9[[#This Row],[Octane]]</f>
        <v>0</v>
      </c>
      <c r="M34" s="3">
        <f>Table9[[#This Row],[Breakout]]-Table9[[#This Row],[Octane]]</f>
        <v>0</v>
      </c>
      <c r="N34" s="4" t="e">
        <f>Table9[[#This Row],[Octane]]/Table9[[#This Row],[Hybrid]]</f>
        <v>#DIV/0!</v>
      </c>
      <c r="O34" s="4" t="e">
        <f>Table9[[#This Row],[Octane]]/Table9[[#This Row],[Dominus]]</f>
        <v>#DIV/0!</v>
      </c>
      <c r="P34" s="4" t="e">
        <f>Table9[[#This Row],[Octane]]/Table9[[#This Row],[Plank]]</f>
        <v>#DIV/0!</v>
      </c>
      <c r="Q34" s="4" t="e">
        <f>Table9[[#This Row],[Octane]]/Table9[[#This Row],[Batmobile]]</f>
        <v>#DIV/0!</v>
      </c>
      <c r="R34" s="4" t="e">
        <f>Table9[[#This Row],[Octane]]/Table9[[#This Row],[Breakout]]</f>
        <v>#DIV/0!</v>
      </c>
    </row>
    <row r="35" spans="1:18">
      <c r="A35" s="1">
        <f>Octane[[#This Row],[Degrees turned]]</f>
        <v>0</v>
      </c>
      <c r="B35" s="1">
        <f>Hybrid[[#This Row],[Degrees turned]]</f>
        <v>0</v>
      </c>
      <c r="C35" s="1">
        <f>Dominus[[#This Row],[Degrees turned]]</f>
        <v>0</v>
      </c>
      <c r="D35" s="1">
        <f>Plank[[#This Row],[Degrees turned]]</f>
        <v>0</v>
      </c>
      <c r="E35" s="1">
        <f>Batmobile[[#This Row],[Degrees turned]]</f>
        <v>0</v>
      </c>
      <c r="F35" s="1">
        <f>Breakout[[#This Row],[Degrees turned]]</f>
        <v>0</v>
      </c>
      <c r="H35" s="1">
        <v>0</v>
      </c>
      <c r="I35" s="3">
        <f>Table9[[#This Row],[Hybrid]]-Table9[[#This Row],[Octane]]</f>
        <v>0</v>
      </c>
      <c r="J35" s="3">
        <f>Table9[[#This Row],[Dominus]]-Table9[[#This Row],[Octane]]</f>
        <v>0</v>
      </c>
      <c r="K35" s="3">
        <f>Table9[[#This Row],[Plank]]-Table9[[#This Row],[Octane]]</f>
        <v>0</v>
      </c>
      <c r="L35" s="3">
        <f>Table9[[#This Row],[Batmobile]]-Table9[[#This Row],[Octane]]</f>
        <v>0</v>
      </c>
      <c r="M35" s="3">
        <f>Table9[[#This Row],[Breakout]]-Table9[[#This Row],[Octane]]</f>
        <v>0</v>
      </c>
      <c r="N35" s="4" t="e">
        <f>Table9[[#This Row],[Octane]]/Table9[[#This Row],[Hybrid]]</f>
        <v>#DIV/0!</v>
      </c>
      <c r="O35" s="4" t="e">
        <f>Table9[[#This Row],[Octane]]/Table9[[#This Row],[Dominus]]</f>
        <v>#DIV/0!</v>
      </c>
      <c r="P35" s="4" t="e">
        <f>Table9[[#This Row],[Octane]]/Table9[[#This Row],[Plank]]</f>
        <v>#DIV/0!</v>
      </c>
      <c r="Q35" s="4" t="e">
        <f>Table9[[#This Row],[Octane]]/Table9[[#This Row],[Batmobile]]</f>
        <v>#DIV/0!</v>
      </c>
      <c r="R35" s="4" t="e">
        <f>Table9[[#This Row],[Octane]]/Table9[[#This Row],[Breakout]]</f>
        <v>#DIV/0!</v>
      </c>
    </row>
    <row r="36" spans="1:18">
      <c r="A36" s="1">
        <f>Octane[[#This Row],[Degrees turned]]</f>
        <v>0</v>
      </c>
      <c r="B36" s="1">
        <f>Hybrid[[#This Row],[Degrees turned]]</f>
        <v>0</v>
      </c>
      <c r="C36" s="1">
        <f>Dominus[[#This Row],[Degrees turned]]</f>
        <v>0</v>
      </c>
      <c r="D36" s="1">
        <f>Plank[[#This Row],[Degrees turned]]</f>
        <v>0</v>
      </c>
      <c r="E36" s="1">
        <f>Batmobile[[#This Row],[Degrees turned]]</f>
        <v>0</v>
      </c>
      <c r="F36" s="1">
        <f>Breakout[[#This Row],[Degrees turned]]</f>
        <v>0</v>
      </c>
      <c r="H36" s="1">
        <v>0</v>
      </c>
      <c r="I36" s="3">
        <f>Table9[[#This Row],[Hybrid]]-Table9[[#This Row],[Octane]]</f>
        <v>0</v>
      </c>
      <c r="J36" s="3">
        <f>Table9[[#This Row],[Dominus]]-Table9[[#This Row],[Octane]]</f>
        <v>0</v>
      </c>
      <c r="K36" s="3">
        <f>Table9[[#This Row],[Plank]]-Table9[[#This Row],[Octane]]</f>
        <v>0</v>
      </c>
      <c r="L36" s="3">
        <f>Table9[[#This Row],[Batmobile]]-Table9[[#This Row],[Octane]]</f>
        <v>0</v>
      </c>
      <c r="M36" s="3">
        <f>Table9[[#This Row],[Breakout]]-Table9[[#This Row],[Octane]]</f>
        <v>0</v>
      </c>
      <c r="N36" s="4" t="e">
        <f>Table9[[#This Row],[Octane]]/Table9[[#This Row],[Hybrid]]</f>
        <v>#DIV/0!</v>
      </c>
      <c r="O36" s="4" t="e">
        <f>Table9[[#This Row],[Octane]]/Table9[[#This Row],[Dominus]]</f>
        <v>#DIV/0!</v>
      </c>
      <c r="P36" s="4" t="e">
        <f>Table9[[#This Row],[Octane]]/Table9[[#This Row],[Plank]]</f>
        <v>#DIV/0!</v>
      </c>
      <c r="Q36" s="4" t="e">
        <f>Table9[[#This Row],[Octane]]/Table9[[#This Row],[Batmobile]]</f>
        <v>#DIV/0!</v>
      </c>
      <c r="R36" s="4" t="e">
        <f>Table9[[#This Row],[Octane]]/Table9[[#This Row],[Breakout]]</f>
        <v>#DIV/0!</v>
      </c>
    </row>
    <row r="37" spans="1:18">
      <c r="A37" s="1">
        <f>Octane[[#This Row],[Degrees turned]]</f>
        <v>0</v>
      </c>
      <c r="B37" s="1">
        <f>Hybrid[[#This Row],[Degrees turned]]</f>
        <v>0</v>
      </c>
      <c r="C37" s="1">
        <f>Dominus[[#This Row],[Degrees turned]]</f>
        <v>0</v>
      </c>
      <c r="D37" s="1">
        <f>Plank[[#This Row],[Degrees turned]]</f>
        <v>0</v>
      </c>
      <c r="E37" s="1">
        <f>Batmobile[[#This Row],[Degrees turned]]</f>
        <v>0</v>
      </c>
      <c r="F37" s="1">
        <f>Breakout[[#This Row],[Degrees turned]]</f>
        <v>0</v>
      </c>
      <c r="H37" s="1">
        <v>0</v>
      </c>
      <c r="I37" s="3">
        <f>Table9[[#This Row],[Hybrid]]-Table9[[#This Row],[Octane]]</f>
        <v>0</v>
      </c>
      <c r="J37" s="3">
        <f>Table9[[#This Row],[Dominus]]-Table9[[#This Row],[Octane]]</f>
        <v>0</v>
      </c>
      <c r="K37" s="3">
        <f>Table9[[#This Row],[Plank]]-Table9[[#This Row],[Octane]]</f>
        <v>0</v>
      </c>
      <c r="L37" s="3">
        <f>Table9[[#This Row],[Batmobile]]-Table9[[#This Row],[Octane]]</f>
        <v>0</v>
      </c>
      <c r="M37" s="3">
        <f>Table9[[#This Row],[Breakout]]-Table9[[#This Row],[Octane]]</f>
        <v>0</v>
      </c>
      <c r="N37" s="4" t="e">
        <f>Table9[[#This Row],[Octane]]/Table9[[#This Row],[Hybrid]]</f>
        <v>#DIV/0!</v>
      </c>
      <c r="O37" s="4" t="e">
        <f>Table9[[#This Row],[Octane]]/Table9[[#This Row],[Dominus]]</f>
        <v>#DIV/0!</v>
      </c>
      <c r="P37" s="4" t="e">
        <f>Table9[[#This Row],[Octane]]/Table9[[#This Row],[Plank]]</f>
        <v>#DIV/0!</v>
      </c>
      <c r="Q37" s="4" t="e">
        <f>Table9[[#This Row],[Octane]]/Table9[[#This Row],[Batmobile]]</f>
        <v>#DIV/0!</v>
      </c>
      <c r="R37" s="4" t="e">
        <f>Table9[[#This Row],[Octane]]/Table9[[#This Row],[Breakout]]</f>
        <v>#DIV/0!</v>
      </c>
    </row>
    <row r="38" spans="1:18">
      <c r="A38" s="1">
        <f>Octane[[#This Row],[Degrees turned]]</f>
        <v>0</v>
      </c>
      <c r="B38" s="1">
        <f>Hybrid[[#This Row],[Degrees turned]]</f>
        <v>0</v>
      </c>
      <c r="C38" s="1">
        <f>Dominus[[#This Row],[Degrees turned]]</f>
        <v>0</v>
      </c>
      <c r="D38" s="1">
        <f>Plank[[#This Row],[Degrees turned]]</f>
        <v>0</v>
      </c>
      <c r="E38" s="1">
        <f>Batmobile[[#This Row],[Degrees turned]]</f>
        <v>0</v>
      </c>
      <c r="F38" s="1">
        <f>Breakout[[#This Row],[Degrees turned]]</f>
        <v>0</v>
      </c>
      <c r="H38" s="1">
        <v>0</v>
      </c>
      <c r="I38" s="3">
        <f>Table9[[#This Row],[Hybrid]]-Table9[[#This Row],[Octane]]</f>
        <v>0</v>
      </c>
      <c r="J38" s="3">
        <f>Table9[[#This Row],[Dominus]]-Table9[[#This Row],[Octane]]</f>
        <v>0</v>
      </c>
      <c r="K38" s="3">
        <f>Table9[[#This Row],[Plank]]-Table9[[#This Row],[Octane]]</f>
        <v>0</v>
      </c>
      <c r="L38" s="3">
        <f>Table9[[#This Row],[Batmobile]]-Table9[[#This Row],[Octane]]</f>
        <v>0</v>
      </c>
      <c r="M38" s="3">
        <f>Table9[[#This Row],[Breakout]]-Table9[[#This Row],[Octane]]</f>
        <v>0</v>
      </c>
      <c r="N38" s="4" t="e">
        <f>Table9[[#This Row],[Octane]]/Table9[[#This Row],[Hybrid]]</f>
        <v>#DIV/0!</v>
      </c>
      <c r="O38" s="4" t="e">
        <f>Table9[[#This Row],[Octane]]/Table9[[#This Row],[Dominus]]</f>
        <v>#DIV/0!</v>
      </c>
      <c r="P38" s="4" t="e">
        <f>Table9[[#This Row],[Octane]]/Table9[[#This Row],[Plank]]</f>
        <v>#DIV/0!</v>
      </c>
      <c r="Q38" s="4" t="e">
        <f>Table9[[#This Row],[Octane]]/Table9[[#This Row],[Batmobile]]</f>
        <v>#DIV/0!</v>
      </c>
      <c r="R38" s="4" t="e">
        <f>Table9[[#This Row],[Octane]]/Table9[[#This Row],[Breakout]]</f>
        <v>#DIV/0!</v>
      </c>
    </row>
    <row r="39" spans="1:18">
      <c r="A39" s="1">
        <f>Octane[[#This Row],[Degrees turned]]</f>
        <v>0</v>
      </c>
      <c r="B39" s="1">
        <f>Hybrid[[#This Row],[Degrees turned]]</f>
        <v>0</v>
      </c>
      <c r="C39" s="1">
        <f>Dominus[[#This Row],[Degrees turned]]</f>
        <v>0</v>
      </c>
      <c r="D39" s="1">
        <f>Plank[[#This Row],[Degrees turned]]</f>
        <v>0</v>
      </c>
      <c r="E39" s="1">
        <f>Batmobile[[#This Row],[Degrees turned]]</f>
        <v>0</v>
      </c>
      <c r="F39" s="1">
        <f>Breakout[[#This Row],[Degrees turned]]</f>
        <v>0</v>
      </c>
      <c r="H39" s="1">
        <v>0</v>
      </c>
      <c r="I39" s="3">
        <f>Table9[[#This Row],[Hybrid]]-Table9[[#This Row],[Octane]]</f>
        <v>0</v>
      </c>
      <c r="J39" s="3">
        <f>Table9[[#This Row],[Dominus]]-Table9[[#This Row],[Octane]]</f>
        <v>0</v>
      </c>
      <c r="K39" s="3">
        <f>Table9[[#This Row],[Plank]]-Table9[[#This Row],[Octane]]</f>
        <v>0</v>
      </c>
      <c r="L39" s="3">
        <f>Table9[[#This Row],[Batmobile]]-Table9[[#This Row],[Octane]]</f>
        <v>0</v>
      </c>
      <c r="M39" s="3">
        <f>Table9[[#This Row],[Breakout]]-Table9[[#This Row],[Octane]]</f>
        <v>0</v>
      </c>
      <c r="N39" s="4" t="e">
        <f>Table9[[#This Row],[Octane]]/Table9[[#This Row],[Hybrid]]</f>
        <v>#DIV/0!</v>
      </c>
      <c r="O39" s="4" t="e">
        <f>Table9[[#This Row],[Octane]]/Table9[[#This Row],[Dominus]]</f>
        <v>#DIV/0!</v>
      </c>
      <c r="P39" s="4" t="e">
        <f>Table9[[#This Row],[Octane]]/Table9[[#This Row],[Plank]]</f>
        <v>#DIV/0!</v>
      </c>
      <c r="Q39" s="4" t="e">
        <f>Table9[[#This Row],[Octane]]/Table9[[#This Row],[Batmobile]]</f>
        <v>#DIV/0!</v>
      </c>
      <c r="R39" s="4" t="e">
        <f>Table9[[#This Row],[Octane]]/Table9[[#This Row],[Breakout]]</f>
        <v>#DIV/0!</v>
      </c>
    </row>
    <row r="40" spans="1:18">
      <c r="A40" s="1">
        <f>Octane[[#This Row],[Degrees turned]]</f>
        <v>0</v>
      </c>
      <c r="B40" s="1">
        <f>Hybrid[[#This Row],[Degrees turned]]</f>
        <v>0</v>
      </c>
      <c r="C40" s="1">
        <f>Dominus[[#This Row],[Degrees turned]]</f>
        <v>0</v>
      </c>
      <c r="D40" s="1">
        <f>Plank[[#This Row],[Degrees turned]]</f>
        <v>0</v>
      </c>
      <c r="E40" s="1">
        <f>Batmobile[[#This Row],[Degrees turned]]</f>
        <v>0</v>
      </c>
      <c r="F40" s="1">
        <f>Breakout[[#This Row],[Degrees turned]]</f>
        <v>0</v>
      </c>
      <c r="H40" s="1">
        <v>0</v>
      </c>
      <c r="I40" s="3">
        <f>Table9[[#This Row],[Hybrid]]-Table9[[#This Row],[Octane]]</f>
        <v>0</v>
      </c>
      <c r="J40" s="3">
        <f>Table9[[#This Row],[Dominus]]-Table9[[#This Row],[Octane]]</f>
        <v>0</v>
      </c>
      <c r="K40" s="3">
        <f>Table9[[#This Row],[Plank]]-Table9[[#This Row],[Octane]]</f>
        <v>0</v>
      </c>
      <c r="L40" s="3">
        <f>Table9[[#This Row],[Batmobile]]-Table9[[#This Row],[Octane]]</f>
        <v>0</v>
      </c>
      <c r="M40" s="3">
        <f>Table9[[#This Row],[Breakout]]-Table9[[#This Row],[Octane]]</f>
        <v>0</v>
      </c>
      <c r="N40" s="4" t="e">
        <f>Table9[[#This Row],[Octane]]/Table9[[#This Row],[Hybrid]]</f>
        <v>#DIV/0!</v>
      </c>
      <c r="O40" s="4" t="e">
        <f>Table9[[#This Row],[Octane]]/Table9[[#This Row],[Dominus]]</f>
        <v>#DIV/0!</v>
      </c>
      <c r="P40" s="4" t="e">
        <f>Table9[[#This Row],[Octane]]/Table9[[#This Row],[Plank]]</f>
        <v>#DIV/0!</v>
      </c>
      <c r="Q40" s="4" t="e">
        <f>Table9[[#This Row],[Octane]]/Table9[[#This Row],[Batmobile]]</f>
        <v>#DIV/0!</v>
      </c>
      <c r="R40" s="4" t="e">
        <f>Table9[[#This Row],[Octane]]/Table9[[#This Row],[Breakout]]</f>
        <v>#DIV/0!</v>
      </c>
    </row>
    <row r="41" spans="1:18">
      <c r="A41" s="1">
        <f>Octane[[#This Row],[Degrees turned]]</f>
        <v>0</v>
      </c>
      <c r="B41" s="1">
        <f>Hybrid[[#This Row],[Degrees turned]]</f>
        <v>0</v>
      </c>
      <c r="C41" s="1">
        <f>Dominus[[#This Row],[Degrees turned]]</f>
        <v>0</v>
      </c>
      <c r="D41" s="1">
        <f>Plank[[#This Row],[Degrees turned]]</f>
        <v>0</v>
      </c>
      <c r="E41" s="1">
        <f>Batmobile[[#This Row],[Degrees turned]]</f>
        <v>0</v>
      </c>
      <c r="F41" s="1">
        <f>Breakout[[#This Row],[Degrees turned]]</f>
        <v>0</v>
      </c>
      <c r="H41" s="1">
        <v>0</v>
      </c>
      <c r="I41" s="3">
        <f>Table9[[#This Row],[Hybrid]]-Table9[[#This Row],[Octane]]</f>
        <v>0</v>
      </c>
      <c r="J41" s="3">
        <f>Table9[[#This Row],[Dominus]]-Table9[[#This Row],[Octane]]</f>
        <v>0</v>
      </c>
      <c r="K41" s="3">
        <f>Table9[[#This Row],[Plank]]-Table9[[#This Row],[Octane]]</f>
        <v>0</v>
      </c>
      <c r="L41" s="3">
        <f>Table9[[#This Row],[Batmobile]]-Table9[[#This Row],[Octane]]</f>
        <v>0</v>
      </c>
      <c r="M41" s="3">
        <f>Table9[[#This Row],[Breakout]]-Table9[[#This Row],[Octane]]</f>
        <v>0</v>
      </c>
      <c r="N41" s="4" t="e">
        <f>Table9[[#This Row],[Octane]]/Table9[[#This Row],[Hybrid]]</f>
        <v>#DIV/0!</v>
      </c>
      <c r="O41" s="4" t="e">
        <f>Table9[[#This Row],[Octane]]/Table9[[#This Row],[Dominus]]</f>
        <v>#DIV/0!</v>
      </c>
      <c r="P41" s="4" t="e">
        <f>Table9[[#This Row],[Octane]]/Table9[[#This Row],[Plank]]</f>
        <v>#DIV/0!</v>
      </c>
      <c r="Q41" s="4" t="e">
        <f>Table9[[#This Row],[Octane]]/Table9[[#This Row],[Batmobile]]</f>
        <v>#DIV/0!</v>
      </c>
      <c r="R41" s="4" t="e">
        <f>Table9[[#This Row],[Octane]]/Table9[[#This Row],[Breakout]]</f>
        <v>#DIV/0!</v>
      </c>
    </row>
    <row r="42" spans="1:18">
      <c r="A42" s="1">
        <f>Octane[[#This Row],[Degrees turned]]</f>
        <v>0</v>
      </c>
      <c r="B42" s="1">
        <f>Hybrid[[#This Row],[Degrees turned]]</f>
        <v>0</v>
      </c>
      <c r="C42" s="1">
        <f>Dominus[[#This Row],[Degrees turned]]</f>
        <v>0</v>
      </c>
      <c r="D42" s="1">
        <f>Plank[[#This Row],[Degrees turned]]</f>
        <v>0</v>
      </c>
      <c r="E42" s="1">
        <f>Batmobile[[#This Row],[Degrees turned]]</f>
        <v>0</v>
      </c>
      <c r="F42" s="1">
        <f>Breakout[[#This Row],[Degrees turned]]</f>
        <v>0</v>
      </c>
      <c r="H42" s="1">
        <v>0</v>
      </c>
      <c r="I42" s="3">
        <f>Table9[[#This Row],[Hybrid]]-Table9[[#This Row],[Octane]]</f>
        <v>0</v>
      </c>
      <c r="J42" s="3">
        <f>Table9[[#This Row],[Dominus]]-Table9[[#This Row],[Octane]]</f>
        <v>0</v>
      </c>
      <c r="K42" s="3">
        <f>Table9[[#This Row],[Plank]]-Table9[[#This Row],[Octane]]</f>
        <v>0</v>
      </c>
      <c r="L42" s="3">
        <f>Table9[[#This Row],[Batmobile]]-Table9[[#This Row],[Octane]]</f>
        <v>0</v>
      </c>
      <c r="M42" s="3">
        <f>Table9[[#This Row],[Breakout]]-Table9[[#This Row],[Octane]]</f>
        <v>0</v>
      </c>
      <c r="N42" s="4" t="e">
        <f>Table9[[#This Row],[Octane]]/Table9[[#This Row],[Hybrid]]</f>
        <v>#DIV/0!</v>
      </c>
      <c r="O42" s="4" t="e">
        <f>Table9[[#This Row],[Octane]]/Table9[[#This Row],[Dominus]]</f>
        <v>#DIV/0!</v>
      </c>
      <c r="P42" s="4" t="e">
        <f>Table9[[#This Row],[Octane]]/Table9[[#This Row],[Plank]]</f>
        <v>#DIV/0!</v>
      </c>
      <c r="Q42" s="4" t="e">
        <f>Table9[[#This Row],[Octane]]/Table9[[#This Row],[Batmobile]]</f>
        <v>#DIV/0!</v>
      </c>
      <c r="R42" s="4" t="e">
        <f>Table9[[#This Row],[Octane]]/Table9[[#This Row],[Breakout]]</f>
        <v>#DIV/0!</v>
      </c>
    </row>
    <row r="43" spans="1:18">
      <c r="A43" s="1">
        <f>Octane[[#This Row],[Degrees turned]]</f>
        <v>0</v>
      </c>
      <c r="B43" s="1">
        <f>Hybrid[[#This Row],[Degrees turned]]</f>
        <v>0</v>
      </c>
      <c r="C43" s="1">
        <f>Dominus[[#This Row],[Degrees turned]]</f>
        <v>0</v>
      </c>
      <c r="D43" s="1">
        <f>Plank[[#This Row],[Degrees turned]]</f>
        <v>0</v>
      </c>
      <c r="E43" s="1">
        <f>Batmobile[[#This Row],[Degrees turned]]</f>
        <v>0</v>
      </c>
      <c r="F43" s="1">
        <f>Breakout[[#This Row],[Degrees turned]]</f>
        <v>0</v>
      </c>
      <c r="H43" s="1">
        <v>0</v>
      </c>
      <c r="I43" s="3">
        <f>Table9[[#This Row],[Hybrid]]-Table9[[#This Row],[Octane]]</f>
        <v>0</v>
      </c>
      <c r="J43" s="3">
        <f>Table9[[#This Row],[Dominus]]-Table9[[#This Row],[Octane]]</f>
        <v>0</v>
      </c>
      <c r="K43" s="3">
        <f>Table9[[#This Row],[Plank]]-Table9[[#This Row],[Octane]]</f>
        <v>0</v>
      </c>
      <c r="L43" s="3">
        <f>Table9[[#This Row],[Batmobile]]-Table9[[#This Row],[Octane]]</f>
        <v>0</v>
      </c>
      <c r="M43" s="3">
        <f>Table9[[#This Row],[Breakout]]-Table9[[#This Row],[Octane]]</f>
        <v>0</v>
      </c>
      <c r="N43" s="4" t="e">
        <f>Table9[[#This Row],[Octane]]/Table9[[#This Row],[Hybrid]]</f>
        <v>#DIV/0!</v>
      </c>
      <c r="O43" s="4" t="e">
        <f>Table9[[#This Row],[Octane]]/Table9[[#This Row],[Dominus]]</f>
        <v>#DIV/0!</v>
      </c>
      <c r="P43" s="4" t="e">
        <f>Table9[[#This Row],[Octane]]/Table9[[#This Row],[Plank]]</f>
        <v>#DIV/0!</v>
      </c>
      <c r="Q43" s="4" t="e">
        <f>Table9[[#This Row],[Octane]]/Table9[[#This Row],[Batmobile]]</f>
        <v>#DIV/0!</v>
      </c>
      <c r="R43" s="4" t="e">
        <f>Table9[[#This Row],[Octane]]/Table9[[#This Row],[Breakout]]</f>
        <v>#DIV/0!</v>
      </c>
    </row>
    <row r="44" spans="1:18">
      <c r="A44" s="1">
        <f>Octane[[#This Row],[Degrees turned]]</f>
        <v>0</v>
      </c>
      <c r="B44" s="1">
        <f>Hybrid[[#This Row],[Degrees turned]]</f>
        <v>0</v>
      </c>
      <c r="C44" s="1">
        <f>Dominus[[#This Row],[Degrees turned]]</f>
        <v>0</v>
      </c>
      <c r="D44" s="1">
        <f>Plank[[#This Row],[Degrees turned]]</f>
        <v>0</v>
      </c>
      <c r="E44" s="1">
        <f>Batmobile[[#This Row],[Degrees turned]]</f>
        <v>0</v>
      </c>
      <c r="F44" s="1">
        <f>Breakout[[#This Row],[Degrees turned]]</f>
        <v>0</v>
      </c>
      <c r="H44" s="1">
        <v>0</v>
      </c>
      <c r="I44" s="3">
        <f>Table9[[#This Row],[Hybrid]]-Table9[[#This Row],[Octane]]</f>
        <v>0</v>
      </c>
      <c r="J44" s="3">
        <f>Table9[[#This Row],[Dominus]]-Table9[[#This Row],[Octane]]</f>
        <v>0</v>
      </c>
      <c r="K44" s="3">
        <f>Table9[[#This Row],[Plank]]-Table9[[#This Row],[Octane]]</f>
        <v>0</v>
      </c>
      <c r="L44" s="3">
        <f>Table9[[#This Row],[Batmobile]]-Table9[[#This Row],[Octane]]</f>
        <v>0</v>
      </c>
      <c r="M44" s="3">
        <f>Table9[[#This Row],[Breakout]]-Table9[[#This Row],[Octane]]</f>
        <v>0</v>
      </c>
      <c r="N44" s="4" t="e">
        <f>Table9[[#This Row],[Octane]]/Table9[[#This Row],[Hybrid]]</f>
        <v>#DIV/0!</v>
      </c>
      <c r="O44" s="4" t="e">
        <f>Table9[[#This Row],[Octane]]/Table9[[#This Row],[Dominus]]</f>
        <v>#DIV/0!</v>
      </c>
      <c r="P44" s="4" t="e">
        <f>Table9[[#This Row],[Octane]]/Table9[[#This Row],[Plank]]</f>
        <v>#DIV/0!</v>
      </c>
      <c r="Q44" s="4" t="e">
        <f>Table9[[#This Row],[Octane]]/Table9[[#This Row],[Batmobile]]</f>
        <v>#DIV/0!</v>
      </c>
      <c r="R44" s="4" t="e">
        <f>Table9[[#This Row],[Octane]]/Table9[[#This Row],[Breakout]]</f>
        <v>#DIV/0!</v>
      </c>
    </row>
    <row r="45" spans="1:18">
      <c r="A45" s="1">
        <f>Octane[[#This Row],[Degrees turned]]</f>
        <v>0</v>
      </c>
      <c r="B45" s="1">
        <f>Hybrid[[#This Row],[Degrees turned]]</f>
        <v>0</v>
      </c>
      <c r="C45" s="1">
        <f>Dominus[[#This Row],[Degrees turned]]</f>
        <v>0</v>
      </c>
      <c r="D45" s="1">
        <f>Plank[[#This Row],[Degrees turned]]</f>
        <v>0</v>
      </c>
      <c r="E45" s="1">
        <f>Batmobile[[#This Row],[Degrees turned]]</f>
        <v>0</v>
      </c>
      <c r="F45" s="1">
        <f>Breakout[[#This Row],[Degrees turned]]</f>
        <v>0</v>
      </c>
      <c r="H45" s="1">
        <v>0</v>
      </c>
      <c r="I45" s="3">
        <f>Table9[[#This Row],[Hybrid]]-Table9[[#This Row],[Octane]]</f>
        <v>0</v>
      </c>
      <c r="J45" s="3">
        <f>Table9[[#This Row],[Dominus]]-Table9[[#This Row],[Octane]]</f>
        <v>0</v>
      </c>
      <c r="K45" s="3">
        <f>Table9[[#This Row],[Plank]]-Table9[[#This Row],[Octane]]</f>
        <v>0</v>
      </c>
      <c r="L45" s="3">
        <f>Table9[[#This Row],[Batmobile]]-Table9[[#This Row],[Octane]]</f>
        <v>0</v>
      </c>
      <c r="M45" s="3">
        <f>Table9[[#This Row],[Breakout]]-Table9[[#This Row],[Octane]]</f>
        <v>0</v>
      </c>
      <c r="N45" s="4" t="e">
        <f>Table9[[#This Row],[Octane]]/Table9[[#This Row],[Hybrid]]</f>
        <v>#DIV/0!</v>
      </c>
      <c r="O45" s="4" t="e">
        <f>Table9[[#This Row],[Octane]]/Table9[[#This Row],[Dominus]]</f>
        <v>#DIV/0!</v>
      </c>
      <c r="P45" s="4" t="e">
        <f>Table9[[#This Row],[Octane]]/Table9[[#This Row],[Plank]]</f>
        <v>#DIV/0!</v>
      </c>
      <c r="Q45" s="4" t="e">
        <f>Table9[[#This Row],[Octane]]/Table9[[#This Row],[Batmobile]]</f>
        <v>#DIV/0!</v>
      </c>
      <c r="R45" s="4" t="e">
        <f>Table9[[#This Row],[Octane]]/Table9[[#This Row],[Breakout]]</f>
        <v>#DIV/0!</v>
      </c>
    </row>
    <row r="46" spans="1:18">
      <c r="A46" s="1">
        <f>Octane[[#This Row],[Degrees turned]]</f>
        <v>0</v>
      </c>
      <c r="B46" s="1">
        <f>Hybrid[[#This Row],[Degrees turned]]</f>
        <v>0</v>
      </c>
      <c r="C46" s="1">
        <f>Dominus[[#This Row],[Degrees turned]]</f>
        <v>0</v>
      </c>
      <c r="D46" s="1">
        <f>Plank[[#This Row],[Degrees turned]]</f>
        <v>0</v>
      </c>
      <c r="E46" s="1">
        <f>Batmobile[[#This Row],[Degrees turned]]</f>
        <v>0</v>
      </c>
      <c r="F46" s="1">
        <f>Breakout[[#This Row],[Degrees turned]]</f>
        <v>0</v>
      </c>
      <c r="H46" s="1">
        <v>0</v>
      </c>
      <c r="I46" s="3">
        <f>Table9[[#This Row],[Hybrid]]-Table9[[#This Row],[Octane]]</f>
        <v>0</v>
      </c>
      <c r="J46" s="3">
        <f>Table9[[#This Row],[Dominus]]-Table9[[#This Row],[Octane]]</f>
        <v>0</v>
      </c>
      <c r="K46" s="3">
        <f>Table9[[#This Row],[Plank]]-Table9[[#This Row],[Octane]]</f>
        <v>0</v>
      </c>
      <c r="L46" s="3">
        <f>Table9[[#This Row],[Batmobile]]-Table9[[#This Row],[Octane]]</f>
        <v>0</v>
      </c>
      <c r="M46" s="3">
        <f>Table9[[#This Row],[Breakout]]-Table9[[#This Row],[Octane]]</f>
        <v>0</v>
      </c>
      <c r="N46" s="4" t="e">
        <f>Table9[[#This Row],[Octane]]/Table9[[#This Row],[Hybrid]]</f>
        <v>#DIV/0!</v>
      </c>
      <c r="O46" s="4" t="e">
        <f>Table9[[#This Row],[Octane]]/Table9[[#This Row],[Dominus]]</f>
        <v>#DIV/0!</v>
      </c>
      <c r="P46" s="4" t="e">
        <f>Table9[[#This Row],[Octane]]/Table9[[#This Row],[Plank]]</f>
        <v>#DIV/0!</v>
      </c>
      <c r="Q46" s="4" t="e">
        <f>Table9[[#This Row],[Octane]]/Table9[[#This Row],[Batmobile]]</f>
        <v>#DIV/0!</v>
      </c>
      <c r="R46" s="4" t="e">
        <f>Table9[[#This Row],[Octane]]/Table9[[#This Row],[Breakout]]</f>
        <v>#DIV/0!</v>
      </c>
    </row>
    <row r="47" spans="1:18">
      <c r="A47" s="1">
        <f>Octane[[#This Row],[Degrees turned]]</f>
        <v>0</v>
      </c>
      <c r="B47" s="1">
        <f>Hybrid[[#This Row],[Degrees turned]]</f>
        <v>0</v>
      </c>
      <c r="C47" s="1">
        <f>Dominus[[#This Row],[Degrees turned]]</f>
        <v>0</v>
      </c>
      <c r="D47" s="1">
        <f>Plank[[#This Row],[Degrees turned]]</f>
        <v>0</v>
      </c>
      <c r="E47" s="1">
        <f>Batmobile[[#This Row],[Degrees turned]]</f>
        <v>0</v>
      </c>
      <c r="F47" s="1">
        <f>Breakout[[#This Row],[Degrees turned]]</f>
        <v>0</v>
      </c>
      <c r="H47" s="1">
        <v>0</v>
      </c>
      <c r="I47" s="3">
        <f>Table9[[#This Row],[Hybrid]]-Table9[[#This Row],[Octane]]</f>
        <v>0</v>
      </c>
      <c r="J47" s="3">
        <f>Table9[[#This Row],[Dominus]]-Table9[[#This Row],[Octane]]</f>
        <v>0</v>
      </c>
      <c r="K47" s="3">
        <f>Table9[[#This Row],[Plank]]-Table9[[#This Row],[Octane]]</f>
        <v>0</v>
      </c>
      <c r="L47" s="3">
        <f>Table9[[#This Row],[Batmobile]]-Table9[[#This Row],[Octane]]</f>
        <v>0</v>
      </c>
      <c r="M47" s="3">
        <f>Table9[[#This Row],[Breakout]]-Table9[[#This Row],[Octane]]</f>
        <v>0</v>
      </c>
      <c r="N47" s="4" t="e">
        <f>Table9[[#This Row],[Octane]]/Table9[[#This Row],[Hybrid]]</f>
        <v>#DIV/0!</v>
      </c>
      <c r="O47" s="4" t="e">
        <f>Table9[[#This Row],[Octane]]/Table9[[#This Row],[Dominus]]</f>
        <v>#DIV/0!</v>
      </c>
      <c r="P47" s="4" t="e">
        <f>Table9[[#This Row],[Octane]]/Table9[[#This Row],[Plank]]</f>
        <v>#DIV/0!</v>
      </c>
      <c r="Q47" s="4" t="e">
        <f>Table9[[#This Row],[Octane]]/Table9[[#This Row],[Batmobile]]</f>
        <v>#DIV/0!</v>
      </c>
      <c r="R47" s="4" t="e">
        <f>Table9[[#This Row],[Octane]]/Table9[[#This Row],[Breakout]]</f>
        <v>#DIV/0!</v>
      </c>
    </row>
    <row r="48" spans="1:18">
      <c r="A48" s="1">
        <f>Octane[[#This Row],[Degrees turned]]</f>
        <v>0</v>
      </c>
      <c r="B48" s="1">
        <f>Hybrid[[#This Row],[Degrees turned]]</f>
        <v>0</v>
      </c>
      <c r="C48" s="1">
        <f>Dominus[[#This Row],[Degrees turned]]</f>
        <v>0</v>
      </c>
      <c r="D48" s="1">
        <f>Plank[[#This Row],[Degrees turned]]</f>
        <v>0</v>
      </c>
      <c r="E48" s="1">
        <f>Batmobile[[#This Row],[Degrees turned]]</f>
        <v>0</v>
      </c>
      <c r="F48" s="1">
        <f>Breakout[[#This Row],[Degrees turned]]</f>
        <v>0</v>
      </c>
      <c r="H48" s="1">
        <v>0</v>
      </c>
      <c r="I48" s="3">
        <f>Table9[[#This Row],[Hybrid]]-Table9[[#This Row],[Octane]]</f>
        <v>0</v>
      </c>
      <c r="J48" s="3">
        <f>Table9[[#This Row],[Dominus]]-Table9[[#This Row],[Octane]]</f>
        <v>0</v>
      </c>
      <c r="K48" s="3">
        <f>Table9[[#This Row],[Plank]]-Table9[[#This Row],[Octane]]</f>
        <v>0</v>
      </c>
      <c r="L48" s="3">
        <f>Table9[[#This Row],[Batmobile]]-Table9[[#This Row],[Octane]]</f>
        <v>0</v>
      </c>
      <c r="M48" s="3">
        <f>Table9[[#This Row],[Breakout]]-Table9[[#This Row],[Octane]]</f>
        <v>0</v>
      </c>
      <c r="N48" s="4" t="e">
        <f>Table9[[#This Row],[Octane]]/Table9[[#This Row],[Hybrid]]</f>
        <v>#DIV/0!</v>
      </c>
      <c r="O48" s="4" t="e">
        <f>Table9[[#This Row],[Octane]]/Table9[[#This Row],[Dominus]]</f>
        <v>#DIV/0!</v>
      </c>
      <c r="P48" s="4" t="e">
        <f>Table9[[#This Row],[Octane]]/Table9[[#This Row],[Plank]]</f>
        <v>#DIV/0!</v>
      </c>
      <c r="Q48" s="4" t="e">
        <f>Table9[[#This Row],[Octane]]/Table9[[#This Row],[Batmobile]]</f>
        <v>#DIV/0!</v>
      </c>
      <c r="R48" s="4" t="e">
        <f>Table9[[#This Row],[Octane]]/Table9[[#This Row],[Breakout]]</f>
        <v>#DIV/0!</v>
      </c>
    </row>
    <row r="49" spans="1:30">
      <c r="A49" s="1">
        <f>Octane[[#This Row],[Degrees turned]]</f>
        <v>0</v>
      </c>
      <c r="B49" s="1">
        <f>Hybrid[[#This Row],[Degrees turned]]</f>
        <v>0</v>
      </c>
      <c r="C49" s="1">
        <f>Dominus[[#This Row],[Degrees turned]]</f>
        <v>0</v>
      </c>
      <c r="D49" s="1">
        <f>Plank[[#This Row],[Degrees turned]]</f>
        <v>0</v>
      </c>
      <c r="E49" s="1">
        <f>Batmobile[[#This Row],[Degrees turned]]</f>
        <v>0</v>
      </c>
      <c r="F49" s="1">
        <f>Breakout[[#This Row],[Degrees turned]]</f>
        <v>0</v>
      </c>
      <c r="H49" s="1">
        <v>0</v>
      </c>
      <c r="I49" s="3">
        <f>Table9[[#This Row],[Hybrid]]-Table9[[#This Row],[Octane]]</f>
        <v>0</v>
      </c>
      <c r="J49" s="3">
        <f>Table9[[#This Row],[Dominus]]-Table9[[#This Row],[Octane]]</f>
        <v>0</v>
      </c>
      <c r="K49" s="3">
        <f>Table9[[#This Row],[Plank]]-Table9[[#This Row],[Octane]]</f>
        <v>0</v>
      </c>
      <c r="L49" s="3">
        <f>Table9[[#This Row],[Batmobile]]-Table9[[#This Row],[Octane]]</f>
        <v>0</v>
      </c>
      <c r="M49" s="3">
        <f>Table9[[#This Row],[Breakout]]-Table9[[#This Row],[Octane]]</f>
        <v>0</v>
      </c>
      <c r="N49" s="4" t="e">
        <f>Table9[[#This Row],[Octane]]/Table9[[#This Row],[Hybrid]]</f>
        <v>#DIV/0!</v>
      </c>
      <c r="O49" s="4" t="e">
        <f>Table9[[#This Row],[Octane]]/Table9[[#This Row],[Dominus]]</f>
        <v>#DIV/0!</v>
      </c>
      <c r="P49" s="4" t="e">
        <f>Table9[[#This Row],[Octane]]/Table9[[#This Row],[Plank]]</f>
        <v>#DIV/0!</v>
      </c>
      <c r="Q49" s="4" t="e">
        <f>Table9[[#This Row],[Octane]]/Table9[[#This Row],[Batmobile]]</f>
        <v>#DIV/0!</v>
      </c>
      <c r="R49" s="4" t="e">
        <f>Table9[[#This Row],[Octane]]/Table9[[#This Row],[Breakout]]</f>
        <v>#DIV/0!</v>
      </c>
    </row>
    <row r="50" spans="1:30">
      <c r="A50" s="1">
        <f>Octane[[#This Row],[Degrees turned]]</f>
        <v>0</v>
      </c>
      <c r="B50" s="1">
        <f>Hybrid[[#This Row],[Degrees turned]]</f>
        <v>0</v>
      </c>
      <c r="C50" s="1">
        <f>Dominus[[#This Row],[Degrees turned]]</f>
        <v>0</v>
      </c>
      <c r="D50" s="1">
        <f>Plank[[#This Row],[Degrees turned]]</f>
        <v>0</v>
      </c>
      <c r="E50" s="1">
        <f>Batmobile[[#This Row],[Degrees turned]]</f>
        <v>0</v>
      </c>
      <c r="F50" s="1">
        <f>Breakout[[#This Row],[Degrees turned]]</f>
        <v>0</v>
      </c>
      <c r="H50" s="1">
        <v>0</v>
      </c>
      <c r="I50" s="3">
        <f>Table9[[#This Row],[Hybrid]]-Table9[[#This Row],[Octane]]</f>
        <v>0</v>
      </c>
      <c r="J50" s="3">
        <f>Table9[[#This Row],[Dominus]]-Table9[[#This Row],[Octane]]</f>
        <v>0</v>
      </c>
      <c r="K50" s="3">
        <f>Table9[[#This Row],[Plank]]-Table9[[#This Row],[Octane]]</f>
        <v>0</v>
      </c>
      <c r="L50" s="3">
        <f>Table9[[#This Row],[Batmobile]]-Table9[[#This Row],[Octane]]</f>
        <v>0</v>
      </c>
      <c r="M50" s="3">
        <f>Table9[[#This Row],[Breakout]]-Table9[[#This Row],[Octane]]</f>
        <v>0</v>
      </c>
      <c r="N50" s="4" t="e">
        <f>Table9[[#This Row],[Octane]]/Table9[[#This Row],[Hybrid]]</f>
        <v>#DIV/0!</v>
      </c>
      <c r="O50" s="4" t="e">
        <f>Table9[[#This Row],[Octane]]/Table9[[#This Row],[Dominus]]</f>
        <v>#DIV/0!</v>
      </c>
      <c r="P50" s="4" t="e">
        <f>Table9[[#This Row],[Octane]]/Table9[[#This Row],[Plank]]</f>
        <v>#DIV/0!</v>
      </c>
      <c r="Q50" s="4" t="e">
        <f>Table9[[#This Row],[Octane]]/Table9[[#This Row],[Batmobile]]</f>
        <v>#DIV/0!</v>
      </c>
      <c r="R50" s="4" t="e">
        <f>Table9[[#This Row],[Octane]]/Table9[[#This Row],[Breakout]]</f>
        <v>#DIV/0!</v>
      </c>
    </row>
    <row r="51" spans="1:30">
      <c r="A51" s="1">
        <f>Octane[[#This Row],[Degrees turned]]</f>
        <v>0</v>
      </c>
      <c r="B51" s="1">
        <f>Hybrid[[#This Row],[Degrees turned]]</f>
        <v>0</v>
      </c>
      <c r="C51" s="1">
        <f>Dominus[[#This Row],[Degrees turned]]</f>
        <v>0</v>
      </c>
      <c r="D51" s="1">
        <f>Plank[[#This Row],[Degrees turned]]</f>
        <v>0</v>
      </c>
      <c r="E51" s="1">
        <f>Batmobile[[#This Row],[Degrees turned]]</f>
        <v>0</v>
      </c>
      <c r="F51" s="1">
        <f>Breakout[[#This Row],[Degrees turned]]</f>
        <v>0</v>
      </c>
      <c r="H51" s="1">
        <v>0</v>
      </c>
      <c r="I51" s="3">
        <f>Table9[[#This Row],[Hybrid]]-Table9[[#This Row],[Octane]]</f>
        <v>0</v>
      </c>
      <c r="J51" s="3">
        <f>Table9[[#This Row],[Dominus]]-Table9[[#This Row],[Octane]]</f>
        <v>0</v>
      </c>
      <c r="K51" s="3">
        <f>Table9[[#This Row],[Plank]]-Table9[[#This Row],[Octane]]</f>
        <v>0</v>
      </c>
      <c r="L51" s="3">
        <f>Table9[[#This Row],[Batmobile]]-Table9[[#This Row],[Octane]]</f>
        <v>0</v>
      </c>
      <c r="M51" s="3">
        <f>Table9[[#This Row],[Breakout]]-Table9[[#This Row],[Octane]]</f>
        <v>0</v>
      </c>
      <c r="N51" s="4" t="e">
        <f>Table9[[#This Row],[Octane]]/Table9[[#This Row],[Hybrid]]</f>
        <v>#DIV/0!</v>
      </c>
      <c r="O51" s="4" t="e">
        <f>Table9[[#This Row],[Octane]]/Table9[[#This Row],[Dominus]]</f>
        <v>#DIV/0!</v>
      </c>
      <c r="P51" s="4" t="e">
        <f>Table9[[#This Row],[Octane]]/Table9[[#This Row],[Plank]]</f>
        <v>#DIV/0!</v>
      </c>
      <c r="Q51" s="4" t="e">
        <f>Table9[[#This Row],[Octane]]/Table9[[#This Row],[Batmobile]]</f>
        <v>#DIV/0!</v>
      </c>
      <c r="R51" s="4" t="e">
        <f>Table9[[#This Row],[Octane]]/Table9[[#This Row],[Breakout]]</f>
        <v>#DIV/0!</v>
      </c>
    </row>
    <row r="52" spans="1:30">
      <c r="A52" s="1">
        <f>Octane[[#This Row],[Degrees turned]]</f>
        <v>0</v>
      </c>
      <c r="B52" s="1">
        <f>Hybrid[[#This Row],[Degrees turned]]</f>
        <v>0</v>
      </c>
      <c r="C52" s="1">
        <f>Dominus[[#This Row],[Degrees turned]]</f>
        <v>0</v>
      </c>
      <c r="D52" s="1">
        <f>Plank[[#This Row],[Degrees turned]]</f>
        <v>0</v>
      </c>
      <c r="E52" s="1">
        <f>Batmobile[[#This Row],[Degrees turned]]</f>
        <v>0</v>
      </c>
      <c r="F52" s="1">
        <f>Breakout[[#This Row],[Degrees turned]]</f>
        <v>0</v>
      </c>
      <c r="H52" s="1">
        <v>0</v>
      </c>
      <c r="I52" s="3">
        <f>Table9[[#This Row],[Hybrid]]-Table9[[#This Row],[Octane]]</f>
        <v>0</v>
      </c>
      <c r="J52" s="3">
        <f>Table9[[#This Row],[Dominus]]-Table9[[#This Row],[Octane]]</f>
        <v>0</v>
      </c>
      <c r="K52" s="3">
        <f>Table9[[#This Row],[Plank]]-Table9[[#This Row],[Octane]]</f>
        <v>0</v>
      </c>
      <c r="L52" s="3">
        <f>Table9[[#This Row],[Batmobile]]-Table9[[#This Row],[Octane]]</f>
        <v>0</v>
      </c>
      <c r="M52" s="3">
        <f>Table9[[#This Row],[Breakout]]-Table9[[#This Row],[Octane]]</f>
        <v>0</v>
      </c>
      <c r="N52" s="4" t="e">
        <f>Table9[[#This Row],[Octane]]/Table9[[#This Row],[Hybrid]]</f>
        <v>#DIV/0!</v>
      </c>
      <c r="O52" s="4" t="e">
        <f>Table9[[#This Row],[Octane]]/Table9[[#This Row],[Dominus]]</f>
        <v>#DIV/0!</v>
      </c>
      <c r="P52" s="4" t="e">
        <f>Table9[[#This Row],[Octane]]/Table9[[#This Row],[Plank]]</f>
        <v>#DIV/0!</v>
      </c>
      <c r="Q52" s="4" t="e">
        <f>Table9[[#This Row],[Octane]]/Table9[[#This Row],[Batmobile]]</f>
        <v>#DIV/0!</v>
      </c>
      <c r="R52" s="4" t="e">
        <f>Table9[[#This Row],[Octane]]/Table9[[#This Row],[Breakout]]</f>
        <v>#DIV/0!</v>
      </c>
    </row>
    <row r="53" spans="1:30">
      <c r="A53" s="1">
        <f>Octane[[#This Row],[Degrees turned]]</f>
        <v>0</v>
      </c>
      <c r="B53" s="1">
        <f>Hybrid[[#This Row],[Degrees turned]]</f>
        <v>0</v>
      </c>
      <c r="C53" s="1">
        <f>Dominus[[#This Row],[Degrees turned]]</f>
        <v>0</v>
      </c>
      <c r="D53" s="1">
        <f>Plank[[#This Row],[Degrees turned]]</f>
        <v>0</v>
      </c>
      <c r="E53" s="1">
        <f>Batmobile[[#This Row],[Degrees turned]]</f>
        <v>0</v>
      </c>
      <c r="F53" s="1">
        <f>Breakout[[#This Row],[Degrees turned]]</f>
        <v>0</v>
      </c>
      <c r="H53" s="1">
        <v>0</v>
      </c>
      <c r="I53" s="3">
        <f>Table9[[#This Row],[Hybrid]]-Table9[[#This Row],[Octane]]</f>
        <v>0</v>
      </c>
      <c r="J53" s="3">
        <f>Table9[[#This Row],[Dominus]]-Table9[[#This Row],[Octane]]</f>
        <v>0</v>
      </c>
      <c r="K53" s="3">
        <f>Table9[[#This Row],[Plank]]-Table9[[#This Row],[Octane]]</f>
        <v>0</v>
      </c>
      <c r="L53" s="3">
        <f>Table9[[#This Row],[Batmobile]]-Table9[[#This Row],[Octane]]</f>
        <v>0</v>
      </c>
      <c r="M53" s="3">
        <f>Table9[[#This Row],[Breakout]]-Table9[[#This Row],[Octane]]</f>
        <v>0</v>
      </c>
      <c r="N53" s="4" t="e">
        <f>Table9[[#This Row],[Octane]]/Table9[[#This Row],[Hybrid]]</f>
        <v>#DIV/0!</v>
      </c>
      <c r="O53" s="4" t="e">
        <f>Table9[[#This Row],[Octane]]/Table9[[#This Row],[Dominus]]</f>
        <v>#DIV/0!</v>
      </c>
      <c r="P53" s="4" t="e">
        <f>Table9[[#This Row],[Octane]]/Table9[[#This Row],[Plank]]</f>
        <v>#DIV/0!</v>
      </c>
      <c r="Q53" s="4" t="e">
        <f>Table9[[#This Row],[Octane]]/Table9[[#This Row],[Batmobile]]</f>
        <v>#DIV/0!</v>
      </c>
      <c r="R53" s="4" t="e">
        <f>Table9[[#This Row],[Octane]]/Table9[[#This Row],[Breakout]]</f>
        <v>#DIV/0!</v>
      </c>
    </row>
    <row r="54" spans="1:30">
      <c r="A54" s="1">
        <f>Octane[[#This Row],[Degrees turned]]</f>
        <v>0.13800532816685518</v>
      </c>
      <c r="B54" s="1">
        <f>Hybrid[[#This Row],[Degrees turned]]</f>
        <v>0.13137232078697991</v>
      </c>
      <c r="C54" s="1">
        <f>Dominus[[#This Row],[Degrees turned]]</f>
        <v>0.13016725066265522</v>
      </c>
      <c r="D54" s="1">
        <f>Plank[[#This Row],[Degrees turned]]</f>
        <v>0.12433651139213353</v>
      </c>
      <c r="E54" s="1">
        <f>Batmobile[[#This Row],[Degrees turned]]</f>
        <v>0.12447839393514215</v>
      </c>
      <c r="F54" s="1">
        <f>Breakout[[#This Row],[Degrees turned]]</f>
        <v>0.12577658855851581</v>
      </c>
      <c r="H54" s="1">
        <v>0</v>
      </c>
      <c r="I54" s="3">
        <f>Table9[[#This Row],[Hybrid]]-Table9[[#This Row],[Octane]]</f>
        <v>-6.6330073798752665E-3</v>
      </c>
      <c r="J54" s="3">
        <f>Table9[[#This Row],[Dominus]]-Table9[[#This Row],[Octane]]</f>
        <v>-7.8380775041999584E-3</v>
      </c>
      <c r="K54" s="3">
        <f>Table9[[#This Row],[Plank]]-Table9[[#This Row],[Octane]]</f>
        <v>-1.3668816774721648E-2</v>
      </c>
      <c r="L54" s="3">
        <f>Table9[[#This Row],[Batmobile]]-Table9[[#This Row],[Octane]]</f>
        <v>-1.3526934231713028E-2</v>
      </c>
      <c r="M54" s="3">
        <f>Table9[[#This Row],[Breakout]]-Table9[[#This Row],[Octane]]</f>
        <v>-1.2228739608339367E-2</v>
      </c>
      <c r="N54" s="4">
        <f>Table9[[#This Row],[Octane]]/Table9[[#This Row],[Hybrid]]</f>
        <v>1.0504901438913505</v>
      </c>
      <c r="O54" s="4">
        <f>Table9[[#This Row],[Octane]]/Table9[[#This Row],[Dominus]]</f>
        <v>1.0602154340995749</v>
      </c>
      <c r="P54" s="4">
        <f>Table9[[#This Row],[Octane]]/Table9[[#This Row],[Plank]]</f>
        <v>1.1099340541380707</v>
      </c>
      <c r="Q54" s="4">
        <f>Table9[[#This Row],[Octane]]/Table9[[#This Row],[Batmobile]]</f>
        <v>1.1086689328491903</v>
      </c>
      <c r="R54" s="4">
        <f>Table9[[#This Row],[Octane]]/Table9[[#This Row],[Breakout]]</f>
        <v>1.0972258808136628</v>
      </c>
    </row>
    <row r="55" spans="1:30">
      <c r="A55" s="1">
        <f>Octane[[#This Row],[Degrees turned]]</f>
        <v>0.38635263492339789</v>
      </c>
      <c r="B55" s="1">
        <f>Hybrid[[#This Row],[Degrees turned]]</f>
        <v>0.36933208073905988</v>
      </c>
      <c r="C55" s="1">
        <f>Dominus[[#This Row],[Degrees turned]]</f>
        <v>0.36585100467738485</v>
      </c>
      <c r="D55" s="1">
        <f>Plank[[#This Row],[Degrees turned]]</f>
        <v>0.35083716668769327</v>
      </c>
      <c r="E55" s="1">
        <f>Batmobile[[#This Row],[Degrees turned]]</f>
        <v>0.35015328423311232</v>
      </c>
      <c r="F55" s="1">
        <f>Breakout[[#This Row],[Degrees turned]]</f>
        <v>0.35304450054095682</v>
      </c>
      <c r="H55" s="1">
        <v>0</v>
      </c>
      <c r="I55" s="3">
        <f>Table9[[#This Row],[Hybrid]]-Table9[[#This Row],[Octane]]</f>
        <v>-1.702055418433801E-2</v>
      </c>
      <c r="J55" s="3">
        <f>Table9[[#This Row],[Dominus]]-Table9[[#This Row],[Octane]]</f>
        <v>-2.0501630246013036E-2</v>
      </c>
      <c r="K55" s="3">
        <f>Table9[[#This Row],[Plank]]-Table9[[#This Row],[Octane]]</f>
        <v>-3.5515468235704617E-2</v>
      </c>
      <c r="L55" s="3">
        <f>Table9[[#This Row],[Batmobile]]-Table9[[#This Row],[Octane]]</f>
        <v>-3.619935069028557E-2</v>
      </c>
      <c r="M55" s="3">
        <f>Table9[[#This Row],[Breakout]]-Table9[[#This Row],[Octane]]</f>
        <v>-3.3308134382441068E-2</v>
      </c>
      <c r="N55" s="4">
        <f>Table9[[#This Row],[Octane]]/Table9[[#This Row],[Hybrid]]</f>
        <v>1.0460846892863427</v>
      </c>
      <c r="O55" s="4">
        <f>Table9[[#This Row],[Octane]]/Table9[[#This Row],[Dominus]]</f>
        <v>1.0560381958335521</v>
      </c>
      <c r="P55" s="4">
        <f>Table9[[#This Row],[Octane]]/Table9[[#This Row],[Plank]]</f>
        <v>1.1012306323500771</v>
      </c>
      <c r="Q55" s="4">
        <f>Table9[[#This Row],[Octane]]/Table9[[#This Row],[Batmobile]]</f>
        <v>1.1033814398444599</v>
      </c>
      <c r="R55" s="4">
        <f>Table9[[#This Row],[Octane]]/Table9[[#This Row],[Breakout]]</f>
        <v>1.094345427648368</v>
      </c>
    </row>
    <row r="56" spans="1:30">
      <c r="A56" s="1">
        <f>Octane[[#This Row],[Degrees turned]]</f>
        <v>0.72875931607725519</v>
      </c>
      <c r="B56" s="1">
        <f>Hybrid[[#This Row],[Degrees turned]]</f>
        <v>0.69752047561394193</v>
      </c>
      <c r="C56" s="1">
        <f>Dominus[[#This Row],[Degrees turned]]</f>
        <v>0.69126032583360697</v>
      </c>
      <c r="D56" s="1">
        <f>Plank[[#This Row],[Degrees turned]]</f>
        <v>0.664222932647899</v>
      </c>
      <c r="E56" s="1">
        <f>Batmobile[[#This Row],[Degrees turned]]</f>
        <v>0.66362620385112336</v>
      </c>
      <c r="F56" s="1">
        <f>Breakout[[#This Row],[Degrees turned]]</f>
        <v>0.66783410024952872</v>
      </c>
      <c r="H56" s="1">
        <v>0</v>
      </c>
      <c r="I56" s="3">
        <f>Table9[[#This Row],[Hybrid]]-Table9[[#This Row],[Octane]]</f>
        <v>-3.1238840463313267E-2</v>
      </c>
      <c r="J56" s="3">
        <f>Table9[[#This Row],[Dominus]]-Table9[[#This Row],[Octane]]</f>
        <v>-3.7498990243648223E-2</v>
      </c>
      <c r="K56" s="3">
        <f>Table9[[#This Row],[Plank]]-Table9[[#This Row],[Octane]]</f>
        <v>-6.4536383429356192E-2</v>
      </c>
      <c r="L56" s="3">
        <f>Table9[[#This Row],[Batmobile]]-Table9[[#This Row],[Octane]]</f>
        <v>-6.5133112226131828E-2</v>
      </c>
      <c r="M56" s="3">
        <f>Table9[[#This Row],[Breakout]]-Table9[[#This Row],[Octane]]</f>
        <v>-6.0925215827726475E-2</v>
      </c>
      <c r="N56" s="4">
        <f>Table9[[#This Row],[Octane]]/Table9[[#This Row],[Hybrid]]</f>
        <v>1.0447855533356458</v>
      </c>
      <c r="O56" s="4">
        <f>Table9[[#This Row],[Octane]]/Table9[[#This Row],[Dominus]]</f>
        <v>1.0542472768105522</v>
      </c>
      <c r="P56" s="4">
        <f>Table9[[#This Row],[Octane]]/Table9[[#This Row],[Plank]]</f>
        <v>1.0971607276070465</v>
      </c>
      <c r="Q56" s="4">
        <f>Table9[[#This Row],[Octane]]/Table9[[#This Row],[Batmobile]]</f>
        <v>1.098147288109111</v>
      </c>
      <c r="R56" s="4">
        <f>Table9[[#This Row],[Octane]]/Table9[[#This Row],[Breakout]]</f>
        <v>1.0912280696732355</v>
      </c>
    </row>
    <row r="57" spans="1:30">
      <c r="A57" s="1">
        <f>Octane[[#This Row],[Degrees turned]]</f>
        <v>1.1497670192807625</v>
      </c>
      <c r="B57" s="1">
        <f>Hybrid[[#This Row],[Degrees turned]]</f>
        <v>1.103032221681854</v>
      </c>
      <c r="C57" s="1">
        <f>Dominus[[#This Row],[Degrees turned]]</f>
        <v>1.0940085592180182</v>
      </c>
      <c r="D57" s="1">
        <f>Plank[[#This Row],[Degrees turned]]</f>
        <v>1.0535797857731808</v>
      </c>
      <c r="E57" s="1">
        <f>Batmobile[[#This Row],[Degrees turned]]</f>
        <v>1.0521523858780704</v>
      </c>
      <c r="F57" s="1">
        <f>Breakout[[#This Row],[Degrees turned]]</f>
        <v>1.0579204708114105</v>
      </c>
      <c r="H57" s="1">
        <v>0</v>
      </c>
      <c r="I57" s="3">
        <f>Table9[[#This Row],[Hybrid]]-Table9[[#This Row],[Octane]]</f>
        <v>-4.6734797598908528E-2</v>
      </c>
      <c r="J57" s="3">
        <f>Table9[[#This Row],[Dominus]]-Table9[[#This Row],[Octane]]</f>
        <v>-5.5758460062744319E-2</v>
      </c>
      <c r="K57" s="3">
        <f>Table9[[#This Row],[Plank]]-Table9[[#This Row],[Octane]]</f>
        <v>-9.6187233507581738E-2</v>
      </c>
      <c r="L57" s="3">
        <f>Table9[[#This Row],[Batmobile]]-Table9[[#This Row],[Octane]]</f>
        <v>-9.7614633402692164E-2</v>
      </c>
      <c r="M57" s="3">
        <f>Table9[[#This Row],[Breakout]]-Table9[[#This Row],[Octane]]</f>
        <v>-9.184654846935203E-2</v>
      </c>
      <c r="N57" s="4">
        <f>Table9[[#This Row],[Octane]]/Table9[[#This Row],[Hybrid]]</f>
        <v>1.0423693856627774</v>
      </c>
      <c r="O57" s="4">
        <f>Table9[[#This Row],[Octane]]/Table9[[#This Row],[Dominus]]</f>
        <v>1.0509671150128841</v>
      </c>
      <c r="P57" s="4">
        <f>Table9[[#This Row],[Octane]]/Table9[[#This Row],[Plank]]</f>
        <v>1.0912956330469019</v>
      </c>
      <c r="Q57" s="4">
        <f>Table9[[#This Row],[Octane]]/Table9[[#This Row],[Batmobile]]</f>
        <v>1.0927761365300979</v>
      </c>
      <c r="R57" s="4">
        <f>Table9[[#This Row],[Octane]]/Table9[[#This Row],[Breakout]]</f>
        <v>1.0868180085398167</v>
      </c>
    </row>
    <row r="58" spans="1:30">
      <c r="A58" s="1">
        <f>Octane[[#This Row],[Degrees turned]]</f>
        <v>1.6384587285021297</v>
      </c>
      <c r="B58" s="1">
        <f>Hybrid[[#This Row],[Degrees turned]]</f>
        <v>1.5755010632589155</v>
      </c>
      <c r="C58" s="1">
        <f>Dominus[[#This Row],[Degrees turned]]</f>
        <v>1.5629682503483373</v>
      </c>
      <c r="D58" s="1">
        <f>Plank[[#This Row],[Degrees turned]]</f>
        <v>1.5076999999290202</v>
      </c>
      <c r="E58" s="1">
        <f>Batmobile[[#This Row],[Degrees turned]]</f>
        <v>1.5057187007047439</v>
      </c>
      <c r="F58" s="1">
        <f>Breakout[[#This Row],[Degrees turned]]</f>
        <v>1.5120779972432565</v>
      </c>
      <c r="H58" s="1">
        <v>0</v>
      </c>
      <c r="I58" s="3">
        <f>Table9[[#This Row],[Hybrid]]-Table9[[#This Row],[Octane]]</f>
        <v>-6.2957665243214223E-2</v>
      </c>
      <c r="J58" s="3">
        <f>Table9[[#This Row],[Dominus]]-Table9[[#This Row],[Octane]]</f>
        <v>-7.5490478153792395E-2</v>
      </c>
      <c r="K58" s="3">
        <f>Table9[[#This Row],[Plank]]-Table9[[#This Row],[Octane]]</f>
        <v>-0.13075872857310955</v>
      </c>
      <c r="L58" s="3">
        <f>Table9[[#This Row],[Batmobile]]-Table9[[#This Row],[Octane]]</f>
        <v>-0.13274002779738581</v>
      </c>
      <c r="M58" s="3">
        <f>Table9[[#This Row],[Breakout]]-Table9[[#This Row],[Octane]]</f>
        <v>-0.12638073125887317</v>
      </c>
      <c r="N58" s="4">
        <f>Table9[[#This Row],[Octane]]/Table9[[#This Row],[Hybrid]]</f>
        <v>1.0399604079688696</v>
      </c>
      <c r="O58" s="4">
        <f>Table9[[#This Row],[Octane]]/Table9[[#This Row],[Dominus]]</f>
        <v>1.0482994316339873</v>
      </c>
      <c r="P58" s="4">
        <f>Table9[[#This Row],[Octane]]/Table9[[#This Row],[Plank]]</f>
        <v>1.0867272856531573</v>
      </c>
      <c r="Q58" s="4">
        <f>Table9[[#This Row],[Octane]]/Table9[[#This Row],[Batmobile]]</f>
        <v>1.0881572552265291</v>
      </c>
      <c r="R58" s="4">
        <f>Table9[[#This Row],[Octane]]/Table9[[#This Row],[Breakout]]</f>
        <v>1.0835808281644757</v>
      </c>
    </row>
    <row r="59" spans="1:30">
      <c r="A59" s="1">
        <f>Octane[[#This Row],[Degrees turned]]</f>
        <v>2.1835164453082569</v>
      </c>
      <c r="B59" s="1">
        <f>Hybrid[[#This Row],[Degrees turned]]</f>
        <v>2.1045520540731353</v>
      </c>
      <c r="C59" s="1">
        <f>Dominus[[#This Row],[Degrees turned]]</f>
        <v>2.0893072740837972</v>
      </c>
      <c r="D59" s="1">
        <f>Plank[[#This Row],[Degrees turned]]</f>
        <v>2.0186651963761015</v>
      </c>
      <c r="E59" s="1">
        <f>Batmobile[[#This Row],[Degrees turned]]</f>
        <v>2.0152384630737821</v>
      </c>
      <c r="F59" s="1">
        <f>Breakout[[#This Row],[Degrees turned]]</f>
        <v>2.0223907463921442</v>
      </c>
      <c r="H59" s="1">
        <v>0</v>
      </c>
      <c r="I59" s="3">
        <f>Table9[[#This Row],[Hybrid]]-Table9[[#This Row],[Octane]]</f>
        <v>-7.8964391235121667E-2</v>
      </c>
      <c r="J59" s="3">
        <f>Table9[[#This Row],[Dominus]]-Table9[[#This Row],[Octane]]</f>
        <v>-9.4209171224459709E-2</v>
      </c>
      <c r="K59" s="3">
        <f>Table9[[#This Row],[Plank]]-Table9[[#This Row],[Octane]]</f>
        <v>-0.16485124893215541</v>
      </c>
      <c r="L59" s="3">
        <f>Table9[[#This Row],[Batmobile]]-Table9[[#This Row],[Octane]]</f>
        <v>-0.16827798223447488</v>
      </c>
      <c r="M59" s="3">
        <f>Table9[[#This Row],[Breakout]]-Table9[[#This Row],[Octane]]</f>
        <v>-0.16112569891611273</v>
      </c>
      <c r="N59" s="4">
        <f>Table9[[#This Row],[Octane]]/Table9[[#This Row],[Hybrid]]</f>
        <v>1.0375207593854923</v>
      </c>
      <c r="O59" s="4">
        <f>Table9[[#This Row],[Octane]]/Table9[[#This Row],[Dominus]]</f>
        <v>1.0450911038280726</v>
      </c>
      <c r="P59" s="4">
        <f>Table9[[#This Row],[Octane]]/Table9[[#This Row],[Plank]]</f>
        <v>1.0816634919094537</v>
      </c>
      <c r="Q59" s="4">
        <f>Table9[[#This Row],[Octane]]/Table9[[#This Row],[Batmobile]]</f>
        <v>1.0835027642226547</v>
      </c>
      <c r="R59" s="4">
        <f>Table9[[#This Row],[Octane]]/Table9[[#This Row],[Breakout]]</f>
        <v>1.0796709039554071</v>
      </c>
    </row>
    <row r="60" spans="1:30">
      <c r="A60" s="1">
        <f>Octane[[#This Row],[Degrees turned]]</f>
        <v>2.7777079304064216</v>
      </c>
      <c r="B60" s="1">
        <f>Hybrid[[#This Row],[Degrees turned]]</f>
        <v>2.6827695645234435</v>
      </c>
      <c r="C60" s="1">
        <f>Dominus[[#This Row],[Degrees turned]]</f>
        <v>2.6648625292867187</v>
      </c>
      <c r="D60" s="1">
        <f>Plank[[#This Row],[Degrees turned]]</f>
        <v>2.5782875934603773</v>
      </c>
      <c r="E60" s="1">
        <f>Batmobile[[#This Row],[Degrees turned]]</f>
        <v>2.5734588381199295</v>
      </c>
      <c r="F60" s="1">
        <f>Breakout[[#This Row],[Degrees turned]]</f>
        <v>2.5812122292330919</v>
      </c>
      <c r="H60" s="1">
        <v>0</v>
      </c>
      <c r="I60" s="3">
        <f>Table9[[#This Row],[Hybrid]]-Table9[[#This Row],[Octane]]</f>
        <v>-9.4938365882978104E-2</v>
      </c>
      <c r="J60" s="3">
        <f>Table9[[#This Row],[Dominus]]-Table9[[#This Row],[Octane]]</f>
        <v>-0.11284540111970287</v>
      </c>
      <c r="K60" s="3">
        <f>Table9[[#This Row],[Plank]]-Table9[[#This Row],[Octane]]</f>
        <v>-0.19942033694604433</v>
      </c>
      <c r="L60" s="3">
        <f>Table9[[#This Row],[Batmobile]]-Table9[[#This Row],[Octane]]</f>
        <v>-0.20424909228649213</v>
      </c>
      <c r="M60" s="3">
        <f>Table9[[#This Row],[Breakout]]-Table9[[#This Row],[Octane]]</f>
        <v>-0.19649570117332971</v>
      </c>
      <c r="N60" s="4">
        <f>Table9[[#This Row],[Octane]]/Table9[[#This Row],[Hybrid]]</f>
        <v>1.0353881925374544</v>
      </c>
      <c r="O60" s="4">
        <f>Table9[[#This Row],[Octane]]/Table9[[#This Row],[Dominus]]</f>
        <v>1.0423456744501967</v>
      </c>
      <c r="P60" s="4">
        <f>Table9[[#This Row],[Octane]]/Table9[[#This Row],[Plank]]</f>
        <v>1.0773460406247379</v>
      </c>
      <c r="Q60" s="4">
        <f>Table9[[#This Row],[Octane]]/Table9[[#This Row],[Batmobile]]</f>
        <v>1.0793675380623957</v>
      </c>
      <c r="R60" s="4">
        <f>Table9[[#This Row],[Octane]]/Table9[[#This Row],[Breakout]]</f>
        <v>1.0761253565080586</v>
      </c>
      <c r="AC60">
        <v>3</v>
      </c>
      <c r="AD60" t="s">
        <v>44</v>
      </c>
    </row>
    <row r="61" spans="1:30">
      <c r="A61" s="1">
        <f>Octane[[#This Row],[Degrees turned]]</f>
        <v>3.4136509448771193</v>
      </c>
      <c r="B61" s="1">
        <f>Hybrid[[#This Row],[Degrees turned]]</f>
        <v>3.30359763363683</v>
      </c>
      <c r="C61" s="1">
        <f>Dominus[[#This Row],[Degrees turned]]</f>
        <v>3.2829960743114377</v>
      </c>
      <c r="D61" s="1">
        <f>Plank[[#This Row],[Degrees turned]]</f>
        <v>3.1812176919965616</v>
      </c>
      <c r="E61" s="1">
        <f>Batmobile[[#This Row],[Degrees turned]]</f>
        <v>3.173608129295399</v>
      </c>
      <c r="F61" s="1">
        <f>Breakout[[#This Row],[Degrees turned]]</f>
        <v>3.182860095098345</v>
      </c>
      <c r="H61" s="1">
        <v>0</v>
      </c>
      <c r="I61" s="3">
        <f>Table9[[#This Row],[Hybrid]]-Table9[[#This Row],[Octane]]</f>
        <v>-0.11005331124028928</v>
      </c>
      <c r="J61" s="3">
        <f>Table9[[#This Row],[Dominus]]-Table9[[#This Row],[Octane]]</f>
        <v>-0.13065487056568159</v>
      </c>
      <c r="K61" s="3">
        <f>Table9[[#This Row],[Plank]]-Table9[[#This Row],[Octane]]</f>
        <v>-0.23243325288055772</v>
      </c>
      <c r="L61" s="3">
        <f>Table9[[#This Row],[Batmobile]]-Table9[[#This Row],[Octane]]</f>
        <v>-0.24004281558172025</v>
      </c>
      <c r="M61" s="3">
        <f>Table9[[#This Row],[Breakout]]-Table9[[#This Row],[Octane]]</f>
        <v>-0.23079084977877429</v>
      </c>
      <c r="N61" s="4">
        <f>Table9[[#This Row],[Octane]]/Table9[[#This Row],[Hybrid]]</f>
        <v>1.0333131705022851</v>
      </c>
      <c r="O61" s="4">
        <f>Table9[[#This Row],[Octane]]/Table9[[#This Row],[Dominus]]</f>
        <v>1.0397974495272841</v>
      </c>
      <c r="P61" s="4">
        <f>Table9[[#This Row],[Octane]]/Table9[[#This Row],[Plank]]</f>
        <v>1.0730642399812258</v>
      </c>
      <c r="Q61" s="4">
        <f>Table9[[#This Row],[Octane]]/Table9[[#This Row],[Batmobile]]</f>
        <v>1.0756371945754419</v>
      </c>
      <c r="R61" s="4">
        <f>Table9[[#This Row],[Octane]]/Table9[[#This Row],[Breakout]]</f>
        <v>1.0725105228892078</v>
      </c>
      <c r="AC61">
        <v>17</v>
      </c>
      <c r="AD61" t="s">
        <v>45</v>
      </c>
    </row>
    <row r="62" spans="1:30">
      <c r="A62" s="1">
        <f>Octane[[#This Row],[Degrees turned]]</f>
        <v>4.085259511401695</v>
      </c>
      <c r="B62" s="1">
        <f>Hybrid[[#This Row],[Degrees turned]]</f>
        <v>3.9617305983859374</v>
      </c>
      <c r="C62" s="1">
        <f>Dominus[[#This Row],[Degrees turned]]</f>
        <v>3.9390200397908508</v>
      </c>
      <c r="D62" s="1">
        <f>Plank[[#This Row],[Degrees turned]]</f>
        <v>3.8215259776261199</v>
      </c>
      <c r="E62" s="1">
        <f>Batmobile[[#This Row],[Degrees turned]]</f>
        <v>3.8111074269481584</v>
      </c>
      <c r="F62" s="1">
        <f>Breakout[[#This Row],[Degrees turned]]</f>
        <v>3.8209708758254202</v>
      </c>
      <c r="H62" s="1">
        <v>0</v>
      </c>
      <c r="I62" s="3">
        <f>Table9[[#This Row],[Hybrid]]-Table9[[#This Row],[Octane]]</f>
        <v>-0.12352891301575752</v>
      </c>
      <c r="J62" s="3">
        <f>Table9[[#This Row],[Dominus]]-Table9[[#This Row],[Octane]]</f>
        <v>-0.14623947161084416</v>
      </c>
      <c r="K62" s="3">
        <f>Table9[[#This Row],[Plank]]-Table9[[#This Row],[Octane]]</f>
        <v>-0.26373353377557507</v>
      </c>
      <c r="L62" s="3">
        <f>Table9[[#This Row],[Batmobile]]-Table9[[#This Row],[Octane]]</f>
        <v>-0.27415208445353656</v>
      </c>
      <c r="M62" s="3">
        <f>Table9[[#This Row],[Breakout]]-Table9[[#This Row],[Octane]]</f>
        <v>-0.2642886355762748</v>
      </c>
      <c r="N62" s="4">
        <f>Table9[[#This Row],[Octane]]/Table9[[#This Row],[Hybrid]]</f>
        <v>1.0311805434387904</v>
      </c>
      <c r="O62" s="4">
        <f>Table9[[#This Row],[Octane]]/Table9[[#This Row],[Dominus]]</f>
        <v>1.0371258511339305</v>
      </c>
      <c r="P62" s="4">
        <f>Table9[[#This Row],[Octane]]/Table9[[#This Row],[Plank]]</f>
        <v>1.06901262357489</v>
      </c>
      <c r="Q62" s="4">
        <f>Table9[[#This Row],[Octane]]/Table9[[#This Row],[Batmobile]]</f>
        <v>1.0719350188123851</v>
      </c>
      <c r="R62" s="4">
        <f>Table9[[#This Row],[Octane]]/Table9[[#This Row],[Breakout]]</f>
        <v>1.0691679272533534</v>
      </c>
    </row>
    <row r="63" spans="1:30">
      <c r="A63" s="1">
        <f>Octane[[#This Row],[Degrees turned]]</f>
        <v>4.7884008911563356</v>
      </c>
      <c r="B63" s="1">
        <f>Hybrid[[#This Row],[Degrees turned]]</f>
        <v>4.652695687375445</v>
      </c>
      <c r="C63" s="1">
        <f>Dominus[[#This Row],[Degrees turned]]</f>
        <v>4.6272255123465591</v>
      </c>
      <c r="D63" s="1">
        <f>Plank[[#This Row],[Degrees turned]]</f>
        <v>4.4946782455725689</v>
      </c>
      <c r="E63" s="1">
        <f>Batmobile[[#This Row],[Degrees turned]]</f>
        <v>4.4808560095580212</v>
      </c>
      <c r="F63" s="1">
        <f>Breakout[[#This Row],[Degrees turned]]</f>
        <v>4.4922326134225905</v>
      </c>
      <c r="H63" s="1">
        <v>0</v>
      </c>
      <c r="I63" s="3">
        <f>Table9[[#This Row],[Hybrid]]-Table9[[#This Row],[Octane]]</f>
        <v>-0.13570520378089057</v>
      </c>
      <c r="J63" s="3">
        <f>Table9[[#This Row],[Dominus]]-Table9[[#This Row],[Octane]]</f>
        <v>-0.1611753788097765</v>
      </c>
      <c r="K63" s="3">
        <f>Table9[[#This Row],[Plank]]-Table9[[#This Row],[Octane]]</f>
        <v>-0.29372264558376671</v>
      </c>
      <c r="L63" s="3">
        <f>Table9[[#This Row],[Batmobile]]-Table9[[#This Row],[Octane]]</f>
        <v>-0.30754488159831439</v>
      </c>
      <c r="M63" s="3">
        <f>Table9[[#This Row],[Breakout]]-Table9[[#This Row],[Octane]]</f>
        <v>-0.2961682777337451</v>
      </c>
      <c r="N63" s="4">
        <f>Table9[[#This Row],[Octane]]/Table9[[#This Row],[Hybrid]]</f>
        <v>1.0291670061614198</v>
      </c>
      <c r="O63" s="4">
        <f>Table9[[#This Row],[Octane]]/Table9[[#This Row],[Dominus]]</f>
        <v>1.0348319696932258</v>
      </c>
      <c r="P63" s="4">
        <f>Table9[[#This Row],[Octane]]/Table9[[#This Row],[Plank]]</f>
        <v>1.0653489815145489</v>
      </c>
      <c r="Q63" s="4">
        <f>Table9[[#This Row],[Octane]]/Table9[[#This Row],[Batmobile]]</f>
        <v>1.0686352966804327</v>
      </c>
      <c r="R63" s="4">
        <f>Table9[[#This Row],[Octane]]/Table9[[#This Row],[Breakout]]</f>
        <v>1.0659289718989189</v>
      </c>
    </row>
    <row r="64" spans="1:30">
      <c r="A64" s="1">
        <f>Octane[[#This Row],[Degrees turned]]</f>
        <v>5.5182041264505912</v>
      </c>
      <c r="B64" s="1">
        <f>Hybrid[[#This Row],[Degrees turned]]</f>
        <v>5.3719110471352458</v>
      </c>
      <c r="C64" s="1">
        <f>Dominus[[#This Row],[Degrees turned]]</f>
        <v>5.3445475377551297</v>
      </c>
      <c r="D64" s="1">
        <f>Plank[[#This Row],[Degrees turned]]</f>
        <v>5.1970396022380889</v>
      </c>
      <c r="E64" s="1">
        <f>Batmobile[[#This Row],[Degrees turned]]</f>
        <v>5.1792062947463329</v>
      </c>
      <c r="F64" s="1">
        <f>Breakout[[#This Row],[Degrees turned]]</f>
        <v>5.191847510395359</v>
      </c>
      <c r="H64" s="1">
        <v>0</v>
      </c>
      <c r="I64" s="3">
        <f>Table9[[#This Row],[Hybrid]]-Table9[[#This Row],[Octane]]</f>
        <v>-0.14629307931534541</v>
      </c>
      <c r="J64" s="3">
        <f>Table9[[#This Row],[Dominus]]-Table9[[#This Row],[Octane]]</f>
        <v>-0.17365658869546152</v>
      </c>
      <c r="K64" s="3">
        <f>Table9[[#This Row],[Plank]]-Table9[[#This Row],[Octane]]</f>
        <v>-0.3211645242125023</v>
      </c>
      <c r="L64" s="3">
        <f>Table9[[#This Row],[Batmobile]]-Table9[[#This Row],[Octane]]</f>
        <v>-0.33899783170425835</v>
      </c>
      <c r="M64" s="3">
        <f>Table9[[#This Row],[Breakout]]-Table9[[#This Row],[Octane]]</f>
        <v>-0.32635661605523225</v>
      </c>
      <c r="N64" s="4">
        <f>Table9[[#This Row],[Octane]]/Table9[[#This Row],[Hybrid]]</f>
        <v>1.0272329675662373</v>
      </c>
      <c r="O64" s="4">
        <f>Table9[[#This Row],[Octane]]/Table9[[#This Row],[Dominus]]</f>
        <v>1.0324922900336673</v>
      </c>
      <c r="P64" s="4">
        <f>Table9[[#This Row],[Octane]]/Table9[[#This Row],[Plank]]</f>
        <v>1.0617975903193413</v>
      </c>
      <c r="Q64" s="4">
        <f>Table9[[#This Row],[Octane]]/Table9[[#This Row],[Batmobile]]</f>
        <v>1.0654536259828324</v>
      </c>
      <c r="R64" s="4">
        <f>Table9[[#This Row],[Octane]]/Table9[[#This Row],[Breakout]]</f>
        <v>1.0628594378786715</v>
      </c>
    </row>
    <row r="65" spans="1:30">
      <c r="A65" s="1">
        <f>Octane[[#This Row],[Degrees turned]]</f>
        <v>6.2720785117346765</v>
      </c>
      <c r="B65" s="1">
        <f>Hybrid[[#This Row],[Degrees turned]]</f>
        <v>6.1157693127476058</v>
      </c>
      <c r="C65" s="1">
        <f>Dominus[[#This Row],[Degrees turned]]</f>
        <v>6.0871882761186704</v>
      </c>
      <c r="D65" s="1">
        <f>Plank[[#This Row],[Degrees turned]]</f>
        <v>5.9250064500381932</v>
      </c>
      <c r="E65" s="1">
        <f>Batmobile[[#This Row],[Degrees turned]]</f>
        <v>5.9029226626296101</v>
      </c>
      <c r="F65" s="1">
        <f>Breakout[[#This Row],[Degrees turned]]</f>
        <v>5.9169750175765152</v>
      </c>
      <c r="H65" s="1">
        <v>0</v>
      </c>
      <c r="I65" s="3">
        <f>Table9[[#This Row],[Hybrid]]-Table9[[#This Row],[Octane]]</f>
        <v>-0.15630919898707063</v>
      </c>
      <c r="J65" s="3">
        <f>Table9[[#This Row],[Dominus]]-Table9[[#This Row],[Octane]]</f>
        <v>-0.18489023561600604</v>
      </c>
      <c r="K65" s="3">
        <f>Table9[[#This Row],[Plank]]-Table9[[#This Row],[Octane]]</f>
        <v>-0.3470720616964833</v>
      </c>
      <c r="L65" s="3">
        <f>Table9[[#This Row],[Batmobile]]-Table9[[#This Row],[Octane]]</f>
        <v>-0.36915584910506638</v>
      </c>
      <c r="M65" s="3">
        <f>Table9[[#This Row],[Breakout]]-Table9[[#This Row],[Octane]]</f>
        <v>-0.35510349415816123</v>
      </c>
      <c r="N65" s="4">
        <f>Table9[[#This Row],[Octane]]/Table9[[#This Row],[Hybrid]]</f>
        <v>1.0255583870145759</v>
      </c>
      <c r="O65" s="4">
        <f>Table9[[#This Row],[Octane]]/Table9[[#This Row],[Dominus]]</f>
        <v>1.0303736679776063</v>
      </c>
      <c r="P65" s="4">
        <f>Table9[[#This Row],[Octane]]/Table9[[#This Row],[Plank]]</f>
        <v>1.0585774993872363</v>
      </c>
      <c r="Q65" s="4">
        <f>Table9[[#This Row],[Octane]]/Table9[[#This Row],[Batmobile]]</f>
        <v>1.0625378088454605</v>
      </c>
      <c r="R65" s="4">
        <f>Table9[[#This Row],[Octane]]/Table9[[#This Row],[Breakout]]</f>
        <v>1.0600143642829853</v>
      </c>
    </row>
    <row r="66" spans="1:30">
      <c r="A66" s="1">
        <f>Octane[[#This Row],[Degrees turned]]</f>
        <v>7.046146925779837</v>
      </c>
      <c r="B66" s="1">
        <f>Hybrid[[#This Row],[Degrees turned]]</f>
        <v>6.8821458406420142</v>
      </c>
      <c r="C66" s="1">
        <f>Dominus[[#This Row],[Degrees turned]]</f>
        <v>6.852195406883002</v>
      </c>
      <c r="D66" s="1">
        <f>Plank[[#This Row],[Degrees turned]]</f>
        <v>6.6761311435852768</v>
      </c>
      <c r="E66" s="1">
        <f>Batmobile[[#This Row],[Degrees turned]]</f>
        <v>6.6493093244930712</v>
      </c>
      <c r="F66" s="1">
        <f>Breakout[[#This Row],[Degrees turned]]</f>
        <v>6.6653613366275088</v>
      </c>
      <c r="H66" s="1">
        <v>0</v>
      </c>
      <c r="I66" s="3">
        <f>Table9[[#This Row],[Hybrid]]-Table9[[#This Row],[Octane]]</f>
        <v>-0.16400108513782286</v>
      </c>
      <c r="J66" s="3">
        <f>Table9[[#This Row],[Dominus]]-Table9[[#This Row],[Octane]]</f>
        <v>-0.19395151889683504</v>
      </c>
      <c r="K66" s="3">
        <f>Table9[[#This Row],[Plank]]-Table9[[#This Row],[Octane]]</f>
        <v>-0.37001578219456022</v>
      </c>
      <c r="L66" s="3">
        <f>Table9[[#This Row],[Batmobile]]-Table9[[#This Row],[Octane]]</f>
        <v>-0.39683760128676582</v>
      </c>
      <c r="M66" s="3">
        <f>Table9[[#This Row],[Breakout]]-Table9[[#This Row],[Octane]]</f>
        <v>-0.38078558915232819</v>
      </c>
      <c r="N66" s="4">
        <f>Table9[[#This Row],[Octane]]/Table9[[#This Row],[Hybrid]]</f>
        <v>1.0238299345778648</v>
      </c>
      <c r="O66" s="4">
        <f>Table9[[#This Row],[Octane]]/Table9[[#This Row],[Dominus]]</f>
        <v>1.0283050186662819</v>
      </c>
      <c r="P66" s="4">
        <f>Table9[[#This Row],[Octane]]/Table9[[#This Row],[Plank]]</f>
        <v>1.0554236839026279</v>
      </c>
      <c r="Q66" s="4">
        <f>Table9[[#This Row],[Octane]]/Table9[[#This Row],[Batmobile]]</f>
        <v>1.0596810257909035</v>
      </c>
      <c r="R66" s="4">
        <f>Table9[[#This Row],[Octane]]/Table9[[#This Row],[Breakout]]</f>
        <v>1.0571290242075602</v>
      </c>
    </row>
    <row r="67" spans="1:30">
      <c r="A67" s="1">
        <f>Octane[[#This Row],[Degrees turned]]</f>
        <v>7.8381728558076631</v>
      </c>
      <c r="B67" s="1">
        <f>Hybrid[[#This Row],[Degrees turned]]</f>
        <v>7.6678602548328421</v>
      </c>
      <c r="C67" s="1">
        <f>Dominus[[#This Row],[Degrees turned]]</f>
        <v>7.6374303428862298</v>
      </c>
      <c r="D67" s="1">
        <f>Plank[[#This Row],[Degrees turned]]</f>
        <v>7.4473726525223363</v>
      </c>
      <c r="E67" s="1">
        <f>Batmobile[[#This Row],[Degrees turned]]</f>
        <v>7.4152371710006442</v>
      </c>
      <c r="F67" s="1">
        <f>Breakout[[#This Row],[Degrees turned]]</f>
        <v>7.4340324740896158</v>
      </c>
      <c r="H67" s="1">
        <v>0</v>
      </c>
      <c r="I67" s="3">
        <f>Table9[[#This Row],[Hybrid]]-Table9[[#This Row],[Octane]]</f>
        <v>-0.17031260097482104</v>
      </c>
      <c r="J67" s="3">
        <f>Table9[[#This Row],[Dominus]]-Table9[[#This Row],[Octane]]</f>
        <v>-0.2007425129214333</v>
      </c>
      <c r="K67" s="3">
        <f>Table9[[#This Row],[Plank]]-Table9[[#This Row],[Octane]]</f>
        <v>-0.39080020328532683</v>
      </c>
      <c r="L67" s="3">
        <f>Table9[[#This Row],[Batmobile]]-Table9[[#This Row],[Octane]]</f>
        <v>-0.42293568480701893</v>
      </c>
      <c r="M67" s="3">
        <f>Table9[[#This Row],[Breakout]]-Table9[[#This Row],[Octane]]</f>
        <v>-0.40414038171804734</v>
      </c>
      <c r="N67" s="4">
        <f>Table9[[#This Row],[Octane]]/Table9[[#This Row],[Hybrid]]</f>
        <v>1.0222112291192942</v>
      </c>
      <c r="O67" s="4">
        <f>Table9[[#This Row],[Octane]]/Table9[[#This Row],[Dominus]]</f>
        <v>1.0262840384669971</v>
      </c>
      <c r="P67" s="4">
        <f>Table9[[#This Row],[Octane]]/Table9[[#This Row],[Plank]]</f>
        <v>1.0524749091416781</v>
      </c>
      <c r="Q67" s="4">
        <f>Table9[[#This Row],[Octane]]/Table9[[#This Row],[Batmobile]]</f>
        <v>1.0570360293344394</v>
      </c>
      <c r="R67" s="4">
        <f>Table9[[#This Row],[Octane]]/Table9[[#This Row],[Breakout]]</f>
        <v>1.0543635480644762</v>
      </c>
    </row>
    <row r="68" spans="1:30">
      <c r="A68" s="1">
        <f>Octane[[#This Row],[Degrees turned]]</f>
        <v>8.6460671160093838</v>
      </c>
      <c r="B68" s="1">
        <f>Hybrid[[#This Row],[Degrees turned]]</f>
        <v>8.4708459872254345</v>
      </c>
      <c r="C68" s="1">
        <f>Dominus[[#This Row],[Degrees turned]]</f>
        <v>8.4405115934093153</v>
      </c>
      <c r="D68" s="1">
        <f>Plank[[#This Row],[Degrees turned]]</f>
        <v>8.23673795562134</v>
      </c>
      <c r="E68" s="1">
        <f>Batmobile[[#This Row],[Degrees turned]]</f>
        <v>8.1992294621570743</v>
      </c>
      <c r="F68" s="1">
        <f>Breakout[[#This Row],[Degrees turned]]</f>
        <v>8.2207335120396543</v>
      </c>
      <c r="H68" s="1">
        <v>0</v>
      </c>
      <c r="I68" s="3">
        <f>Table9[[#This Row],[Hybrid]]-Table9[[#This Row],[Octane]]</f>
        <v>-0.17522112878394935</v>
      </c>
      <c r="J68" s="3">
        <f>Table9[[#This Row],[Dominus]]-Table9[[#This Row],[Octane]]</f>
        <v>-0.20555552260006849</v>
      </c>
      <c r="K68" s="3">
        <f>Table9[[#This Row],[Plank]]-Table9[[#This Row],[Octane]]</f>
        <v>-0.40932916038804379</v>
      </c>
      <c r="L68" s="3">
        <f>Table9[[#This Row],[Batmobile]]-Table9[[#This Row],[Octane]]</f>
        <v>-0.44683765385230956</v>
      </c>
      <c r="M68" s="3">
        <f>Table9[[#This Row],[Breakout]]-Table9[[#This Row],[Octane]]</f>
        <v>-0.42533360396972952</v>
      </c>
      <c r="N68" s="4">
        <f>Table9[[#This Row],[Octane]]/Table9[[#This Row],[Hybrid]]</f>
        <v>1.0206851982727809</v>
      </c>
      <c r="O68" s="4">
        <f>Table9[[#This Row],[Octane]]/Table9[[#This Row],[Dominus]]</f>
        <v>1.0243534435472579</v>
      </c>
      <c r="P68" s="4">
        <f>Table9[[#This Row],[Octane]]/Table9[[#This Row],[Plank]]</f>
        <v>1.0496955424093208</v>
      </c>
      <c r="Q68" s="4">
        <f>Table9[[#This Row],[Octane]]/Table9[[#This Row],[Batmobile]]</f>
        <v>1.0544975178356277</v>
      </c>
      <c r="R68" s="4">
        <f>Table9[[#This Row],[Octane]]/Table9[[#This Row],[Breakout]]</f>
        <v>1.051739130498125</v>
      </c>
      <c r="AA68" s="5">
        <v>10</v>
      </c>
      <c r="AB68">
        <v>15</v>
      </c>
      <c r="AD68">
        <f t="shared" ref="AD68:AD74" si="0">AVERAGE(AA68:AB68)</f>
        <v>12.5</v>
      </c>
    </row>
    <row r="69" spans="1:30">
      <c r="A69" s="1">
        <f>Octane[[#This Row],[Degrees turned]]</f>
        <v>9.4683684559697525</v>
      </c>
      <c r="B69" s="1">
        <f>Hybrid[[#This Row],[Degrees turned]]</f>
        <v>9.2895964473646195</v>
      </c>
      <c r="C69" s="1">
        <f>Dominus[[#This Row],[Degrees turned]]</f>
        <v>9.2593542102072952</v>
      </c>
      <c r="D69" s="1">
        <f>Plank[[#This Row],[Degrees turned]]</f>
        <v>9.0426610380774868</v>
      </c>
      <c r="E69" s="1">
        <f>Batmobile[[#This Row],[Degrees turned]]</f>
        <v>8.9990619786281449</v>
      </c>
      <c r="F69" s="1">
        <f>Breakout[[#This Row],[Degrees turned]]</f>
        <v>9.0240200895373484</v>
      </c>
      <c r="H69" s="1">
        <v>0</v>
      </c>
      <c r="I69" s="3">
        <f>Table9[[#This Row],[Hybrid]]-Table9[[#This Row],[Octane]]</f>
        <v>-0.17877200860513298</v>
      </c>
      <c r="J69" s="3">
        <f>Table9[[#This Row],[Dominus]]-Table9[[#This Row],[Octane]]</f>
        <v>-0.20901424576245731</v>
      </c>
      <c r="K69" s="3">
        <f>Table9[[#This Row],[Plank]]-Table9[[#This Row],[Octane]]</f>
        <v>-0.42570741789226574</v>
      </c>
      <c r="L69" s="3">
        <f>Table9[[#This Row],[Batmobile]]-Table9[[#This Row],[Octane]]</f>
        <v>-0.46930647734160758</v>
      </c>
      <c r="M69" s="3">
        <f>Table9[[#This Row],[Breakout]]-Table9[[#This Row],[Octane]]</f>
        <v>-0.44434836643240416</v>
      </c>
      <c r="N69" s="4">
        <f>Table9[[#This Row],[Octane]]/Table9[[#This Row],[Hybrid]]</f>
        <v>1.0192443245105496</v>
      </c>
      <c r="O69" s="4">
        <f>Table9[[#This Row],[Octane]]/Table9[[#This Row],[Dominus]]</f>
        <v>1.0225733070597995</v>
      </c>
      <c r="P69" s="4">
        <f>Table9[[#This Row],[Octane]]/Table9[[#This Row],[Plank]]</f>
        <v>1.0470776706214759</v>
      </c>
      <c r="Q69" s="4">
        <f>Table9[[#This Row],[Octane]]/Table9[[#This Row],[Batmobile]]</f>
        <v>1.0521505995242797</v>
      </c>
      <c r="R69" s="4">
        <f>Table9[[#This Row],[Octane]]/Table9[[#This Row],[Breakout]]</f>
        <v>1.049240622474632</v>
      </c>
      <c r="AA69">
        <v>14</v>
      </c>
      <c r="AB69">
        <v>19</v>
      </c>
      <c r="AD69">
        <f t="shared" si="0"/>
        <v>16.5</v>
      </c>
    </row>
    <row r="70" spans="1:30">
      <c r="A70" s="1">
        <f>Octane[[#This Row],[Degrees turned]]</f>
        <v>10.302792788743105</v>
      </c>
      <c r="B70" s="1">
        <f>Hybrid[[#This Row],[Degrees turned]]</f>
        <v>10.122707156237073</v>
      </c>
      <c r="C70" s="1">
        <f>Dominus[[#This Row],[Degrees turned]]</f>
        <v>10.093217808237153</v>
      </c>
      <c r="D70" s="1">
        <f>Plank[[#This Row],[Degrees turned]]</f>
        <v>9.8636799286531307</v>
      </c>
      <c r="E70" s="1">
        <f>Batmobile[[#This Row],[Degrees turned]]</f>
        <v>9.8133923995512724</v>
      </c>
      <c r="F70" s="1">
        <f>Breakout[[#This Row],[Degrees turned]]</f>
        <v>9.8423099585937486</v>
      </c>
      <c r="H70" s="1">
        <v>0</v>
      </c>
      <c r="I70" s="3">
        <f>Table9[[#This Row],[Hybrid]]-Table9[[#This Row],[Octane]]</f>
        <v>-0.1800856325060316</v>
      </c>
      <c r="J70" s="3">
        <f>Table9[[#This Row],[Dominus]]-Table9[[#This Row],[Octane]]</f>
        <v>-0.20957498050595191</v>
      </c>
      <c r="K70" s="3">
        <f>Table9[[#This Row],[Plank]]-Table9[[#This Row],[Octane]]</f>
        <v>-0.43911286008997408</v>
      </c>
      <c r="L70" s="3">
        <f>Table9[[#This Row],[Batmobile]]-Table9[[#This Row],[Octane]]</f>
        <v>-0.48940038919183237</v>
      </c>
      <c r="M70" s="3">
        <f>Table9[[#This Row],[Breakout]]-Table9[[#This Row],[Octane]]</f>
        <v>-0.4604828301493562</v>
      </c>
      <c r="N70" s="4">
        <f>Table9[[#This Row],[Octane]]/Table9[[#This Row],[Hybrid]]</f>
        <v>1.0177902639804286</v>
      </c>
      <c r="O70" s="4">
        <f>Table9[[#This Row],[Octane]]/Table9[[#This Row],[Dominus]]</f>
        <v>1.0207639411422309</v>
      </c>
      <c r="P70" s="4">
        <f>Table9[[#This Row],[Octane]]/Table9[[#This Row],[Plank]]</f>
        <v>1.0445181578544929</v>
      </c>
      <c r="Q70" s="4">
        <f>Table9[[#This Row],[Octane]]/Table9[[#This Row],[Batmobile]]</f>
        <v>1.0498706634022106</v>
      </c>
      <c r="R70" s="4">
        <f>Table9[[#This Row],[Octane]]/Table9[[#This Row],[Breakout]]</f>
        <v>1.0467860524700594</v>
      </c>
      <c r="AA70">
        <v>6</v>
      </c>
      <c r="AB70">
        <v>26</v>
      </c>
      <c r="AD70">
        <f t="shared" si="0"/>
        <v>16</v>
      </c>
    </row>
    <row r="71" spans="1:30">
      <c r="A71" s="1">
        <f>Octane[[#This Row],[Degrees turned]]</f>
        <v>11.148802049727138</v>
      </c>
      <c r="B71" s="1">
        <f>Hybrid[[#This Row],[Degrees turned]]</f>
        <v>10.967834414418522</v>
      </c>
      <c r="C71" s="1">
        <f>Dominus[[#This Row],[Degrees turned]]</f>
        <v>10.939955645173772</v>
      </c>
      <c r="D71" s="1">
        <f>Plank[[#This Row],[Degrees turned]]</f>
        <v>10.697399873008333</v>
      </c>
      <c r="E71" s="1">
        <f>Batmobile[[#This Row],[Degrees turned]]</f>
        <v>10.639931580323218</v>
      </c>
      <c r="F71" s="1">
        <f>Breakout[[#This Row],[Degrees turned]]</f>
        <v>10.674188026083794</v>
      </c>
      <c r="H71" s="1">
        <v>0</v>
      </c>
      <c r="I71" s="3">
        <f>Table9[[#This Row],[Hybrid]]-Table9[[#This Row],[Octane]]</f>
        <v>-0.18096763530861537</v>
      </c>
      <c r="J71" s="3">
        <f>Table9[[#This Row],[Dominus]]-Table9[[#This Row],[Octane]]</f>
        <v>-0.20884640455336623</v>
      </c>
      <c r="K71" s="3">
        <f>Table9[[#This Row],[Plank]]-Table9[[#This Row],[Octane]]</f>
        <v>-0.45140217671880478</v>
      </c>
      <c r="L71" s="3">
        <f>Table9[[#This Row],[Batmobile]]-Table9[[#This Row],[Octane]]</f>
        <v>-0.50887046940392011</v>
      </c>
      <c r="M71" s="3">
        <f>Table9[[#This Row],[Breakout]]-Table9[[#This Row],[Octane]]</f>
        <v>-0.47461402364334404</v>
      </c>
      <c r="N71" s="4">
        <f>Table9[[#This Row],[Octane]]/Table9[[#This Row],[Hybrid]]</f>
        <v>1.0164998511529963</v>
      </c>
      <c r="O71" s="4">
        <f>Table9[[#This Row],[Octane]]/Table9[[#This Row],[Dominus]]</f>
        <v>1.0190902423489716</v>
      </c>
      <c r="P71" s="4">
        <f>Table9[[#This Row],[Octane]]/Table9[[#This Row],[Plank]]</f>
        <v>1.0421973733876941</v>
      </c>
      <c r="Q71" s="4">
        <f>Table9[[#This Row],[Octane]]/Table9[[#This Row],[Batmobile]]</f>
        <v>1.0478264794808447</v>
      </c>
      <c r="R71" s="4">
        <f>Table9[[#This Row],[Octane]]/Table9[[#This Row],[Breakout]]</f>
        <v>1.0444637121328162</v>
      </c>
      <c r="AA71">
        <v>14</v>
      </c>
      <c r="AB71">
        <v>26</v>
      </c>
      <c r="AD71">
        <f t="shared" si="0"/>
        <v>20</v>
      </c>
    </row>
    <row r="72" spans="1:30">
      <c r="A72" s="1">
        <f>Octane[[#This Row],[Degrees turned]]</f>
        <v>12.004785913644412</v>
      </c>
      <c r="B72" s="1">
        <f>Hybrid[[#This Row],[Degrees turned]]</f>
        <v>11.824500850654029</v>
      </c>
      <c r="C72" s="1">
        <f>Dominus[[#This Row],[Degrees turned]]</f>
        <v>11.797927806302365</v>
      </c>
      <c r="D72" s="1">
        <f>Plank[[#This Row],[Degrees turned]]</f>
        <v>11.543405872877099</v>
      </c>
      <c r="E72" s="1">
        <f>Batmobile[[#This Row],[Degrees turned]]</f>
        <v>11.478011657556362</v>
      </c>
      <c r="F72" s="1">
        <f>Breakout[[#This Row],[Degrees turned]]</f>
        <v>11.518205446546883</v>
      </c>
      <c r="H72" s="1">
        <v>0</v>
      </c>
      <c r="I72" s="3">
        <f>Table9[[#This Row],[Hybrid]]-Table9[[#This Row],[Octane]]</f>
        <v>-0.18028506299038227</v>
      </c>
      <c r="J72" s="3">
        <f>Table9[[#This Row],[Dominus]]-Table9[[#This Row],[Octane]]</f>
        <v>-0.20685810734204679</v>
      </c>
      <c r="K72" s="3">
        <f>Table9[[#This Row],[Plank]]-Table9[[#This Row],[Octane]]</f>
        <v>-0.4613800407673132</v>
      </c>
      <c r="L72" s="3">
        <f>Table9[[#This Row],[Batmobile]]-Table9[[#This Row],[Octane]]</f>
        <v>-0.52677425608804995</v>
      </c>
      <c r="M72" s="3">
        <f>Table9[[#This Row],[Breakout]]-Table9[[#This Row],[Octane]]</f>
        <v>-0.48658046709752867</v>
      </c>
      <c r="N72" s="4">
        <f>Table9[[#This Row],[Octane]]/Table9[[#This Row],[Hybrid]]</f>
        <v>1.0152467377073604</v>
      </c>
      <c r="O72" s="4">
        <f>Table9[[#This Row],[Octane]]/Table9[[#This Row],[Dominus]]</f>
        <v>1.0175334271185779</v>
      </c>
      <c r="P72" s="4">
        <f>Table9[[#This Row],[Octane]]/Table9[[#This Row],[Plank]]</f>
        <v>1.0399691430630011</v>
      </c>
      <c r="Q72" s="4">
        <f>Table9[[#This Row],[Octane]]/Table9[[#This Row],[Batmobile]]</f>
        <v>1.0458942081437299</v>
      </c>
      <c r="R72" s="4">
        <f>Table9[[#This Row],[Octane]]/Table9[[#This Row],[Breakout]]</f>
        <v>1.0422444684943004</v>
      </c>
      <c r="AA72">
        <v>15</v>
      </c>
      <c r="AB72">
        <v>19</v>
      </c>
      <c r="AD72">
        <f t="shared" si="0"/>
        <v>17</v>
      </c>
    </row>
    <row r="73" spans="1:30">
      <c r="A73" s="1">
        <f>Octane[[#This Row],[Degrees turned]]</f>
        <v>12.869376200087508</v>
      </c>
      <c r="B73" s="1">
        <f>Hybrid[[#This Row],[Degrees turned]]</f>
        <v>12.691021969880527</v>
      </c>
      <c r="C73" s="1">
        <f>Dominus[[#This Row],[Degrees turned]]</f>
        <v>12.666638389448895</v>
      </c>
      <c r="D73" s="1">
        <f>Plank[[#This Row],[Degrees turned]]</f>
        <v>12.400179875982008</v>
      </c>
      <c r="E73" s="1">
        <f>Batmobile[[#This Row],[Degrees turned]]</f>
        <v>12.32682094349234</v>
      </c>
      <c r="F73" s="1">
        <f>Breakout[[#This Row],[Degrees turned]]</f>
        <v>12.37309027853853</v>
      </c>
      <c r="H73" s="1">
        <v>0</v>
      </c>
      <c r="I73" s="3">
        <f>Table9[[#This Row],[Hybrid]]-Table9[[#This Row],[Octane]]</f>
        <v>-0.17835423020698116</v>
      </c>
      <c r="J73" s="3">
        <f>Table9[[#This Row],[Dominus]]-Table9[[#This Row],[Octane]]</f>
        <v>-0.20273781063861307</v>
      </c>
      <c r="K73" s="3">
        <f>Table9[[#This Row],[Plank]]-Table9[[#This Row],[Octane]]</f>
        <v>-0.46919632410549994</v>
      </c>
      <c r="L73" s="3">
        <f>Table9[[#This Row],[Batmobile]]-Table9[[#This Row],[Octane]]</f>
        <v>-0.54255525659516834</v>
      </c>
      <c r="M73" s="3">
        <f>Table9[[#This Row],[Breakout]]-Table9[[#This Row],[Octane]]</f>
        <v>-0.49628592154897788</v>
      </c>
      <c r="N73" s="4">
        <f>Table9[[#This Row],[Octane]]/Table9[[#This Row],[Hybrid]]</f>
        <v>1.0140535750887727</v>
      </c>
      <c r="O73" s="4">
        <f>Table9[[#This Row],[Octane]]/Table9[[#This Row],[Dominus]]</f>
        <v>1.0160056523605734</v>
      </c>
      <c r="P73" s="4">
        <f>Table9[[#This Row],[Octane]]/Table9[[#This Row],[Plank]]</f>
        <v>1.0378378643534267</v>
      </c>
      <c r="Q73" s="4">
        <f>Table9[[#This Row],[Octane]]/Table9[[#This Row],[Batmobile]]</f>
        <v>1.0440142076438288</v>
      </c>
      <c r="R73" s="4">
        <f>Table9[[#This Row],[Octane]]/Table9[[#This Row],[Breakout]]</f>
        <v>1.0401101026806374</v>
      </c>
      <c r="AA73">
        <v>13</v>
      </c>
      <c r="AB73">
        <v>19</v>
      </c>
      <c r="AD73">
        <f t="shared" si="0"/>
        <v>16</v>
      </c>
    </row>
    <row r="74" spans="1:30">
      <c r="A74" s="1">
        <f>Octane[[#This Row],[Degrees turned]]</f>
        <v>13.741957234763191</v>
      </c>
      <c r="B74" s="1">
        <f>Hybrid[[#This Row],[Degrees turned]]</f>
        <v>13.566780670453031</v>
      </c>
      <c r="C74" s="1">
        <f>Dominus[[#This Row],[Degrees turned]]</f>
        <v>13.544535408586452</v>
      </c>
      <c r="D74" s="1">
        <f>Plank[[#This Row],[Degrees turned]]</f>
        <v>13.266829564208752</v>
      </c>
      <c r="E74" s="1">
        <f>Batmobile[[#This Row],[Degrees turned]]</f>
        <v>13.184974272645444</v>
      </c>
      <c r="F74" s="1">
        <f>Breakout[[#This Row],[Degrees turned]]</f>
        <v>13.237875506297325</v>
      </c>
      <c r="H74" s="1">
        <v>0</v>
      </c>
      <c r="I74" s="3">
        <f>Table9[[#This Row],[Hybrid]]-Table9[[#This Row],[Octane]]</f>
        <v>-0.17517656431015993</v>
      </c>
      <c r="J74" s="3">
        <f>Table9[[#This Row],[Dominus]]-Table9[[#This Row],[Octane]]</f>
        <v>-0.19742182617673976</v>
      </c>
      <c r="K74" s="3">
        <f>Table9[[#This Row],[Plank]]-Table9[[#This Row],[Octane]]</f>
        <v>-0.47512767055443916</v>
      </c>
      <c r="L74" s="3">
        <f>Table9[[#This Row],[Batmobile]]-Table9[[#This Row],[Octane]]</f>
        <v>-0.55698296211774689</v>
      </c>
      <c r="M74" s="3">
        <f>Table9[[#This Row],[Breakout]]-Table9[[#This Row],[Octane]]</f>
        <v>-0.50408172846586652</v>
      </c>
      <c r="N74" s="4">
        <f>Table9[[#This Row],[Octane]]/Table9[[#This Row],[Hybrid]]</f>
        <v>1.0129121689636862</v>
      </c>
      <c r="O74" s="4">
        <f>Table9[[#This Row],[Octane]]/Table9[[#This Row],[Dominus]]</f>
        <v>1.0145757547395524</v>
      </c>
      <c r="P74" s="4">
        <f>Table9[[#This Row],[Octane]]/Table9[[#This Row],[Plank]]</f>
        <v>1.0358132037692138</v>
      </c>
      <c r="Q74" s="4">
        <f>Table9[[#This Row],[Octane]]/Table9[[#This Row],[Batmobile]]</f>
        <v>1.0422437655622361</v>
      </c>
      <c r="R74" s="4">
        <f>Table9[[#This Row],[Octane]]/Table9[[#This Row],[Breakout]]</f>
        <v>1.0380787482270908</v>
      </c>
      <c r="AA74">
        <v>12</v>
      </c>
      <c r="AB74">
        <v>16</v>
      </c>
      <c r="AD74">
        <f t="shared" si="0"/>
        <v>14</v>
      </c>
    </row>
    <row r="75" spans="1:30">
      <c r="A75" s="1">
        <f>Octane[[#This Row],[Degrees turned]]</f>
        <v>14.621735473477365</v>
      </c>
      <c r="B75" s="1">
        <f>Hybrid[[#This Row],[Degrees turned]]</f>
        <v>14.451295386911912</v>
      </c>
      <c r="C75" s="1">
        <f>Dominus[[#This Row],[Degrees turned]]</f>
        <v>14.43101372353426</v>
      </c>
      <c r="D75" s="1">
        <f>Plank[[#This Row],[Degrees turned]]</f>
        <v>14.142147166383683</v>
      </c>
      <c r="E75" s="1">
        <f>Batmobile[[#This Row],[Degrees turned]]</f>
        <v>14.051839950166258</v>
      </c>
      <c r="F75" s="1">
        <f>Breakout[[#This Row],[Degrees turned]]</f>
        <v>14.111944958680422</v>
      </c>
      <c r="H75" s="1">
        <v>0</v>
      </c>
      <c r="I75" s="3">
        <f>Table9[[#This Row],[Hybrid]]-Table9[[#This Row],[Octane]]</f>
        <v>-0.17044008656545273</v>
      </c>
      <c r="J75" s="3">
        <f>Table9[[#This Row],[Dominus]]-Table9[[#This Row],[Octane]]</f>
        <v>-0.19072174994310487</v>
      </c>
      <c r="K75" s="3">
        <f>Table9[[#This Row],[Plank]]-Table9[[#This Row],[Octane]]</f>
        <v>-0.47958830709368172</v>
      </c>
      <c r="L75" s="3">
        <f>Table9[[#This Row],[Batmobile]]-Table9[[#This Row],[Octane]]</f>
        <v>-0.56989552331110715</v>
      </c>
      <c r="M75" s="3">
        <f>Table9[[#This Row],[Breakout]]-Table9[[#This Row],[Octane]]</f>
        <v>-0.50979051479694348</v>
      </c>
      <c r="N75" s="4">
        <f>Table9[[#This Row],[Octane]]/Table9[[#This Row],[Hybrid]]</f>
        <v>1.0117941044039425</v>
      </c>
      <c r="O75" s="4">
        <f>Table9[[#This Row],[Octane]]/Table9[[#This Row],[Dominus]]</f>
        <v>1.0132161020422339</v>
      </c>
      <c r="P75" s="4">
        <f>Table9[[#This Row],[Octane]]/Table9[[#This Row],[Plank]]</f>
        <v>1.033911986733788</v>
      </c>
      <c r="Q75" s="4">
        <f>Table9[[#This Row],[Octane]]/Table9[[#This Row],[Batmobile]]</f>
        <v>1.0405566477651464</v>
      </c>
      <c r="R75" s="4">
        <f>Table9[[#This Row],[Octane]]/Table9[[#This Row],[Breakout]]</f>
        <v>1.0361247522074104</v>
      </c>
    </row>
    <row r="76" spans="1:30">
      <c r="A76" s="1">
        <f>Octane[[#This Row],[Degrees turned]]</f>
        <v>15.50752624762503</v>
      </c>
      <c r="B76" s="1">
        <f>Hybrid[[#This Row],[Degrees turned]]</f>
        <v>15.34277859127037</v>
      </c>
      <c r="C76" s="1">
        <f>Dominus[[#This Row],[Degrees turned]]</f>
        <v>15.325367302128331</v>
      </c>
      <c r="D76" s="1">
        <f>Plank[[#This Row],[Degrees turned]]</f>
        <v>15.025421583191939</v>
      </c>
      <c r="E76" s="1">
        <f>Batmobile[[#This Row],[Degrees turned]]</f>
        <v>14.926037162237616</v>
      </c>
      <c r="F76" s="1">
        <f>Breakout[[#This Row],[Degrees turned]]</f>
        <v>14.994691769527595</v>
      </c>
      <c r="H76" s="1">
        <v>0</v>
      </c>
      <c r="I76" s="3">
        <f>Table9[[#This Row],[Hybrid]]-Table9[[#This Row],[Octane]]</f>
        <v>-0.16474765635465971</v>
      </c>
      <c r="J76" s="3">
        <f>Table9[[#This Row],[Dominus]]-Table9[[#This Row],[Octane]]</f>
        <v>-0.18215894549669898</v>
      </c>
      <c r="K76" s="3">
        <f>Table9[[#This Row],[Plank]]-Table9[[#This Row],[Octane]]</f>
        <v>-0.4821046644330913</v>
      </c>
      <c r="L76" s="3">
        <f>Table9[[#This Row],[Batmobile]]-Table9[[#This Row],[Octane]]</f>
        <v>-0.58148908538741395</v>
      </c>
      <c r="M76" s="3">
        <f>Table9[[#This Row],[Breakout]]-Table9[[#This Row],[Octane]]</f>
        <v>-0.51283447809743521</v>
      </c>
      <c r="N76" s="4">
        <f>Table9[[#This Row],[Octane]]/Table9[[#This Row],[Hybrid]]</f>
        <v>1.0107377979402243</v>
      </c>
      <c r="O76" s="4">
        <f>Table9[[#This Row],[Octane]]/Table9[[#This Row],[Dominus]]</f>
        <v>1.0118861063428739</v>
      </c>
      <c r="P76" s="4">
        <f>Table9[[#This Row],[Octane]]/Table9[[#This Row],[Plank]]</f>
        <v>1.0320859326151883</v>
      </c>
      <c r="Q76" s="4">
        <f>Table9[[#This Row],[Octane]]/Table9[[#This Row],[Batmobile]]</f>
        <v>1.0389580354830257</v>
      </c>
      <c r="R76" s="4">
        <f>Table9[[#This Row],[Octane]]/Table9[[#This Row],[Breakout]]</f>
        <v>1.0342010683500427</v>
      </c>
      <c r="AD76" t="s">
        <v>46</v>
      </c>
    </row>
    <row r="77" spans="1:30">
      <c r="A77" s="1">
        <f>Octane[[#This Row],[Degrees turned]]</f>
        <v>16.399093422995087</v>
      </c>
      <c r="B77" s="1">
        <f>Hybrid[[#This Row],[Degrees turned]]</f>
        <v>16.241668644430501</v>
      </c>
      <c r="C77" s="1">
        <f>Dominus[[#This Row],[Degrees turned]]</f>
        <v>16.226848908965312</v>
      </c>
      <c r="D77" s="1">
        <f>Plank[[#This Row],[Degrees turned]]</f>
        <v>15.91579038119475</v>
      </c>
      <c r="E77" s="1">
        <f>Batmobile[[#This Row],[Degrees turned]]</f>
        <v>15.807529949495486</v>
      </c>
      <c r="F77" s="1">
        <f>Breakout[[#This Row],[Degrees turned]]</f>
        <v>15.885182352508824</v>
      </c>
      <c r="H77" s="1">
        <v>0</v>
      </c>
      <c r="I77" s="3">
        <f>Table9[[#This Row],[Hybrid]]-Table9[[#This Row],[Octane]]</f>
        <v>-0.15742477856458592</v>
      </c>
      <c r="J77" s="3">
        <f>Table9[[#This Row],[Dominus]]-Table9[[#This Row],[Octane]]</f>
        <v>-0.17224451402977436</v>
      </c>
      <c r="K77" s="3">
        <f>Table9[[#This Row],[Plank]]-Table9[[#This Row],[Octane]]</f>
        <v>-0.48330304180033679</v>
      </c>
      <c r="L77" s="3">
        <f>Table9[[#This Row],[Batmobile]]-Table9[[#This Row],[Octane]]</f>
        <v>-0.59156347349960114</v>
      </c>
      <c r="M77" s="3">
        <f>Table9[[#This Row],[Breakout]]-Table9[[#This Row],[Octane]]</f>
        <v>-0.51391107048626239</v>
      </c>
      <c r="N77" s="4">
        <f>Table9[[#This Row],[Octane]]/Table9[[#This Row],[Hybrid]]</f>
        <v>1.0096926480899837</v>
      </c>
      <c r="O77" s="4">
        <f>Table9[[#This Row],[Octane]]/Table9[[#This Row],[Dominus]]</f>
        <v>1.0106147851006742</v>
      </c>
      <c r="P77" s="4">
        <f>Table9[[#This Row],[Octane]]/Table9[[#This Row],[Plank]]</f>
        <v>1.0303662608155095</v>
      </c>
      <c r="Q77" s="4">
        <f>Table9[[#This Row],[Octane]]/Table9[[#This Row],[Batmobile]]</f>
        <v>1.0374228912037256</v>
      </c>
      <c r="R77" s="4">
        <f>Table9[[#This Row],[Octane]]/Table9[[#This Row],[Breakout]]</f>
        <v>1.0323516003204771</v>
      </c>
      <c r="AD77">
        <f>AVERAGE(AA68:AB74)</f>
        <v>16</v>
      </c>
    </row>
    <row r="78" spans="1:30">
      <c r="A78" s="1">
        <f>Octane[[#This Row],[Degrees turned]]</f>
        <v>17.295922818480037</v>
      </c>
      <c r="B78" s="1">
        <f>Hybrid[[#This Row],[Degrees turned]]</f>
        <v>17.146201759792941</v>
      </c>
      <c r="C78" s="1">
        <f>Dominus[[#This Row],[Degrees turned]]</f>
        <v>17.134893998168909</v>
      </c>
      <c r="D78" s="1">
        <f>Plank[[#This Row],[Degrees turned]]</f>
        <v>16.81353916751419</v>
      </c>
      <c r="E78" s="1">
        <f>Batmobile[[#This Row],[Degrees turned]]</f>
        <v>16.695597289066068</v>
      </c>
      <c r="F78" s="1">
        <f>Breakout[[#This Row],[Degrees turned]]</f>
        <v>16.782390806680585</v>
      </c>
      <c r="H78" s="1">
        <v>0</v>
      </c>
      <c r="I78" s="3">
        <f>Table9[[#This Row],[Hybrid]]-Table9[[#This Row],[Octane]]</f>
        <v>-0.14972105868709562</v>
      </c>
      <c r="J78" s="3">
        <f>Table9[[#This Row],[Dominus]]-Table9[[#This Row],[Octane]]</f>
        <v>-0.16102882031112742</v>
      </c>
      <c r="K78" s="3">
        <f>Table9[[#This Row],[Plank]]-Table9[[#This Row],[Octane]]</f>
        <v>-0.48238365096584701</v>
      </c>
      <c r="L78" s="3">
        <f>Table9[[#This Row],[Batmobile]]-Table9[[#This Row],[Octane]]</f>
        <v>-0.60032552941396844</v>
      </c>
      <c r="M78" s="3">
        <f>Table9[[#This Row],[Breakout]]-Table9[[#This Row],[Octane]]</f>
        <v>-0.51353201179945174</v>
      </c>
      <c r="N78" s="4">
        <f>Table9[[#This Row],[Octane]]/Table9[[#This Row],[Hybrid]]</f>
        <v>1.0087320247821989</v>
      </c>
      <c r="O78" s="4">
        <f>Table9[[#This Row],[Octane]]/Table9[[#This Row],[Dominus]]</f>
        <v>1.0093977132469181</v>
      </c>
      <c r="P78" s="4">
        <f>Table9[[#This Row],[Octane]]/Table9[[#This Row],[Plank]]</f>
        <v>1.0286901910513802</v>
      </c>
      <c r="Q78" s="4">
        <f>Table9[[#This Row],[Octane]]/Table9[[#This Row],[Batmobile]]</f>
        <v>1.0359571160599998</v>
      </c>
      <c r="R78" s="4">
        <f>Table9[[#This Row],[Octane]]/Table9[[#This Row],[Breakout]]</f>
        <v>1.0305994549712802</v>
      </c>
    </row>
    <row r="79" spans="1:30">
      <c r="A79" s="1">
        <f>Octane[[#This Row],[Degrees turned]]</f>
        <v>18.197412275113393</v>
      </c>
      <c r="B79" s="1">
        <f>Hybrid[[#This Row],[Degrees turned]]</f>
        <v>18.056683885118563</v>
      </c>
      <c r="C79" s="1">
        <f>Dominus[[#This Row],[Degrees turned]]</f>
        <v>18.048731673420843</v>
      </c>
      <c r="D79" s="1">
        <f>Plank[[#This Row],[Degrees turned]]</f>
        <v>17.717050351142195</v>
      </c>
      <c r="E79" s="1">
        <f>Batmobile[[#This Row],[Degrees turned]]</f>
        <v>17.588837673848939</v>
      </c>
      <c r="F79" s="1">
        <f>Breakout[[#This Row],[Degrees turned]]</f>
        <v>17.685981671591978</v>
      </c>
      <c r="H79" s="1">
        <v>0</v>
      </c>
      <c r="I79" s="3">
        <f>Table9[[#This Row],[Hybrid]]-Table9[[#This Row],[Octane]]</f>
        <v>-0.14072838999483039</v>
      </c>
      <c r="J79" s="3">
        <f>Table9[[#This Row],[Dominus]]-Table9[[#This Row],[Octane]]</f>
        <v>-0.1486806016925506</v>
      </c>
      <c r="K79" s="3">
        <f>Table9[[#This Row],[Plank]]-Table9[[#This Row],[Octane]]</f>
        <v>-0.48036192397119848</v>
      </c>
      <c r="L79" s="3">
        <f>Table9[[#This Row],[Batmobile]]-Table9[[#This Row],[Octane]]</f>
        <v>-0.60857460126445417</v>
      </c>
      <c r="M79" s="3">
        <f>Table9[[#This Row],[Breakout]]-Table9[[#This Row],[Octane]]</f>
        <v>-0.51143060352141489</v>
      </c>
      <c r="N79" s="4">
        <f>Table9[[#This Row],[Octane]]/Table9[[#This Row],[Hybrid]]</f>
        <v>1.0077937007088444</v>
      </c>
      <c r="O79" s="4">
        <f>Table9[[#This Row],[Octane]]/Table9[[#This Row],[Dominus]]</f>
        <v>1.0082377312923048</v>
      </c>
      <c r="P79" s="4">
        <f>Table9[[#This Row],[Octane]]/Table9[[#This Row],[Plank]]</f>
        <v>1.0271129739121745</v>
      </c>
      <c r="Q79" s="4">
        <f>Table9[[#This Row],[Octane]]/Table9[[#This Row],[Batmobile]]</f>
        <v>1.034600046492514</v>
      </c>
      <c r="R79" s="4">
        <f>Table9[[#This Row],[Octane]]/Table9[[#This Row],[Breakout]]</f>
        <v>1.0289172867538869</v>
      </c>
    </row>
    <row r="80" spans="1:30">
      <c r="A80" s="1">
        <f>Octane[[#This Row],[Degrees turned]]</f>
        <v>19.103501869819596</v>
      </c>
      <c r="B80" s="1">
        <f>Hybrid[[#This Row],[Degrees turned]]</f>
        <v>18.972360996372903</v>
      </c>
      <c r="C80" s="1">
        <f>Dominus[[#This Row],[Degrees turned]]</f>
        <v>18.967799803445875</v>
      </c>
      <c r="D80" s="1">
        <f>Plank[[#This Row],[Degrees turned]]</f>
        <v>18.626473817246012</v>
      </c>
      <c r="E80" s="1">
        <f>Batmobile[[#This Row],[Degrees turned]]</f>
        <v>18.487436752778098</v>
      </c>
      <c r="F80" s="1">
        <f>Breakout[[#This Row],[Degrees turned]]</f>
        <v>18.595593966470187</v>
      </c>
      <c r="H80" s="1">
        <v>0</v>
      </c>
      <c r="I80" s="3">
        <f>Table9[[#This Row],[Hybrid]]-Table9[[#This Row],[Octane]]</f>
        <v>-0.13114087344669301</v>
      </c>
      <c r="J80" s="3">
        <f>Table9[[#This Row],[Dominus]]-Table9[[#This Row],[Octane]]</f>
        <v>-0.13570206637372095</v>
      </c>
      <c r="K80" s="3">
        <f>Table9[[#This Row],[Plank]]-Table9[[#This Row],[Octane]]</f>
        <v>-0.47702805257358349</v>
      </c>
      <c r="L80" s="3">
        <f>Table9[[#This Row],[Batmobile]]-Table9[[#This Row],[Octane]]</f>
        <v>-0.61606511704149725</v>
      </c>
      <c r="M80" s="3">
        <f>Table9[[#This Row],[Breakout]]-Table9[[#This Row],[Octane]]</f>
        <v>-0.50790790334940894</v>
      </c>
      <c r="N80" s="4">
        <f>Table9[[#This Row],[Octane]]/Table9[[#This Row],[Hybrid]]</f>
        <v>1.0069122063127391</v>
      </c>
      <c r="O80" s="4">
        <f>Table9[[#This Row],[Octane]]/Table9[[#This Row],[Dominus]]</f>
        <v>1.007154338815252</v>
      </c>
      <c r="P80" s="4">
        <f>Table9[[#This Row],[Octane]]/Table9[[#This Row],[Plank]]</f>
        <v>1.0256102178680706</v>
      </c>
      <c r="Q80" s="4">
        <f>Table9[[#This Row],[Octane]]/Table9[[#This Row],[Batmobile]]</f>
        <v>1.0333234469050405</v>
      </c>
      <c r="R80" s="4">
        <f>Table9[[#This Row],[Octane]]/Table9[[#This Row],[Breakout]]</f>
        <v>1.0273133466059337</v>
      </c>
    </row>
    <row r="81" spans="1:18">
      <c r="A81" s="1">
        <f>Octane[[#This Row],[Degrees turned]]</f>
        <v>20.012747905409441</v>
      </c>
      <c r="B81" s="1">
        <f>Hybrid[[#This Row],[Degrees turned]]</f>
        <v>19.892602406300266</v>
      </c>
      <c r="C81" s="1">
        <f>Dominus[[#This Row],[Degrees turned]]</f>
        <v>19.891980092892549</v>
      </c>
      <c r="D81" s="1">
        <f>Plank[[#This Row],[Degrees turned]]</f>
        <v>19.540393254718577</v>
      </c>
      <c r="E81" s="1">
        <f>Batmobile[[#This Row],[Degrees turned]]</f>
        <v>19.391368582214266</v>
      </c>
      <c r="F81" s="1">
        <f>Breakout[[#This Row],[Degrees turned]]</f>
        <v>19.510303329835939</v>
      </c>
      <c r="H81" s="1">
        <v>0</v>
      </c>
      <c r="I81" s="3">
        <f>Table9[[#This Row],[Hybrid]]-Table9[[#This Row],[Octane]]</f>
        <v>-0.12014549910917438</v>
      </c>
      <c r="J81" s="3">
        <f>Table9[[#This Row],[Dominus]]-Table9[[#This Row],[Octane]]</f>
        <v>-0.12076781251689184</v>
      </c>
      <c r="K81" s="3">
        <f>Table9[[#This Row],[Plank]]-Table9[[#This Row],[Octane]]</f>
        <v>-0.47235465069086402</v>
      </c>
      <c r="L81" s="3">
        <f>Table9[[#This Row],[Batmobile]]-Table9[[#This Row],[Octane]]</f>
        <v>-0.62137932319517475</v>
      </c>
      <c r="M81" s="3">
        <f>Table9[[#This Row],[Breakout]]-Table9[[#This Row],[Octane]]</f>
        <v>-0.50244457557350231</v>
      </c>
      <c r="N81" s="4">
        <f>Table9[[#This Row],[Octane]]/Table9[[#This Row],[Hybrid]]</f>
        <v>1.0060397074578398</v>
      </c>
      <c r="O81" s="4">
        <f>Table9[[#This Row],[Octane]]/Table9[[#This Row],[Dominus]]</f>
        <v>1.0060711810464782</v>
      </c>
      <c r="P81" s="4">
        <f>Table9[[#This Row],[Octane]]/Table9[[#This Row],[Plank]]</f>
        <v>1.0241732417834939</v>
      </c>
      <c r="Q81" s="4">
        <f>Table9[[#This Row],[Octane]]/Table9[[#This Row],[Batmobile]]</f>
        <v>1.0320441190399063</v>
      </c>
      <c r="R81" s="4">
        <f>Table9[[#This Row],[Octane]]/Table9[[#This Row],[Breakout]]</f>
        <v>1.0257527813422123</v>
      </c>
    </row>
    <row r="82" spans="1:18">
      <c r="A82" s="1">
        <f>Octane[[#This Row],[Degrees turned]]</f>
        <v>20.925448138500286</v>
      </c>
      <c r="B82" s="1">
        <f>Hybrid[[#This Row],[Degrees turned]]</f>
        <v>20.816714481753582</v>
      </c>
      <c r="C82" s="1">
        <f>Dominus[[#This Row],[Degrees turned]]</f>
        <v>20.820683207497598</v>
      </c>
      <c r="D82" s="1">
        <f>Plank[[#This Row],[Degrees turned]]</f>
        <v>20.459019820590473</v>
      </c>
      <c r="E82" s="1">
        <f>Batmobile[[#This Row],[Degrees turned]]</f>
        <v>20.299175018472045</v>
      </c>
      <c r="F82" s="1">
        <f>Breakout[[#This Row],[Degrees turned]]</f>
        <v>20.430271220441771</v>
      </c>
      <c r="H82" s="1">
        <v>0</v>
      </c>
      <c r="I82" s="3">
        <f>Table9[[#This Row],[Hybrid]]-Table9[[#This Row],[Octane]]</f>
        <v>-0.1087336567467041</v>
      </c>
      <c r="J82" s="3">
        <f>Table9[[#This Row],[Dominus]]-Table9[[#This Row],[Octane]]</f>
        <v>-0.10476493100268769</v>
      </c>
      <c r="K82" s="3">
        <f>Table9[[#This Row],[Plank]]-Table9[[#This Row],[Octane]]</f>
        <v>-0.46642831790981276</v>
      </c>
      <c r="L82" s="3">
        <f>Table9[[#This Row],[Batmobile]]-Table9[[#This Row],[Octane]]</f>
        <v>-0.62627312002824098</v>
      </c>
      <c r="M82" s="3">
        <f>Table9[[#This Row],[Breakout]]-Table9[[#This Row],[Octane]]</f>
        <v>-0.49517691805851527</v>
      </c>
      <c r="N82" s="4">
        <f>Table9[[#This Row],[Octane]]/Table9[[#This Row],[Hybrid]]</f>
        <v>1.0052233822413239</v>
      </c>
      <c r="O82" s="4">
        <f>Table9[[#This Row],[Octane]]/Table9[[#This Row],[Dominus]]</f>
        <v>1.0050317720104862</v>
      </c>
      <c r="P82" s="4">
        <f>Table9[[#This Row],[Octane]]/Table9[[#This Row],[Plank]]</f>
        <v>1.0227981751814126</v>
      </c>
      <c r="Q82" s="4">
        <f>Table9[[#This Row],[Octane]]/Table9[[#This Row],[Batmobile]]</f>
        <v>1.030852146427544</v>
      </c>
      <c r="R82" s="4">
        <f>Table9[[#This Row],[Octane]]/Table9[[#This Row],[Breakout]]</f>
        <v>1.0242374128427165</v>
      </c>
    </row>
    <row r="83" spans="1:18">
      <c r="A83" s="1">
        <f>Octane[[#This Row],[Degrees turned]]</f>
        <v>21.841501177405462</v>
      </c>
      <c r="B83" s="1">
        <f>Hybrid[[#This Row],[Degrees turned]]</f>
        <v>21.744731084931164</v>
      </c>
      <c r="C83" s="1">
        <f>Dominus[[#This Row],[Degrees turned]]</f>
        <v>21.753340229386726</v>
      </c>
      <c r="D83" s="1">
        <f>Plank[[#This Row],[Degrees turned]]</f>
        <v>21.382185571736034</v>
      </c>
      <c r="E83" s="1">
        <f>Batmobile[[#This Row],[Degrees turned]]</f>
        <v>21.211083536994888</v>
      </c>
      <c r="F83" s="1">
        <f>Breakout[[#This Row],[Degrees turned]]</f>
        <v>21.354978262010345</v>
      </c>
      <c r="H83" s="1">
        <v>0</v>
      </c>
      <c r="I83" s="3">
        <f>Table9[[#This Row],[Hybrid]]-Table9[[#This Row],[Octane]]</f>
        <v>-9.6770092474297797E-2</v>
      </c>
      <c r="J83" s="3">
        <f>Table9[[#This Row],[Dominus]]-Table9[[#This Row],[Octane]]</f>
        <v>-8.8160948018735752E-2</v>
      </c>
      <c r="K83" s="3">
        <f>Table9[[#This Row],[Plank]]-Table9[[#This Row],[Octane]]</f>
        <v>-0.45931560566942764</v>
      </c>
      <c r="L83" s="3">
        <f>Table9[[#This Row],[Batmobile]]-Table9[[#This Row],[Octane]]</f>
        <v>-0.63041764041057391</v>
      </c>
      <c r="M83" s="3">
        <f>Table9[[#This Row],[Breakout]]-Table9[[#This Row],[Octane]]</f>
        <v>-0.48652291539511694</v>
      </c>
      <c r="N83" s="4">
        <f>Table9[[#This Row],[Octane]]/Table9[[#This Row],[Hybrid]]</f>
        <v>1.0044502777291811</v>
      </c>
      <c r="O83" s="4">
        <f>Table9[[#This Row],[Octane]]/Table9[[#This Row],[Dominus]]</f>
        <v>1.0040527545236313</v>
      </c>
      <c r="P83" s="4">
        <f>Table9[[#This Row],[Octane]]/Table9[[#This Row],[Plank]]</f>
        <v>1.0214812281059131</v>
      </c>
      <c r="Q83" s="4">
        <f>Table9[[#This Row],[Octane]]/Table9[[#This Row],[Batmobile]]</f>
        <v>1.0297211426899076</v>
      </c>
      <c r="R83" s="4">
        <f>Table9[[#This Row],[Octane]]/Table9[[#This Row],[Breakout]]</f>
        <v>1.0227826462488432</v>
      </c>
    </row>
    <row r="84" spans="1:18">
      <c r="A84" s="1">
        <f>Octane[[#This Row],[Degrees turned]]</f>
        <v>22.760203564368325</v>
      </c>
      <c r="B84" s="1">
        <f>Hybrid[[#This Row],[Degrees turned]]</f>
        <v>22.676838348853199</v>
      </c>
      <c r="C84" s="1">
        <f>Dominus[[#This Row],[Degrees turned]]</f>
        <v>22.689943327849885</v>
      </c>
      <c r="D84" s="1">
        <f>Plank[[#This Row],[Degrees turned]]</f>
        <v>22.309379512424531</v>
      </c>
      <c r="E84" s="1">
        <f>Batmobile[[#This Row],[Degrees turned]]</f>
        <v>22.126995413071118</v>
      </c>
      <c r="F84" s="1">
        <f>Breakout[[#This Row],[Degrees turned]]</f>
        <v>22.284156361715876</v>
      </c>
      <c r="H84" s="1">
        <v>0</v>
      </c>
      <c r="I84" s="3">
        <f>Table9[[#This Row],[Hybrid]]-Table9[[#This Row],[Octane]]</f>
        <v>-8.3365215515126323E-2</v>
      </c>
      <c r="J84" s="3">
        <f>Table9[[#This Row],[Dominus]]-Table9[[#This Row],[Octane]]</f>
        <v>-7.0260236518439712E-2</v>
      </c>
      <c r="K84" s="3">
        <f>Table9[[#This Row],[Plank]]-Table9[[#This Row],[Octane]]</f>
        <v>-0.45082405194379405</v>
      </c>
      <c r="L84" s="3">
        <f>Table9[[#This Row],[Batmobile]]-Table9[[#This Row],[Octane]]</f>
        <v>-0.63320815129720742</v>
      </c>
      <c r="M84" s="3">
        <f>Table9[[#This Row],[Breakout]]-Table9[[#This Row],[Octane]]</f>
        <v>-0.47604720265244893</v>
      </c>
      <c r="N84" s="4">
        <f>Table9[[#This Row],[Octane]]/Table9[[#This Row],[Hybrid]]</f>
        <v>1.0036762274454958</v>
      </c>
      <c r="O84" s="4">
        <f>Table9[[#This Row],[Octane]]/Table9[[#This Row],[Dominus]]</f>
        <v>1.0030965364480309</v>
      </c>
      <c r="P84" s="4">
        <f>Table9[[#This Row],[Octane]]/Table9[[#This Row],[Plank]]</f>
        <v>1.0202078256677969</v>
      </c>
      <c r="Q84" s="4">
        <f>Table9[[#This Row],[Octane]]/Table9[[#This Row],[Batmobile]]</f>
        <v>1.0286169965454575</v>
      </c>
      <c r="R84" s="4">
        <f>Table9[[#This Row],[Octane]]/Table9[[#This Row],[Breakout]]</f>
        <v>1.0213625858177111</v>
      </c>
    </row>
    <row r="85" spans="1:18">
      <c r="A85" s="1">
        <f>Octane[[#This Row],[Degrees turned]]</f>
        <v>23.681823884544507</v>
      </c>
      <c r="B85" s="1">
        <f>Hybrid[[#This Row],[Degrees turned]]</f>
        <v>23.611595011804379</v>
      </c>
      <c r="C85" s="1">
        <f>Dominus[[#This Row],[Degrees turned]]</f>
        <v>23.629872154347094</v>
      </c>
      <c r="D85" s="1">
        <f>Plank[[#This Row],[Degrees turned]]</f>
        <v>23.239877028386037</v>
      </c>
      <c r="E85" s="1">
        <f>Batmobile[[#This Row],[Degrees turned]]</f>
        <v>23.046301621158886</v>
      </c>
      <c r="F85" s="1">
        <f>Breakout[[#This Row],[Degrees turned]]</f>
        <v>23.216756751693286</v>
      </c>
      <c r="H85" s="1">
        <v>0</v>
      </c>
      <c r="I85" s="3">
        <f>Table9[[#This Row],[Hybrid]]-Table9[[#This Row],[Octane]]</f>
        <v>-7.0228872740127457E-2</v>
      </c>
      <c r="J85" s="3">
        <f>Table9[[#This Row],[Dominus]]-Table9[[#This Row],[Octane]]</f>
        <v>-5.1951730197412616E-2</v>
      </c>
      <c r="K85" s="3">
        <f>Table9[[#This Row],[Plank]]-Table9[[#This Row],[Octane]]</f>
        <v>-0.44194685615847007</v>
      </c>
      <c r="L85" s="3">
        <f>Table9[[#This Row],[Batmobile]]-Table9[[#This Row],[Octane]]</f>
        <v>-0.63552226338562079</v>
      </c>
      <c r="M85" s="3">
        <f>Table9[[#This Row],[Breakout]]-Table9[[#This Row],[Octane]]</f>
        <v>-0.46506713285122103</v>
      </c>
      <c r="N85" s="4">
        <f>Table9[[#This Row],[Octane]]/Table9[[#This Row],[Hybrid]]</f>
        <v>1.0029743383581251</v>
      </c>
      <c r="O85" s="4">
        <f>Table9[[#This Row],[Octane]]/Table9[[#This Row],[Dominus]]</f>
        <v>1.0021985616281828</v>
      </c>
      <c r="P85" s="4">
        <f>Table9[[#This Row],[Octane]]/Table9[[#This Row],[Plank]]</f>
        <v>1.0190167467589721</v>
      </c>
      <c r="Q85" s="4">
        <f>Table9[[#This Row],[Octane]]/Table9[[#This Row],[Batmobile]]</f>
        <v>1.027575889347996</v>
      </c>
      <c r="R85" s="4">
        <f>Table9[[#This Row],[Octane]]/Table9[[#This Row],[Breakout]]</f>
        <v>1.0200315288575912</v>
      </c>
    </row>
    <row r="86" spans="1:18">
      <c r="A86" s="1">
        <f>Octane[[#This Row],[Degrees turned]]</f>
        <v>24.605533566921274</v>
      </c>
      <c r="B86" s="1">
        <f>Hybrid[[#This Row],[Degrees turned]]</f>
        <v>24.549747915478282</v>
      </c>
      <c r="C86" s="1">
        <f>Dominus[[#This Row],[Degrees turned]]</f>
        <v>24.573239985830046</v>
      </c>
      <c r="D86" s="1">
        <f>Plank[[#This Row],[Degrees turned]]</f>
        <v>24.173801165082889</v>
      </c>
      <c r="E86" s="1">
        <f>Batmobile[[#This Row],[Degrees turned]]</f>
        <v>23.968356792206396</v>
      </c>
      <c r="F86" s="1">
        <f>Breakout[[#This Row],[Degrees turned]]</f>
        <v>24.15333379129839</v>
      </c>
      <c r="H86" s="1">
        <v>0</v>
      </c>
      <c r="I86" s="3">
        <f>Table9[[#This Row],[Hybrid]]-Table9[[#This Row],[Octane]]</f>
        <v>-5.578565144299219E-2</v>
      </c>
      <c r="J86" s="3">
        <f>Table9[[#This Row],[Dominus]]-Table9[[#This Row],[Octane]]</f>
        <v>-3.2293581091227708E-2</v>
      </c>
      <c r="K86" s="3">
        <f>Table9[[#This Row],[Plank]]-Table9[[#This Row],[Octane]]</f>
        <v>-0.43173240183838502</v>
      </c>
      <c r="L86" s="3">
        <f>Table9[[#This Row],[Batmobile]]-Table9[[#This Row],[Octane]]</f>
        <v>-0.63717677471487733</v>
      </c>
      <c r="M86" s="3">
        <f>Table9[[#This Row],[Breakout]]-Table9[[#This Row],[Octane]]</f>
        <v>-0.45219977562288349</v>
      </c>
      <c r="N86" s="4">
        <f>Table9[[#This Row],[Octane]]/Table9[[#This Row],[Hybrid]]</f>
        <v>1.0022723512939951</v>
      </c>
      <c r="O86" s="4">
        <f>Table9[[#This Row],[Octane]]/Table9[[#This Row],[Dominus]]</f>
        <v>1.0013141767674856</v>
      </c>
      <c r="P86" s="4">
        <f>Table9[[#This Row],[Octane]]/Table9[[#This Row],[Plank]]</f>
        <v>1.0178595165439677</v>
      </c>
      <c r="Q86" s="4">
        <f>Table9[[#This Row],[Octane]]/Table9[[#This Row],[Batmobile]]</f>
        <v>1.0265840825150794</v>
      </c>
      <c r="R86" s="4">
        <f>Table9[[#This Row],[Octane]]/Table9[[#This Row],[Breakout]]</f>
        <v>1.018722043902105</v>
      </c>
    </row>
    <row r="87" spans="1:18">
      <c r="A87" s="1">
        <f>Octane[[#This Row],[Degrees turned]]</f>
        <v>25.531431314596787</v>
      </c>
      <c r="B87" s="1">
        <f>Hybrid[[#This Row],[Degrees turned]]</f>
        <v>25.490017059239801</v>
      </c>
      <c r="C87" s="1">
        <f>Dominus[[#This Row],[Degrees turned]]</f>
        <v>25.519234138134212</v>
      </c>
      <c r="D87" s="1">
        <f>Plank[[#This Row],[Degrees turned]]</f>
        <v>25.110513489445726</v>
      </c>
      <c r="E87" s="1">
        <f>Batmobile[[#This Row],[Degrees turned]]</f>
        <v>24.89328038518936</v>
      </c>
      <c r="F87" s="1">
        <f>Breakout[[#This Row],[Degrees turned]]</f>
        <v>25.093370619865109</v>
      </c>
      <c r="H87" s="1">
        <v>0</v>
      </c>
      <c r="I87" s="3">
        <f>Table9[[#This Row],[Hybrid]]-Table9[[#This Row],[Octane]]</f>
        <v>-4.1414255356986729E-2</v>
      </c>
      <c r="J87" s="3">
        <f>Table9[[#This Row],[Dominus]]-Table9[[#This Row],[Octane]]</f>
        <v>-1.2197176462574788E-2</v>
      </c>
      <c r="K87" s="3">
        <f>Table9[[#This Row],[Plank]]-Table9[[#This Row],[Octane]]</f>
        <v>-0.42091782515106146</v>
      </c>
      <c r="L87" s="3">
        <f>Table9[[#This Row],[Batmobile]]-Table9[[#This Row],[Octane]]</f>
        <v>-0.63815092940742701</v>
      </c>
      <c r="M87" s="3">
        <f>Table9[[#This Row],[Breakout]]-Table9[[#This Row],[Octane]]</f>
        <v>-0.43806069473167852</v>
      </c>
      <c r="N87" s="4">
        <f>Table9[[#This Row],[Octane]]/Table9[[#This Row],[Hybrid]]</f>
        <v>1.0016247245053127</v>
      </c>
      <c r="O87" s="4">
        <f>Table9[[#This Row],[Octane]]/Table9[[#This Row],[Dominus]]</f>
        <v>1.0004779601298595</v>
      </c>
      <c r="P87" s="4">
        <f>Table9[[#This Row],[Octane]]/Table9[[#This Row],[Plank]]</f>
        <v>1.0167626132109158</v>
      </c>
      <c r="Q87" s="4">
        <f>Table9[[#This Row],[Octane]]/Table9[[#This Row],[Batmobile]]</f>
        <v>1.0256354694734047</v>
      </c>
      <c r="R87" s="4">
        <f>Table9[[#This Row],[Octane]]/Table9[[#This Row],[Breakout]]</f>
        <v>1.0174572281009109</v>
      </c>
    </row>
    <row r="88" spans="1:18">
      <c r="A88" s="1">
        <f>Octane[[#This Row],[Degrees turned]]</f>
        <v>26.459047835066634</v>
      </c>
      <c r="B88" s="1">
        <f>Hybrid[[#This Row],[Degrees turned]]</f>
        <v>26.433054674694969</v>
      </c>
      <c r="C88" s="1">
        <f>Dominus[[#This Row],[Degrees turned]]</f>
        <v>26.467492509236703</v>
      </c>
      <c r="D88" s="1">
        <f>Plank[[#This Row],[Degrees turned]]</f>
        <v>26.050017874840652</v>
      </c>
      <c r="E88" s="1">
        <f>Batmobile[[#This Row],[Degrees turned]]</f>
        <v>25.82041358529634</v>
      </c>
      <c r="F88" s="1">
        <f>Breakout[[#This Row],[Degrees turned]]</f>
        <v>26.036135657888213</v>
      </c>
      <c r="H88" s="1">
        <v>0</v>
      </c>
      <c r="I88" s="3">
        <f>Table9[[#This Row],[Hybrid]]-Table9[[#This Row],[Octane]]</f>
        <v>-2.599316037166588E-2</v>
      </c>
      <c r="J88" s="3">
        <f>Table9[[#This Row],[Dominus]]-Table9[[#This Row],[Octane]]</f>
        <v>8.4446741700681116E-3</v>
      </c>
      <c r="K88" s="3">
        <f>Table9[[#This Row],[Plank]]-Table9[[#This Row],[Octane]]</f>
        <v>-0.40902996022598259</v>
      </c>
      <c r="L88" s="3">
        <f>Table9[[#This Row],[Batmobile]]-Table9[[#This Row],[Octane]]</f>
        <v>-0.63863424977029482</v>
      </c>
      <c r="M88" s="3">
        <f>Table9[[#This Row],[Breakout]]-Table9[[#This Row],[Octane]]</f>
        <v>-0.42291217717842144</v>
      </c>
      <c r="N88" s="4">
        <f>Table9[[#This Row],[Octane]]/Table9[[#This Row],[Hybrid]]</f>
        <v>1.0009833581737546</v>
      </c>
      <c r="O88" s="4">
        <f>Table9[[#This Row],[Octane]]/Table9[[#This Row],[Dominus]]</f>
        <v>0.99968094166203614</v>
      </c>
      <c r="P88" s="4">
        <f>Table9[[#This Row],[Octane]]/Table9[[#This Row],[Plank]]</f>
        <v>1.0157017151462697</v>
      </c>
      <c r="Q88" s="4">
        <f>Table9[[#This Row],[Octane]]/Table9[[#This Row],[Batmobile]]</f>
        <v>1.0247336955955644</v>
      </c>
      <c r="R88" s="4">
        <f>Table9[[#This Row],[Octane]]/Table9[[#This Row],[Breakout]]</f>
        <v>1.0162432775253378</v>
      </c>
    </row>
    <row r="89" spans="1:18">
      <c r="A89" s="1">
        <f>Octane[[#This Row],[Degrees turned]]</f>
        <v>27.388189096618241</v>
      </c>
      <c r="B89" s="1">
        <f>Hybrid[[#This Row],[Degrees turned]]</f>
        <v>27.378402832070829</v>
      </c>
      <c r="C89" s="1">
        <f>Dominus[[#This Row],[Degrees turned]]</f>
        <v>27.418481790358921</v>
      </c>
      <c r="D89" s="1">
        <f>Plank[[#This Row],[Degrees turned]]</f>
        <v>26.992418387555265</v>
      </c>
      <c r="E89" s="1">
        <f>Batmobile[[#This Row],[Degrees turned]]</f>
        <v>26.750502397363281</v>
      </c>
      <c r="F89" s="1">
        <f>Breakout[[#This Row],[Degrees turned]]</f>
        <v>26.981825611812422</v>
      </c>
      <c r="H89" s="1">
        <v>0</v>
      </c>
      <c r="I89" s="3">
        <f>Table9[[#This Row],[Hybrid]]-Table9[[#This Row],[Octane]]</f>
        <v>-9.786264547411605E-3</v>
      </c>
      <c r="J89" s="3">
        <f>Table9[[#This Row],[Dominus]]-Table9[[#This Row],[Octane]]</f>
        <v>3.0292693740680221E-2</v>
      </c>
      <c r="K89" s="3">
        <f>Table9[[#This Row],[Plank]]-Table9[[#This Row],[Octane]]</f>
        <v>-0.39577070906297607</v>
      </c>
      <c r="L89" s="3">
        <f>Table9[[#This Row],[Batmobile]]-Table9[[#This Row],[Octane]]</f>
        <v>-0.63768669925496013</v>
      </c>
      <c r="M89" s="3">
        <f>Table9[[#This Row],[Breakout]]-Table9[[#This Row],[Octane]]</f>
        <v>-0.4063634848058193</v>
      </c>
      <c r="N89" s="4">
        <f>Table9[[#This Row],[Octane]]/Table9[[#This Row],[Hybrid]]</f>
        <v>1.0003574446839516</v>
      </c>
      <c r="O89" s="4">
        <f>Table9[[#This Row],[Octane]]/Table9[[#This Row],[Dominus]]</f>
        <v>0.99889517246168857</v>
      </c>
      <c r="P89" s="4">
        <f>Table9[[#This Row],[Octane]]/Table9[[#This Row],[Plank]]</f>
        <v>1.0146622915879759</v>
      </c>
      <c r="Q89" s="4">
        <f>Table9[[#This Row],[Octane]]/Table9[[#This Row],[Batmobile]]</f>
        <v>1.0238383074000814</v>
      </c>
      <c r="R89" s="4">
        <f>Table9[[#This Row],[Octane]]/Table9[[#This Row],[Breakout]]</f>
        <v>1.0150606371359807</v>
      </c>
    </row>
    <row r="90" spans="1:18">
      <c r="A90" s="1">
        <f>Octane[[#This Row],[Degrees turned]]</f>
        <v>28.319125530568769</v>
      </c>
      <c r="B90" s="1">
        <f>Hybrid[[#This Row],[Degrees turned]]</f>
        <v>28.3260633962709</v>
      </c>
      <c r="C90" s="1">
        <f>Dominus[[#This Row],[Degrees turned]]</f>
        <v>28.371747652185352</v>
      </c>
      <c r="D90" s="1">
        <f>Plank[[#This Row],[Degrees turned]]</f>
        <v>27.937077635550434</v>
      </c>
      <c r="E90" s="1">
        <f>Batmobile[[#This Row],[Degrees turned]]</f>
        <v>27.682250775677435</v>
      </c>
      <c r="F90" s="1">
        <f>Breakout[[#This Row],[Degrees turned]]</f>
        <v>27.929707573135463</v>
      </c>
      <c r="H90" s="1">
        <v>0</v>
      </c>
      <c r="I90" s="3">
        <f>Table9[[#This Row],[Hybrid]]-Table9[[#This Row],[Octane]]</f>
        <v>6.937865702131063E-3</v>
      </c>
      <c r="J90" s="3">
        <f>Table9[[#This Row],[Dominus]]-Table9[[#This Row],[Octane]]</f>
        <v>5.2622121616582973E-2</v>
      </c>
      <c r="K90" s="3">
        <f>Table9[[#This Row],[Plank]]-Table9[[#This Row],[Octane]]</f>
        <v>-0.38204789501833503</v>
      </c>
      <c r="L90" s="3">
        <f>Table9[[#This Row],[Batmobile]]-Table9[[#This Row],[Octane]]</f>
        <v>-0.63687475489133405</v>
      </c>
      <c r="M90" s="3">
        <f>Table9[[#This Row],[Breakout]]-Table9[[#This Row],[Octane]]</f>
        <v>-0.38941795743330587</v>
      </c>
      <c r="N90" s="4">
        <f>Table9[[#This Row],[Octane]]/Table9[[#This Row],[Hybrid]]</f>
        <v>0.99975507130641228</v>
      </c>
      <c r="O90" s="4">
        <f>Table9[[#This Row],[Octane]]/Table9[[#This Row],[Dominus]]</f>
        <v>0.9981452632998965</v>
      </c>
      <c r="P90" s="4">
        <f>Table9[[#This Row],[Octane]]/Table9[[#This Row],[Plank]]</f>
        <v>1.0136752991849145</v>
      </c>
      <c r="Q90" s="4">
        <f>Table9[[#This Row],[Octane]]/Table9[[#This Row],[Batmobile]]</f>
        <v>1.0230066102663484</v>
      </c>
      <c r="R90" s="4">
        <f>Table9[[#This Row],[Octane]]/Table9[[#This Row],[Breakout]]</f>
        <v>1.0139427867768966</v>
      </c>
    </row>
    <row r="91" spans="1:18">
      <c r="A91" s="1">
        <f>Octane[[#This Row],[Degrees turned]]</f>
        <v>29.251747343306029</v>
      </c>
      <c r="B91" s="1">
        <f>Hybrid[[#This Row],[Degrees turned]]</f>
        <v>29.275297390305536</v>
      </c>
      <c r="C91" s="1">
        <f>Dominus[[#This Row],[Degrees turned]]</f>
        <v>29.326734360068247</v>
      </c>
      <c r="D91" s="1">
        <f>Plank[[#This Row],[Degrees turned]]</f>
        <v>28.883336866000928</v>
      </c>
      <c r="E91" s="1">
        <f>Batmobile[[#This Row],[Degrees turned]]</f>
        <v>28.616309124538521</v>
      </c>
      <c r="F91" s="1">
        <f>Breakout[[#This Row],[Degrees turned]]</f>
        <v>28.880623402016521</v>
      </c>
      <c r="H91" s="1">
        <v>0</v>
      </c>
      <c r="I91" s="3">
        <f>Table9[[#This Row],[Hybrid]]-Table9[[#This Row],[Octane]]</f>
        <v>2.3550046999506691E-2</v>
      </c>
      <c r="J91" s="3">
        <f>Table9[[#This Row],[Dominus]]-Table9[[#This Row],[Octane]]</f>
        <v>7.4987016762218417E-2</v>
      </c>
      <c r="K91" s="3">
        <f>Table9[[#This Row],[Plank]]-Table9[[#This Row],[Octane]]</f>
        <v>-0.36841047730510113</v>
      </c>
      <c r="L91" s="3">
        <f>Table9[[#This Row],[Batmobile]]-Table9[[#This Row],[Octane]]</f>
        <v>-0.63543821876750783</v>
      </c>
      <c r="M91" s="3">
        <f>Table9[[#This Row],[Breakout]]-Table9[[#This Row],[Octane]]</f>
        <v>-0.37112394128950754</v>
      </c>
      <c r="N91" s="4">
        <f>Table9[[#This Row],[Octane]]/Table9[[#This Row],[Hybrid]]</f>
        <v>0.99919556591738312</v>
      </c>
      <c r="O91" s="4">
        <f>Table9[[#This Row],[Octane]]/Table9[[#This Row],[Dominus]]</f>
        <v>0.99744304920413085</v>
      </c>
      <c r="P91" s="4">
        <f>Table9[[#This Row],[Octane]]/Table9[[#This Row],[Plank]]</f>
        <v>1.0127551217165203</v>
      </c>
      <c r="Q91" s="4">
        <f>Table9[[#This Row],[Octane]]/Table9[[#This Row],[Batmobile]]</f>
        <v>1.0222054568952996</v>
      </c>
      <c r="R91" s="4">
        <f>Table9[[#This Row],[Octane]]/Table9[[#This Row],[Breakout]]</f>
        <v>1.0128502745984214</v>
      </c>
    </row>
    <row r="92" spans="1:18">
      <c r="A92" s="1">
        <f>Octane[[#This Row],[Degrees turned]]</f>
        <v>30.185590205778212</v>
      </c>
      <c r="B92" s="1">
        <f>Hybrid[[#This Row],[Degrees turned]]</f>
        <v>30.226277771877623</v>
      </c>
      <c r="C92" s="1">
        <f>Dominus[[#This Row],[Degrees turned]]</f>
        <v>30.283433364904813</v>
      </c>
      <c r="D92" s="1">
        <f>Plank[[#This Row],[Degrees turned]]</f>
        <v>29.832044962418752</v>
      </c>
      <c r="E92" s="1">
        <f>Batmobile[[#This Row],[Degrees turned]]</f>
        <v>29.552193093406732</v>
      </c>
      <c r="F92" s="1">
        <f>Breakout[[#This Row],[Degrees turned]]</f>
        <v>29.833183373816158</v>
      </c>
      <c r="H92" s="1">
        <v>0</v>
      </c>
      <c r="I92" s="3">
        <f>Table9[[#This Row],[Hybrid]]-Table9[[#This Row],[Octane]]</f>
        <v>4.0687566099411043E-2</v>
      </c>
      <c r="J92" s="3">
        <f>Table9[[#This Row],[Dominus]]-Table9[[#This Row],[Octane]]</f>
        <v>9.7843159126600909E-2</v>
      </c>
      <c r="K92" s="3">
        <f>Table9[[#This Row],[Plank]]-Table9[[#This Row],[Octane]]</f>
        <v>-0.35354524335945925</v>
      </c>
      <c r="L92" s="3">
        <f>Table9[[#This Row],[Batmobile]]-Table9[[#This Row],[Octane]]</f>
        <v>-0.63339711237147966</v>
      </c>
      <c r="M92" s="3">
        <f>Table9[[#This Row],[Breakout]]-Table9[[#This Row],[Octane]]</f>
        <v>-0.35240683196205325</v>
      </c>
      <c r="N92" s="4">
        <f>Table9[[#This Row],[Octane]]/Table9[[#This Row],[Hybrid]]</f>
        <v>0.9986539008737203</v>
      </c>
      <c r="O92" s="4">
        <f>Table9[[#This Row],[Octane]]/Table9[[#This Row],[Dominus]]</f>
        <v>0.99676908632031169</v>
      </c>
      <c r="P92" s="4">
        <f>Table9[[#This Row],[Octane]]/Table9[[#This Row],[Plank]]</f>
        <v>1.0118511903493321</v>
      </c>
      <c r="Q92" s="4">
        <f>Table9[[#This Row],[Octane]]/Table9[[#This Row],[Batmobile]]</f>
        <v>1.0214331677642157</v>
      </c>
      <c r="R92" s="4">
        <f>Table9[[#This Row],[Octane]]/Table9[[#This Row],[Breakout]]</f>
        <v>1.0118125788839334</v>
      </c>
    </row>
    <row r="93" spans="1:18">
      <c r="A93" s="1">
        <f>Octane[[#This Row],[Degrees turned]]</f>
        <v>31.120637376694333</v>
      </c>
      <c r="B93" s="1">
        <f>Hybrid[[#This Row],[Degrees turned]]</f>
        <v>31.178532687289458</v>
      </c>
      <c r="C93" s="1">
        <f>Dominus[[#This Row],[Degrees turned]]</f>
        <v>31.241945883997108</v>
      </c>
      <c r="D93" s="1">
        <f>Plank[[#This Row],[Degrees turned]]</f>
        <v>30.782536329963438</v>
      </c>
      <c r="E93" s="1">
        <f>Batmobile[[#This Row],[Degrees turned]]</f>
        <v>30.489831137922881</v>
      </c>
      <c r="F93" s="1">
        <f>Breakout[[#This Row],[Degrees turned]]</f>
        <v>30.788043153022048</v>
      </c>
      <c r="H93" s="1">
        <v>0</v>
      </c>
      <c r="I93" s="3">
        <f>Table9[[#This Row],[Hybrid]]-Table9[[#This Row],[Octane]]</f>
        <v>5.7895310595124982E-2</v>
      </c>
      <c r="J93" s="3">
        <f>Table9[[#This Row],[Dominus]]-Table9[[#This Row],[Octane]]</f>
        <v>0.12130850730277487</v>
      </c>
      <c r="K93" s="3">
        <f>Table9[[#This Row],[Plank]]-Table9[[#This Row],[Octane]]</f>
        <v>-0.33810104673089469</v>
      </c>
      <c r="L93" s="3">
        <f>Table9[[#This Row],[Batmobile]]-Table9[[#This Row],[Octane]]</f>
        <v>-0.63080623877145214</v>
      </c>
      <c r="M93" s="3">
        <f>Table9[[#This Row],[Breakout]]-Table9[[#This Row],[Octane]]</f>
        <v>-0.33259422367228453</v>
      </c>
      <c r="N93" s="4">
        <f>Table9[[#This Row],[Octane]]/Table9[[#This Row],[Hybrid]]</f>
        <v>0.99814310342389112</v>
      </c>
      <c r="O93" s="4">
        <f>Table9[[#This Row],[Octane]]/Table9[[#This Row],[Dominus]]</f>
        <v>0.99611712702681199</v>
      </c>
      <c r="P93" s="4">
        <f>Table9[[#This Row],[Octane]]/Table9[[#This Row],[Plank]]</f>
        <v>1.010983534401023</v>
      </c>
      <c r="Q93" s="4">
        <f>Table9[[#This Row],[Octane]]/Table9[[#This Row],[Batmobile]]</f>
        <v>1.0206890696087478</v>
      </c>
      <c r="R93" s="4">
        <f>Table9[[#This Row],[Octane]]/Table9[[#This Row],[Breakout]]</f>
        <v>1.0108027074672863</v>
      </c>
    </row>
    <row r="94" spans="1:18">
      <c r="A94" s="1">
        <f>Octane[[#This Row],[Degrees turned]]</f>
        <v>32.056372424623206</v>
      </c>
      <c r="B94" s="1">
        <f>Hybrid[[#This Row],[Degrees turned]]</f>
        <v>32.132539970689365</v>
      </c>
      <c r="C94" s="1">
        <f>Dominus[[#This Row],[Degrees turned]]</f>
        <v>32.20216392093252</v>
      </c>
      <c r="D94" s="1">
        <f>Plank[[#This Row],[Degrees turned]]</f>
        <v>31.734812993480258</v>
      </c>
      <c r="E94" s="1">
        <f>Batmobile[[#This Row],[Degrees turned]]</f>
        <v>31.428708521514832</v>
      </c>
      <c r="F94" s="1">
        <f>Breakout[[#This Row],[Degrees turned]]</f>
        <v>31.744823763552251</v>
      </c>
      <c r="H94" s="1">
        <v>0</v>
      </c>
      <c r="I94" s="3">
        <f>Table9[[#This Row],[Hybrid]]-Table9[[#This Row],[Octane]]</f>
        <v>7.6167546066159275E-2</v>
      </c>
      <c r="J94" s="3">
        <f>Table9[[#This Row],[Dominus]]-Table9[[#This Row],[Octane]]</f>
        <v>0.14579149630931454</v>
      </c>
      <c r="K94" s="3">
        <f>Table9[[#This Row],[Plank]]-Table9[[#This Row],[Octane]]</f>
        <v>-0.32155943114294772</v>
      </c>
      <c r="L94" s="3">
        <f>Table9[[#This Row],[Batmobile]]-Table9[[#This Row],[Octane]]</f>
        <v>-0.62766390310837394</v>
      </c>
      <c r="M94" s="3">
        <f>Table9[[#This Row],[Breakout]]-Table9[[#This Row],[Octane]]</f>
        <v>-0.31154866107095458</v>
      </c>
      <c r="N94" s="4">
        <f>Table9[[#This Row],[Octane]]/Table9[[#This Row],[Hybrid]]</f>
        <v>0.99762958215766206</v>
      </c>
      <c r="O94" s="4">
        <f>Table9[[#This Row],[Octane]]/Table9[[#This Row],[Dominus]]</f>
        <v>0.99547261803066145</v>
      </c>
      <c r="P94" s="4">
        <f>Table9[[#This Row],[Octane]]/Table9[[#This Row],[Plank]]</f>
        <v>1.0101327028840223</v>
      </c>
      <c r="Q94" s="4">
        <f>Table9[[#This Row],[Octane]]/Table9[[#This Row],[Batmobile]]</f>
        <v>1.0199710370751855</v>
      </c>
      <c r="R94" s="4">
        <f>Table9[[#This Row],[Octane]]/Table9[[#This Row],[Breakout]]</f>
        <v>1.009814156266593</v>
      </c>
    </row>
    <row r="95" spans="1:18">
      <c r="A95" s="1">
        <f>Octane[[#This Row],[Degrees turned]]</f>
        <v>32.99340469135339</v>
      </c>
      <c r="B95" s="1">
        <f>Hybrid[[#This Row],[Degrees turned]]</f>
        <v>33.087887608242482</v>
      </c>
      <c r="C95" s="1">
        <f>Dominus[[#This Row],[Degrees turned]]</f>
        <v>33.163718647097099</v>
      </c>
      <c r="D95" s="1">
        <f>Plank[[#This Row],[Degrees turned]]</f>
        <v>32.688309253689937</v>
      </c>
      <c r="E95" s="1">
        <f>Batmobile[[#This Row],[Degrees turned]]</f>
        <v>32.368934888340476</v>
      </c>
      <c r="F95" s="1">
        <f>Breakout[[#This Row],[Degrees turned]]</f>
        <v>32.703532828383345</v>
      </c>
      <c r="H95" s="1">
        <v>0</v>
      </c>
      <c r="I95" s="3">
        <f>Table9[[#This Row],[Hybrid]]-Table9[[#This Row],[Octane]]</f>
        <v>9.4482916889091939E-2</v>
      </c>
      <c r="J95" s="3">
        <f>Table9[[#This Row],[Dominus]]-Table9[[#This Row],[Octane]]</f>
        <v>0.17031395574370833</v>
      </c>
      <c r="K95" s="3">
        <f>Table9[[#This Row],[Plank]]-Table9[[#This Row],[Octane]]</f>
        <v>-0.30509543766345359</v>
      </c>
      <c r="L95" s="3">
        <f>Table9[[#This Row],[Batmobile]]-Table9[[#This Row],[Octane]]</f>
        <v>-0.62446980301291433</v>
      </c>
      <c r="M95" s="3">
        <f>Table9[[#This Row],[Breakout]]-Table9[[#This Row],[Octane]]</f>
        <v>-0.28987186297004541</v>
      </c>
      <c r="N95" s="4">
        <f>Table9[[#This Row],[Octane]]/Table9[[#This Row],[Hybrid]]</f>
        <v>0.99714448628429353</v>
      </c>
      <c r="O95" s="4">
        <f>Table9[[#This Row],[Octane]]/Table9[[#This Row],[Dominus]]</f>
        <v>0.99486444938349472</v>
      </c>
      <c r="P95" s="4">
        <f>Table9[[#This Row],[Octane]]/Table9[[#This Row],[Plank]]</f>
        <v>1.0093334725664656</v>
      </c>
      <c r="Q95" s="4">
        <f>Table9[[#This Row],[Octane]]/Table9[[#This Row],[Batmobile]]</f>
        <v>1.0192922567630687</v>
      </c>
      <c r="R95" s="4">
        <f>Table9[[#This Row],[Octane]]/Table9[[#This Row],[Breakout]]</f>
        <v>1.0088636253609415</v>
      </c>
    </row>
    <row r="96" spans="1:18">
      <c r="A96" s="1">
        <f>Octane[[#This Row],[Degrees turned]]</f>
        <v>33.931264201604179</v>
      </c>
      <c r="B96" s="1">
        <f>Hybrid[[#This Row],[Degrees turned]]</f>
        <v>34.044403494612389</v>
      </c>
      <c r="C96" s="1">
        <f>Dominus[[#This Row],[Degrees turned]]</f>
        <v>34.126594158672773</v>
      </c>
      <c r="D96" s="1">
        <f>Plank[[#This Row],[Degrees turned]]</f>
        <v>33.643107471406246</v>
      </c>
      <c r="E96" s="1">
        <f>Batmobile[[#This Row],[Degrees turned]]</f>
        <v>33.310319965403423</v>
      </c>
      <c r="F96" s="1">
        <f>Breakout[[#This Row],[Degrees turned]]</f>
        <v>33.663406185116777</v>
      </c>
      <c r="H96" s="1">
        <v>0</v>
      </c>
      <c r="I96" s="3">
        <f>Table9[[#This Row],[Hybrid]]-Table9[[#This Row],[Octane]]</f>
        <v>0.11313929300821002</v>
      </c>
      <c r="J96" s="3">
        <f>Table9[[#This Row],[Dominus]]-Table9[[#This Row],[Octane]]</f>
        <v>0.19532995706859424</v>
      </c>
      <c r="K96" s="3">
        <f>Table9[[#This Row],[Plank]]-Table9[[#This Row],[Octane]]</f>
        <v>-0.28815673019793309</v>
      </c>
      <c r="L96" s="3">
        <f>Table9[[#This Row],[Batmobile]]-Table9[[#This Row],[Octane]]</f>
        <v>-0.62094423620075645</v>
      </c>
      <c r="M96" s="3">
        <f>Table9[[#This Row],[Breakout]]-Table9[[#This Row],[Octane]]</f>
        <v>-0.26785801648740204</v>
      </c>
      <c r="N96" s="4">
        <f>Table9[[#This Row],[Octane]]/Table9[[#This Row],[Hybrid]]</f>
        <v>0.99667671389730428</v>
      </c>
      <c r="O96" s="4">
        <f>Table9[[#This Row],[Octane]]/Table9[[#This Row],[Dominus]]</f>
        <v>0.99427631259772364</v>
      </c>
      <c r="P96" s="4">
        <f>Table9[[#This Row],[Octane]]/Table9[[#This Row],[Plank]]</f>
        <v>1.0085651044702943</v>
      </c>
      <c r="Q96" s="4">
        <f>Table9[[#This Row],[Octane]]/Table9[[#This Row],[Batmobile]]</f>
        <v>1.0186411969877707</v>
      </c>
      <c r="R96" s="4">
        <f>Table9[[#This Row],[Octane]]/Table9[[#This Row],[Breakout]]</f>
        <v>1.0079569493061526</v>
      </c>
    </row>
    <row r="97" spans="1:18">
      <c r="A97" s="1">
        <f>Octane[[#This Row],[Degrees turned]]</f>
        <v>34.86979749870568</v>
      </c>
      <c r="B97" s="1">
        <f>Hybrid[[#This Row],[Degrees turned]]</f>
        <v>35.00186426135523</v>
      </c>
      <c r="C97" s="1">
        <f>Dominus[[#This Row],[Degrees turned]]</f>
        <v>35.090799856113037</v>
      </c>
      <c r="D97" s="1">
        <f>Plank[[#This Row],[Degrees turned]]</f>
        <v>34.599390368497446</v>
      </c>
      <c r="E97" s="1">
        <f>Batmobile[[#This Row],[Degrees turned]]</f>
        <v>34.253291640380425</v>
      </c>
      <c r="F97" s="1">
        <f>Breakout[[#This Row],[Degrees turned]]</f>
        <v>34.625308344166037</v>
      </c>
      <c r="H97" s="1">
        <v>0</v>
      </c>
      <c r="I97" s="3">
        <f>Table9[[#This Row],[Hybrid]]-Table9[[#This Row],[Octane]]</f>
        <v>0.13206676264955064</v>
      </c>
      <c r="J97" s="3">
        <f>Table9[[#This Row],[Dominus]]-Table9[[#This Row],[Octane]]</f>
        <v>0.22100235740735741</v>
      </c>
      <c r="K97" s="3">
        <f>Table9[[#This Row],[Plank]]-Table9[[#This Row],[Octane]]</f>
        <v>-0.27040713020823404</v>
      </c>
      <c r="L97" s="3">
        <f>Table9[[#This Row],[Batmobile]]-Table9[[#This Row],[Octane]]</f>
        <v>-0.61650585832525451</v>
      </c>
      <c r="M97" s="3">
        <f>Table9[[#This Row],[Breakout]]-Table9[[#This Row],[Octane]]</f>
        <v>-0.24448915453964304</v>
      </c>
      <c r="N97" s="4">
        <f>Table9[[#This Row],[Octane]]/Table9[[#This Row],[Hybrid]]</f>
        <v>0.9962268648988688</v>
      </c>
      <c r="O97" s="4">
        <f>Table9[[#This Row],[Octane]]/Table9[[#This Row],[Dominus]]</f>
        <v>0.99370198575371438</v>
      </c>
      <c r="P97" s="4">
        <f>Table9[[#This Row],[Octane]]/Table9[[#This Row],[Plank]]</f>
        <v>1.0078153726793533</v>
      </c>
      <c r="Q97" s="4">
        <f>Table9[[#This Row],[Octane]]/Table9[[#This Row],[Batmobile]]</f>
        <v>1.0179984412826026</v>
      </c>
      <c r="R97" s="4">
        <f>Table9[[#This Row],[Octane]]/Table9[[#This Row],[Breakout]]</f>
        <v>1.0070609957349546</v>
      </c>
    </row>
    <row r="98" spans="1:18">
      <c r="A98" s="1">
        <f>Octane[[#This Row],[Degrees turned]]</f>
        <v>35.809319028077496</v>
      </c>
      <c r="B98" s="1">
        <f>Hybrid[[#This Row],[Degrees turned]]</f>
        <v>35.960070303185923</v>
      </c>
      <c r="C98" s="1">
        <f>Dominus[[#This Row],[Degrees turned]]</f>
        <v>36.05573745651634</v>
      </c>
      <c r="D98" s="1">
        <f>Plank[[#This Row],[Degrees turned]]</f>
        <v>35.556349027141088</v>
      </c>
      <c r="E98" s="1">
        <f>Batmobile[[#This Row],[Degrees turned]]</f>
        <v>35.196996195108099</v>
      </c>
      <c r="F98" s="1">
        <f>Breakout[[#This Row],[Degrees turned]]</f>
        <v>35.58864509204053</v>
      </c>
      <c r="H98" s="1">
        <v>0</v>
      </c>
      <c r="I98" s="3">
        <f>Table9[[#This Row],[Hybrid]]-Table9[[#This Row],[Octane]]</f>
        <v>0.15075127510842634</v>
      </c>
      <c r="J98" s="3">
        <f>Table9[[#This Row],[Dominus]]-Table9[[#This Row],[Octane]]</f>
        <v>0.24641842843884376</v>
      </c>
      <c r="K98" s="3">
        <f>Table9[[#This Row],[Plank]]-Table9[[#This Row],[Octane]]</f>
        <v>-0.25297000093640776</v>
      </c>
      <c r="L98" s="3">
        <f>Table9[[#This Row],[Batmobile]]-Table9[[#This Row],[Octane]]</f>
        <v>-0.61232283296939727</v>
      </c>
      <c r="M98" s="3">
        <f>Table9[[#This Row],[Breakout]]-Table9[[#This Row],[Octane]]</f>
        <v>-0.22067393603696672</v>
      </c>
      <c r="N98" s="4">
        <f>Table9[[#This Row],[Octane]]/Table9[[#This Row],[Hybrid]]</f>
        <v>0.99580781478352476</v>
      </c>
      <c r="O98" s="4">
        <f>Table9[[#This Row],[Octane]]/Table9[[#This Row],[Dominus]]</f>
        <v>0.9931656250621409</v>
      </c>
      <c r="P98" s="4">
        <f>Table9[[#This Row],[Octane]]/Table9[[#This Row],[Plank]]</f>
        <v>1.0071146225036578</v>
      </c>
      <c r="Q98" s="4">
        <f>Table9[[#This Row],[Octane]]/Table9[[#This Row],[Batmobile]]</f>
        <v>1.0173970196085795</v>
      </c>
      <c r="R98" s="4">
        <f>Table9[[#This Row],[Octane]]/Table9[[#This Row],[Breakout]]</f>
        <v>1.0062006838267163</v>
      </c>
    </row>
    <row r="99" spans="1:18">
      <c r="A99" s="1">
        <f>Octane[[#This Row],[Degrees turned]]</f>
        <v>36.749179446003609</v>
      </c>
      <c r="B99" s="1">
        <f>Hybrid[[#This Row],[Degrees turned]]</f>
        <v>36.919090896449596</v>
      </c>
      <c r="C99" s="1">
        <f>Dominus[[#This Row],[Degrees turned]]</f>
        <v>37.022235497849891</v>
      </c>
      <c r="D99" s="1">
        <f>Plank[[#This Row],[Degrees turned]]</f>
        <v>36.514878204270381</v>
      </c>
      <c r="E99" s="1">
        <f>Batmobile[[#This Row],[Degrees turned]]</f>
        <v>36.141574088412554</v>
      </c>
      <c r="F99" s="1">
        <f>Breakout[[#This Row],[Degrees turned]]</f>
        <v>36.552741725145474</v>
      </c>
      <c r="H99" s="1">
        <v>0</v>
      </c>
      <c r="I99" s="3">
        <f>Table9[[#This Row],[Hybrid]]-Table9[[#This Row],[Octane]]</f>
        <v>0.1699114504459871</v>
      </c>
      <c r="J99" s="3">
        <f>Table9[[#This Row],[Dominus]]-Table9[[#This Row],[Octane]]</f>
        <v>0.27305605184628234</v>
      </c>
      <c r="K99" s="3">
        <f>Table9[[#This Row],[Plank]]-Table9[[#This Row],[Octane]]</f>
        <v>-0.23430124173322753</v>
      </c>
      <c r="L99" s="3">
        <f>Table9[[#This Row],[Batmobile]]-Table9[[#This Row],[Octane]]</f>
        <v>-0.60760535759105494</v>
      </c>
      <c r="M99" s="3">
        <f>Table9[[#This Row],[Breakout]]-Table9[[#This Row],[Octane]]</f>
        <v>-0.19643772085813538</v>
      </c>
      <c r="N99" s="4">
        <f>Table9[[#This Row],[Octane]]/Table9[[#This Row],[Hybrid]]</f>
        <v>0.99539773471338844</v>
      </c>
      <c r="O99" s="4">
        <f>Table9[[#This Row],[Octane]]/Table9[[#This Row],[Dominus]]</f>
        <v>0.9926245390594487</v>
      </c>
      <c r="P99" s="4">
        <f>Table9[[#This Row],[Octane]]/Table9[[#This Row],[Plank]]</f>
        <v>1.0064165965561356</v>
      </c>
      <c r="Q99" s="4">
        <f>Table9[[#This Row],[Octane]]/Table9[[#This Row],[Batmobile]]</f>
        <v>1.016811812238855</v>
      </c>
      <c r="R99" s="4">
        <f>Table9[[#This Row],[Octane]]/Table9[[#This Row],[Breakout]]</f>
        <v>1.0053740899201278</v>
      </c>
    </row>
    <row r="100" spans="1:18">
      <c r="A100" s="1">
        <f>Octane[[#This Row],[Degrees turned]]</f>
        <v>37.689829212177173</v>
      </c>
      <c r="B100" s="1">
        <f>Hybrid[[#This Row],[Degrees turned]]</f>
        <v>37.879109994982763</v>
      </c>
      <c r="C100" s="1">
        <f>Dominus[[#This Row],[Degrees turned]]</f>
        <v>37.989070275339174</v>
      </c>
      <c r="D100" s="1">
        <f>Plank[[#This Row],[Degrees turned]]</f>
        <v>37.47420559926983</v>
      </c>
      <c r="E100" s="1">
        <f>Batmobile[[#This Row],[Degrees turned]]</f>
        <v>37.087169317634476</v>
      </c>
      <c r="F100" s="1">
        <f>Breakout[[#This Row],[Degrees turned]]</f>
        <v>37.518428219268664</v>
      </c>
      <c r="H100" s="1">
        <v>0</v>
      </c>
      <c r="I100" s="3">
        <f>Table9[[#This Row],[Hybrid]]-Table9[[#This Row],[Octane]]</f>
        <v>0.18928078280558935</v>
      </c>
      <c r="J100" s="3">
        <f>Table9[[#This Row],[Dominus]]-Table9[[#This Row],[Octane]]</f>
        <v>0.29924106316200039</v>
      </c>
      <c r="K100" s="3">
        <f>Table9[[#This Row],[Plank]]-Table9[[#This Row],[Octane]]</f>
        <v>-0.21562361290734344</v>
      </c>
      <c r="L100" s="3">
        <f>Table9[[#This Row],[Batmobile]]-Table9[[#This Row],[Octane]]</f>
        <v>-0.60265989454269686</v>
      </c>
      <c r="M100" s="3">
        <f>Table9[[#This Row],[Breakout]]-Table9[[#This Row],[Octane]]</f>
        <v>-0.17140099290850941</v>
      </c>
      <c r="N100" s="4">
        <f>Table9[[#This Row],[Octane]]/Table9[[#This Row],[Hybrid]]</f>
        <v>0.99500302982750488</v>
      </c>
      <c r="O100" s="4">
        <f>Table9[[#This Row],[Octane]]/Table9[[#This Row],[Dominus]]</f>
        <v>0.992122969554318</v>
      </c>
      <c r="P100" s="4">
        <f>Table9[[#This Row],[Octane]]/Table9[[#This Row],[Plank]]</f>
        <v>1.0057539208492667</v>
      </c>
      <c r="Q100" s="4">
        <f>Table9[[#This Row],[Octane]]/Table9[[#This Row],[Batmobile]]</f>
        <v>1.0162498218556717</v>
      </c>
      <c r="R100" s="4">
        <f>Table9[[#This Row],[Octane]]/Table9[[#This Row],[Breakout]]</f>
        <v>1.0045684481211949</v>
      </c>
    </row>
    <row r="101" spans="1:18">
      <c r="A101" s="1">
        <f>Octane[[#This Row],[Degrees turned]]</f>
        <v>38.631025098471397</v>
      </c>
      <c r="B101" s="1">
        <f>Hybrid[[#This Row],[Degrees turned]]</f>
        <v>38.840142414826495</v>
      </c>
      <c r="C101" s="1">
        <f>Dominus[[#This Row],[Degrees turned]]</f>
        <v>38.956863247910093</v>
      </c>
      <c r="D101" s="1">
        <f>Plank[[#This Row],[Degrees turned]]</f>
        <v>38.434637720698554</v>
      </c>
      <c r="E101" s="1">
        <f>Batmobile[[#This Row],[Degrees turned]]</f>
        <v>38.033612981305978</v>
      </c>
      <c r="F101" s="1">
        <f>Breakout[[#This Row],[Degrees turned]]</f>
        <v>38.48506927132113</v>
      </c>
      <c r="H101" s="1">
        <v>0</v>
      </c>
      <c r="I101" s="3">
        <f>Table9[[#This Row],[Hybrid]]-Table9[[#This Row],[Octane]]</f>
        <v>0.20911731635509767</v>
      </c>
      <c r="J101" s="3">
        <f>Table9[[#This Row],[Dominus]]-Table9[[#This Row],[Octane]]</f>
        <v>0.32583814943869527</v>
      </c>
      <c r="K101" s="3">
        <f>Table9[[#This Row],[Plank]]-Table9[[#This Row],[Octane]]</f>
        <v>-0.19638737777284376</v>
      </c>
      <c r="L101" s="3">
        <f>Table9[[#This Row],[Batmobile]]-Table9[[#This Row],[Octane]]</f>
        <v>-0.59741211716541898</v>
      </c>
      <c r="M101" s="3">
        <f>Table9[[#This Row],[Breakout]]-Table9[[#This Row],[Octane]]</f>
        <v>-0.14595582715026723</v>
      </c>
      <c r="N101" s="4">
        <f>Table9[[#This Row],[Octane]]/Table9[[#This Row],[Hybrid]]</f>
        <v>0.99461594877481008</v>
      </c>
      <c r="O101" s="4">
        <f>Table9[[#This Row],[Octane]]/Table9[[#This Row],[Dominus]]</f>
        <v>0.99163592439757897</v>
      </c>
      <c r="P101" s="4">
        <f>Table9[[#This Row],[Octane]]/Table9[[#This Row],[Plank]]</f>
        <v>1.0051096456066524</v>
      </c>
      <c r="Q101" s="4">
        <f>Table9[[#This Row],[Octane]]/Table9[[#This Row],[Batmobile]]</f>
        <v>1.0157074774215917</v>
      </c>
      <c r="R101" s="4">
        <f>Table9[[#This Row],[Octane]]/Table9[[#This Row],[Breakout]]</f>
        <v>1.003792531231301</v>
      </c>
    </row>
    <row r="102" spans="1:18">
      <c r="A102" s="1">
        <f>Octane[[#This Row],[Degrees turned]]</f>
        <v>39.572830510868229</v>
      </c>
      <c r="B102" s="1">
        <f>Hybrid[[#This Row],[Degrees turned]]</f>
        <v>39.801630198549169</v>
      </c>
      <c r="C102" s="1">
        <f>Dominus[[#This Row],[Degrees turned]]</f>
        <v>39.925630223941141</v>
      </c>
      <c r="D102" s="1">
        <f>Plank[[#This Row],[Degrees turned]]</f>
        <v>39.396125764192242</v>
      </c>
      <c r="E102" s="1">
        <f>Batmobile[[#This Row],[Degrees turned]]</f>
        <v>38.980593077699254</v>
      </c>
      <c r="F102" s="1">
        <f>Breakout[[#This Row],[Degrees turned]]</f>
        <v>39.452645382624972</v>
      </c>
      <c r="H102" s="1">
        <v>0</v>
      </c>
      <c r="I102" s="3">
        <f>Table9[[#This Row],[Hybrid]]-Table9[[#This Row],[Octane]]</f>
        <v>0.22879968768094017</v>
      </c>
      <c r="J102" s="3">
        <f>Table9[[#This Row],[Dominus]]-Table9[[#This Row],[Octane]]</f>
        <v>0.35279971307291191</v>
      </c>
      <c r="K102" s="3">
        <f>Table9[[#This Row],[Plank]]-Table9[[#This Row],[Octane]]</f>
        <v>-0.17670474667598768</v>
      </c>
      <c r="L102" s="3">
        <f>Table9[[#This Row],[Batmobile]]-Table9[[#This Row],[Octane]]</f>
        <v>-0.59223743316897526</v>
      </c>
      <c r="M102" s="3">
        <f>Table9[[#This Row],[Breakout]]-Table9[[#This Row],[Octane]]</f>
        <v>-0.12018512824325711</v>
      </c>
      <c r="N102" s="4">
        <f>Table9[[#This Row],[Octane]]/Table9[[#This Row],[Hybrid]]</f>
        <v>0.99425149958583148</v>
      </c>
      <c r="O102" s="4">
        <f>Table9[[#This Row],[Octane]]/Table9[[#This Row],[Dominus]]</f>
        <v>0.99116357810524036</v>
      </c>
      <c r="P102" s="4">
        <f>Table9[[#This Row],[Octane]]/Table9[[#This Row],[Plank]]</f>
        <v>1.0044853330942658</v>
      </c>
      <c r="Q102" s="4">
        <f>Table9[[#This Row],[Octane]]/Table9[[#This Row],[Batmobile]]</f>
        <v>1.0151931355171657</v>
      </c>
      <c r="R102" s="4">
        <f>Table9[[#This Row],[Octane]]/Table9[[#This Row],[Breakout]]</f>
        <v>1.0030463135507812</v>
      </c>
    </row>
    <row r="103" spans="1:18">
      <c r="A103" s="1">
        <f>Octane[[#This Row],[Degrees turned]]</f>
        <v>40.515041338660566</v>
      </c>
      <c r="B103" s="1">
        <f>Hybrid[[#This Row],[Degrees turned]]</f>
        <v>40.764176299996329</v>
      </c>
      <c r="C103" s="1">
        <f>Dominus[[#This Row],[Degrees turned]]</f>
        <v>40.895020044213155</v>
      </c>
      <c r="D103" s="1">
        <f>Plank[[#This Row],[Degrees turned]]</f>
        <v>40.357946177984296</v>
      </c>
      <c r="E103" s="1">
        <f>Batmobile[[#This Row],[Degrees turned]]</f>
        <v>39.928712256200768</v>
      </c>
      <c r="F103" s="1">
        <f>Breakout[[#This Row],[Degrees turned]]</f>
        <v>40.421398114868246</v>
      </c>
      <c r="H103" s="1">
        <v>0</v>
      </c>
      <c r="I103" s="3">
        <f>Table9[[#This Row],[Hybrid]]-Table9[[#This Row],[Octane]]</f>
        <v>0.24913496133576274</v>
      </c>
      <c r="J103" s="3">
        <f>Table9[[#This Row],[Dominus]]-Table9[[#This Row],[Octane]]</f>
        <v>0.37997870555258828</v>
      </c>
      <c r="K103" s="3">
        <f>Table9[[#This Row],[Plank]]-Table9[[#This Row],[Octane]]</f>
        <v>-0.1570951606762705</v>
      </c>
      <c r="L103" s="3">
        <f>Table9[[#This Row],[Batmobile]]-Table9[[#This Row],[Octane]]</f>
        <v>-0.5863290824597982</v>
      </c>
      <c r="M103" s="3">
        <f>Table9[[#This Row],[Breakout]]-Table9[[#This Row],[Octane]]</f>
        <v>-9.364322379231993E-2</v>
      </c>
      <c r="N103" s="4">
        <f>Table9[[#This Row],[Octane]]/Table9[[#This Row],[Hybrid]]</f>
        <v>0.99388838475473418</v>
      </c>
      <c r="O103" s="4">
        <f>Table9[[#This Row],[Octane]]/Table9[[#This Row],[Dominus]]</f>
        <v>0.99070843576695211</v>
      </c>
      <c r="P103" s="4">
        <f>Table9[[#This Row],[Octane]]/Table9[[#This Row],[Plank]]</f>
        <v>1.003892545968109</v>
      </c>
      <c r="Q103" s="4">
        <f>Table9[[#This Row],[Octane]]/Table9[[#This Row],[Batmobile]]</f>
        <v>1.0146843975006667</v>
      </c>
      <c r="R103" s="4">
        <f>Table9[[#This Row],[Octane]]/Table9[[#This Row],[Breakout]]</f>
        <v>1.0023166745377339</v>
      </c>
    </row>
    <row r="104" spans="1:18">
      <c r="A104" s="1">
        <f>Octane[[#This Row],[Degrees turned]]</f>
        <v>41.457188792865992</v>
      </c>
      <c r="B104" s="1">
        <f>Hybrid[[#This Row],[Degrees turned]]</f>
        <v>41.727325066757878</v>
      </c>
      <c r="C104" s="1">
        <f>Dominus[[#This Row],[Degrees turned]]</f>
        <v>41.864891534338497</v>
      </c>
      <c r="D104" s="1">
        <f>Plank[[#This Row],[Degrees turned]]</f>
        <v>41.32038594045499</v>
      </c>
      <c r="E104" s="1">
        <f>Batmobile[[#This Row],[Degrees turned]]</f>
        <v>40.877349868169489</v>
      </c>
      <c r="F104" s="1">
        <f>Breakout[[#This Row],[Degrees turned]]</f>
        <v>41.390756480426269</v>
      </c>
      <c r="H104" s="1">
        <v>0</v>
      </c>
      <c r="I104" s="3">
        <f>Table9[[#This Row],[Hybrid]]-Table9[[#This Row],[Octane]]</f>
        <v>0.27013627389188599</v>
      </c>
      <c r="J104" s="3">
        <f>Table9[[#This Row],[Dominus]]-Table9[[#This Row],[Octane]]</f>
        <v>0.40770274147250518</v>
      </c>
      <c r="K104" s="3">
        <f>Table9[[#This Row],[Plank]]-Table9[[#This Row],[Octane]]</f>
        <v>-0.13680285241100165</v>
      </c>
      <c r="L104" s="3">
        <f>Table9[[#This Row],[Batmobile]]-Table9[[#This Row],[Octane]]</f>
        <v>-0.579838924696503</v>
      </c>
      <c r="M104" s="3">
        <f>Table9[[#This Row],[Breakout]]-Table9[[#This Row],[Octane]]</f>
        <v>-6.6432312439722807E-2</v>
      </c>
      <c r="N104" s="4">
        <f>Table9[[#This Row],[Octane]]/Table9[[#This Row],[Hybrid]]</f>
        <v>0.99352615406188383</v>
      </c>
      <c r="O104" s="4">
        <f>Table9[[#This Row],[Octane]]/Table9[[#This Row],[Dominus]]</f>
        <v>0.99026146428354889</v>
      </c>
      <c r="P104" s="4">
        <f>Table9[[#This Row],[Octane]]/Table9[[#This Row],[Plank]]</f>
        <v>1.0033107835103028</v>
      </c>
      <c r="Q104" s="4">
        <f>Table9[[#This Row],[Octane]]/Table9[[#This Row],[Batmobile]]</f>
        <v>1.0141848462918095</v>
      </c>
      <c r="R104" s="4">
        <f>Table9[[#This Row],[Octane]]/Table9[[#This Row],[Breakout]]</f>
        <v>1.0016050035826511</v>
      </c>
    </row>
    <row r="105" spans="1:18">
      <c r="A105" s="1">
        <f>Octane[[#This Row],[Degrees turned]]</f>
        <v>42.400143937996887</v>
      </c>
      <c r="B105" s="1">
        <f>Hybrid[[#This Row],[Degrees turned]]</f>
        <v>42.690492415526286</v>
      </c>
      <c r="C105" s="1">
        <f>Dominus[[#This Row],[Degrees turned]]</f>
        <v>42.835373780212876</v>
      </c>
      <c r="D105" s="1">
        <f>Plank[[#This Row],[Degrees turned]]</f>
        <v>42.283461854026861</v>
      </c>
      <c r="E105" s="1">
        <f>Batmobile[[#This Row],[Degrees turned]]</f>
        <v>41.826627723267251</v>
      </c>
      <c r="F105" s="1">
        <f>Breakout[[#This Row],[Degrees turned]]</f>
        <v>42.361172245755334</v>
      </c>
      <c r="H105" s="1">
        <v>0</v>
      </c>
      <c r="I105" s="3">
        <f>Table9[[#This Row],[Hybrid]]-Table9[[#This Row],[Octane]]</f>
        <v>0.29034847752939896</v>
      </c>
      <c r="J105" s="3">
        <f>Table9[[#This Row],[Dominus]]-Table9[[#This Row],[Octane]]</f>
        <v>0.43522984221598904</v>
      </c>
      <c r="K105" s="3">
        <f>Table9[[#This Row],[Plank]]-Table9[[#This Row],[Octane]]</f>
        <v>-0.11668208397002644</v>
      </c>
      <c r="L105" s="3">
        <f>Table9[[#This Row],[Batmobile]]-Table9[[#This Row],[Octane]]</f>
        <v>-0.57351621472963643</v>
      </c>
      <c r="M105" s="3">
        <f>Table9[[#This Row],[Breakout]]-Table9[[#This Row],[Octane]]</f>
        <v>-3.8971692241553058E-2</v>
      </c>
      <c r="N105" s="4">
        <f>Table9[[#This Row],[Octane]]/Table9[[#This Row],[Hybrid]]</f>
        <v>0.9931987554815882</v>
      </c>
      <c r="O105" s="4">
        <f>Table9[[#This Row],[Octane]]/Table9[[#This Row],[Dominus]]</f>
        <v>0.98983947602630618</v>
      </c>
      <c r="P105" s="4">
        <f>Table9[[#This Row],[Octane]]/Table9[[#This Row],[Plank]]</f>
        <v>1.0027595205986881</v>
      </c>
      <c r="Q105" s="4">
        <f>Table9[[#This Row],[Octane]]/Table9[[#This Row],[Batmobile]]</f>
        <v>1.0137117488534846</v>
      </c>
      <c r="R105" s="4">
        <f>Table9[[#This Row],[Octane]]/Table9[[#This Row],[Breakout]]</f>
        <v>1.0009199861612768</v>
      </c>
    </row>
    <row r="106" spans="1:18">
      <c r="A106" s="1">
        <f>Octane[[#This Row],[Degrees turned]]</f>
        <v>43.343160874400951</v>
      </c>
      <c r="B106" s="1">
        <f>Hybrid[[#This Row],[Degrees turned]]</f>
        <v>43.65440435061344</v>
      </c>
      <c r="C106" s="1">
        <f>Dominus[[#This Row],[Degrees turned]]</f>
        <v>43.806587258783736</v>
      </c>
      <c r="D106" s="1">
        <f>Plank[[#This Row],[Degrees turned]]</f>
        <v>43.247144464258888</v>
      </c>
      <c r="E106" s="1">
        <f>Batmobile[[#This Row],[Degrees turned]]</f>
        <v>42.776511523554632</v>
      </c>
      <c r="F106" s="1">
        <f>Breakout[[#This Row],[Degrees turned]]</f>
        <v>43.33234458568166</v>
      </c>
      <c r="H106" s="1">
        <v>0</v>
      </c>
      <c r="I106" s="3">
        <f>Table9[[#This Row],[Hybrid]]-Table9[[#This Row],[Octane]]</f>
        <v>0.31124347621248916</v>
      </c>
      <c r="J106" s="3">
        <f>Table9[[#This Row],[Dominus]]-Table9[[#This Row],[Octane]]</f>
        <v>0.46342638438278527</v>
      </c>
      <c r="K106" s="3">
        <f>Table9[[#This Row],[Plank]]-Table9[[#This Row],[Octane]]</f>
        <v>-9.601641014206308E-2</v>
      </c>
      <c r="L106" s="3">
        <f>Table9[[#This Row],[Batmobile]]-Table9[[#This Row],[Octane]]</f>
        <v>-0.56664935084631907</v>
      </c>
      <c r="M106" s="3">
        <f>Table9[[#This Row],[Breakout]]-Table9[[#This Row],[Octane]]</f>
        <v>-1.0816288719290412E-2</v>
      </c>
      <c r="N106" s="4">
        <f>Table9[[#This Row],[Octane]]/Table9[[#This Row],[Hybrid]]</f>
        <v>0.9928702846633134</v>
      </c>
      <c r="O106" s="4">
        <f>Table9[[#This Row],[Octane]]/Table9[[#This Row],[Dominus]]</f>
        <v>0.98942107994751716</v>
      </c>
      <c r="P106" s="4">
        <f>Table9[[#This Row],[Octane]]/Table9[[#This Row],[Plank]]</f>
        <v>1.0022201791894356</v>
      </c>
      <c r="Q106" s="4">
        <f>Table9[[#This Row],[Octane]]/Table9[[#This Row],[Batmobile]]</f>
        <v>1.0132467405747732</v>
      </c>
      <c r="R106" s="4">
        <f>Table9[[#This Row],[Octane]]/Table9[[#This Row],[Breakout]]</f>
        <v>1.0002496123582214</v>
      </c>
    </row>
    <row r="107" spans="1:18">
      <c r="A107" s="1">
        <f>Octane[[#This Row],[Degrees turned]]</f>
        <v>44.286910711374972</v>
      </c>
      <c r="B107" s="1">
        <f>Hybrid[[#This Row],[Degrees turned]]</f>
        <v>44.61903314744702</v>
      </c>
      <c r="C107" s="1">
        <f>Dominus[[#This Row],[Degrees turned]]</f>
        <v>44.778577253069344</v>
      </c>
      <c r="D107" s="1">
        <f>Plank[[#This Row],[Degrees turned]]</f>
        <v>44.211667665176968</v>
      </c>
      <c r="E107" s="1">
        <f>Batmobile[[#This Row],[Degrees turned]]</f>
        <v>43.726576964621998</v>
      </c>
      <c r="F107" s="1">
        <f>Breakout[[#This Row],[Degrees turned]]</f>
        <v>44.304237868979094</v>
      </c>
      <c r="H107" s="1">
        <v>0</v>
      </c>
      <c r="I107" s="3">
        <f>Table9[[#This Row],[Hybrid]]-Table9[[#This Row],[Octane]]</f>
        <v>0.33212243607204783</v>
      </c>
      <c r="J107" s="3">
        <f>Table9[[#This Row],[Dominus]]-Table9[[#This Row],[Octane]]</f>
        <v>0.49166654169437152</v>
      </c>
      <c r="K107" s="3">
        <f>Table9[[#This Row],[Plank]]-Table9[[#This Row],[Octane]]</f>
        <v>-7.5243046198004038E-2</v>
      </c>
      <c r="L107" s="3">
        <f>Table9[[#This Row],[Batmobile]]-Table9[[#This Row],[Octane]]</f>
        <v>-0.56033374675297409</v>
      </c>
      <c r="M107" s="3">
        <f>Table9[[#This Row],[Breakout]]-Table9[[#This Row],[Octane]]</f>
        <v>1.7327157604121624E-2</v>
      </c>
      <c r="N107" s="4">
        <f>Table9[[#This Row],[Octane]]/Table9[[#This Row],[Hybrid]]</f>
        <v>0.99255648514447803</v>
      </c>
      <c r="O107" s="4">
        <f>Table9[[#This Row],[Octane]]/Table9[[#This Row],[Dominus]]</f>
        <v>0.9890200499467483</v>
      </c>
      <c r="P107" s="4">
        <f>Table9[[#This Row],[Octane]]/Table9[[#This Row],[Plank]]</f>
        <v>1.0017018821087644</v>
      </c>
      <c r="Q107" s="4">
        <f>Table9[[#This Row],[Octane]]/Table9[[#This Row],[Batmobile]]</f>
        <v>1.0128144891653954</v>
      </c>
      <c r="R107" s="4">
        <f>Table9[[#This Row],[Octane]]/Table9[[#This Row],[Breakout]]</f>
        <v>0.99960890518745937</v>
      </c>
    </row>
    <row r="108" spans="1:18">
      <c r="A108" s="1">
        <f>Octane[[#This Row],[Degrees turned]]</f>
        <v>45.230875329915079</v>
      </c>
      <c r="B108" s="1">
        <f>Hybrid[[#This Row],[Degrees turned]]</f>
        <v>45.583832976106955</v>
      </c>
      <c r="C108" s="1">
        <f>Dominus[[#This Row],[Degrees turned]]</f>
        <v>45.750737756006359</v>
      </c>
      <c r="D108" s="1">
        <f>Plank[[#This Row],[Degrees turned]]</f>
        <v>45.17629005807661</v>
      </c>
      <c r="E108" s="1">
        <f>Batmobile[[#This Row],[Degrees turned]]</f>
        <v>44.677390993490206</v>
      </c>
      <c r="F108" s="1">
        <f>Breakout[[#This Row],[Degrees turned]]</f>
        <v>45.276289168458682</v>
      </c>
      <c r="H108" s="1">
        <v>0</v>
      </c>
      <c r="I108" s="3">
        <f>Table9[[#This Row],[Hybrid]]-Table9[[#This Row],[Octane]]</f>
        <v>0.35295764619187509</v>
      </c>
      <c r="J108" s="3">
        <f>Table9[[#This Row],[Dominus]]-Table9[[#This Row],[Octane]]</f>
        <v>0.51986242609127942</v>
      </c>
      <c r="K108" s="3">
        <f>Table9[[#This Row],[Plank]]-Table9[[#This Row],[Octane]]</f>
        <v>-5.4585271838469396E-2</v>
      </c>
      <c r="L108" s="3">
        <f>Table9[[#This Row],[Batmobile]]-Table9[[#This Row],[Octane]]</f>
        <v>-0.55348433642487294</v>
      </c>
      <c r="M108" s="3">
        <f>Table9[[#This Row],[Breakout]]-Table9[[#This Row],[Octane]]</f>
        <v>4.5413838543602481E-2</v>
      </c>
      <c r="N108" s="4">
        <f>Table9[[#This Row],[Octane]]/Table9[[#This Row],[Hybrid]]</f>
        <v>0.99225695552243531</v>
      </c>
      <c r="O108" s="4">
        <f>Table9[[#This Row],[Octane]]/Table9[[#This Row],[Dominus]]</f>
        <v>0.98863707009789081</v>
      </c>
      <c r="P108" s="4">
        <f>Table9[[#This Row],[Octane]]/Table9[[#This Row],[Plank]]</f>
        <v>1.0012082725643983</v>
      </c>
      <c r="Q108" s="4">
        <f>Table9[[#This Row],[Octane]]/Table9[[#This Row],[Batmobile]]</f>
        <v>1.0123884659358358</v>
      </c>
      <c r="R108" s="4">
        <f>Table9[[#This Row],[Octane]]/Table9[[#This Row],[Breakout]]</f>
        <v>0.99899696199980892</v>
      </c>
    </row>
    <row r="109" spans="1:18">
      <c r="A109" s="1">
        <f>Octane[[#This Row],[Degrees turned]]</f>
        <v>46.175208331271847</v>
      </c>
      <c r="B109" s="1">
        <f>Hybrid[[#This Row],[Degrees turned]]</f>
        <v>46.549048517266478</v>
      </c>
      <c r="C109" s="1">
        <f>Dominus[[#This Row],[Degrees turned]]</f>
        <v>46.723165915093588</v>
      </c>
      <c r="D109" s="1">
        <f>Plank[[#This Row],[Degrees turned]]</f>
        <v>46.141783554137582</v>
      </c>
      <c r="E109" s="1">
        <f>Batmobile[[#This Row],[Degrees turned]]</f>
        <v>45.628476536899882</v>
      </c>
      <c r="F109" s="1">
        <f>Breakout[[#This Row],[Degrees turned]]</f>
        <v>46.249207618857461</v>
      </c>
      <c r="H109" s="1">
        <v>0</v>
      </c>
      <c r="I109" s="3">
        <f>Table9[[#This Row],[Hybrid]]-Table9[[#This Row],[Octane]]</f>
        <v>0.37384018599463076</v>
      </c>
      <c r="J109" s="3">
        <f>Table9[[#This Row],[Dominus]]-Table9[[#This Row],[Octane]]</f>
        <v>0.54795758382174142</v>
      </c>
      <c r="K109" s="3">
        <f>Table9[[#This Row],[Plank]]-Table9[[#This Row],[Octane]]</f>
        <v>-3.3424777134264616E-2</v>
      </c>
      <c r="L109" s="3">
        <f>Table9[[#This Row],[Batmobile]]-Table9[[#This Row],[Octane]]</f>
        <v>-0.54673179437196495</v>
      </c>
      <c r="M109" s="3">
        <f>Table9[[#This Row],[Breakout]]-Table9[[#This Row],[Octane]]</f>
        <v>7.3999287585614582E-2</v>
      </c>
      <c r="N109" s="4">
        <f>Table9[[#This Row],[Octane]]/Table9[[#This Row],[Hybrid]]</f>
        <v>0.99196889736949267</v>
      </c>
      <c r="O109" s="4">
        <f>Table9[[#This Row],[Octane]]/Table9[[#This Row],[Dominus]]</f>
        <v>0.98827225054018164</v>
      </c>
      <c r="P109" s="4">
        <f>Table9[[#This Row],[Octane]]/Table9[[#This Row],[Plank]]</f>
        <v>1.0007243928292249</v>
      </c>
      <c r="Q109" s="4">
        <f>Table9[[#This Row],[Octane]]/Table9[[#This Row],[Batmobile]]</f>
        <v>1.0119822495920903</v>
      </c>
      <c r="R109" s="4">
        <f>Table9[[#This Row],[Octane]]/Table9[[#This Row],[Breakout]]</f>
        <v>0.99839998799124419</v>
      </c>
    </row>
    <row r="110" spans="1:18">
      <c r="A110" s="1">
        <f>Octane[[#This Row],[Degrees turned]]</f>
        <v>47.119335365318619</v>
      </c>
      <c r="B110" s="1">
        <f>Hybrid[[#This Row],[Degrees turned]]</f>
        <v>47.514492694985627</v>
      </c>
      <c r="C110" s="1">
        <f>Dominus[[#This Row],[Degrees turned]]</f>
        <v>47.69667929931903</v>
      </c>
      <c r="D110" s="1">
        <f>Plank[[#This Row],[Degrees turned]]</f>
        <v>47.107623903161873</v>
      </c>
      <c r="E110" s="1">
        <f>Batmobile[[#This Row],[Degrees turned]]</f>
        <v>46.579789211698071</v>
      </c>
      <c r="F110" s="1">
        <f>Breakout[[#This Row],[Degrees turned]]</f>
        <v>47.222435409716361</v>
      </c>
      <c r="H110" s="1">
        <v>0</v>
      </c>
      <c r="I110" s="3">
        <f>Table9[[#This Row],[Hybrid]]-Table9[[#This Row],[Octane]]</f>
        <v>0.39515732966700767</v>
      </c>
      <c r="J110" s="3">
        <f>Table9[[#This Row],[Dominus]]-Table9[[#This Row],[Octane]]</f>
        <v>0.57734393400041029</v>
      </c>
      <c r="K110" s="3">
        <f>Table9[[#This Row],[Plank]]-Table9[[#This Row],[Octane]]</f>
        <v>-1.1711462156746677E-2</v>
      </c>
      <c r="L110" s="3">
        <f>Table9[[#This Row],[Batmobile]]-Table9[[#This Row],[Octane]]</f>
        <v>-0.53954615362054881</v>
      </c>
      <c r="M110" s="3">
        <f>Table9[[#This Row],[Breakout]]-Table9[[#This Row],[Octane]]</f>
        <v>0.1031000443977419</v>
      </c>
      <c r="N110" s="4">
        <f>Table9[[#This Row],[Octane]]/Table9[[#This Row],[Hybrid]]</f>
        <v>0.99168343578445262</v>
      </c>
      <c r="O110" s="4">
        <f>Table9[[#This Row],[Octane]]/Table9[[#This Row],[Dominus]]</f>
        <v>0.9878955109143488</v>
      </c>
      <c r="P110" s="4">
        <f>Table9[[#This Row],[Octane]]/Table9[[#This Row],[Plank]]</f>
        <v>1.0002486107594988</v>
      </c>
      <c r="Q110" s="4">
        <f>Table9[[#This Row],[Octane]]/Table9[[#This Row],[Batmobile]]</f>
        <v>1.0115832673945431</v>
      </c>
      <c r="R110" s="4">
        <f>Table9[[#This Row],[Octane]]/Table9[[#This Row],[Breakout]]</f>
        <v>0.99781671479873468</v>
      </c>
    </row>
    <row r="111" spans="1:18">
      <c r="A111" s="1">
        <f>Octane[[#This Row],[Degrees turned]]</f>
        <v>48.063803475392206</v>
      </c>
      <c r="B111" s="1">
        <f>Hybrid[[#This Row],[Degrees turned]]</f>
        <v>48.48038231948383</v>
      </c>
      <c r="C111" s="1">
        <f>Dominus[[#This Row],[Degrees turned]]</f>
        <v>48.669825984224474</v>
      </c>
      <c r="D111" s="1">
        <f>Plank[[#This Row],[Degrees turned]]</f>
        <v>48.073846418062011</v>
      </c>
      <c r="E111" s="1">
        <f>Batmobile[[#This Row],[Degrees turned]]</f>
        <v>47.531651876210262</v>
      </c>
      <c r="F111" s="1">
        <f>Breakout[[#This Row],[Degrees turned]]</f>
        <v>48.196082606967572</v>
      </c>
      <c r="H111" s="1">
        <v>0</v>
      </c>
      <c r="I111" s="3">
        <f>Table9[[#This Row],[Hybrid]]-Table9[[#This Row],[Octane]]</f>
        <v>0.41657884409162449</v>
      </c>
      <c r="J111" s="3">
        <f>Table9[[#This Row],[Dominus]]-Table9[[#This Row],[Octane]]</f>
        <v>0.60602250883226816</v>
      </c>
      <c r="K111" s="3">
        <f>Table9[[#This Row],[Plank]]-Table9[[#This Row],[Octane]]</f>
        <v>1.0042942669805655E-2</v>
      </c>
      <c r="L111" s="3">
        <f>Table9[[#This Row],[Batmobile]]-Table9[[#This Row],[Octane]]</f>
        <v>-0.53215159918194388</v>
      </c>
      <c r="M111" s="3">
        <f>Table9[[#This Row],[Breakout]]-Table9[[#This Row],[Octane]]</f>
        <v>0.13227913157536619</v>
      </c>
      <c r="N111" s="4">
        <f>Table9[[#This Row],[Octane]]/Table9[[#This Row],[Hybrid]]</f>
        <v>0.99140726982418603</v>
      </c>
      <c r="O111" s="4">
        <f>Table9[[#This Row],[Octane]]/Table9[[#This Row],[Dominus]]</f>
        <v>0.98754829102884611</v>
      </c>
      <c r="P111" s="4">
        <f>Table9[[#This Row],[Octane]]/Table9[[#This Row],[Plank]]</f>
        <v>0.99979109342359529</v>
      </c>
      <c r="Q111" s="4">
        <f>Table9[[#This Row],[Octane]]/Table9[[#This Row],[Batmobile]]</f>
        <v>1.0111957312270119</v>
      </c>
      <c r="R111" s="4">
        <f>Table9[[#This Row],[Octane]]/Table9[[#This Row],[Breakout]]</f>
        <v>0.99725539661274787</v>
      </c>
    </row>
    <row r="112" spans="1:18">
      <c r="A112" s="1">
        <f>Octane[[#This Row],[Degrees turned]]</f>
        <v>49.008789214311406</v>
      </c>
      <c r="B112" s="1">
        <f>Hybrid[[#This Row],[Degrees turned]]</f>
        <v>49.446675961114444</v>
      </c>
      <c r="C112" s="1">
        <f>Dominus[[#This Row],[Degrees turned]]</f>
        <v>49.643574181667844</v>
      </c>
      <c r="D112" s="1">
        <f>Plank[[#This Row],[Degrees turned]]</f>
        <v>49.04055789105643</v>
      </c>
      <c r="E112" s="1">
        <f>Batmobile[[#This Row],[Degrees turned]]</f>
        <v>48.483804392781025</v>
      </c>
      <c r="F112" s="1">
        <f>Breakout[[#This Row],[Degrees turned]]</f>
        <v>49.1701052048493</v>
      </c>
      <c r="H112" s="1">
        <v>0</v>
      </c>
      <c r="I112" s="3">
        <f>Table9[[#This Row],[Hybrid]]-Table9[[#This Row],[Octane]]</f>
        <v>0.43788674680303785</v>
      </c>
      <c r="J112" s="3">
        <f>Table9[[#This Row],[Dominus]]-Table9[[#This Row],[Octane]]</f>
        <v>0.6347849673564383</v>
      </c>
      <c r="K112" s="3">
        <f>Table9[[#This Row],[Plank]]-Table9[[#This Row],[Octane]]</f>
        <v>3.1768676745024038E-2</v>
      </c>
      <c r="L112" s="3">
        <f>Table9[[#This Row],[Batmobile]]-Table9[[#This Row],[Octane]]</f>
        <v>-0.5249848215303814</v>
      </c>
      <c r="M112" s="3">
        <f>Table9[[#This Row],[Breakout]]-Table9[[#This Row],[Octane]]</f>
        <v>0.16131599053789358</v>
      </c>
      <c r="N112" s="4">
        <f>Table9[[#This Row],[Octane]]/Table9[[#This Row],[Hybrid]]</f>
        <v>0.99114426322312554</v>
      </c>
      <c r="O112" s="4">
        <f>Table9[[#This Row],[Octane]]/Table9[[#This Row],[Dominus]]</f>
        <v>0.98721314937894122</v>
      </c>
      <c r="P112" s="4">
        <f>Table9[[#This Row],[Octane]]/Table9[[#This Row],[Plank]]</f>
        <v>0.99935219585357082</v>
      </c>
      <c r="Q112" s="4">
        <f>Table9[[#This Row],[Octane]]/Table9[[#This Row],[Batmobile]]</f>
        <v>1.0108280451195069</v>
      </c>
      <c r="R112" s="4">
        <f>Table9[[#This Row],[Octane]]/Table9[[#This Row],[Breakout]]</f>
        <v>0.99671922624802556</v>
      </c>
    </row>
    <row r="113" spans="1:18">
      <c r="A113" s="1">
        <f>Octane[[#This Row],[Degrees turned]]</f>
        <v>49.953651995796221</v>
      </c>
      <c r="B113" s="1">
        <f>Hybrid[[#This Row],[Degrees turned]]</f>
        <v>50.412962174587754</v>
      </c>
      <c r="C113" s="1">
        <f>Dominus[[#This Row],[Degrees turned]]</f>
        <v>50.617803188658741</v>
      </c>
      <c r="D113" s="1">
        <f>Plank[[#This Row],[Degrees turned]]</f>
        <v>50.007798324185622</v>
      </c>
      <c r="E113" s="1">
        <f>Batmobile[[#This Row],[Degrees turned]]</f>
        <v>49.435935515398782</v>
      </c>
      <c r="F113" s="1">
        <f>Breakout[[#This Row],[Degrees turned]]</f>
        <v>50.14476297937464</v>
      </c>
      <c r="H113" s="1">
        <v>0</v>
      </c>
      <c r="I113" s="3">
        <f>Table9[[#This Row],[Hybrid]]-Table9[[#This Row],[Octane]]</f>
        <v>0.45931017879153302</v>
      </c>
      <c r="J113" s="3">
        <f>Table9[[#This Row],[Dominus]]-Table9[[#This Row],[Octane]]</f>
        <v>0.66415119286251922</v>
      </c>
      <c r="K113" s="3">
        <f>Table9[[#This Row],[Plank]]-Table9[[#This Row],[Octane]]</f>
        <v>5.4146328389400367E-2</v>
      </c>
      <c r="L113" s="3">
        <f>Table9[[#This Row],[Batmobile]]-Table9[[#This Row],[Octane]]</f>
        <v>-0.51771648039743923</v>
      </c>
      <c r="M113" s="3">
        <f>Table9[[#This Row],[Breakout]]-Table9[[#This Row],[Octane]]</f>
        <v>0.19111098357841882</v>
      </c>
      <c r="N113" s="4">
        <f>Table9[[#This Row],[Octane]]/Table9[[#This Row],[Hybrid]]</f>
        <v>0.99088904601160166</v>
      </c>
      <c r="O113" s="4">
        <f>Table9[[#This Row],[Octane]]/Table9[[#This Row],[Dominus]]</f>
        <v>0.98687909883431435</v>
      </c>
      <c r="P113" s="4">
        <f>Table9[[#This Row],[Octane]]/Table9[[#This Row],[Plank]]</f>
        <v>0.99891724230612222</v>
      </c>
      <c r="Q113" s="4">
        <f>Table9[[#This Row],[Octane]]/Table9[[#This Row],[Batmobile]]</f>
        <v>1.0104724726051999</v>
      </c>
      <c r="R113" s="4">
        <f>Table9[[#This Row],[Octane]]/Table9[[#This Row],[Breakout]]</f>
        <v>0.99618881469921339</v>
      </c>
    </row>
    <row r="114" spans="1:18">
      <c r="A114" s="1">
        <f>Octane[[#This Row],[Degrees turned]]</f>
        <v>50.898570880342263</v>
      </c>
      <c r="B114" s="1">
        <f>Hybrid[[#This Row],[Degrees turned]]</f>
        <v>51.379877359297915</v>
      </c>
      <c r="C114" s="1">
        <f>Dominus[[#This Row],[Degrees turned]]</f>
        <v>51.592079749547906</v>
      </c>
      <c r="D114" s="1">
        <f>Plank[[#This Row],[Degrees turned]]</f>
        <v>50.974963871764025</v>
      </c>
      <c r="E114" s="1">
        <f>Batmobile[[#This Row],[Degrees turned]]</f>
        <v>50.388556065685805</v>
      </c>
      <c r="F114" s="1">
        <f>Breakout[[#This Row],[Degrees turned]]</f>
        <v>51.119913182670224</v>
      </c>
      <c r="H114" s="1">
        <v>0</v>
      </c>
      <c r="I114" s="3">
        <f>Table9[[#This Row],[Hybrid]]-Table9[[#This Row],[Octane]]</f>
        <v>0.48130647895565204</v>
      </c>
      <c r="J114" s="3">
        <f>Table9[[#This Row],[Dominus]]-Table9[[#This Row],[Octane]]</f>
        <v>0.69350886920564392</v>
      </c>
      <c r="K114" s="3">
        <f>Table9[[#This Row],[Plank]]-Table9[[#This Row],[Octane]]</f>
        <v>7.6392991421762702E-2</v>
      </c>
      <c r="L114" s="3">
        <f>Table9[[#This Row],[Batmobile]]-Table9[[#This Row],[Octane]]</f>
        <v>-0.51001481465645782</v>
      </c>
      <c r="M114" s="3">
        <f>Table9[[#This Row],[Breakout]]-Table9[[#This Row],[Octane]]</f>
        <v>0.2213423023279617</v>
      </c>
      <c r="N114" s="4">
        <f>Table9[[#This Row],[Octane]]/Table9[[#This Row],[Hybrid]]</f>
        <v>0.99063239338642461</v>
      </c>
      <c r="O114" s="4">
        <f>Table9[[#This Row],[Octane]]/Table9[[#This Row],[Dominus]]</f>
        <v>0.98655784235541077</v>
      </c>
      <c r="P114" s="4">
        <f>Table9[[#This Row],[Octane]]/Table9[[#This Row],[Plank]]</f>
        <v>0.99850136251957056</v>
      </c>
      <c r="Q114" s="4">
        <f>Table9[[#This Row],[Octane]]/Table9[[#This Row],[Batmobile]]</f>
        <v>1.0101216398023316</v>
      </c>
      <c r="R114" s="4">
        <f>Table9[[#This Row],[Octane]]/Table9[[#This Row],[Breakout]]</f>
        <v>0.995670135402284</v>
      </c>
    </row>
    <row r="115" spans="1:18">
      <c r="A115" s="1">
        <f>Octane[[#This Row],[Degrees turned]]</f>
        <v>51.843521141358977</v>
      </c>
      <c r="B115" s="1">
        <f>Hybrid[[#This Row],[Degrees turned]]</f>
        <v>52.346928256147031</v>
      </c>
      <c r="C115" s="1">
        <f>Dominus[[#This Row],[Degrees turned]]</f>
        <v>52.566976865754455</v>
      </c>
      <c r="D115" s="1">
        <f>Plank[[#This Row],[Degrees turned]]</f>
        <v>51.942690039655638</v>
      </c>
      <c r="E115" s="1">
        <f>Batmobile[[#This Row],[Degrees turned]]</f>
        <v>51.341229718822447</v>
      </c>
      <c r="F115" s="1">
        <f>Breakout[[#This Row],[Degrees turned]]</f>
        <v>52.095060041094762</v>
      </c>
      <c r="H115" s="1">
        <v>0</v>
      </c>
      <c r="I115" s="3">
        <f>Table9[[#This Row],[Hybrid]]-Table9[[#This Row],[Octane]]</f>
        <v>0.50340711478805389</v>
      </c>
      <c r="J115" s="3">
        <f>Table9[[#This Row],[Dominus]]-Table9[[#This Row],[Octane]]</f>
        <v>0.72345572439547823</v>
      </c>
      <c r="K115" s="3">
        <f>Table9[[#This Row],[Plank]]-Table9[[#This Row],[Octane]]</f>
        <v>9.9168898296660757E-2</v>
      </c>
      <c r="L115" s="3">
        <f>Table9[[#This Row],[Batmobile]]-Table9[[#This Row],[Octane]]</f>
        <v>-0.50229142253652981</v>
      </c>
      <c r="M115" s="3">
        <f>Table9[[#This Row],[Breakout]]-Table9[[#This Row],[Octane]]</f>
        <v>0.25153889973578458</v>
      </c>
      <c r="N115" s="4">
        <f>Table9[[#This Row],[Octane]]/Table9[[#This Row],[Hybrid]]</f>
        <v>0.99038325396430615</v>
      </c>
      <c r="O115" s="4">
        <f>Table9[[#This Row],[Octane]]/Table9[[#This Row],[Dominus]]</f>
        <v>0.98623744853650153</v>
      </c>
      <c r="P115" s="4">
        <f>Table9[[#This Row],[Octane]]/Table9[[#This Row],[Plank]]</f>
        <v>0.99809080164656561</v>
      </c>
      <c r="Q115" s="4">
        <f>Table9[[#This Row],[Octane]]/Table9[[#This Row],[Batmobile]]</f>
        <v>1.0097833929044435</v>
      </c>
      <c r="R115" s="4">
        <f>Table9[[#This Row],[Octane]]/Table9[[#This Row],[Breakout]]</f>
        <v>0.99517154026624866</v>
      </c>
    </row>
    <row r="116" spans="1:18">
      <c r="A116" s="1">
        <f>Octane[[#This Row],[Degrees turned]]</f>
        <v>52.78851929066812</v>
      </c>
      <c r="B116" s="1">
        <f>Hybrid[[#This Row],[Degrees turned]]</f>
        <v>53.313973855937995</v>
      </c>
      <c r="C116" s="1">
        <f>Dominus[[#This Row],[Degrees turned]]</f>
        <v>53.542070071501882</v>
      </c>
      <c r="D116" s="1">
        <f>Plank[[#This Row],[Degrees turned]]</f>
        <v>52.910613213319728</v>
      </c>
      <c r="E116" s="1">
        <f>Batmobile[[#This Row],[Degrees turned]]</f>
        <v>52.294641205618348</v>
      </c>
      <c r="F116" s="1">
        <f>Breakout[[#This Row],[Degrees turned]]</f>
        <v>53.070956937711053</v>
      </c>
      <c r="H116" s="1">
        <v>0</v>
      </c>
      <c r="I116" s="3">
        <f>Table9[[#This Row],[Hybrid]]-Table9[[#This Row],[Octane]]</f>
        <v>0.52545456526987522</v>
      </c>
      <c r="J116" s="3">
        <f>Table9[[#This Row],[Dominus]]-Table9[[#This Row],[Octane]]</f>
        <v>0.7535507808337627</v>
      </c>
      <c r="K116" s="3">
        <f>Table9[[#This Row],[Plank]]-Table9[[#This Row],[Octane]]</f>
        <v>0.12209392265160801</v>
      </c>
      <c r="L116" s="3">
        <f>Table9[[#This Row],[Batmobile]]-Table9[[#This Row],[Octane]]</f>
        <v>-0.49387808504977215</v>
      </c>
      <c r="M116" s="3">
        <f>Table9[[#This Row],[Breakout]]-Table9[[#This Row],[Octane]]</f>
        <v>0.28243764704293284</v>
      </c>
      <c r="N116" s="4">
        <f>Table9[[#This Row],[Octane]]/Table9[[#This Row],[Hybrid]]</f>
        <v>0.99014414932397032</v>
      </c>
      <c r="O116" s="4">
        <f>Table9[[#This Row],[Octane]]/Table9[[#This Row],[Dominus]]</f>
        <v>0.98592600585245493</v>
      </c>
      <c r="P116" s="4">
        <f>Table9[[#This Row],[Octane]]/Table9[[#This Row],[Plank]]</f>
        <v>0.99769244929822753</v>
      </c>
      <c r="Q116" s="4">
        <f>Table9[[#This Row],[Octane]]/Table9[[#This Row],[Batmobile]]</f>
        <v>1.0094441432939159</v>
      </c>
      <c r="R116" s="4">
        <f>Table9[[#This Row],[Octane]]/Table9[[#This Row],[Breakout]]</f>
        <v>0.99467811278823504</v>
      </c>
    </row>
    <row r="117" spans="1:18">
      <c r="A117" s="1">
        <f>Octane[[#This Row],[Degrees turned]]</f>
        <v>53.733789144887297</v>
      </c>
      <c r="B117" s="1">
        <f>Hybrid[[#This Row],[Degrees turned]]</f>
        <v>54.28138764749874</v>
      </c>
      <c r="C117" s="1">
        <f>Dominus[[#This Row],[Degrees turned]]</f>
        <v>54.517351358277679</v>
      </c>
      <c r="D117" s="1">
        <f>Plank[[#This Row],[Degrees turned]]</f>
        <v>53.878761823617957</v>
      </c>
      <c r="E117" s="1">
        <f>Batmobile[[#This Row],[Degrees turned]]</f>
        <v>53.248152623958475</v>
      </c>
      <c r="F117" s="1">
        <f>Breakout[[#This Row],[Degrees turned]]</f>
        <v>54.047089244149198</v>
      </c>
      <c r="H117" s="1">
        <v>0</v>
      </c>
      <c r="I117" s="3">
        <f>Table9[[#This Row],[Hybrid]]-Table9[[#This Row],[Octane]]</f>
        <v>0.54759850261144294</v>
      </c>
      <c r="J117" s="3">
        <f>Table9[[#This Row],[Dominus]]-Table9[[#This Row],[Octane]]</f>
        <v>0.78356221339038257</v>
      </c>
      <c r="K117" s="3">
        <f>Table9[[#This Row],[Plank]]-Table9[[#This Row],[Octane]]</f>
        <v>0.14497267873066022</v>
      </c>
      <c r="L117" s="3">
        <f>Table9[[#This Row],[Batmobile]]-Table9[[#This Row],[Octane]]</f>
        <v>-0.48563652092882137</v>
      </c>
      <c r="M117" s="3">
        <f>Table9[[#This Row],[Breakout]]-Table9[[#This Row],[Octane]]</f>
        <v>0.31330009926190172</v>
      </c>
      <c r="N117" s="4">
        <f>Table9[[#This Row],[Octane]]/Table9[[#This Row],[Hybrid]]</f>
        <v>0.9899118551248629</v>
      </c>
      <c r="O117" s="4">
        <f>Table9[[#This Row],[Octane]]/Table9[[#This Row],[Dominus]]</f>
        <v>0.98562728757233709</v>
      </c>
      <c r="P117" s="4">
        <f>Table9[[#This Row],[Octane]]/Table9[[#This Row],[Plank]]</f>
        <v>0.99730927968973648</v>
      </c>
      <c r="Q117" s="4">
        <f>Table9[[#This Row],[Octane]]/Table9[[#This Row],[Batmobile]]</f>
        <v>1.0091202510697115</v>
      </c>
      <c r="R117" s="4">
        <f>Table9[[#This Row],[Octane]]/Table9[[#This Row],[Breakout]]</f>
        <v>0.9942032012520301</v>
      </c>
    </row>
    <row r="118" spans="1:18">
      <c r="A118" s="1">
        <f>Octane[[#This Row],[Degrees turned]]</f>
        <v>54.679261183329714</v>
      </c>
      <c r="B118" s="1">
        <f>Hybrid[[#This Row],[Degrees turned]]</f>
        <v>55.248919662494266</v>
      </c>
      <c r="C118" s="1">
        <f>Dominus[[#This Row],[Degrees turned]]</f>
        <v>55.492972737339855</v>
      </c>
      <c r="D118" s="1">
        <f>Plank[[#This Row],[Degrees turned]]</f>
        <v>54.847111564548008</v>
      </c>
      <c r="E118" s="1">
        <f>Batmobile[[#This Row],[Degrees turned]]</f>
        <v>54.201829769622421</v>
      </c>
      <c r="F118" s="1">
        <f>Breakout[[#This Row],[Degrees turned]]</f>
        <v>55.023439200565839</v>
      </c>
      <c r="H118" s="1">
        <v>0</v>
      </c>
      <c r="I118" s="3">
        <f>Table9[[#This Row],[Hybrid]]-Table9[[#This Row],[Octane]]</f>
        <v>0.56965847916455203</v>
      </c>
      <c r="J118" s="3">
        <f>Table9[[#This Row],[Dominus]]-Table9[[#This Row],[Octane]]</f>
        <v>0.8137115540101405</v>
      </c>
      <c r="K118" s="3">
        <f>Table9[[#This Row],[Plank]]-Table9[[#This Row],[Octane]]</f>
        <v>0.16785038121829388</v>
      </c>
      <c r="L118" s="3">
        <f>Table9[[#This Row],[Batmobile]]-Table9[[#This Row],[Octane]]</f>
        <v>-0.47743141370729347</v>
      </c>
      <c r="M118" s="3">
        <f>Table9[[#This Row],[Breakout]]-Table9[[#This Row],[Octane]]</f>
        <v>0.34417801723612484</v>
      </c>
      <c r="N118" s="4">
        <f>Table9[[#This Row],[Octane]]/Table9[[#This Row],[Hybrid]]</f>
        <v>0.98968923767841088</v>
      </c>
      <c r="O118" s="4">
        <f>Table9[[#This Row],[Octane]]/Table9[[#This Row],[Dominus]]</f>
        <v>0.98533667392695623</v>
      </c>
      <c r="P118" s="4">
        <f>Table9[[#This Row],[Octane]]/Table9[[#This Row],[Plank]]</f>
        <v>0.99693966780692256</v>
      </c>
      <c r="Q118" s="4">
        <f>Table9[[#This Row],[Octane]]/Table9[[#This Row],[Batmobile]]</f>
        <v>1.0088084003019189</v>
      </c>
      <c r="R118" s="4">
        <f>Table9[[#This Row],[Octane]]/Table9[[#This Row],[Breakout]]</f>
        <v>0.99374488359439761</v>
      </c>
    </row>
    <row r="119" spans="1:18">
      <c r="A119" s="1">
        <f>Octane[[#This Row],[Degrees turned]]</f>
        <v>55.62511523102097</v>
      </c>
      <c r="B119" s="1">
        <f>Hybrid[[#This Row],[Degrees turned]]</f>
        <v>56.216862474825483</v>
      </c>
      <c r="C119" s="1">
        <f>Dominus[[#This Row],[Degrees turned]]</f>
        <v>56.46821076081207</v>
      </c>
      <c r="D119" s="1">
        <f>Plank[[#This Row],[Degrees turned]]</f>
        <v>55.815729771743172</v>
      </c>
      <c r="E119" s="1">
        <f>Batmobile[[#This Row],[Degrees turned]]</f>
        <v>55.155167038633877</v>
      </c>
      <c r="F119" s="1">
        <f>Breakout[[#This Row],[Degrees turned]]</f>
        <v>56.000182493211689</v>
      </c>
      <c r="H119" s="1">
        <v>0</v>
      </c>
      <c r="I119" s="3">
        <f>Table9[[#This Row],[Hybrid]]-Table9[[#This Row],[Octane]]</f>
        <v>0.59174724380451238</v>
      </c>
      <c r="J119" s="3">
        <f>Table9[[#This Row],[Dominus]]-Table9[[#This Row],[Octane]]</f>
        <v>0.84309552979109981</v>
      </c>
      <c r="K119" s="3">
        <f>Table9[[#This Row],[Plank]]-Table9[[#This Row],[Octane]]</f>
        <v>0.1906145407222013</v>
      </c>
      <c r="L119" s="3">
        <f>Table9[[#This Row],[Batmobile]]-Table9[[#This Row],[Octane]]</f>
        <v>-0.4699481923870934</v>
      </c>
      <c r="M119" s="3">
        <f>Table9[[#This Row],[Breakout]]-Table9[[#This Row],[Octane]]</f>
        <v>0.37506726219071851</v>
      </c>
      <c r="N119" s="4">
        <f>Table9[[#This Row],[Octane]]/Table9[[#This Row],[Hybrid]]</f>
        <v>0.9894738479211731</v>
      </c>
      <c r="O119" s="4">
        <f>Table9[[#This Row],[Octane]]/Table9[[#This Row],[Dominus]]</f>
        <v>0.98506955473828839</v>
      </c>
      <c r="P119" s="4">
        <f>Table9[[#This Row],[Octane]]/Table9[[#This Row],[Plank]]</f>
        <v>0.99658493149687888</v>
      </c>
      <c r="Q119" s="4">
        <f>Table9[[#This Row],[Octane]]/Table9[[#This Row],[Batmobile]]</f>
        <v>1.0085204744653917</v>
      </c>
      <c r="R119" s="4">
        <f>Table9[[#This Row],[Octane]]/Table9[[#This Row],[Breakout]]</f>
        <v>0.99330239214423666</v>
      </c>
    </row>
    <row r="120" spans="1:18">
      <c r="A120" s="1">
        <f>Octane[[#This Row],[Degrees turned]]</f>
        <v>56.570730042453491</v>
      </c>
      <c r="B120" s="1">
        <f>Hybrid[[#This Row],[Degrees turned]]</f>
        <v>57.184591626240554</v>
      </c>
      <c r="C120" s="1">
        <f>Dominus[[#This Row],[Degrees turned]]</f>
        <v>57.443951151816535</v>
      </c>
      <c r="D120" s="1">
        <f>Plank[[#This Row],[Degrees turned]]</f>
        <v>56.784103884785559</v>
      </c>
      <c r="E120" s="1">
        <f>Batmobile[[#This Row],[Degrees turned]]</f>
        <v>56.108904749795315</v>
      </c>
      <c r="F120" s="1">
        <f>Breakout[[#This Row],[Degrees turned]]</f>
        <v>56.977151121308118</v>
      </c>
      <c r="H120" s="1">
        <v>0</v>
      </c>
      <c r="I120" s="3">
        <f>Table9[[#This Row],[Hybrid]]-Table9[[#This Row],[Octane]]</f>
        <v>0.61386158378706313</v>
      </c>
      <c r="J120" s="3">
        <f>Table9[[#This Row],[Dominus]]-Table9[[#This Row],[Octane]]</f>
        <v>0.87322110936304398</v>
      </c>
      <c r="K120" s="3">
        <f>Table9[[#This Row],[Plank]]-Table9[[#This Row],[Octane]]</f>
        <v>0.21337384233206791</v>
      </c>
      <c r="L120" s="3">
        <f>Table9[[#This Row],[Batmobile]]-Table9[[#This Row],[Octane]]</f>
        <v>-0.46182529265817607</v>
      </c>
      <c r="M120" s="3">
        <f>Table9[[#This Row],[Breakout]]-Table9[[#This Row],[Octane]]</f>
        <v>0.40642107885462764</v>
      </c>
      <c r="N120" s="4">
        <f>Table9[[#This Row],[Octane]]/Table9[[#This Row],[Hybrid]]</f>
        <v>0.98926526243643964</v>
      </c>
      <c r="O120" s="4">
        <f>Table9[[#This Row],[Octane]]/Table9[[#This Row],[Dominus]]</f>
        <v>0.98479872829333692</v>
      </c>
      <c r="P120" s="4">
        <f>Table9[[#This Row],[Octane]]/Table9[[#This Row],[Plank]]</f>
        <v>0.99624236665308652</v>
      </c>
      <c r="Q120" s="4">
        <f>Table9[[#This Row],[Octane]]/Table9[[#This Row],[Batmobile]]</f>
        <v>1.0082308734187126</v>
      </c>
      <c r="R120" s="4">
        <f>Table9[[#This Row],[Octane]]/Table9[[#This Row],[Breakout]]</f>
        <v>0.992866946295905</v>
      </c>
    </row>
    <row r="121" spans="1:18">
      <c r="A121" s="1">
        <f>Octane[[#This Row],[Degrees turned]]</f>
        <v>57.516744128624296</v>
      </c>
      <c r="B121" s="1">
        <f>Hybrid[[#This Row],[Degrees turned]]</f>
        <v>58.152760575809104</v>
      </c>
      <c r="C121" s="1">
        <f>Dominus[[#This Row],[Degrees turned]]</f>
        <v>58.419560631903607</v>
      </c>
      <c r="D121" s="1">
        <f>Plank[[#This Row],[Degrees turned]]</f>
        <v>57.752999189708341</v>
      </c>
      <c r="E121" s="1">
        <f>Batmobile[[#This Row],[Degrees turned]]</f>
        <v>57.063015195774739</v>
      </c>
      <c r="F121" s="1">
        <f>Breakout[[#This Row],[Degrees turned]]</f>
        <v>57.954767112812782</v>
      </c>
      <c r="H121" s="1">
        <v>0</v>
      </c>
      <c r="I121" s="3">
        <f>Table9[[#This Row],[Hybrid]]-Table9[[#This Row],[Octane]]</f>
        <v>0.63601644718480799</v>
      </c>
      <c r="J121" s="3">
        <f>Table9[[#This Row],[Dominus]]-Table9[[#This Row],[Octane]]</f>
        <v>0.90281650327931118</v>
      </c>
      <c r="K121" s="3">
        <f>Table9[[#This Row],[Plank]]-Table9[[#This Row],[Octane]]</f>
        <v>0.23625506108404437</v>
      </c>
      <c r="L121" s="3">
        <f>Table9[[#This Row],[Batmobile]]-Table9[[#This Row],[Octane]]</f>
        <v>-0.45372893284955751</v>
      </c>
      <c r="M121" s="3">
        <f>Table9[[#This Row],[Breakout]]-Table9[[#This Row],[Octane]]</f>
        <v>0.43802298418848551</v>
      </c>
      <c r="N121" s="4">
        <f>Table9[[#This Row],[Octane]]/Table9[[#This Row],[Hybrid]]</f>
        <v>0.98906300507684952</v>
      </c>
      <c r="O121" s="4">
        <f>Table9[[#This Row],[Octane]]/Table9[[#This Row],[Dominus]]</f>
        <v>0.98454598950225114</v>
      </c>
      <c r="P121" s="4">
        <f>Table9[[#This Row],[Octane]]/Table9[[#This Row],[Plank]]</f>
        <v>0.99590921572214819</v>
      </c>
      <c r="Q121" s="4">
        <f>Table9[[#This Row],[Octane]]/Table9[[#This Row],[Batmobile]]</f>
        <v>1.0079513662447188</v>
      </c>
      <c r="R121" s="4">
        <f>Table9[[#This Row],[Octane]]/Table9[[#This Row],[Breakout]]</f>
        <v>0.99244198525833349</v>
      </c>
    </row>
    <row r="122" spans="1:18">
      <c r="A122" s="1">
        <f>Octane[[#This Row],[Degrees turned]]</f>
        <v>58.462643974782495</v>
      </c>
      <c r="B122" s="1">
        <f>Hybrid[[#This Row],[Degrees turned]]</f>
        <v>59.120853943383956</v>
      </c>
      <c r="C122" s="1">
        <f>Dominus[[#This Row],[Degrees turned]]</f>
        <v>59.395807592223889</v>
      </c>
      <c r="D122" s="1">
        <f>Plank[[#This Row],[Degrees turned]]</f>
        <v>58.721793074843326</v>
      </c>
      <c r="E122" s="1">
        <f>Batmobile[[#This Row],[Degrees turned]]</f>
        <v>58.017089329472824</v>
      </c>
      <c r="F122" s="1">
        <f>Breakout[[#This Row],[Degrees turned]]</f>
        <v>58.932178591142865</v>
      </c>
      <c r="H122" s="1">
        <v>0</v>
      </c>
      <c r="I122" s="3">
        <f>Table9[[#This Row],[Hybrid]]-Table9[[#This Row],[Octane]]</f>
        <v>0.65820996860146153</v>
      </c>
      <c r="J122" s="3">
        <f>Table9[[#This Row],[Dominus]]-Table9[[#This Row],[Octane]]</f>
        <v>0.93316361744139442</v>
      </c>
      <c r="K122" s="3">
        <f>Table9[[#This Row],[Plank]]-Table9[[#This Row],[Octane]]</f>
        <v>0.25914910006083147</v>
      </c>
      <c r="L122" s="3">
        <f>Table9[[#This Row],[Batmobile]]-Table9[[#This Row],[Octane]]</f>
        <v>-0.44555464530967015</v>
      </c>
      <c r="M122" s="3">
        <f>Table9[[#This Row],[Breakout]]-Table9[[#This Row],[Octane]]</f>
        <v>0.46953461636037019</v>
      </c>
      <c r="N122" s="4">
        <f>Table9[[#This Row],[Octane]]/Table9[[#This Row],[Hybrid]]</f>
        <v>0.98886670396825149</v>
      </c>
      <c r="O122" s="4">
        <f>Table9[[#This Row],[Octane]]/Table9[[#This Row],[Dominus]]</f>
        <v>0.98428906592451881</v>
      </c>
      <c r="P122" s="4">
        <f>Table9[[#This Row],[Octane]]/Table9[[#This Row],[Plank]]</f>
        <v>0.99558683264779513</v>
      </c>
      <c r="Q122" s="4">
        <f>Table9[[#This Row],[Octane]]/Table9[[#This Row],[Batmobile]]</f>
        <v>1.0076797138646409</v>
      </c>
      <c r="R122" s="4">
        <f>Table9[[#This Row],[Octane]]/Table9[[#This Row],[Breakout]]</f>
        <v>0.9920326275460154</v>
      </c>
    </row>
    <row r="123" spans="1:18">
      <c r="A123" s="1">
        <f>Octane[[#This Row],[Degrees turned]]</f>
        <v>59.40849974579092</v>
      </c>
      <c r="B123" s="1">
        <f>Hybrid[[#This Row],[Degrees turned]]</f>
        <v>60.089061656985827</v>
      </c>
      <c r="C123" s="1">
        <f>Dominus[[#This Row],[Degrees turned]]</f>
        <v>60.371958163330177</v>
      </c>
      <c r="D123" s="1">
        <f>Plank[[#This Row],[Degrees turned]]</f>
        <v>59.691130605860643</v>
      </c>
      <c r="E123" s="1">
        <f>Batmobile[[#This Row],[Degrees turned]]</f>
        <v>58.971542944613972</v>
      </c>
      <c r="F123" s="1">
        <f>Breakout[[#This Row],[Degrees turned]]</f>
        <v>59.909567441501288</v>
      </c>
      <c r="H123" s="1">
        <v>0</v>
      </c>
      <c r="I123" s="3">
        <f>Table9[[#This Row],[Hybrid]]-Table9[[#This Row],[Octane]]</f>
        <v>0.68056191119490705</v>
      </c>
      <c r="J123" s="3">
        <f>Table9[[#This Row],[Dominus]]-Table9[[#This Row],[Octane]]</f>
        <v>0.96345841753925754</v>
      </c>
      <c r="K123" s="3">
        <f>Table9[[#This Row],[Plank]]-Table9[[#This Row],[Octane]]</f>
        <v>0.28263086006972316</v>
      </c>
      <c r="L123" s="3">
        <f>Table9[[#This Row],[Batmobile]]-Table9[[#This Row],[Octane]]</f>
        <v>-0.43695680117694735</v>
      </c>
      <c r="M123" s="3">
        <f>Table9[[#This Row],[Breakout]]-Table9[[#This Row],[Octane]]</f>
        <v>0.50106769571036835</v>
      </c>
      <c r="N123" s="4">
        <f>Table9[[#This Row],[Octane]]/Table9[[#This Row],[Hybrid]]</f>
        <v>0.98867411318419574</v>
      </c>
      <c r="O123" s="4">
        <f>Table9[[#This Row],[Octane]]/Table9[[#This Row],[Dominus]]</f>
        <v>0.98404129256611628</v>
      </c>
      <c r="P123" s="4">
        <f>Table9[[#This Row],[Octane]]/Table9[[#This Row],[Plank]]</f>
        <v>0.99526511129541284</v>
      </c>
      <c r="Q123" s="4">
        <f>Table9[[#This Row],[Octane]]/Table9[[#This Row],[Batmobile]]</f>
        <v>1.0074096213081509</v>
      </c>
      <c r="R123" s="4">
        <f>Table9[[#This Row],[Octane]]/Table9[[#This Row],[Breakout]]</f>
        <v>0.99163626584018261</v>
      </c>
    </row>
    <row r="124" spans="1:18">
      <c r="A124" s="1">
        <f>Octane[[#This Row],[Degrees turned]]</f>
        <v>60.354374010925596</v>
      </c>
      <c r="B124" s="1">
        <f>Hybrid[[#This Row],[Degrees turned]]</f>
        <v>61.05721922243378</v>
      </c>
      <c r="C124" s="1">
        <f>Dominus[[#This Row],[Degrees turned]]</f>
        <v>61.348311662936624</v>
      </c>
      <c r="D124" s="1">
        <f>Plank[[#This Row],[Degrees turned]]</f>
        <v>60.660508054354487</v>
      </c>
      <c r="E124" s="1">
        <f>Batmobile[[#This Row],[Degrees turned]]</f>
        <v>59.926101563048704</v>
      </c>
      <c r="F124" s="1">
        <f>Breakout[[#This Row],[Degrees turned]]</f>
        <v>60.887701022813538</v>
      </c>
      <c r="H124" s="1">
        <v>0</v>
      </c>
      <c r="I124" s="3">
        <f>Table9[[#This Row],[Hybrid]]-Table9[[#This Row],[Octane]]</f>
        <v>0.70284521150818335</v>
      </c>
      <c r="J124" s="3">
        <f>Table9[[#This Row],[Dominus]]-Table9[[#This Row],[Octane]]</f>
        <v>0.99393765201102724</v>
      </c>
      <c r="K124" s="3">
        <f>Table9[[#This Row],[Plank]]-Table9[[#This Row],[Octane]]</f>
        <v>0.30613404342889083</v>
      </c>
      <c r="L124" s="3">
        <f>Table9[[#This Row],[Batmobile]]-Table9[[#This Row],[Octane]]</f>
        <v>-0.42827244787689267</v>
      </c>
      <c r="M124" s="3">
        <f>Table9[[#This Row],[Breakout]]-Table9[[#This Row],[Octane]]</f>
        <v>0.53332701188794118</v>
      </c>
      <c r="N124" s="4">
        <f>Table9[[#This Row],[Octane]]/Table9[[#This Row],[Hybrid]]</f>
        <v>0.9884887451400679</v>
      </c>
      <c r="O124" s="4">
        <f>Table9[[#This Row],[Octane]]/Table9[[#This Row],[Dominus]]</f>
        <v>0.98379845141506128</v>
      </c>
      <c r="P124" s="4">
        <f>Table9[[#This Row],[Octane]]/Table9[[#This Row],[Plank]]</f>
        <v>0.99495332213250531</v>
      </c>
      <c r="Q124" s="4">
        <f>Table9[[#This Row],[Octane]]/Table9[[#This Row],[Batmobile]]</f>
        <v>1.0071466762680417</v>
      </c>
      <c r="R124" s="4">
        <f>Table9[[#This Row],[Octane]]/Table9[[#This Row],[Breakout]]</f>
        <v>0.99124080885090216</v>
      </c>
    </row>
    <row r="125" spans="1:18">
      <c r="A125" s="1">
        <f>Octane[[#This Row],[Degrees turned]]</f>
        <v>61.300331005639336</v>
      </c>
      <c r="B125" s="1">
        <f>Hybrid[[#This Row],[Degrees turned]]</f>
        <v>62.025509715185798</v>
      </c>
      <c r="C125" s="1">
        <f>Dominus[[#This Row],[Degrees turned]]</f>
        <v>62.324704580466246</v>
      </c>
      <c r="D125" s="1">
        <f>Plank[[#This Row],[Degrees turned]]</f>
        <v>61.629991101351088</v>
      </c>
      <c r="E125" s="1">
        <f>Batmobile[[#This Row],[Degrees turned]]</f>
        <v>60.880598358343661</v>
      </c>
      <c r="F125" s="1">
        <f>Breakout[[#This Row],[Degrees turned]]</f>
        <v>61.865847709574687</v>
      </c>
      <c r="H125" s="1">
        <v>0</v>
      </c>
      <c r="I125" s="3">
        <f>Table9[[#This Row],[Hybrid]]-Table9[[#This Row],[Octane]]</f>
        <v>0.72517870954646213</v>
      </c>
      <c r="J125" s="3">
        <f>Table9[[#This Row],[Dominus]]-Table9[[#This Row],[Octane]]</f>
        <v>1.0243735748269103</v>
      </c>
      <c r="K125" s="3">
        <f>Table9[[#This Row],[Plank]]-Table9[[#This Row],[Octane]]</f>
        <v>0.32966009571175192</v>
      </c>
      <c r="L125" s="3">
        <f>Table9[[#This Row],[Batmobile]]-Table9[[#This Row],[Octane]]</f>
        <v>-0.41973264729567461</v>
      </c>
      <c r="M125" s="3">
        <f>Table9[[#This Row],[Breakout]]-Table9[[#This Row],[Octane]]</f>
        <v>0.56551670393535147</v>
      </c>
      <c r="N125" s="4">
        <f>Table9[[#This Row],[Octane]]/Table9[[#This Row],[Hybrid]]</f>
        <v>0.98830837968319163</v>
      </c>
      <c r="O125" s="4">
        <f>Table9[[#This Row],[Octane]]/Table9[[#This Row],[Dominus]]</f>
        <v>0.98356392410164795</v>
      </c>
      <c r="P125" s="4">
        <f>Table9[[#This Row],[Octane]]/Table9[[#This Row],[Plank]]</f>
        <v>0.99465097933943192</v>
      </c>
      <c r="Q125" s="4">
        <f>Table9[[#This Row],[Octane]]/Table9[[#This Row],[Batmobile]]</f>
        <v>1.0068943581143064</v>
      </c>
      <c r="R125" s="4">
        <f>Table9[[#This Row],[Octane]]/Table9[[#This Row],[Breakout]]</f>
        <v>0.99085898399727534</v>
      </c>
    </row>
    <row r="126" spans="1:18">
      <c r="A126" s="1">
        <f>Octane[[#This Row],[Degrees turned]]</f>
        <v>62.24642506582218</v>
      </c>
      <c r="B126" s="1">
        <f>Hybrid[[#This Row],[Degrees turned]]</f>
        <v>62.994011057760353</v>
      </c>
      <c r="C126" s="1">
        <f>Dominus[[#This Row],[Degrees turned]]</f>
        <v>63.301455776611036</v>
      </c>
      <c r="D126" s="1">
        <f>Plank[[#This Row],[Degrees turned]]</f>
        <v>62.599654207697107</v>
      </c>
      <c r="E126" s="1">
        <f>Batmobile[[#This Row],[Degrees turned]]</f>
        <v>61.835334136210079</v>
      </c>
      <c r="F126" s="1">
        <f>Breakout[[#This Row],[Degrees turned]]</f>
        <v>62.844299471841232</v>
      </c>
      <c r="H126" s="1">
        <v>0</v>
      </c>
      <c r="I126" s="3">
        <f>Table9[[#This Row],[Hybrid]]-Table9[[#This Row],[Octane]]</f>
        <v>0.74758599193817332</v>
      </c>
      <c r="J126" s="3">
        <f>Table9[[#This Row],[Dominus]]-Table9[[#This Row],[Octane]]</f>
        <v>1.0550307107888557</v>
      </c>
      <c r="K126" s="3">
        <f>Table9[[#This Row],[Plank]]-Table9[[#This Row],[Octane]]</f>
        <v>0.35322914187492671</v>
      </c>
      <c r="L126" s="3">
        <f>Table9[[#This Row],[Batmobile]]-Table9[[#This Row],[Octane]]</f>
        <v>-0.41109092961210081</v>
      </c>
      <c r="M126" s="3">
        <f>Table9[[#This Row],[Breakout]]-Table9[[#This Row],[Octane]]</f>
        <v>0.59787440601905217</v>
      </c>
      <c r="N126" s="4">
        <f>Table9[[#This Row],[Octane]]/Table9[[#This Row],[Hybrid]]</f>
        <v>0.98813242752151953</v>
      </c>
      <c r="O126" s="4">
        <f>Table9[[#This Row],[Octane]]/Table9[[#This Row],[Dominus]]</f>
        <v>0.98333323147398022</v>
      </c>
      <c r="P126" s="4">
        <f>Table9[[#This Row],[Octane]]/Table9[[#This Row],[Plank]]</f>
        <v>0.99435733078168509</v>
      </c>
      <c r="Q126" s="4">
        <f>Table9[[#This Row],[Octane]]/Table9[[#This Row],[Batmobile]]</f>
        <v>1.0066481557082971</v>
      </c>
      <c r="R126" s="4">
        <f>Table9[[#This Row],[Octane]]/Table9[[#This Row],[Breakout]]</f>
        <v>0.9904864178446775</v>
      </c>
    </row>
    <row r="127" spans="1:18">
      <c r="A127" s="1">
        <f>Octane[[#This Row],[Degrees turned]]</f>
        <v>63.192746743967675</v>
      </c>
      <c r="B127" s="1">
        <f>Hybrid[[#This Row],[Degrees turned]]</f>
        <v>63.96289585516471</v>
      </c>
      <c r="C127" s="1">
        <f>Dominus[[#This Row],[Degrees turned]]</f>
        <v>64.277801536007686</v>
      </c>
      <c r="D127" s="1">
        <f>Plank[[#This Row],[Degrees turned]]</f>
        <v>63.568985671375479</v>
      </c>
      <c r="E127" s="1">
        <f>Batmobile[[#This Row],[Degrees turned]]</f>
        <v>62.790254760562178</v>
      </c>
      <c r="F127" s="1">
        <f>Breakout[[#This Row],[Degrees turned]]</f>
        <v>63.822345783903621</v>
      </c>
      <c r="H127" s="1">
        <v>0</v>
      </c>
      <c r="I127" s="3">
        <f>Table9[[#This Row],[Hybrid]]-Table9[[#This Row],[Octane]]</f>
        <v>0.77014911119703555</v>
      </c>
      <c r="J127" s="3">
        <f>Table9[[#This Row],[Dominus]]-Table9[[#This Row],[Octane]]</f>
        <v>1.0850547920400118</v>
      </c>
      <c r="K127" s="3">
        <f>Table9[[#This Row],[Plank]]-Table9[[#This Row],[Octane]]</f>
        <v>0.37623892740780462</v>
      </c>
      <c r="L127" s="3">
        <f>Table9[[#This Row],[Batmobile]]-Table9[[#This Row],[Octane]]</f>
        <v>-0.40249198340549697</v>
      </c>
      <c r="M127" s="3">
        <f>Table9[[#This Row],[Breakout]]-Table9[[#This Row],[Octane]]</f>
        <v>0.62959903993594679</v>
      </c>
      <c r="N127" s="4">
        <f>Table9[[#This Row],[Octane]]/Table9[[#This Row],[Hybrid]]</f>
        <v>0.98795943959540333</v>
      </c>
      <c r="O127" s="4">
        <f>Table9[[#This Row],[Octane]]/Table9[[#This Row],[Dominus]]</f>
        <v>0.98311929210223259</v>
      </c>
      <c r="P127" s="4">
        <f>Table9[[#This Row],[Octane]]/Table9[[#This Row],[Plank]]</f>
        <v>0.99408140741221196</v>
      </c>
      <c r="Q127" s="4">
        <f>Table9[[#This Row],[Octane]]/Table9[[#This Row],[Batmobile]]</f>
        <v>1.0064101027291625</v>
      </c>
      <c r="R127" s="4">
        <f>Table9[[#This Row],[Octane]]/Table9[[#This Row],[Breakout]]</f>
        <v>0.99013513163449507</v>
      </c>
    </row>
    <row r="128" spans="1:18">
      <c r="A128" s="1">
        <f>Octane[[#This Row],[Degrees turned]]</f>
        <v>64.138760125001056</v>
      </c>
      <c r="B128" s="1">
        <f>Hybrid[[#This Row],[Degrees turned]]</f>
        <v>64.931447754072281</v>
      </c>
      <c r="C128" s="1">
        <f>Dominus[[#This Row],[Degrees turned]]</f>
        <v>65.254540881894968</v>
      </c>
      <c r="D128" s="1">
        <f>Plank[[#This Row],[Degrees turned]]</f>
        <v>64.538523619790567</v>
      </c>
      <c r="E128" s="1">
        <f>Batmobile[[#This Row],[Degrees turned]]</f>
        <v>63.744736718038027</v>
      </c>
      <c r="F128" s="1">
        <f>Breakout[[#This Row],[Degrees turned]]</f>
        <v>64.80072698899437</v>
      </c>
      <c r="H128" s="1">
        <v>0</v>
      </c>
      <c r="I128" s="3">
        <f>Table9[[#This Row],[Hybrid]]-Table9[[#This Row],[Octane]]</f>
        <v>0.79268762907122436</v>
      </c>
      <c r="J128" s="3">
        <f>Table9[[#This Row],[Dominus]]-Table9[[#This Row],[Octane]]</f>
        <v>1.115780756893912</v>
      </c>
      <c r="K128" s="3">
        <f>Table9[[#This Row],[Plank]]-Table9[[#This Row],[Octane]]</f>
        <v>0.39976349478951079</v>
      </c>
      <c r="L128" s="3">
        <f>Table9[[#This Row],[Batmobile]]-Table9[[#This Row],[Octane]]</f>
        <v>-0.39402340696302929</v>
      </c>
      <c r="M128" s="3">
        <f>Table9[[#This Row],[Breakout]]-Table9[[#This Row],[Octane]]</f>
        <v>0.66196686399331384</v>
      </c>
      <c r="N128" s="4">
        <f>Table9[[#This Row],[Octane]]/Table9[[#This Row],[Hybrid]]</f>
        <v>0.98779193046682823</v>
      </c>
      <c r="O128" s="4">
        <f>Table9[[#This Row],[Octane]]/Table9[[#This Row],[Dominus]]</f>
        <v>0.98290110171929068</v>
      </c>
      <c r="P128" s="4">
        <f>Table9[[#This Row],[Octane]]/Table9[[#This Row],[Plank]]</f>
        <v>0.99380581593182082</v>
      </c>
      <c r="Q128" s="4">
        <f>Table9[[#This Row],[Octane]]/Table9[[#This Row],[Batmobile]]</f>
        <v>1.0061812696584804</v>
      </c>
      <c r="R128" s="4">
        <f>Table9[[#This Row],[Octane]]/Table9[[#This Row],[Breakout]]</f>
        <v>0.98978457658189944</v>
      </c>
    </row>
    <row r="129" spans="1:18">
      <c r="A129" s="1">
        <f>Octane[[#This Row],[Degrees turned]]</f>
        <v>65.085109084823628</v>
      </c>
      <c r="B129" s="1">
        <f>Hybrid[[#This Row],[Degrees turned]]</f>
        <v>65.900404688702253</v>
      </c>
      <c r="C129" s="1">
        <f>Dominus[[#This Row],[Degrees turned]]</f>
        <v>66.231008936651975</v>
      </c>
      <c r="D129" s="1">
        <f>Plank[[#This Row],[Degrees turned]]</f>
        <v>65.508567755728293</v>
      </c>
      <c r="E129" s="1">
        <f>Batmobile[[#This Row],[Degrees turned]]</f>
        <v>64.699545984415536</v>
      </c>
      <c r="F129" s="1">
        <f>Breakout[[#This Row],[Degrees turned]]</f>
        <v>65.779518731879392</v>
      </c>
      <c r="H129" s="1">
        <v>0</v>
      </c>
      <c r="I129" s="3">
        <f>Table9[[#This Row],[Hybrid]]-Table9[[#This Row],[Octane]]</f>
        <v>0.81529560387862432</v>
      </c>
      <c r="J129" s="3">
        <f>Table9[[#This Row],[Dominus]]-Table9[[#This Row],[Octane]]</f>
        <v>1.1458998518283465</v>
      </c>
      <c r="K129" s="3">
        <f>Table9[[#This Row],[Plank]]-Table9[[#This Row],[Octane]]</f>
        <v>0.42345867090466527</v>
      </c>
      <c r="L129" s="3">
        <f>Table9[[#This Row],[Batmobile]]-Table9[[#This Row],[Octane]]</f>
        <v>-0.38556310040809194</v>
      </c>
      <c r="M129" s="3">
        <f>Table9[[#This Row],[Breakout]]-Table9[[#This Row],[Octane]]</f>
        <v>0.69440964705576391</v>
      </c>
      <c r="N129" s="4">
        <f>Table9[[#This Row],[Octane]]/Table9[[#This Row],[Hybrid]]</f>
        <v>0.98762836726527115</v>
      </c>
      <c r="O129" s="4">
        <f>Table9[[#This Row],[Octane]]/Table9[[#This Row],[Dominus]]</f>
        <v>0.98269843883966246</v>
      </c>
      <c r="P129" s="4">
        <f>Table9[[#This Row],[Octane]]/Table9[[#This Row],[Plank]]</f>
        <v>0.99353582767244009</v>
      </c>
      <c r="Q129" s="4">
        <f>Table9[[#This Row],[Octane]]/Table9[[#This Row],[Batmobile]]</f>
        <v>1.0059592860280806</v>
      </c>
      <c r="R129" s="4">
        <f>Table9[[#This Row],[Octane]]/Table9[[#This Row],[Breakout]]</f>
        <v>0.98944337598628207</v>
      </c>
    </row>
    <row r="130" spans="1:18">
      <c r="A130" s="1">
        <f>Octane[[#This Row],[Degrees turned]]</f>
        <v>66.031172414200199</v>
      </c>
      <c r="B130" s="1">
        <f>Hybrid[[#This Row],[Degrees turned]]</f>
        <v>66.869152393366946</v>
      </c>
      <c r="C130" s="1">
        <f>Dominus[[#This Row],[Degrees turned]]</f>
        <v>67.20812971455058</v>
      </c>
      <c r="D130" s="1">
        <f>Plank[[#This Row],[Degrees turned]]</f>
        <v>66.478371983128</v>
      </c>
      <c r="E130" s="1">
        <f>Batmobile[[#This Row],[Degrees turned]]</f>
        <v>65.654162152536628</v>
      </c>
      <c r="F130" s="1">
        <f>Breakout[[#This Row],[Degrees turned]]</f>
        <v>66.758224010718862</v>
      </c>
      <c r="H130" s="1">
        <v>0</v>
      </c>
      <c r="I130" s="3">
        <f>Table9[[#This Row],[Hybrid]]-Table9[[#This Row],[Octane]]</f>
        <v>0.8379799791667466</v>
      </c>
      <c r="J130" s="3">
        <f>Table9[[#This Row],[Dominus]]-Table9[[#This Row],[Octane]]</f>
        <v>1.1769573003503808</v>
      </c>
      <c r="K130" s="3">
        <f>Table9[[#This Row],[Plank]]-Table9[[#This Row],[Octane]]</f>
        <v>0.44719956892780033</v>
      </c>
      <c r="L130" s="3">
        <f>Table9[[#This Row],[Batmobile]]-Table9[[#This Row],[Octane]]</f>
        <v>-0.3770102616635711</v>
      </c>
      <c r="M130" s="3">
        <f>Table9[[#This Row],[Breakout]]-Table9[[#This Row],[Octane]]</f>
        <v>0.72705159651866325</v>
      </c>
      <c r="N130" s="4">
        <f>Table9[[#This Row],[Octane]]/Table9[[#This Row],[Hybrid]]</f>
        <v>0.98746836247845327</v>
      </c>
      <c r="O130" s="4">
        <f>Table9[[#This Row],[Octane]]/Table9[[#This Row],[Dominus]]</f>
        <v>0.98248787303933005</v>
      </c>
      <c r="P130" s="4">
        <f>Table9[[#This Row],[Octane]]/Table9[[#This Row],[Plank]]</f>
        <v>0.99327300660970907</v>
      </c>
      <c r="Q130" s="4">
        <f>Table9[[#This Row],[Octane]]/Table9[[#This Row],[Batmobile]]</f>
        <v>1.0057423665050762</v>
      </c>
      <c r="R130" s="4">
        <f>Table9[[#This Row],[Octane]]/Table9[[#This Row],[Breakout]]</f>
        <v>0.98910918306631512</v>
      </c>
    </row>
    <row r="131" spans="1:18">
      <c r="A131" s="1">
        <f>Octane[[#This Row],[Degrees turned]]</f>
        <v>66.977716607236871</v>
      </c>
      <c r="B131" s="1">
        <f>Hybrid[[#This Row],[Degrees turned]]</f>
        <v>67.837894978436722</v>
      </c>
      <c r="C131" s="1">
        <f>Dominus[[#This Row],[Degrees turned]]</f>
        <v>68.185137611171157</v>
      </c>
      <c r="D131" s="1">
        <f>Plank[[#This Row],[Degrees turned]]</f>
        <v>67.448140819124106</v>
      </c>
      <c r="E131" s="1">
        <f>Batmobile[[#This Row],[Degrees turned]]</f>
        <v>66.609218851660302</v>
      </c>
      <c r="F131" s="1">
        <f>Breakout[[#This Row],[Degrees turned]]</f>
        <v>67.736916222220415</v>
      </c>
      <c r="H131" s="1">
        <v>0</v>
      </c>
      <c r="I131" s="3">
        <f>Table9[[#This Row],[Hybrid]]-Table9[[#This Row],[Octane]]</f>
        <v>0.86017837119985074</v>
      </c>
      <c r="J131" s="3">
        <f>Table9[[#This Row],[Dominus]]-Table9[[#This Row],[Octane]]</f>
        <v>1.2074210039342859</v>
      </c>
      <c r="K131" s="3">
        <f>Table9[[#This Row],[Plank]]-Table9[[#This Row],[Octane]]</f>
        <v>0.47042421188723438</v>
      </c>
      <c r="L131" s="3">
        <f>Table9[[#This Row],[Batmobile]]-Table9[[#This Row],[Octane]]</f>
        <v>-0.36849775557656983</v>
      </c>
      <c r="M131" s="3">
        <f>Table9[[#This Row],[Breakout]]-Table9[[#This Row],[Octane]]</f>
        <v>0.75919961498354382</v>
      </c>
      <c r="N131" s="4">
        <f>Table9[[#This Row],[Octane]]/Table9[[#This Row],[Hybrid]]</f>
        <v>0.98732009046752889</v>
      </c>
      <c r="O131" s="4">
        <f>Table9[[#This Row],[Octane]]/Table9[[#This Row],[Dominus]]</f>
        <v>0.98229202072129473</v>
      </c>
      <c r="P131" s="4">
        <f>Table9[[#This Row],[Octane]]/Table9[[#This Row],[Plank]]</f>
        <v>0.9930253939371172</v>
      </c>
      <c r="Q131" s="4">
        <f>Table9[[#This Row],[Octane]]/Table9[[#This Row],[Batmobile]]</f>
        <v>1.0055322335545958</v>
      </c>
      <c r="R131" s="4">
        <f>Table9[[#This Row],[Octane]]/Table9[[#This Row],[Breakout]]</f>
        <v>0.98879193713967017</v>
      </c>
    </row>
    <row r="132" spans="1:18">
      <c r="A132" s="1">
        <f>Octane[[#This Row],[Degrees turned]]</f>
        <v>67.924221890233468</v>
      </c>
      <c r="B132" s="1">
        <f>Hybrid[[#This Row],[Degrees turned]]</f>
        <v>68.806649992189563</v>
      </c>
      <c r="C132" s="1">
        <f>Dominus[[#This Row],[Degrees turned]]</f>
        <v>69.162242148281081</v>
      </c>
      <c r="D132" s="1">
        <f>Plank[[#This Row],[Degrees turned]]</f>
        <v>68.417920885387957</v>
      </c>
      <c r="E132" s="1">
        <f>Batmobile[[#This Row],[Degrees turned]]</f>
        <v>67.564122690772734</v>
      </c>
      <c r="F132" s="1">
        <f>Breakout[[#This Row],[Degrees turned]]</f>
        <v>68.715526592848221</v>
      </c>
      <c r="H132" s="1">
        <v>0</v>
      </c>
      <c r="I132" s="3">
        <f>Table9[[#This Row],[Hybrid]]-Table9[[#This Row],[Octane]]</f>
        <v>0.88242810195609422</v>
      </c>
      <c r="J132" s="3">
        <f>Table9[[#This Row],[Dominus]]-Table9[[#This Row],[Octane]]</f>
        <v>1.2380202580476123</v>
      </c>
      <c r="K132" s="3">
        <f>Table9[[#This Row],[Plank]]-Table9[[#This Row],[Octane]]</f>
        <v>0.49369899515448878</v>
      </c>
      <c r="L132" s="3">
        <f>Table9[[#This Row],[Batmobile]]-Table9[[#This Row],[Octane]]</f>
        <v>-0.3600991994607341</v>
      </c>
      <c r="M132" s="3">
        <f>Table9[[#This Row],[Breakout]]-Table9[[#This Row],[Octane]]</f>
        <v>0.79130470261475239</v>
      </c>
      <c r="N132" s="4">
        <f>Table9[[#This Row],[Octane]]/Table9[[#This Row],[Hybrid]]</f>
        <v>0.98717524974611814</v>
      </c>
      <c r="O132" s="4">
        <f>Table9[[#This Row],[Octane]]/Table9[[#This Row],[Dominus]]</f>
        <v>0.98209976687289369</v>
      </c>
      <c r="P132" s="4">
        <f>Table9[[#This Row],[Octane]]/Table9[[#This Row],[Plank]]</f>
        <v>0.99278406901633975</v>
      </c>
      <c r="Q132" s="4">
        <f>Table9[[#This Row],[Octane]]/Table9[[#This Row],[Batmobile]]</f>
        <v>1.0053297398844181</v>
      </c>
      <c r="R132" s="4">
        <f>Table9[[#This Row],[Octane]]/Table9[[#This Row],[Breakout]]</f>
        <v>0.98848433910281475</v>
      </c>
    </row>
    <row r="133" spans="1:18">
      <c r="A133" s="1">
        <f>Octane[[#This Row],[Degrees turned]]</f>
        <v>68.870752167530782</v>
      </c>
      <c r="B133" s="1">
        <f>Hybrid[[#This Row],[Degrees turned]]</f>
        <v>69.775458451109188</v>
      </c>
      <c r="C133" s="1">
        <f>Dominus[[#This Row],[Degrees turned]]</f>
        <v>70.139373266638785</v>
      </c>
      <c r="D133" s="1">
        <f>Plank[[#This Row],[Degrees turned]]</f>
        <v>69.387665233851351</v>
      </c>
      <c r="E133" s="1">
        <f>Batmobile[[#This Row],[Degrees turned]]</f>
        <v>68.519032037946531</v>
      </c>
      <c r="F133" s="1">
        <f>Breakout[[#This Row],[Degrees turned]]</f>
        <v>69.694180582336131</v>
      </c>
      <c r="H133" s="1">
        <v>0</v>
      </c>
      <c r="I133" s="3">
        <f>Table9[[#This Row],[Hybrid]]-Table9[[#This Row],[Octane]]</f>
        <v>0.9047062835784061</v>
      </c>
      <c r="J133" s="3">
        <f>Table9[[#This Row],[Dominus]]-Table9[[#This Row],[Octane]]</f>
        <v>1.2686210991080031</v>
      </c>
      <c r="K133" s="3">
        <f>Table9[[#This Row],[Plank]]-Table9[[#This Row],[Octane]]</f>
        <v>0.51691306632056921</v>
      </c>
      <c r="L133" s="3">
        <f>Table9[[#This Row],[Batmobile]]-Table9[[#This Row],[Octane]]</f>
        <v>-0.35172012958425114</v>
      </c>
      <c r="M133" s="3">
        <f>Table9[[#This Row],[Breakout]]-Table9[[#This Row],[Octane]]</f>
        <v>0.82342841480534901</v>
      </c>
      <c r="N133" s="4">
        <f>Table9[[#This Row],[Octane]]/Table9[[#This Row],[Hybrid]]</f>
        <v>0.98703403311620919</v>
      </c>
      <c r="O133" s="4">
        <f>Table9[[#This Row],[Octane]]/Table9[[#This Row],[Dominus]]</f>
        <v>0.98191285379347104</v>
      </c>
      <c r="P133" s="4">
        <f>Table9[[#This Row],[Octane]]/Table9[[#This Row],[Plank]]</f>
        <v>0.99255036086632309</v>
      </c>
      <c r="Q133" s="4">
        <f>Table9[[#This Row],[Octane]]/Table9[[#This Row],[Batmobile]]</f>
        <v>1.0051331742309124</v>
      </c>
      <c r="R133" s="4">
        <f>Table9[[#This Row],[Octane]]/Table9[[#This Row],[Breakout]]</f>
        <v>0.98818511950459686</v>
      </c>
    </row>
    <row r="134" spans="1:18">
      <c r="A134" s="1">
        <f>Octane[[#This Row],[Degrees turned]]</f>
        <v>69.817228419520887</v>
      </c>
      <c r="B134" s="1">
        <f>Hybrid[[#This Row],[Degrees turned]]</f>
        <v>70.744411749125192</v>
      </c>
      <c r="C134" s="1">
        <f>Dominus[[#This Row],[Degrees turned]]</f>
        <v>71.11615145773635</v>
      </c>
      <c r="D134" s="1">
        <f>Plank[[#This Row],[Degrees turned]]</f>
        <v>70.357473487082856</v>
      </c>
      <c r="E134" s="1">
        <f>Batmobile[[#This Row],[Degrees turned]]</f>
        <v>69.474010796089317</v>
      </c>
      <c r="F134" s="1">
        <f>Breakout[[#This Row],[Degrees turned]]</f>
        <v>70.673006618172067</v>
      </c>
      <c r="H134" s="1">
        <v>0</v>
      </c>
      <c r="I134" s="3">
        <f>Table9[[#This Row],[Hybrid]]-Table9[[#This Row],[Octane]]</f>
        <v>0.92718332960430416</v>
      </c>
      <c r="J134" s="3">
        <f>Table9[[#This Row],[Dominus]]-Table9[[#This Row],[Octane]]</f>
        <v>1.2989230382154631</v>
      </c>
      <c r="K134" s="3">
        <f>Table9[[#This Row],[Plank]]-Table9[[#This Row],[Octane]]</f>
        <v>0.54024506756196899</v>
      </c>
      <c r="L134" s="3">
        <f>Table9[[#This Row],[Batmobile]]-Table9[[#This Row],[Octane]]</f>
        <v>-0.34321762343157047</v>
      </c>
      <c r="M134" s="3">
        <f>Table9[[#This Row],[Breakout]]-Table9[[#This Row],[Octane]]</f>
        <v>0.85577819865117988</v>
      </c>
      <c r="N134" s="4">
        <f>Table9[[#This Row],[Octane]]/Table9[[#This Row],[Hybrid]]</f>
        <v>0.98689390007379951</v>
      </c>
      <c r="O134" s="4">
        <f>Table9[[#This Row],[Octane]]/Table9[[#This Row],[Dominus]]</f>
        <v>0.98173518938257787</v>
      </c>
      <c r="P134" s="4">
        <f>Table9[[#This Row],[Octane]]/Table9[[#This Row],[Plank]]</f>
        <v>0.99232142598666284</v>
      </c>
      <c r="Q134" s="4">
        <f>Table9[[#This Row],[Octane]]/Table9[[#This Row],[Batmobile]]</f>
        <v>1.0049402304473098</v>
      </c>
      <c r="R134" s="4">
        <f>Table9[[#This Row],[Octane]]/Table9[[#This Row],[Breakout]]</f>
        <v>0.98789101752420516</v>
      </c>
    </row>
    <row r="135" spans="1:18">
      <c r="A135" s="1">
        <f>Octane[[#This Row],[Degrees turned]]</f>
        <v>70.763779117860679</v>
      </c>
      <c r="B135" s="1">
        <f>Hybrid[[#This Row],[Degrees turned]]</f>
        <v>71.713641810894686</v>
      </c>
      <c r="C135" s="1">
        <f>Dominus[[#This Row],[Degrees turned]]</f>
        <v>72.093130562782008</v>
      </c>
      <c r="D135" s="1">
        <f>Plank[[#This Row],[Degrees turned]]</f>
        <v>71.327606803420252</v>
      </c>
      <c r="E135" s="1">
        <f>Batmobile[[#This Row],[Degrees turned]]</f>
        <v>70.429010618584456</v>
      </c>
      <c r="F135" s="1">
        <f>Breakout[[#This Row],[Degrees turned]]</f>
        <v>71.652107205094708</v>
      </c>
      <c r="H135" s="1">
        <v>0</v>
      </c>
      <c r="I135" s="3">
        <f>Table9[[#This Row],[Hybrid]]-Table9[[#This Row],[Octane]]</f>
        <v>0.94986269303400661</v>
      </c>
      <c r="J135" s="3">
        <f>Table9[[#This Row],[Dominus]]-Table9[[#This Row],[Octane]]</f>
        <v>1.3293514449213291</v>
      </c>
      <c r="K135" s="3">
        <f>Table9[[#This Row],[Plank]]-Table9[[#This Row],[Octane]]</f>
        <v>0.56382768555957341</v>
      </c>
      <c r="L135" s="3">
        <f>Table9[[#This Row],[Batmobile]]-Table9[[#This Row],[Octane]]</f>
        <v>-0.33476849927622254</v>
      </c>
      <c r="M135" s="3">
        <f>Table9[[#This Row],[Breakout]]-Table9[[#This Row],[Octane]]</f>
        <v>0.88832808723402934</v>
      </c>
      <c r="N135" s="4">
        <f>Table9[[#This Row],[Octane]]/Table9[[#This Row],[Hybrid]]</f>
        <v>0.9867547837615227</v>
      </c>
      <c r="O135" s="4">
        <f>Table9[[#This Row],[Octane]]/Table9[[#This Row],[Dominus]]</f>
        <v>0.98156063643589908</v>
      </c>
      <c r="P135" s="4">
        <f>Table9[[#This Row],[Octane]]/Table9[[#This Row],[Plank]]</f>
        <v>0.99209523898490681</v>
      </c>
      <c r="Q135" s="4">
        <f>Table9[[#This Row],[Octane]]/Table9[[#This Row],[Batmobile]]</f>
        <v>1.0047532756223028</v>
      </c>
      <c r="R135" s="4">
        <f>Table9[[#This Row],[Octane]]/Table9[[#This Row],[Breakout]]</f>
        <v>0.98760220568682922</v>
      </c>
    </row>
    <row r="136" spans="1:18">
      <c r="A136" s="1">
        <f>Octane[[#This Row],[Degrees turned]]</f>
        <v>71.709953724517931</v>
      </c>
      <c r="B136" s="1">
        <f>Hybrid[[#This Row],[Degrees turned]]</f>
        <v>72.682363792352405</v>
      </c>
      <c r="C136" s="1">
        <f>Dominus[[#This Row],[Degrees turned]]</f>
        <v>73.070456751115373</v>
      </c>
      <c r="D136" s="1">
        <f>Plank[[#This Row],[Degrees turned]]</f>
        <v>72.297944449143017</v>
      </c>
      <c r="E136" s="1">
        <f>Batmobile[[#This Row],[Degrees turned]]</f>
        <v>71.38424376703459</v>
      </c>
      <c r="F136" s="1">
        <f>Breakout[[#This Row],[Degrees turned]]</f>
        <v>72.63151159738193</v>
      </c>
      <c r="H136" s="1">
        <v>0</v>
      </c>
      <c r="I136" s="3">
        <f>Table9[[#This Row],[Hybrid]]-Table9[[#This Row],[Octane]]</f>
        <v>0.97241006783447403</v>
      </c>
      <c r="J136" s="3">
        <f>Table9[[#This Row],[Dominus]]-Table9[[#This Row],[Octane]]</f>
        <v>1.360503026597442</v>
      </c>
      <c r="K136" s="3">
        <f>Table9[[#This Row],[Plank]]-Table9[[#This Row],[Octane]]</f>
        <v>0.58799072462508661</v>
      </c>
      <c r="L136" s="3">
        <f>Table9[[#This Row],[Batmobile]]-Table9[[#This Row],[Octane]]</f>
        <v>-0.32570995748334042</v>
      </c>
      <c r="M136" s="3">
        <f>Table9[[#This Row],[Breakout]]-Table9[[#This Row],[Octane]]</f>
        <v>0.92155787286399971</v>
      </c>
      <c r="N136" s="4">
        <f>Table9[[#This Row],[Octane]]/Table9[[#This Row],[Hybrid]]</f>
        <v>0.98662110012529902</v>
      </c>
      <c r="O136" s="4">
        <f>Table9[[#This Row],[Octane]]/Table9[[#This Row],[Dominus]]</f>
        <v>0.98138094262594477</v>
      </c>
      <c r="P136" s="4">
        <f>Table9[[#This Row],[Octane]]/Table9[[#This Row],[Plank]]</f>
        <v>0.99186711698229957</v>
      </c>
      <c r="Q136" s="4">
        <f>Table9[[#This Row],[Octane]]/Table9[[#This Row],[Batmobile]]</f>
        <v>1.0045627710023279</v>
      </c>
      <c r="R136" s="4">
        <f>Table9[[#This Row],[Octane]]/Table9[[#This Row],[Breakout]]</f>
        <v>0.98731187259364128</v>
      </c>
    </row>
    <row r="137" spans="1:18">
      <c r="A137" s="1">
        <f>Octane[[#This Row],[Degrees turned]]</f>
        <v>72.656448325207293</v>
      </c>
      <c r="B137" s="1">
        <f>Hybrid[[#This Row],[Degrees turned]]</f>
        <v>73.651613966348464</v>
      </c>
      <c r="C137" s="1">
        <f>Dominus[[#This Row],[Degrees turned]]</f>
        <v>74.047532680850637</v>
      </c>
      <c r="D137" s="1">
        <f>Plank[[#This Row],[Degrees turned]]</f>
        <v>73.267924132629787</v>
      </c>
      <c r="E137" s="1">
        <f>Batmobile[[#This Row],[Degrees turned]]</f>
        <v>72.339630790819527</v>
      </c>
      <c r="F137" s="1">
        <f>Breakout[[#This Row],[Degrees turned]]</f>
        <v>73.61055992214547</v>
      </c>
      <c r="H137" s="1">
        <v>0</v>
      </c>
      <c r="I137" s="3">
        <f>Table9[[#This Row],[Hybrid]]-Table9[[#This Row],[Octane]]</f>
        <v>0.99516564114117045</v>
      </c>
      <c r="J137" s="3">
        <f>Table9[[#This Row],[Dominus]]-Table9[[#This Row],[Octane]]</f>
        <v>1.3910843556433434</v>
      </c>
      <c r="K137" s="3">
        <f>Table9[[#This Row],[Plank]]-Table9[[#This Row],[Octane]]</f>
        <v>0.61147580742249374</v>
      </c>
      <c r="L137" s="3">
        <f>Table9[[#This Row],[Batmobile]]-Table9[[#This Row],[Octane]]</f>
        <v>-0.31681753438776639</v>
      </c>
      <c r="M137" s="3">
        <f>Table9[[#This Row],[Breakout]]-Table9[[#This Row],[Octane]]</f>
        <v>0.95411159693817638</v>
      </c>
      <c r="N137" s="4">
        <f>Table9[[#This Row],[Octane]]/Table9[[#This Row],[Hybrid]]</f>
        <v>0.98648820321037545</v>
      </c>
      <c r="O137" s="4">
        <f>Table9[[#This Row],[Octane]]/Table9[[#This Row],[Dominus]]</f>
        <v>0.98121362987691974</v>
      </c>
      <c r="P137" s="4">
        <f>Table9[[#This Row],[Octane]]/Table9[[#This Row],[Plank]]</f>
        <v>0.99165424959610426</v>
      </c>
      <c r="Q137" s="4">
        <f>Table9[[#This Row],[Octane]]/Table9[[#This Row],[Batmobile]]</f>
        <v>1.0043795846194445</v>
      </c>
      <c r="R137" s="4">
        <f>Table9[[#This Row],[Octane]]/Table9[[#This Row],[Breakout]]</f>
        <v>0.98703838691150703</v>
      </c>
    </row>
    <row r="138" spans="1:18">
      <c r="A138" s="1">
        <f>Octane[[#This Row],[Degrees turned]]</f>
        <v>73.603137390069875</v>
      </c>
      <c r="B138" s="1">
        <f>Hybrid[[#This Row],[Degrees turned]]</f>
        <v>74.620543206267101</v>
      </c>
      <c r="C138" s="1">
        <f>Dominus[[#This Row],[Degrees turned]]</f>
        <v>75.024431684761382</v>
      </c>
      <c r="D138" s="1">
        <f>Plank[[#This Row],[Degrees turned]]</f>
        <v>74.23835756372506</v>
      </c>
      <c r="E138" s="1">
        <f>Batmobile[[#This Row],[Degrees turned]]</f>
        <v>73.294753417419614</v>
      </c>
      <c r="F138" s="1">
        <f>Breakout[[#This Row],[Degrees turned]]</f>
        <v>74.590203417495275</v>
      </c>
      <c r="H138" s="1">
        <v>0</v>
      </c>
      <c r="I138" s="3">
        <f>Table9[[#This Row],[Hybrid]]-Table9[[#This Row],[Octane]]</f>
        <v>1.0174058161972255</v>
      </c>
      <c r="J138" s="3">
        <f>Table9[[#This Row],[Dominus]]-Table9[[#This Row],[Octane]]</f>
        <v>1.4212942946915064</v>
      </c>
      <c r="K138" s="3">
        <f>Table9[[#This Row],[Plank]]-Table9[[#This Row],[Octane]]</f>
        <v>0.63522017365518479</v>
      </c>
      <c r="L138" s="3">
        <f>Table9[[#This Row],[Batmobile]]-Table9[[#This Row],[Octane]]</f>
        <v>-0.30838397265026174</v>
      </c>
      <c r="M138" s="3">
        <f>Table9[[#This Row],[Breakout]]-Table9[[#This Row],[Octane]]</f>
        <v>0.98706602742539928</v>
      </c>
      <c r="N138" s="4">
        <f>Table9[[#This Row],[Octane]]/Table9[[#This Row],[Hybrid]]</f>
        <v>0.98636560694305186</v>
      </c>
      <c r="O138" s="4">
        <f>Table9[[#This Row],[Octane]]/Table9[[#This Row],[Dominus]]</f>
        <v>0.98105558065853105</v>
      </c>
      <c r="P138" s="4">
        <f>Table9[[#This Row],[Octane]]/Table9[[#This Row],[Plank]]</f>
        <v>0.99144350448338081</v>
      </c>
      <c r="Q138" s="4">
        <f>Table9[[#This Row],[Octane]]/Table9[[#This Row],[Batmobile]]</f>
        <v>1.0042074494867865</v>
      </c>
      <c r="R138" s="4">
        <f>Table9[[#This Row],[Octane]]/Table9[[#This Row],[Breakout]]</f>
        <v>0.98676681410961431</v>
      </c>
    </row>
    <row r="139" spans="1:18">
      <c r="A139" s="1">
        <f>Octane[[#This Row],[Degrees turned]]</f>
        <v>74.549574204627035</v>
      </c>
      <c r="B139" s="1">
        <f>Hybrid[[#This Row],[Degrees turned]]</f>
        <v>75.589985446203826</v>
      </c>
      <c r="C139" s="1">
        <f>Dominus[[#This Row],[Degrees turned]]</f>
        <v>76.00192752340655</v>
      </c>
      <c r="D139" s="1">
        <f>Plank[[#This Row],[Degrees turned]]</f>
        <v>75.208550147032128</v>
      </c>
      <c r="E139" s="1">
        <f>Batmobile[[#This Row],[Degrees turned]]</f>
        <v>74.250199423960538</v>
      </c>
      <c r="F139" s="1">
        <f>Breakout[[#This Row],[Degrees turned]]</f>
        <v>75.569589022864719</v>
      </c>
      <c r="H139" s="1">
        <v>0</v>
      </c>
      <c r="I139" s="3">
        <f>Table9[[#This Row],[Hybrid]]-Table9[[#This Row],[Octane]]</f>
        <v>1.0404112415767912</v>
      </c>
      <c r="J139" s="3">
        <f>Table9[[#This Row],[Dominus]]-Table9[[#This Row],[Octane]]</f>
        <v>1.4523533187795152</v>
      </c>
      <c r="K139" s="3">
        <f>Table9[[#This Row],[Plank]]-Table9[[#This Row],[Octane]]</f>
        <v>0.6589759424050925</v>
      </c>
      <c r="L139" s="3">
        <f>Table9[[#This Row],[Batmobile]]-Table9[[#This Row],[Octane]]</f>
        <v>-0.29937478066649703</v>
      </c>
      <c r="M139" s="3">
        <f>Table9[[#This Row],[Breakout]]-Table9[[#This Row],[Octane]]</f>
        <v>1.0200148182376836</v>
      </c>
      <c r="N139" s="4">
        <f>Table9[[#This Row],[Octane]]/Table9[[#This Row],[Hybrid]]</f>
        <v>0.98623612327168342</v>
      </c>
      <c r="O139" s="4">
        <f>Table9[[#This Row],[Octane]]/Table9[[#This Row],[Dominus]]</f>
        <v>0.98089057256696244</v>
      </c>
      <c r="P139" s="4">
        <f>Table9[[#This Row],[Octane]]/Table9[[#This Row],[Plank]]</f>
        <v>0.99123801826897606</v>
      </c>
      <c r="Q139" s="4">
        <f>Table9[[#This Row],[Octane]]/Table9[[#This Row],[Batmobile]]</f>
        <v>1.0040319727487477</v>
      </c>
      <c r="R139" s="4">
        <f>Table9[[#This Row],[Octane]]/Table9[[#This Row],[Breakout]]</f>
        <v>0.98650231089745555</v>
      </c>
    </row>
    <row r="140" spans="1:18">
      <c r="A140" s="1">
        <f>Octane[[#This Row],[Degrees turned]]</f>
        <v>75.495889729355241</v>
      </c>
      <c r="B140" s="1">
        <f>Hybrid[[#This Row],[Degrees turned]]</f>
        <v>76.559461549924606</v>
      </c>
      <c r="C140" s="1">
        <f>Dominus[[#This Row],[Degrees turned]]</f>
        <v>76.979337285882536</v>
      </c>
      <c r="D140" s="1">
        <f>Plank[[#This Row],[Degrees turned]]</f>
        <v>76.178809031231197</v>
      </c>
      <c r="E140" s="1">
        <f>Batmobile[[#This Row],[Degrees turned]]</f>
        <v>75.205554539418188</v>
      </c>
      <c r="F140" s="1">
        <f>Breakout[[#This Row],[Degrees turned]]</f>
        <v>76.549005342677262</v>
      </c>
      <c r="H140" s="1">
        <v>0</v>
      </c>
      <c r="I140" s="3">
        <f>Table9[[#This Row],[Hybrid]]-Table9[[#This Row],[Octane]]</f>
        <v>1.0635718205693649</v>
      </c>
      <c r="J140" s="3">
        <f>Table9[[#This Row],[Dominus]]-Table9[[#This Row],[Octane]]</f>
        <v>1.4834475565272953</v>
      </c>
      <c r="K140" s="3">
        <f>Table9[[#This Row],[Plank]]-Table9[[#This Row],[Octane]]</f>
        <v>0.6829193018759554</v>
      </c>
      <c r="L140" s="3">
        <f>Table9[[#This Row],[Batmobile]]-Table9[[#This Row],[Octane]]</f>
        <v>-0.29033518993705343</v>
      </c>
      <c r="M140" s="3">
        <f>Table9[[#This Row],[Breakout]]-Table9[[#This Row],[Octane]]</f>
        <v>1.0531156133220207</v>
      </c>
      <c r="N140" s="4">
        <f>Table9[[#This Row],[Octane]]/Table9[[#This Row],[Hybrid]]</f>
        <v>0.98610789837026469</v>
      </c>
      <c r="O140" s="4">
        <f>Table9[[#This Row],[Octane]]/Table9[[#This Row],[Dominus]]</f>
        <v>0.98072927607809701</v>
      </c>
      <c r="P140" s="4">
        <f>Table9[[#This Row],[Octane]]/Table9[[#This Row],[Plank]]</f>
        <v>0.99103531138697665</v>
      </c>
      <c r="Q140" s="4">
        <f>Table9[[#This Row],[Octane]]/Table9[[#This Row],[Batmobile]]</f>
        <v>1.0038605551373851</v>
      </c>
      <c r="R140" s="4">
        <f>Table9[[#This Row],[Octane]]/Table9[[#This Row],[Breakout]]</f>
        <v>0.9862425957253439</v>
      </c>
    </row>
    <row r="141" spans="1:18">
      <c r="A141" s="1">
        <f>Octane[[#This Row],[Degrees turned]]</f>
        <v>76.442629205680419</v>
      </c>
      <c r="B141" s="1">
        <f>Hybrid[[#This Row],[Degrees turned]]</f>
        <v>77.528771504880098</v>
      </c>
      <c r="C141" s="1">
        <f>Dominus[[#This Row],[Degrees turned]]</f>
        <v>77.956941734846097</v>
      </c>
      <c r="D141" s="1">
        <f>Plank[[#This Row],[Degrees turned]]</f>
        <v>77.148870355522774</v>
      </c>
      <c r="E141" s="1">
        <f>Batmobile[[#This Row],[Degrees turned]]</f>
        <v>76.160671221138671</v>
      </c>
      <c r="F141" s="1">
        <f>Breakout[[#This Row],[Degrees turned]]</f>
        <v>77.528466664782755</v>
      </c>
      <c r="H141" s="1">
        <v>0</v>
      </c>
      <c r="I141" s="3">
        <f>Table9[[#This Row],[Hybrid]]-Table9[[#This Row],[Octane]]</f>
        <v>1.086142299199679</v>
      </c>
      <c r="J141" s="3">
        <f>Table9[[#This Row],[Dominus]]-Table9[[#This Row],[Octane]]</f>
        <v>1.5143125291656787</v>
      </c>
      <c r="K141" s="3">
        <f>Table9[[#This Row],[Plank]]-Table9[[#This Row],[Octane]]</f>
        <v>0.70624114984235575</v>
      </c>
      <c r="L141" s="3">
        <f>Table9[[#This Row],[Batmobile]]-Table9[[#This Row],[Octane]]</f>
        <v>-0.28195798454174792</v>
      </c>
      <c r="M141" s="3">
        <f>Table9[[#This Row],[Breakout]]-Table9[[#This Row],[Octane]]</f>
        <v>1.0858374591023363</v>
      </c>
      <c r="N141" s="4">
        <f>Table9[[#This Row],[Octane]]/Table9[[#This Row],[Hybrid]]</f>
        <v>0.98599046162970205</v>
      </c>
      <c r="O141" s="4">
        <f>Table9[[#This Row],[Octane]]/Table9[[#This Row],[Dominus]]</f>
        <v>0.98057501364899247</v>
      </c>
      <c r="P141" s="4">
        <f>Table9[[#This Row],[Octane]]/Table9[[#This Row],[Plank]]</f>
        <v>0.99084573569790713</v>
      </c>
      <c r="Q141" s="4">
        <f>Table9[[#This Row],[Octane]]/Table9[[#This Row],[Batmobile]]</f>
        <v>1.0037021467907374</v>
      </c>
      <c r="R141" s="4">
        <f>Table9[[#This Row],[Octane]]/Table9[[#This Row],[Breakout]]</f>
        <v>0.98599433852087803</v>
      </c>
    </row>
    <row r="142" spans="1:18">
      <c r="A142" s="1">
        <f>Octane[[#This Row],[Degrees turned]]</f>
        <v>77.389315859299188</v>
      </c>
      <c r="B142" s="1">
        <f>Hybrid[[#This Row],[Degrees turned]]</f>
        <v>78.498305394559367</v>
      </c>
      <c r="C142" s="1">
        <f>Dominus[[#This Row],[Degrees turned]]</f>
        <v>78.933899526696749</v>
      </c>
      <c r="D142" s="1">
        <f>Plank[[#This Row],[Degrees turned]]</f>
        <v>78.119124238969633</v>
      </c>
      <c r="E142" s="1">
        <f>Batmobile[[#This Row],[Degrees turned]]</f>
        <v>77.115783813700332</v>
      </c>
      <c r="F142" s="1">
        <f>Breakout[[#This Row],[Degrees turned]]</f>
        <v>78.507993186011234</v>
      </c>
      <c r="H142" s="1">
        <v>0</v>
      </c>
      <c r="I142" s="3">
        <f>Table9[[#This Row],[Hybrid]]-Table9[[#This Row],[Octane]]</f>
        <v>1.1089895352601786</v>
      </c>
      <c r="J142" s="3">
        <f>Table9[[#This Row],[Dominus]]-Table9[[#This Row],[Octane]]</f>
        <v>1.5445836673975606</v>
      </c>
      <c r="K142" s="3">
        <f>Table9[[#This Row],[Plank]]-Table9[[#This Row],[Octane]]</f>
        <v>0.72980837967044465</v>
      </c>
      <c r="L142" s="3">
        <f>Table9[[#This Row],[Batmobile]]-Table9[[#This Row],[Octane]]</f>
        <v>-0.27353204559885569</v>
      </c>
      <c r="M142" s="3">
        <f>Table9[[#This Row],[Breakout]]-Table9[[#This Row],[Octane]]</f>
        <v>1.1186773267120458</v>
      </c>
      <c r="N142" s="4">
        <f>Table9[[#This Row],[Octane]]/Table9[[#This Row],[Hybrid]]</f>
        <v>0.9858724397974451</v>
      </c>
      <c r="O142" s="4">
        <f>Table9[[#This Row],[Octane]]/Table9[[#This Row],[Dominus]]</f>
        <v>0.98043193511711457</v>
      </c>
      <c r="P142" s="4">
        <f>Table9[[#This Row],[Octane]]/Table9[[#This Row],[Plank]]</f>
        <v>0.99065775011202206</v>
      </c>
      <c r="Q142" s="4">
        <f>Table9[[#This Row],[Octane]]/Table9[[#This Row],[Batmobile]]</f>
        <v>1.0035470306086711</v>
      </c>
      <c r="R142" s="4">
        <f>Table9[[#This Row],[Octane]]/Table9[[#This Row],[Breakout]]</f>
        <v>0.98575078433018237</v>
      </c>
    </row>
    <row r="143" spans="1:18">
      <c r="A143" s="1">
        <f>Octane[[#This Row],[Degrees turned]]</f>
        <v>78.336070156142071</v>
      </c>
      <c r="B143" s="1">
        <f>Hybrid[[#This Row],[Degrees turned]]</f>
        <v>79.467329714942821</v>
      </c>
      <c r="C143" s="1">
        <f>Dominus[[#This Row],[Degrees turned]]</f>
        <v>79.911095803193675</v>
      </c>
      <c r="D143" s="1">
        <f>Plank[[#This Row],[Degrees turned]]</f>
        <v>79.089376289412002</v>
      </c>
      <c r="E143" s="1">
        <f>Batmobile[[#This Row],[Degrees turned]]</f>
        <v>78.070843641315562</v>
      </c>
      <c r="F143" s="1">
        <f>Breakout[[#This Row],[Degrees turned]]</f>
        <v>79.487655429608807</v>
      </c>
      <c r="H143" s="1">
        <v>0</v>
      </c>
      <c r="I143" s="3">
        <f>Table9[[#This Row],[Hybrid]]-Table9[[#This Row],[Octane]]</f>
        <v>1.1312595588007497</v>
      </c>
      <c r="J143" s="3">
        <f>Table9[[#This Row],[Dominus]]-Table9[[#This Row],[Octane]]</f>
        <v>1.5750256470516035</v>
      </c>
      <c r="K143" s="3">
        <f>Table9[[#This Row],[Plank]]-Table9[[#This Row],[Octane]]</f>
        <v>0.75330613326993046</v>
      </c>
      <c r="L143" s="3">
        <f>Table9[[#This Row],[Batmobile]]-Table9[[#This Row],[Octane]]</f>
        <v>-0.26522651482650872</v>
      </c>
      <c r="M143" s="3">
        <f>Table9[[#This Row],[Breakout]]-Table9[[#This Row],[Octane]]</f>
        <v>1.1515852734667362</v>
      </c>
      <c r="N143" s="4">
        <f>Table9[[#This Row],[Octane]]/Table9[[#This Row],[Hybrid]]</f>
        <v>0.98576446996698275</v>
      </c>
      <c r="O143" s="4">
        <f>Table9[[#This Row],[Octane]]/Table9[[#This Row],[Dominus]]</f>
        <v>0.98029027594702745</v>
      </c>
      <c r="P143" s="4">
        <f>Table9[[#This Row],[Octane]]/Table9[[#This Row],[Plank]]</f>
        <v>0.99047525510236223</v>
      </c>
      <c r="Q143" s="4">
        <f>Table9[[#This Row],[Octane]]/Table9[[#This Row],[Batmobile]]</f>
        <v>1.0033972543712355</v>
      </c>
      <c r="R143" s="4">
        <f>Table9[[#This Row],[Octane]]/Table9[[#This Row],[Breakout]]</f>
        <v>0.9855124010484051</v>
      </c>
    </row>
    <row r="144" spans="1:18">
      <c r="A144" s="1">
        <f>Octane[[#This Row],[Degrees turned]]</f>
        <v>79.282846165119494</v>
      </c>
      <c r="B144" s="1">
        <f>Hybrid[[#This Row],[Degrees turned]]</f>
        <v>80.436454360508151</v>
      </c>
      <c r="C144" s="1">
        <f>Dominus[[#This Row],[Degrees turned]]</f>
        <v>80.888648733399762</v>
      </c>
      <c r="D144" s="1">
        <f>Plank[[#This Row],[Degrees turned]]</f>
        <v>80.059848119633628</v>
      </c>
      <c r="E144" s="1">
        <f>Batmobile[[#This Row],[Degrees turned]]</f>
        <v>79.026138227844655</v>
      </c>
      <c r="F144" s="1">
        <f>Breakout[[#This Row],[Degrees turned]]</f>
        <v>80.466995508971351</v>
      </c>
      <c r="H144" s="1">
        <v>0</v>
      </c>
      <c r="I144" s="3">
        <f>Table9[[#This Row],[Hybrid]]-Table9[[#This Row],[Octane]]</f>
        <v>1.1536081953886566</v>
      </c>
      <c r="J144" s="3">
        <f>Table9[[#This Row],[Dominus]]-Table9[[#This Row],[Octane]]</f>
        <v>1.6058025682802679</v>
      </c>
      <c r="K144" s="3">
        <f>Table9[[#This Row],[Plank]]-Table9[[#This Row],[Octane]]</f>
        <v>0.77700195451413379</v>
      </c>
      <c r="L144" s="3">
        <f>Table9[[#This Row],[Batmobile]]-Table9[[#This Row],[Octane]]</f>
        <v>-0.25670793727483954</v>
      </c>
      <c r="M144" s="3">
        <f>Table9[[#This Row],[Breakout]]-Table9[[#This Row],[Octane]]</f>
        <v>1.1841493438518569</v>
      </c>
      <c r="N144" s="4">
        <f>Table9[[#This Row],[Octane]]/Table9[[#This Row],[Hybrid]]</f>
        <v>0.98565814213766434</v>
      </c>
      <c r="O144" s="4">
        <f>Table9[[#This Row],[Octane]]/Table9[[#This Row],[Dominus]]</f>
        <v>0.98014798623261934</v>
      </c>
      <c r="P144" s="4">
        <f>Table9[[#This Row],[Octane]]/Table9[[#This Row],[Plank]]</f>
        <v>0.99029473609101704</v>
      </c>
      <c r="Q144" s="4">
        <f>Table9[[#This Row],[Octane]]/Table9[[#This Row],[Batmobile]]</f>
        <v>1.0032483927853681</v>
      </c>
      <c r="R144" s="4">
        <f>Table9[[#This Row],[Octane]]/Table9[[#This Row],[Breakout]]</f>
        <v>0.98528403681084586</v>
      </c>
    </row>
    <row r="145" spans="1:18">
      <c r="A145" s="1">
        <f>Octane[[#This Row],[Degrees turned]]</f>
        <v>80.229073113090692</v>
      </c>
      <c r="B145" s="1">
        <f>Hybrid[[#This Row],[Degrees turned]]</f>
        <v>81.405896222069927</v>
      </c>
      <c r="C145" s="1">
        <f>Dominus[[#This Row],[Degrees turned]]</f>
        <v>81.86576730747511</v>
      </c>
      <c r="D145" s="1">
        <f>Plank[[#This Row],[Degrees turned]]</f>
        <v>81.030725262714085</v>
      </c>
      <c r="E145" s="1">
        <f>Batmobile[[#This Row],[Degrees turned]]</f>
        <v>79.981408300623713</v>
      </c>
      <c r="F145" s="1">
        <f>Breakout[[#This Row],[Degrees turned]]</f>
        <v>81.446712477125104</v>
      </c>
      <c r="H145" s="1">
        <v>0</v>
      </c>
      <c r="I145" s="3">
        <f>Table9[[#This Row],[Hybrid]]-Table9[[#This Row],[Octane]]</f>
        <v>1.1768231089792351</v>
      </c>
      <c r="J145" s="3">
        <f>Table9[[#This Row],[Dominus]]-Table9[[#This Row],[Octane]]</f>
        <v>1.6366941943844182</v>
      </c>
      <c r="K145" s="3">
        <f>Table9[[#This Row],[Plank]]-Table9[[#This Row],[Octane]]</f>
        <v>0.80165214962339348</v>
      </c>
      <c r="L145" s="3">
        <f>Table9[[#This Row],[Batmobile]]-Table9[[#This Row],[Octane]]</f>
        <v>-0.24766481246697936</v>
      </c>
      <c r="M145" s="3">
        <f>Table9[[#This Row],[Breakout]]-Table9[[#This Row],[Octane]]</f>
        <v>1.2176393640344116</v>
      </c>
      <c r="N145" s="4">
        <f>Table9[[#This Row],[Octane]]/Table9[[#This Row],[Hybrid]]</f>
        <v>0.98554376078891215</v>
      </c>
      <c r="O145" s="4">
        <f>Table9[[#This Row],[Octane]]/Table9[[#This Row],[Dominus]]</f>
        <v>0.98000758744204708</v>
      </c>
      <c r="P145" s="4">
        <f>Table9[[#This Row],[Octane]]/Table9[[#This Row],[Plank]]</f>
        <v>0.99010681260689304</v>
      </c>
      <c r="Q145" s="4">
        <f>Table9[[#This Row],[Octane]]/Table9[[#This Row],[Batmobile]]</f>
        <v>1.0030965297777215</v>
      </c>
      <c r="R145" s="4">
        <f>Table9[[#This Row],[Octane]]/Table9[[#This Row],[Breakout]]</f>
        <v>0.98504986478887779</v>
      </c>
    </row>
    <row r="146" spans="1:18">
      <c r="A146" s="1">
        <f>Octane[[#This Row],[Degrees turned]]</f>
        <v>81.175556896402995</v>
      </c>
      <c r="B146" s="1">
        <f>Hybrid[[#This Row],[Degrees turned]]</f>
        <v>82.375160815735399</v>
      </c>
      <c r="C146" s="1">
        <f>Dominus[[#This Row],[Degrees turned]]</f>
        <v>82.843445357336023</v>
      </c>
      <c r="D146" s="1">
        <f>Plank[[#This Row],[Degrees turned]]</f>
        <v>82.001156848762349</v>
      </c>
      <c r="E146" s="1">
        <f>Batmobile[[#This Row],[Degrees turned]]</f>
        <v>80.936924529189568</v>
      </c>
      <c r="F146" s="1">
        <f>Breakout[[#This Row],[Degrees turned]]</f>
        <v>82.426091461856217</v>
      </c>
      <c r="H146" s="1">
        <v>0</v>
      </c>
      <c r="I146" s="3">
        <f>Table9[[#This Row],[Hybrid]]-Table9[[#This Row],[Octane]]</f>
        <v>1.1996039193324037</v>
      </c>
      <c r="J146" s="3">
        <f>Table9[[#This Row],[Dominus]]-Table9[[#This Row],[Octane]]</f>
        <v>1.6678884609330282</v>
      </c>
      <c r="K146" s="3">
        <f>Table9[[#This Row],[Plank]]-Table9[[#This Row],[Octane]]</f>
        <v>0.82559995235935446</v>
      </c>
      <c r="L146" s="3">
        <f>Table9[[#This Row],[Batmobile]]-Table9[[#This Row],[Octane]]</f>
        <v>-0.23863236721342673</v>
      </c>
      <c r="M146" s="3">
        <f>Table9[[#This Row],[Breakout]]-Table9[[#This Row],[Octane]]</f>
        <v>1.2505345654532221</v>
      </c>
      <c r="N146" s="4">
        <f>Table9[[#This Row],[Octane]]/Table9[[#This Row],[Hybrid]]</f>
        <v>0.98543731013750868</v>
      </c>
      <c r="O146" s="4">
        <f>Table9[[#This Row],[Octane]]/Table9[[#This Row],[Dominus]]</f>
        <v>0.97986698339574396</v>
      </c>
      <c r="P146" s="4">
        <f>Table9[[#This Row],[Octane]]/Table9[[#This Row],[Plank]]</f>
        <v>0.98993184993862904</v>
      </c>
      <c r="Q146" s="4">
        <f>Table9[[#This Row],[Octane]]/Table9[[#This Row],[Batmobile]]</f>
        <v>1.0029483745348808</v>
      </c>
      <c r="R146" s="4">
        <f>Table9[[#This Row],[Octane]]/Table9[[#This Row],[Breakout]]</f>
        <v>0.98482841363366203</v>
      </c>
    </row>
    <row r="147" spans="1:18">
      <c r="A147" s="1">
        <f>Octane[[#This Row],[Degrees turned]]</f>
        <v>82.122318361619179</v>
      </c>
      <c r="B147" s="1">
        <f>Hybrid[[#This Row],[Degrees turned]]</f>
        <v>83.344193192117501</v>
      </c>
      <c r="C147" s="1">
        <f>Dominus[[#This Row],[Degrees turned]]</f>
        <v>83.820827990978273</v>
      </c>
      <c r="D147" s="1">
        <f>Plank[[#This Row],[Degrees turned]]</f>
        <v>82.971348052305885</v>
      </c>
      <c r="E147" s="1">
        <f>Batmobile[[#This Row],[Degrees turned]]</f>
        <v>81.892018981386059</v>
      </c>
      <c r="F147" s="1">
        <f>Breakout[[#This Row],[Degrees turned]]</f>
        <v>83.405882316365179</v>
      </c>
      <c r="H147" s="1">
        <v>0</v>
      </c>
      <c r="I147" s="3">
        <f>Table9[[#This Row],[Hybrid]]-Table9[[#This Row],[Octane]]</f>
        <v>1.2218748304983222</v>
      </c>
      <c r="J147" s="3">
        <f>Table9[[#This Row],[Dominus]]-Table9[[#This Row],[Octane]]</f>
        <v>1.6985096293590942</v>
      </c>
      <c r="K147" s="3">
        <f>Table9[[#This Row],[Plank]]-Table9[[#This Row],[Octane]]</f>
        <v>0.84902969068670586</v>
      </c>
      <c r="L147" s="3">
        <f>Table9[[#This Row],[Batmobile]]-Table9[[#This Row],[Octane]]</f>
        <v>-0.23029938023312013</v>
      </c>
      <c r="M147" s="3">
        <f>Table9[[#This Row],[Breakout]]-Table9[[#This Row],[Octane]]</f>
        <v>1.2835639547460005</v>
      </c>
      <c r="N147" s="4">
        <f>Table9[[#This Row],[Octane]]/Table9[[#This Row],[Hybrid]]</f>
        <v>0.98533941257692947</v>
      </c>
      <c r="O147" s="4">
        <f>Table9[[#This Row],[Octane]]/Table9[[#This Row],[Dominus]]</f>
        <v>0.97973642506201553</v>
      </c>
      <c r="P147" s="4">
        <f>Table9[[#This Row],[Octane]]/Table9[[#This Row],[Plank]]</f>
        <v>0.98976719421080794</v>
      </c>
      <c r="Q147" s="4">
        <f>Table9[[#This Row],[Octane]]/Table9[[#This Row],[Batmobile]]</f>
        <v>1.0028122322919584</v>
      </c>
      <c r="R147" s="4">
        <f>Table9[[#This Row],[Octane]]/Table9[[#This Row],[Breakout]]</f>
        <v>0.98461063034046759</v>
      </c>
    </row>
    <row r="148" spans="1:18">
      <c r="A148" s="1">
        <f>Octane[[#This Row],[Degrees turned]]</f>
        <v>83.068770195261607</v>
      </c>
      <c r="B148" s="1">
        <f>Hybrid[[#This Row],[Degrees turned]]</f>
        <v>84.31370635069041</v>
      </c>
      <c r="C148" s="1">
        <f>Dominus[[#This Row],[Degrees turned]]</f>
        <v>84.798156699490931</v>
      </c>
      <c r="D148" s="1">
        <f>Plank[[#This Row],[Degrees turned]]</f>
        <v>83.942021265999287</v>
      </c>
      <c r="E148" s="1">
        <f>Batmobile[[#This Row],[Degrees turned]]</f>
        <v>82.84762163080228</v>
      </c>
      <c r="F148" s="1">
        <f>Breakout[[#This Row],[Degrees turned]]</f>
        <v>84.385644897488149</v>
      </c>
      <c r="H148" s="1">
        <v>0</v>
      </c>
      <c r="I148" s="3">
        <f>Table9[[#This Row],[Hybrid]]-Table9[[#This Row],[Octane]]</f>
        <v>1.2449361554288032</v>
      </c>
      <c r="J148" s="3">
        <f>Table9[[#This Row],[Dominus]]-Table9[[#This Row],[Octane]]</f>
        <v>1.7293865042293248</v>
      </c>
      <c r="K148" s="3">
        <f>Table9[[#This Row],[Plank]]-Table9[[#This Row],[Octane]]</f>
        <v>0.87325107073768038</v>
      </c>
      <c r="L148" s="3">
        <f>Table9[[#This Row],[Batmobile]]-Table9[[#This Row],[Octane]]</f>
        <v>-0.22114856445932674</v>
      </c>
      <c r="M148" s="3">
        <f>Table9[[#This Row],[Breakout]]-Table9[[#This Row],[Octane]]</f>
        <v>1.3168747022265421</v>
      </c>
      <c r="N148" s="4">
        <f>Table9[[#This Row],[Octane]]/Table9[[#This Row],[Hybrid]]</f>
        <v>0.98523447480471715</v>
      </c>
      <c r="O148" s="4">
        <f>Table9[[#This Row],[Octane]]/Table9[[#This Row],[Dominus]]</f>
        <v>0.97960584791532734</v>
      </c>
      <c r="P148" s="4">
        <f>Table9[[#This Row],[Octane]]/Table9[[#This Row],[Plank]]</f>
        <v>0.98959697351138964</v>
      </c>
      <c r="Q148" s="4">
        <f>Table9[[#This Row],[Octane]]/Table9[[#This Row],[Batmobile]]</f>
        <v>1.0026693411362471</v>
      </c>
      <c r="R148" s="4">
        <f>Table9[[#This Row],[Octane]]/Table9[[#This Row],[Breakout]]</f>
        <v>0.9843945649307263</v>
      </c>
    </row>
    <row r="149" spans="1:18">
      <c r="A149" s="1">
        <f>Octane[[#This Row],[Degrees turned]]</f>
        <v>84.015559754638758</v>
      </c>
      <c r="B149" s="1">
        <f>Hybrid[[#This Row],[Degrees turned]]</f>
        <v>85.283014492875452</v>
      </c>
      <c r="C149" s="1">
        <f>Dominus[[#This Row],[Degrees turned]]</f>
        <v>85.775579627519079</v>
      </c>
      <c r="D149" s="1">
        <f>Plank[[#This Row],[Degrees turned]]</f>
        <v>84.912626610462766</v>
      </c>
      <c r="E149" s="1">
        <f>Batmobile[[#This Row],[Degrees turned]]</f>
        <v>83.802907981194636</v>
      </c>
      <c r="F149" s="1">
        <f>Breakout[[#This Row],[Degrees turned]]</f>
        <v>85.365380148947722</v>
      </c>
      <c r="H149" s="1">
        <v>0</v>
      </c>
      <c r="I149" s="3">
        <f>Table9[[#This Row],[Hybrid]]-Table9[[#This Row],[Octane]]</f>
        <v>1.2674547382366939</v>
      </c>
      <c r="J149" s="3">
        <f>Table9[[#This Row],[Dominus]]-Table9[[#This Row],[Octane]]</f>
        <v>1.7600198728803207</v>
      </c>
      <c r="K149" s="3">
        <f>Table9[[#This Row],[Plank]]-Table9[[#This Row],[Octane]]</f>
        <v>0.8970668558240078</v>
      </c>
      <c r="L149" s="3">
        <f>Table9[[#This Row],[Batmobile]]-Table9[[#This Row],[Octane]]</f>
        <v>-0.21265177344412223</v>
      </c>
      <c r="M149" s="3">
        <f>Table9[[#This Row],[Breakout]]-Table9[[#This Row],[Octane]]</f>
        <v>1.3498203943089635</v>
      </c>
      <c r="N149" s="4">
        <f>Table9[[#This Row],[Octane]]/Table9[[#This Row],[Hybrid]]</f>
        <v>0.98513825120074083</v>
      </c>
      <c r="O149" s="4">
        <f>Table9[[#This Row],[Octane]]/Table9[[#This Row],[Dominus]]</f>
        <v>0.97948110778705066</v>
      </c>
      <c r="P149" s="4">
        <f>Table9[[#This Row],[Octane]]/Table9[[#This Row],[Plank]]</f>
        <v>0.98943541271029911</v>
      </c>
      <c r="Q149" s="4">
        <f>Table9[[#This Row],[Octane]]/Table9[[#This Row],[Batmobile]]</f>
        <v>1.0025375226059201</v>
      </c>
      <c r="R149" s="4">
        <f>Table9[[#This Row],[Octane]]/Table9[[#This Row],[Breakout]]</f>
        <v>0.98418773053017794</v>
      </c>
    </row>
    <row r="150" spans="1:18">
      <c r="A150" s="1">
        <f>Octane[[#This Row],[Degrees turned]]</f>
        <v>84.962240657879434</v>
      </c>
      <c r="B150" s="1">
        <f>Hybrid[[#This Row],[Degrees turned]]</f>
        <v>86.252536747162182</v>
      </c>
      <c r="C150" s="1">
        <f>Dominus[[#This Row],[Degrees turned]]</f>
        <v>86.753016325248694</v>
      </c>
      <c r="D150" s="1">
        <f>Plank[[#This Row],[Degrees turned]]</f>
        <v>85.883234652892341</v>
      </c>
      <c r="E150" s="1">
        <f>Batmobile[[#This Row],[Degrees turned]]</f>
        <v>84.75797954875334</v>
      </c>
      <c r="F150" s="1">
        <f>Breakout[[#This Row],[Degrees turned]]</f>
        <v>86.345156793306643</v>
      </c>
      <c r="H150" s="1">
        <v>0</v>
      </c>
      <c r="I150" s="3">
        <f>Table9[[#This Row],[Hybrid]]-Table9[[#This Row],[Octane]]</f>
        <v>1.290296089282748</v>
      </c>
      <c r="J150" s="3">
        <f>Table9[[#This Row],[Dominus]]-Table9[[#This Row],[Octane]]</f>
        <v>1.7907756673692603</v>
      </c>
      <c r="K150" s="3">
        <f>Table9[[#This Row],[Plank]]-Table9[[#This Row],[Octane]]</f>
        <v>0.92099399501290691</v>
      </c>
      <c r="L150" s="3">
        <f>Table9[[#This Row],[Batmobile]]-Table9[[#This Row],[Octane]]</f>
        <v>-0.20426110912609374</v>
      </c>
      <c r="M150" s="3">
        <f>Table9[[#This Row],[Breakout]]-Table9[[#This Row],[Octane]]</f>
        <v>1.3829161354272088</v>
      </c>
      <c r="N150" s="4">
        <f>Table9[[#This Row],[Octane]]/Table9[[#This Row],[Hybrid]]</f>
        <v>0.98504048532433219</v>
      </c>
      <c r="O150" s="4">
        <f>Table9[[#This Row],[Octane]]/Table9[[#This Row],[Dominus]]</f>
        <v>0.97935777056263495</v>
      </c>
      <c r="P150" s="4">
        <f>Table9[[#This Row],[Octane]]/Table9[[#This Row],[Plank]]</f>
        <v>0.98927620741422684</v>
      </c>
      <c r="Q150" s="4">
        <f>Table9[[#This Row],[Octane]]/Table9[[#This Row],[Batmobile]]</f>
        <v>1.0024099336748418</v>
      </c>
      <c r="R150" s="4">
        <f>Table9[[#This Row],[Octane]]/Table9[[#This Row],[Breakout]]</f>
        <v>0.98398385981581293</v>
      </c>
    </row>
    <row r="151" spans="1:18">
      <c r="A151" s="1">
        <f>Octane[[#This Row],[Degrees turned]]</f>
        <v>85.9087072478208</v>
      </c>
      <c r="B151" s="1">
        <f>Hybrid[[#This Row],[Degrees turned]]</f>
        <v>87.221992435966953</v>
      </c>
      <c r="C151" s="1">
        <f>Dominus[[#This Row],[Degrees turned]]</f>
        <v>87.730612444375524</v>
      </c>
      <c r="D151" s="1">
        <f>Plank[[#This Row],[Degrees turned]]</f>
        <v>86.853816450593968</v>
      </c>
      <c r="E151" s="1">
        <f>Batmobile[[#This Row],[Degrees turned]]</f>
        <v>85.713682612171183</v>
      </c>
      <c r="F151" s="1">
        <f>Breakout[[#This Row],[Degrees turned]]</f>
        <v>87.325123240848541</v>
      </c>
      <c r="H151" s="1">
        <v>0</v>
      </c>
      <c r="I151" s="3">
        <f>Table9[[#This Row],[Hybrid]]-Table9[[#This Row],[Octane]]</f>
        <v>1.3132851881461534</v>
      </c>
      <c r="J151" s="3">
        <f>Table9[[#This Row],[Dominus]]-Table9[[#This Row],[Octane]]</f>
        <v>1.8219051965547237</v>
      </c>
      <c r="K151" s="3">
        <f>Table9[[#This Row],[Plank]]-Table9[[#This Row],[Octane]]</f>
        <v>0.94510920277316757</v>
      </c>
      <c r="L151" s="3">
        <f>Table9[[#This Row],[Batmobile]]-Table9[[#This Row],[Octane]]</f>
        <v>-0.19502463564961658</v>
      </c>
      <c r="M151" s="3">
        <f>Table9[[#This Row],[Breakout]]-Table9[[#This Row],[Octane]]</f>
        <v>1.4164159930277407</v>
      </c>
      <c r="N151" s="4">
        <f>Table9[[#This Row],[Octane]]/Table9[[#This Row],[Hybrid]]</f>
        <v>0.98494318747521981</v>
      </c>
      <c r="O151" s="4">
        <f>Table9[[#This Row],[Octane]]/Table9[[#This Row],[Dominus]]</f>
        <v>0.97923295933093046</v>
      </c>
      <c r="P151" s="4">
        <f>Table9[[#This Row],[Octane]]/Table9[[#This Row],[Plank]]</f>
        <v>0.98911839178292427</v>
      </c>
      <c r="Q151" s="4">
        <f>Table9[[#This Row],[Octane]]/Table9[[#This Row],[Batmobile]]</f>
        <v>1.0022753034253824</v>
      </c>
      <c r="R151" s="4">
        <f>Table9[[#This Row],[Octane]]/Table9[[#This Row],[Breakout]]</f>
        <v>0.98377997143936269</v>
      </c>
    </row>
    <row r="152" spans="1:18">
      <c r="A152" s="1">
        <f>Octane[[#This Row],[Degrees turned]]</f>
        <v>86.855225579694135</v>
      </c>
      <c r="B152" s="1">
        <f>Hybrid[[#This Row],[Degrees turned]]</f>
        <v>88.191626361713716</v>
      </c>
      <c r="C152" s="1">
        <f>Dominus[[#This Row],[Degrees turned]]</f>
        <v>88.707773320233755</v>
      </c>
      <c r="D152" s="1">
        <f>Plank[[#This Row],[Degrees turned]]</f>
        <v>87.824639044026227</v>
      </c>
      <c r="E152" s="1">
        <f>Batmobile[[#This Row],[Degrees turned]]</f>
        <v>86.669309689025596</v>
      </c>
      <c r="F152" s="1">
        <f>Breakout[[#This Row],[Degrees turned]]</f>
        <v>88.305173611322459</v>
      </c>
      <c r="H152" s="1">
        <v>0</v>
      </c>
      <c r="I152" s="3">
        <f>Table9[[#This Row],[Hybrid]]-Table9[[#This Row],[Octane]]</f>
        <v>1.3364007820195809</v>
      </c>
      <c r="J152" s="3">
        <f>Table9[[#This Row],[Dominus]]-Table9[[#This Row],[Octane]]</f>
        <v>1.8525477405396202</v>
      </c>
      <c r="K152" s="3">
        <f>Table9[[#This Row],[Plank]]-Table9[[#This Row],[Octane]]</f>
        <v>0.96941346433209219</v>
      </c>
      <c r="L152" s="3">
        <f>Table9[[#This Row],[Batmobile]]-Table9[[#This Row],[Octane]]</f>
        <v>-0.18591589066853942</v>
      </c>
      <c r="M152" s="3">
        <f>Table9[[#This Row],[Breakout]]-Table9[[#This Row],[Octane]]</f>
        <v>1.449948031628324</v>
      </c>
      <c r="N152" s="4">
        <f>Table9[[#This Row],[Octane]]/Table9[[#This Row],[Hybrid]]</f>
        <v>0.98484662504648235</v>
      </c>
      <c r="O152" s="4">
        <f>Table9[[#This Row],[Octane]]/Table9[[#This Row],[Dominus]]</f>
        <v>0.97911628630501246</v>
      </c>
      <c r="P152" s="4">
        <f>Table9[[#This Row],[Octane]]/Table9[[#This Row],[Plank]]</f>
        <v>0.988961941946085</v>
      </c>
      <c r="Q152" s="4">
        <f>Table9[[#This Row],[Octane]]/Table9[[#This Row],[Batmobile]]</f>
        <v>1.0021451179354677</v>
      </c>
      <c r="R152" s="4">
        <f>Table9[[#This Row],[Octane]]/Table9[[#This Row],[Breakout]]</f>
        <v>0.98358025954390504</v>
      </c>
    </row>
    <row r="153" spans="1:18">
      <c r="A153" s="1">
        <f>Octane[[#This Row],[Degrees turned]]</f>
        <v>87.801738295320661</v>
      </c>
      <c r="B153" s="1">
        <f>Hybrid[[#This Row],[Degrees turned]]</f>
        <v>89.16085826194265</v>
      </c>
      <c r="C153" s="1">
        <f>Dominus[[#This Row],[Degrees turned]]</f>
        <v>89.685237800480579</v>
      </c>
      <c r="D153" s="1">
        <f>Plank[[#This Row],[Degrees turned]]</f>
        <v>88.795008587058305</v>
      </c>
      <c r="E153" s="1">
        <f>Batmobile[[#This Row],[Degrees turned]]</f>
        <v>87.625028642458062</v>
      </c>
      <c r="F153" s="1">
        <f>Breakout[[#This Row],[Degrees turned]]</f>
        <v>89.284908851292599</v>
      </c>
      <c r="H153" s="1">
        <v>0</v>
      </c>
      <c r="I153" s="3">
        <f>Table9[[#This Row],[Hybrid]]-Table9[[#This Row],[Octane]]</f>
        <v>1.3591199666219893</v>
      </c>
      <c r="J153" s="3">
        <f>Table9[[#This Row],[Dominus]]-Table9[[#This Row],[Octane]]</f>
        <v>1.8834995051599179</v>
      </c>
      <c r="K153" s="3">
        <f>Table9[[#This Row],[Plank]]-Table9[[#This Row],[Octane]]</f>
        <v>0.99327029173764458</v>
      </c>
      <c r="L153" s="3">
        <f>Table9[[#This Row],[Batmobile]]-Table9[[#This Row],[Octane]]</f>
        <v>-0.17670965286259843</v>
      </c>
      <c r="M153" s="3">
        <f>Table9[[#This Row],[Breakout]]-Table9[[#This Row],[Octane]]</f>
        <v>1.4831705559719381</v>
      </c>
      <c r="N153" s="4">
        <f>Table9[[#This Row],[Octane]]/Table9[[#This Row],[Hybrid]]</f>
        <v>0.98475654011058222</v>
      </c>
      <c r="O153" s="4">
        <f>Table9[[#This Row],[Octane]]/Table9[[#This Row],[Dominus]]</f>
        <v>0.97899877893672904</v>
      </c>
      <c r="P153" s="4">
        <f>Table9[[#This Row],[Octane]]/Table9[[#This Row],[Plank]]</f>
        <v>0.98881389497514605</v>
      </c>
      <c r="Q153" s="4">
        <f>Table9[[#This Row],[Octane]]/Table9[[#This Row],[Batmobile]]</f>
        <v>1.0020166572907341</v>
      </c>
      <c r="R153" s="4">
        <f>Table9[[#This Row],[Octane]]/Table9[[#This Row],[Breakout]]</f>
        <v>0.9833883399215626</v>
      </c>
    </row>
    <row r="154" spans="1:18">
      <c r="A154" s="1">
        <f>Octane[[#This Row],[Degrees turned]]</f>
        <v>88.748329581127621</v>
      </c>
      <c r="B154" s="1">
        <f>Hybrid[[#This Row],[Degrees turned]]</f>
        <v>90.130310700082944</v>
      </c>
      <c r="C154" s="1">
        <f>Dominus[[#This Row],[Degrees turned]]</f>
        <v>90.662330182230846</v>
      </c>
      <c r="D154" s="1">
        <f>Plank[[#This Row],[Degrees turned]]</f>
        <v>89.765480750793031</v>
      </c>
      <c r="E154" s="1">
        <f>Batmobile[[#This Row],[Degrees turned]]</f>
        <v>88.580172760887322</v>
      </c>
      <c r="F154" s="1">
        <f>Breakout[[#This Row],[Degrees turned]]</f>
        <v>90.264962931628773</v>
      </c>
      <c r="H154" s="1">
        <v>0</v>
      </c>
      <c r="I154" s="3">
        <f>Table9[[#This Row],[Hybrid]]-Table9[[#This Row],[Octane]]</f>
        <v>1.3819811189553235</v>
      </c>
      <c r="J154" s="3">
        <f>Table9[[#This Row],[Dominus]]-Table9[[#This Row],[Octane]]</f>
        <v>1.9140006011032256</v>
      </c>
      <c r="K154" s="3">
        <f>Table9[[#This Row],[Plank]]-Table9[[#This Row],[Octane]]</f>
        <v>1.0171511696654107</v>
      </c>
      <c r="L154" s="3">
        <f>Table9[[#This Row],[Batmobile]]-Table9[[#This Row],[Octane]]</f>
        <v>-0.16815682024029854</v>
      </c>
      <c r="M154" s="3">
        <f>Table9[[#This Row],[Breakout]]-Table9[[#This Row],[Octane]]</f>
        <v>1.5166333505011522</v>
      </c>
      <c r="N154" s="4">
        <f>Table9[[#This Row],[Octane]]/Table9[[#This Row],[Hybrid]]</f>
        <v>0.98466685504331619</v>
      </c>
      <c r="O154" s="4">
        <f>Table9[[#This Row],[Octane]]/Table9[[#This Row],[Dominus]]</f>
        <v>0.97888868952236174</v>
      </c>
      <c r="P154" s="4">
        <f>Table9[[#This Row],[Octane]]/Table9[[#This Row],[Plank]]</f>
        <v>0.98866879382633477</v>
      </c>
      <c r="Q154" s="4">
        <f>Table9[[#This Row],[Octane]]/Table9[[#This Row],[Batmobile]]</f>
        <v>1.0018983573298532</v>
      </c>
      <c r="R154" s="4">
        <f>Table9[[#This Row],[Octane]]/Table9[[#This Row],[Breakout]]</f>
        <v>0.98319798401014213</v>
      </c>
    </row>
    <row r="155" spans="1:18">
      <c r="A155" s="1">
        <f>Octane[[#This Row],[Degrees turned]]</f>
        <v>89.695060481174764</v>
      </c>
      <c r="B155" s="1">
        <f>Hybrid[[#This Row],[Degrees turned]]</f>
        <v>91.099500393874251</v>
      </c>
      <c r="C155" s="1">
        <f>Dominus[[#This Row],[Degrees turned]]</f>
        <v>91.6398634950027</v>
      </c>
      <c r="D155" s="1">
        <f>Plank[[#This Row],[Degrees turned]]</f>
        <v>90.73638943822435</v>
      </c>
      <c r="E155" s="1">
        <f>Batmobile[[#This Row],[Degrees turned]]</f>
        <v>89.535442042444558</v>
      </c>
      <c r="F155" s="1">
        <f>Breakout[[#This Row],[Degrees turned]]</f>
        <v>91.244752498478391</v>
      </c>
      <c r="H155" s="1">
        <v>0</v>
      </c>
      <c r="I155" s="3">
        <f>Table9[[#This Row],[Hybrid]]-Table9[[#This Row],[Octane]]</f>
        <v>1.4044399126994875</v>
      </c>
      <c r="J155" s="3">
        <f>Table9[[#This Row],[Dominus]]-Table9[[#This Row],[Octane]]</f>
        <v>1.9448030138279364</v>
      </c>
      <c r="K155" s="3">
        <f>Table9[[#This Row],[Plank]]-Table9[[#This Row],[Octane]]</f>
        <v>1.0413289570495863</v>
      </c>
      <c r="L155" s="3">
        <f>Table9[[#This Row],[Batmobile]]-Table9[[#This Row],[Octane]]</f>
        <v>-0.15961843873020598</v>
      </c>
      <c r="M155" s="3">
        <f>Table9[[#This Row],[Breakout]]-Table9[[#This Row],[Octane]]</f>
        <v>1.5496920173036273</v>
      </c>
      <c r="N155" s="4">
        <f>Table9[[#This Row],[Octane]]/Table9[[#This Row],[Hybrid]]</f>
        <v>0.98458345098900313</v>
      </c>
      <c r="O155" s="4">
        <f>Table9[[#This Row],[Octane]]/Table9[[#This Row],[Dominus]]</f>
        <v>0.9787777617768495</v>
      </c>
      <c r="P155" s="4">
        <f>Table9[[#This Row],[Octane]]/Table9[[#This Row],[Plank]]</f>
        <v>0.98852357953080616</v>
      </c>
      <c r="Q155" s="4">
        <f>Table9[[#This Row],[Octane]]/Table9[[#This Row],[Batmobile]]</f>
        <v>1.0017827402768005</v>
      </c>
      <c r="R155" s="4">
        <f>Table9[[#This Row],[Octane]]/Table9[[#This Row],[Breakout]]</f>
        <v>0.98301609709194537</v>
      </c>
    </row>
    <row r="156" spans="1:18">
      <c r="A156" s="1">
        <f>Octane[[#This Row],[Degrees turned]]</f>
        <v>90.641430094906909</v>
      </c>
      <c r="B156" s="1">
        <f>Hybrid[[#This Row],[Degrees turned]]</f>
        <v>92.069142221255674</v>
      </c>
      <c r="C156" s="1">
        <f>Dominus[[#This Row],[Degrees turned]]</f>
        <v>92.617349326794638</v>
      </c>
      <c r="D156" s="1">
        <f>Plank[[#This Row],[Degrees turned]]</f>
        <v>91.706977011325179</v>
      </c>
      <c r="E156" s="1">
        <f>Batmobile[[#This Row],[Degrees turned]]</f>
        <v>90.491096036476037</v>
      </c>
      <c r="F156" s="1">
        <f>Breakout[[#This Row],[Degrees turned]]</f>
        <v>92.224444273867419</v>
      </c>
      <c r="H156" s="1">
        <v>0</v>
      </c>
      <c r="I156" s="3">
        <f>Table9[[#This Row],[Hybrid]]-Table9[[#This Row],[Octane]]</f>
        <v>1.4277121263487658</v>
      </c>
      <c r="J156" s="3">
        <f>Table9[[#This Row],[Dominus]]-Table9[[#This Row],[Octane]]</f>
        <v>1.9759192318877297</v>
      </c>
      <c r="K156" s="3">
        <f>Table9[[#This Row],[Plank]]-Table9[[#This Row],[Octane]]</f>
        <v>1.0655469164182705</v>
      </c>
      <c r="L156" s="3">
        <f>Table9[[#This Row],[Batmobile]]-Table9[[#This Row],[Octane]]</f>
        <v>-0.15033405843087166</v>
      </c>
      <c r="M156" s="3">
        <f>Table9[[#This Row],[Breakout]]-Table9[[#This Row],[Octane]]</f>
        <v>1.5830141789605108</v>
      </c>
      <c r="N156" s="4">
        <f>Table9[[#This Row],[Octane]]/Table9[[#This Row],[Hybrid]]</f>
        <v>0.98449304411984462</v>
      </c>
      <c r="O156" s="4">
        <f>Table9[[#This Row],[Octane]]/Table9[[#This Row],[Dominus]]</f>
        <v>0.97866577648518294</v>
      </c>
      <c r="P156" s="4">
        <f>Table9[[#This Row],[Octane]]/Table9[[#This Row],[Plank]]</f>
        <v>0.98838096128403963</v>
      </c>
      <c r="Q156" s="4">
        <f>Table9[[#This Row],[Octane]]/Table9[[#This Row],[Batmobile]]</f>
        <v>1.0016613132674432</v>
      </c>
      <c r="R156" s="4">
        <f>Table9[[#This Row],[Octane]]/Table9[[#This Row],[Breakout]]</f>
        <v>0.98283519958917154</v>
      </c>
    </row>
    <row r="157" spans="1:18">
      <c r="A157" s="1">
        <f>Octane[[#This Row],[Degrees turned]]</f>
        <v>91.587970817162898</v>
      </c>
      <c r="B157" s="1">
        <f>Hybrid[[#This Row],[Degrees turned]]</f>
        <v>93.038565166070626</v>
      </c>
      <c r="C157" s="1">
        <f>Dominus[[#This Row],[Degrees turned]]</f>
        <v>93.594674300573971</v>
      </c>
      <c r="D157" s="1">
        <f>Plank[[#This Row],[Degrees turned]]</f>
        <v>92.677399563450138</v>
      </c>
      <c r="E157" s="1">
        <f>Batmobile[[#This Row],[Degrees turned]]</f>
        <v>91.446270133702356</v>
      </c>
      <c r="F157" s="1">
        <f>Breakout[[#This Row],[Degrees turned]]</f>
        <v>93.204662524531543</v>
      </c>
      <c r="H157" s="1">
        <v>0</v>
      </c>
      <c r="I157" s="3">
        <f>Table9[[#This Row],[Hybrid]]-Table9[[#This Row],[Octane]]</f>
        <v>1.4505943489077282</v>
      </c>
      <c r="J157" s="3">
        <f>Table9[[#This Row],[Dominus]]-Table9[[#This Row],[Octane]]</f>
        <v>2.0067034834110729</v>
      </c>
      <c r="K157" s="3">
        <f>Table9[[#This Row],[Plank]]-Table9[[#This Row],[Octane]]</f>
        <v>1.0894287462872398</v>
      </c>
      <c r="L157" s="3">
        <f>Table9[[#This Row],[Batmobile]]-Table9[[#This Row],[Octane]]</f>
        <v>-0.14170068346054165</v>
      </c>
      <c r="M157" s="3">
        <f>Table9[[#This Row],[Breakout]]-Table9[[#This Row],[Octane]]</f>
        <v>1.6166917073686449</v>
      </c>
      <c r="N157" s="4">
        <f>Table9[[#This Row],[Octane]]/Table9[[#This Row],[Hybrid]]</f>
        <v>0.98440867669961951</v>
      </c>
      <c r="O157" s="4">
        <f>Table9[[#This Row],[Octane]]/Table9[[#This Row],[Dominus]]</f>
        <v>0.97855964029570042</v>
      </c>
      <c r="P157" s="4">
        <f>Table9[[#This Row],[Octane]]/Table9[[#This Row],[Plank]]</f>
        <v>0.98824493618272724</v>
      </c>
      <c r="Q157" s="4">
        <f>Table9[[#This Row],[Octane]]/Table9[[#This Row],[Batmobile]]</f>
        <v>1.0015495512638555</v>
      </c>
      <c r="R157" s="4">
        <f>Table9[[#This Row],[Octane]]/Table9[[#This Row],[Breakout]]</f>
        <v>0.98265439020346079</v>
      </c>
    </row>
    <row r="158" spans="1:18">
      <c r="A158" s="1">
        <f>Octane[[#This Row],[Degrees turned]]</f>
        <v>92.534285301241638</v>
      </c>
      <c r="B158" s="1">
        <f>Hybrid[[#This Row],[Degrees turned]]</f>
        <v>94.00793575072403</v>
      </c>
      <c r="C158" s="1">
        <f>Dominus[[#This Row],[Degrees turned]]</f>
        <v>94.572008490934849</v>
      </c>
      <c r="D158" s="1">
        <f>Plank[[#This Row],[Degrees turned]]</f>
        <v>93.647824413473188</v>
      </c>
      <c r="E158" s="1">
        <f>Batmobile[[#This Row],[Degrees turned]]</f>
        <v>92.401959727827702</v>
      </c>
      <c r="F158" s="1">
        <f>Breakout[[#This Row],[Degrees turned]]</f>
        <v>94.184836270416213</v>
      </c>
      <c r="H158" s="1">
        <v>0</v>
      </c>
      <c r="I158" s="3">
        <f>Table9[[#This Row],[Hybrid]]-Table9[[#This Row],[Octane]]</f>
        <v>1.4736504494823919</v>
      </c>
      <c r="J158" s="3">
        <f>Table9[[#This Row],[Dominus]]-Table9[[#This Row],[Octane]]</f>
        <v>2.0377231896932102</v>
      </c>
      <c r="K158" s="3">
        <f>Table9[[#This Row],[Plank]]-Table9[[#This Row],[Octane]]</f>
        <v>1.1135391122315497</v>
      </c>
      <c r="L158" s="3">
        <f>Table9[[#This Row],[Batmobile]]-Table9[[#This Row],[Octane]]</f>
        <v>-0.13232557341393658</v>
      </c>
      <c r="M158" s="3">
        <f>Table9[[#This Row],[Breakout]]-Table9[[#This Row],[Octane]]</f>
        <v>1.6505509691745743</v>
      </c>
      <c r="N158" s="4">
        <f>Table9[[#This Row],[Octane]]/Table9[[#This Row],[Hybrid]]</f>
        <v>0.9843241909556445</v>
      </c>
      <c r="O158" s="4">
        <f>Table9[[#This Row],[Octane]]/Table9[[#This Row],[Dominus]]</f>
        <v>0.97845321018122888</v>
      </c>
      <c r="P158" s="4">
        <f>Table9[[#This Row],[Octane]]/Table9[[#This Row],[Plank]]</f>
        <v>0.98810929010678283</v>
      </c>
      <c r="Q158" s="4">
        <f>Table9[[#This Row],[Octane]]/Table9[[#This Row],[Batmobile]]</f>
        <v>1.0014320645774581</v>
      </c>
      <c r="R158" s="4">
        <f>Table9[[#This Row],[Octane]]/Table9[[#This Row],[Breakout]]</f>
        <v>0.98247540650348808</v>
      </c>
    </row>
    <row r="159" spans="1:18">
      <c r="A159" s="1">
        <f>Octane[[#This Row],[Degrees turned]]</f>
        <v>93.480989874801452</v>
      </c>
      <c r="B159" s="1">
        <f>Hybrid[[#This Row],[Degrees turned]]</f>
        <v>94.977221719171851</v>
      </c>
      <c r="C159" s="1">
        <f>Dominus[[#This Row],[Degrees turned]]</f>
        <v>95.549414486872891</v>
      </c>
      <c r="D159" s="1">
        <f>Plank[[#This Row],[Degrees turned]]</f>
        <v>94.618137093484023</v>
      </c>
      <c r="E159" s="1">
        <f>Batmobile[[#This Row],[Degrees turned]]</f>
        <v>93.357398420060562</v>
      </c>
      <c r="F159" s="1">
        <f>Breakout[[#This Row],[Degrees turned]]</f>
        <v>95.165027132330636</v>
      </c>
      <c r="H159" s="1">
        <v>0</v>
      </c>
      <c r="I159" s="3">
        <f>Table9[[#This Row],[Hybrid]]-Table9[[#This Row],[Octane]]</f>
        <v>1.4962318443703992</v>
      </c>
      <c r="J159" s="3">
        <f>Table9[[#This Row],[Dominus]]-Table9[[#This Row],[Octane]]</f>
        <v>2.0684246120714391</v>
      </c>
      <c r="K159" s="3">
        <f>Table9[[#This Row],[Plank]]-Table9[[#This Row],[Octane]]</f>
        <v>1.1371472186825713</v>
      </c>
      <c r="L159" s="3">
        <f>Table9[[#This Row],[Batmobile]]-Table9[[#This Row],[Octane]]</f>
        <v>-0.12359145474088962</v>
      </c>
      <c r="M159" s="3">
        <f>Table9[[#This Row],[Breakout]]-Table9[[#This Row],[Octane]]</f>
        <v>1.6840372575291838</v>
      </c>
      <c r="N159" s="4">
        <f>Table9[[#This Row],[Octane]]/Table9[[#This Row],[Hybrid]]</f>
        <v>0.98424641385284517</v>
      </c>
      <c r="O159" s="4">
        <f>Table9[[#This Row],[Octane]]/Table9[[#This Row],[Dominus]]</f>
        <v>0.97835230468779466</v>
      </c>
      <c r="P159" s="4">
        <f>Table9[[#This Row],[Octane]]/Table9[[#This Row],[Plank]]</f>
        <v>0.98798172048600941</v>
      </c>
      <c r="Q159" s="4">
        <f>Table9[[#This Row],[Octane]]/Table9[[#This Row],[Batmobile]]</f>
        <v>1.0013238528154436</v>
      </c>
      <c r="R159" s="4">
        <f>Table9[[#This Row],[Octane]]/Table9[[#This Row],[Breakout]]</f>
        <v>0.98230403218203821</v>
      </c>
    </row>
    <row r="160" spans="1:18">
      <c r="A160" s="1">
        <f>Octane[[#This Row],[Degrees turned]]</f>
        <v>94.427503603375385</v>
      </c>
      <c r="B160" s="1">
        <f>Hybrid[[#This Row],[Degrees turned]]</f>
        <v>95.946597439995955</v>
      </c>
      <c r="C160" s="1">
        <f>Dominus[[#This Row],[Degrees turned]]</f>
        <v>96.526972129486694</v>
      </c>
      <c r="D160" s="1">
        <f>Plank[[#This Row],[Degrees turned]]</f>
        <v>95.588594898925493</v>
      </c>
      <c r="E160" s="1">
        <f>Batmobile[[#This Row],[Degrees turned]]</f>
        <v>94.312658316052733</v>
      </c>
      <c r="F160" s="1">
        <f>Breakout[[#This Row],[Degrees turned]]</f>
        <v>96.144761611300467</v>
      </c>
      <c r="H160" s="1">
        <v>0</v>
      </c>
      <c r="I160" s="3">
        <f>Table9[[#This Row],[Hybrid]]-Table9[[#This Row],[Octane]]</f>
        <v>1.51909383662057</v>
      </c>
      <c r="J160" s="3">
        <f>Table9[[#This Row],[Dominus]]-Table9[[#This Row],[Octane]]</f>
        <v>2.0994685261113091</v>
      </c>
      <c r="K160" s="3">
        <f>Table9[[#This Row],[Plank]]-Table9[[#This Row],[Octane]]</f>
        <v>1.1610912955501078</v>
      </c>
      <c r="L160" s="3">
        <f>Table9[[#This Row],[Batmobile]]-Table9[[#This Row],[Octane]]</f>
        <v>-0.11484528732265176</v>
      </c>
      <c r="M160" s="3">
        <f>Table9[[#This Row],[Breakout]]-Table9[[#This Row],[Octane]]</f>
        <v>1.7172580079250821</v>
      </c>
      <c r="N160" s="4">
        <f>Table9[[#This Row],[Octane]]/Table9[[#This Row],[Hybrid]]</f>
        <v>0.98416729850612372</v>
      </c>
      <c r="O160" s="4">
        <f>Table9[[#This Row],[Octane]]/Table9[[#This Row],[Dominus]]</f>
        <v>0.97824992870080951</v>
      </c>
      <c r="P160" s="4">
        <f>Table9[[#This Row],[Octane]]/Table9[[#This Row],[Plank]]</f>
        <v>0.98785324445057665</v>
      </c>
      <c r="Q160" s="4">
        <f>Table9[[#This Row],[Octane]]/Table9[[#This Row],[Batmobile]]</f>
        <v>1.0012177080931999</v>
      </c>
      <c r="R160" s="4">
        <f>Table9[[#This Row],[Octane]]/Table9[[#This Row],[Breakout]]</f>
        <v>0.98213882920769302</v>
      </c>
    </row>
    <row r="161" spans="1:18">
      <c r="A161" s="1">
        <f>Octane[[#This Row],[Degrees turned]]</f>
        <v>95.373997281057456</v>
      </c>
      <c r="B161" s="1">
        <f>Hybrid[[#This Row],[Degrees turned]]</f>
        <v>96.916120480089177</v>
      </c>
      <c r="C161" s="1">
        <f>Dominus[[#This Row],[Degrees turned]]</f>
        <v>97.504735365508182</v>
      </c>
      <c r="D161" s="1">
        <f>Plank[[#This Row],[Degrees turned]]</f>
        <v>96.558889788583613</v>
      </c>
      <c r="E161" s="1">
        <f>Batmobile[[#This Row],[Degrees turned]]</f>
        <v>95.267893613691129</v>
      </c>
      <c r="F161" s="1">
        <f>Breakout[[#This Row],[Degrees turned]]</f>
        <v>97.124682057123223</v>
      </c>
      <c r="H161" s="1">
        <v>0</v>
      </c>
      <c r="I161" s="3">
        <f>Table9[[#This Row],[Hybrid]]-Table9[[#This Row],[Octane]]</f>
        <v>1.542123199031721</v>
      </c>
      <c r="J161" s="3">
        <f>Table9[[#This Row],[Dominus]]-Table9[[#This Row],[Octane]]</f>
        <v>2.1307380844507264</v>
      </c>
      <c r="K161" s="3">
        <f>Table9[[#This Row],[Plank]]-Table9[[#This Row],[Octane]]</f>
        <v>1.1848925075261576</v>
      </c>
      <c r="L161" s="3">
        <f>Table9[[#This Row],[Batmobile]]-Table9[[#This Row],[Octane]]</f>
        <v>-0.1061036673663267</v>
      </c>
      <c r="M161" s="3">
        <f>Table9[[#This Row],[Breakout]]-Table9[[#This Row],[Octane]]</f>
        <v>1.7506847760657678</v>
      </c>
      <c r="N161" s="4">
        <f>Table9[[#This Row],[Octane]]/Table9[[#This Row],[Hybrid]]</f>
        <v>0.98408806304469709</v>
      </c>
      <c r="O161" s="4">
        <f>Table9[[#This Row],[Octane]]/Table9[[#This Row],[Dominus]]</f>
        <v>0.97814733739378501</v>
      </c>
      <c r="P161" s="4">
        <f>Table9[[#This Row],[Octane]]/Table9[[#This Row],[Plank]]</f>
        <v>0.98772880974376898</v>
      </c>
      <c r="Q161" s="4">
        <f>Table9[[#This Row],[Octane]]/Table9[[#This Row],[Batmobile]]</f>
        <v>1.0011137400370851</v>
      </c>
      <c r="R161" s="4">
        <f>Table9[[#This Row],[Octane]]/Table9[[#This Row],[Breakout]]</f>
        <v>0.98197487251452609</v>
      </c>
    </row>
    <row r="162" spans="1:18">
      <c r="A162" s="1">
        <f>Octane[[#This Row],[Degrees turned]]</f>
        <v>96.320240018866556</v>
      </c>
      <c r="B162" s="1">
        <f>Hybrid[[#This Row],[Degrees turned]]</f>
        <v>97.885240810764756</v>
      </c>
      <c r="C162" s="1">
        <f>Dominus[[#This Row],[Degrees turned]]</f>
        <v>98.48207381331413</v>
      </c>
      <c r="D162" s="1">
        <f>Plank[[#This Row],[Degrees turned]]</f>
        <v>97.529654947801859</v>
      </c>
      <c r="E162" s="1">
        <f>Batmobile[[#This Row],[Degrees turned]]</f>
        <v>96.223082782280002</v>
      </c>
      <c r="F162" s="1">
        <f>Breakout[[#This Row],[Degrees turned]]</f>
        <v>98.104824811173728</v>
      </c>
      <c r="H162" s="1">
        <v>0</v>
      </c>
      <c r="I162" s="3">
        <f>Table9[[#This Row],[Hybrid]]-Table9[[#This Row],[Octane]]</f>
        <v>1.5650007918981999</v>
      </c>
      <c r="J162" s="3">
        <f>Table9[[#This Row],[Dominus]]-Table9[[#This Row],[Octane]]</f>
        <v>2.1618337944475741</v>
      </c>
      <c r="K162" s="3">
        <f>Table9[[#This Row],[Plank]]-Table9[[#This Row],[Octane]]</f>
        <v>1.2094149289353027</v>
      </c>
      <c r="L162" s="3">
        <f>Table9[[#This Row],[Batmobile]]-Table9[[#This Row],[Octane]]</f>
        <v>-9.7157236586554063E-2</v>
      </c>
      <c r="M162" s="3">
        <f>Table9[[#This Row],[Breakout]]-Table9[[#This Row],[Octane]]</f>
        <v>1.7845847923071716</v>
      </c>
      <c r="N162" s="4">
        <f>Table9[[#This Row],[Octane]]/Table9[[#This Row],[Hybrid]]</f>
        <v>0.98401188188397359</v>
      </c>
      <c r="O162" s="4">
        <f>Table9[[#This Row],[Octane]]/Table9[[#This Row],[Dominus]]</f>
        <v>0.97804845378717742</v>
      </c>
      <c r="P162" s="4">
        <f>Table9[[#This Row],[Octane]]/Table9[[#This Row],[Plank]]</f>
        <v>0.98759951596688633</v>
      </c>
      <c r="Q162" s="4">
        <f>Table9[[#This Row],[Octane]]/Table9[[#This Row],[Batmobile]]</f>
        <v>1.0010097082090623</v>
      </c>
      <c r="R162" s="4">
        <f>Table9[[#This Row],[Octane]]/Table9[[#This Row],[Breakout]]</f>
        <v>0.98180940850012188</v>
      </c>
    </row>
    <row r="163" spans="1:18">
      <c r="A163" s="1">
        <f>Octane[[#This Row],[Degrees turned]]</f>
        <v>97.266666907849569</v>
      </c>
      <c r="B163" s="1">
        <f>Hybrid[[#This Row],[Degrees turned]]</f>
        <v>98.854561821890783</v>
      </c>
      <c r="C163" s="1">
        <f>Dominus[[#This Row],[Degrees turned]]</f>
        <v>99.459755183739063</v>
      </c>
      <c r="D163" s="1">
        <f>Plank[[#This Row],[Degrees turned]]</f>
        <v>98.500388907889274</v>
      </c>
      <c r="E163" s="1">
        <f>Batmobile[[#This Row],[Degrees turned]]</f>
        <v>97.178377771163781</v>
      </c>
      <c r="F163" s="1">
        <f>Breakout[[#This Row],[Degrees turned]]</f>
        <v>99.084647446497996</v>
      </c>
      <c r="H163" s="1">
        <v>0</v>
      </c>
      <c r="I163" s="3">
        <f>Table9[[#This Row],[Hybrid]]-Table9[[#This Row],[Octane]]</f>
        <v>1.5878949140412146</v>
      </c>
      <c r="J163" s="3">
        <f>Table9[[#This Row],[Dominus]]-Table9[[#This Row],[Octane]]</f>
        <v>2.1930882758894938</v>
      </c>
      <c r="K163" s="3">
        <f>Table9[[#This Row],[Plank]]-Table9[[#This Row],[Octane]]</f>
        <v>1.2337220000397053</v>
      </c>
      <c r="L163" s="3">
        <f>Table9[[#This Row],[Batmobile]]-Table9[[#This Row],[Octane]]</f>
        <v>-8.8289136685787639E-2</v>
      </c>
      <c r="M163" s="3">
        <f>Table9[[#This Row],[Breakout]]-Table9[[#This Row],[Octane]]</f>
        <v>1.8179805386484276</v>
      </c>
      <c r="N163" s="4">
        <f>Table9[[#This Row],[Octane]]/Table9[[#This Row],[Hybrid]]</f>
        <v>0.98393705981012614</v>
      </c>
      <c r="O163" s="4">
        <f>Table9[[#This Row],[Octane]]/Table9[[#This Row],[Dominus]]</f>
        <v>0.97794999322250442</v>
      </c>
      <c r="P163" s="4">
        <f>Table9[[#This Row],[Octane]]/Table9[[#This Row],[Plank]]</f>
        <v>0.98747495300558263</v>
      </c>
      <c r="Q163" s="4">
        <f>Table9[[#This Row],[Octane]]/Table9[[#This Row],[Batmobile]]</f>
        <v>1.0009085265540623</v>
      </c>
      <c r="R163" s="4">
        <f>Table9[[#This Row],[Octane]]/Table9[[#This Row],[Breakout]]</f>
        <v>0.98165224799704642</v>
      </c>
    </row>
    <row r="164" spans="1:18">
      <c r="A164" s="1">
        <f>Octane[[#This Row],[Degrees turned]]</f>
        <v>98.213190769234771</v>
      </c>
      <c r="B164" s="1">
        <f>Hybrid[[#This Row],[Degrees turned]]</f>
        <v>99.824148872586548</v>
      </c>
      <c r="C164" s="1">
        <f>Dominus[[#This Row],[Degrees turned]]</f>
        <v>100.43732868264125</v>
      </c>
      <c r="D164" s="1">
        <f>Plank[[#This Row],[Degrees turned]]</f>
        <v>99.47090717338763</v>
      </c>
      <c r="E164" s="1">
        <f>Batmobile[[#This Row],[Degrees turned]]</f>
        <v>98.13375697222952</v>
      </c>
      <c r="F164" s="1">
        <f>Breakout[[#This Row],[Degrees turned]]</f>
        <v>100.06504192220467</v>
      </c>
      <c r="H164" s="1">
        <v>0</v>
      </c>
      <c r="I164" s="3">
        <f>Table9[[#This Row],[Hybrid]]-Table9[[#This Row],[Octane]]</f>
        <v>1.610958103351777</v>
      </c>
      <c r="J164" s="3">
        <f>Table9[[#This Row],[Dominus]]-Table9[[#This Row],[Octane]]</f>
        <v>2.22413791340648</v>
      </c>
      <c r="K164" s="3">
        <f>Table9[[#This Row],[Plank]]-Table9[[#This Row],[Octane]]</f>
        <v>1.257716404152859</v>
      </c>
      <c r="L164" s="3">
        <f>Table9[[#This Row],[Batmobile]]-Table9[[#This Row],[Octane]]</f>
        <v>-7.9433797005250995E-2</v>
      </c>
      <c r="M164" s="3">
        <f>Table9[[#This Row],[Breakout]]-Table9[[#This Row],[Octane]]</f>
        <v>1.8518511529698998</v>
      </c>
      <c r="N164" s="4">
        <f>Table9[[#This Row],[Octane]]/Table9[[#This Row],[Hybrid]]</f>
        <v>0.98386204018220114</v>
      </c>
      <c r="O164" s="4">
        <f>Table9[[#This Row],[Octane]]/Table9[[#This Row],[Dominus]]</f>
        <v>0.97785546526795586</v>
      </c>
      <c r="P164" s="4">
        <f>Table9[[#This Row],[Octane]]/Table9[[#This Row],[Plank]]</f>
        <v>0.98735593712882763</v>
      </c>
      <c r="Q164" s="4">
        <f>Table9[[#This Row],[Octane]]/Table9[[#This Row],[Batmobile]]</f>
        <v>1.0008094441653521</v>
      </c>
      <c r="R164" s="4">
        <f>Table9[[#This Row],[Octane]]/Table9[[#This Row],[Breakout]]</f>
        <v>0.98149352543708901</v>
      </c>
    </row>
    <row r="165" spans="1:18">
      <c r="A165" s="1">
        <f>Octane[[#This Row],[Degrees turned]]</f>
        <v>99.159729108610364</v>
      </c>
      <c r="B165" s="1">
        <f>Hybrid[[#This Row],[Degrees turned]]</f>
        <v>100.79352096509935</v>
      </c>
      <c r="C165" s="1">
        <f>Dominus[[#This Row],[Degrees turned]]</f>
        <v>101.41470286044706</v>
      </c>
      <c r="D165" s="1">
        <f>Plank[[#This Row],[Degrees turned]]</f>
        <v>100.44183064450716</v>
      </c>
      <c r="E165" s="1">
        <f>Batmobile[[#This Row],[Degrees turned]]</f>
        <v>99.089286414475879</v>
      </c>
      <c r="F165" s="1">
        <f>Breakout[[#This Row],[Degrees turned]]</f>
        <v>101.04506841373743</v>
      </c>
      <c r="H165" s="1">
        <v>0</v>
      </c>
      <c r="I165" s="3">
        <f>Table9[[#This Row],[Hybrid]]-Table9[[#This Row],[Octane]]</f>
        <v>1.6337918564889833</v>
      </c>
      <c r="J165" s="3">
        <f>Table9[[#This Row],[Dominus]]-Table9[[#This Row],[Octane]]</f>
        <v>2.254973751836701</v>
      </c>
      <c r="K165" s="3">
        <f>Table9[[#This Row],[Plank]]-Table9[[#This Row],[Octane]]</f>
        <v>1.2821015358967998</v>
      </c>
      <c r="L165" s="3">
        <f>Table9[[#This Row],[Batmobile]]-Table9[[#This Row],[Octane]]</f>
        <v>-7.0442694134484896E-2</v>
      </c>
      <c r="M165" s="3">
        <f>Table9[[#This Row],[Breakout]]-Table9[[#This Row],[Octane]]</f>
        <v>1.8853393051270615</v>
      </c>
      <c r="N165" s="4">
        <f>Table9[[#This Row],[Octane]]/Table9[[#This Row],[Hybrid]]</f>
        <v>0.98379070558459114</v>
      </c>
      <c r="O165" s="4">
        <f>Table9[[#This Row],[Octane]]/Table9[[#This Row],[Dominus]]</f>
        <v>0.97776482415040267</v>
      </c>
      <c r="P165" s="4">
        <f>Table9[[#This Row],[Octane]]/Table9[[#This Row],[Plank]]</f>
        <v>0.987235382632217</v>
      </c>
      <c r="Q165" s="4">
        <f>Table9[[#This Row],[Octane]]/Table9[[#This Row],[Batmobile]]</f>
        <v>1.0007109012152922</v>
      </c>
      <c r="R165" s="4">
        <f>Table9[[#This Row],[Octane]]/Table9[[#This Row],[Breakout]]</f>
        <v>0.98134159999370396</v>
      </c>
    </row>
    <row r="166" spans="1:18">
      <c r="A166" s="1">
        <f>Octane[[#This Row],[Degrees turned]]</f>
        <v>100.10658003204234</v>
      </c>
      <c r="B166" s="1">
        <f>Hybrid[[#This Row],[Degrees turned]]</f>
        <v>101.76277910782072</v>
      </c>
      <c r="C166" s="1">
        <f>Dominus[[#This Row],[Degrees turned]]</f>
        <v>102.39192055801185</v>
      </c>
      <c r="D166" s="1">
        <f>Plank[[#This Row],[Degrees turned]]</f>
        <v>101.41256741718489</v>
      </c>
      <c r="E166" s="1">
        <f>Batmobile[[#This Row],[Degrees turned]]</f>
        <v>100.04448318903226</v>
      </c>
      <c r="F166" s="1">
        <f>Breakout[[#This Row],[Degrees turned]]</f>
        <v>102.02507010294201</v>
      </c>
      <c r="H166" s="1">
        <v>0</v>
      </c>
      <c r="I166" s="3">
        <f>Table9[[#This Row],[Hybrid]]-Table9[[#This Row],[Octane]]</f>
        <v>1.6561990757783747</v>
      </c>
      <c r="J166" s="3">
        <f>Table9[[#This Row],[Dominus]]-Table9[[#This Row],[Octane]]</f>
        <v>2.2853405259695023</v>
      </c>
      <c r="K166" s="3">
        <f>Table9[[#This Row],[Plank]]-Table9[[#This Row],[Octane]]</f>
        <v>1.3059873851425436</v>
      </c>
      <c r="L166" s="3">
        <f>Table9[[#This Row],[Batmobile]]-Table9[[#This Row],[Octane]]</f>
        <v>-6.209684301008167E-2</v>
      </c>
      <c r="M166" s="3">
        <f>Table9[[#This Row],[Breakout]]-Table9[[#This Row],[Octane]]</f>
        <v>1.9184900708996651</v>
      </c>
      <c r="N166" s="4">
        <f>Table9[[#This Row],[Octane]]/Table9[[#This Row],[Hybrid]]</f>
        <v>0.98372490324754613</v>
      </c>
      <c r="O166" s="4">
        <f>Table9[[#This Row],[Octane]]/Table9[[#This Row],[Dominus]]</f>
        <v>0.97768046039653389</v>
      </c>
      <c r="P166" s="4">
        <f>Table9[[#This Row],[Octane]]/Table9[[#This Row],[Plank]]</f>
        <v>0.98712203607103199</v>
      </c>
      <c r="Q166" s="4">
        <f>Table9[[#This Row],[Octane]]/Table9[[#This Row],[Batmobile]]</f>
        <v>1.0006206923263601</v>
      </c>
      <c r="R166" s="4">
        <f>Table9[[#This Row],[Octane]]/Table9[[#This Row],[Breakout]]</f>
        <v>0.98119589558758513</v>
      </c>
    </row>
    <row r="167" spans="1:18">
      <c r="A167" s="1">
        <f>Octane[[#This Row],[Degrees turned]]</f>
        <v>101.05304538734701</v>
      </c>
      <c r="B167" s="1">
        <f>Hybrid[[#This Row],[Degrees turned]]</f>
        <v>102.73180739836643</v>
      </c>
      <c r="C167" s="1">
        <f>Dominus[[#This Row],[Degrees turned]]</f>
        <v>103.36916904113674</v>
      </c>
      <c r="D167" s="1">
        <f>Plank[[#This Row],[Degrees turned]]</f>
        <v>102.38314297919065</v>
      </c>
      <c r="E167" s="1">
        <f>Batmobile[[#This Row],[Degrees turned]]</f>
        <v>101.00007145332569</v>
      </c>
      <c r="F167" s="1">
        <f>Breakout[[#This Row],[Degrees turned]]</f>
        <v>103.00515531372304</v>
      </c>
      <c r="H167" s="1">
        <v>0</v>
      </c>
      <c r="I167" s="3">
        <f>Table9[[#This Row],[Hybrid]]-Table9[[#This Row],[Octane]]</f>
        <v>1.6787620110194155</v>
      </c>
      <c r="J167" s="3">
        <f>Table9[[#This Row],[Dominus]]-Table9[[#This Row],[Octane]]</f>
        <v>2.316123653789731</v>
      </c>
      <c r="K167" s="3">
        <f>Table9[[#This Row],[Plank]]-Table9[[#This Row],[Octane]]</f>
        <v>1.3300975918436393</v>
      </c>
      <c r="L167" s="3">
        <f>Table9[[#This Row],[Batmobile]]-Table9[[#This Row],[Octane]]</f>
        <v>-5.2973934021323998E-2</v>
      </c>
      <c r="M167" s="3">
        <f>Table9[[#This Row],[Breakout]]-Table9[[#This Row],[Octane]]</f>
        <v>1.9521099263760249</v>
      </c>
      <c r="N167" s="4">
        <f>Table9[[#This Row],[Octane]]/Table9[[#This Row],[Hybrid]]</f>
        <v>0.98365879026629377</v>
      </c>
      <c r="O167" s="4">
        <f>Table9[[#This Row],[Octane]]/Table9[[#This Row],[Dominus]]</f>
        <v>0.97759367057630109</v>
      </c>
      <c r="P167" s="4">
        <f>Table9[[#This Row],[Octane]]/Table9[[#This Row],[Plank]]</f>
        <v>0.98700862707336523</v>
      </c>
      <c r="Q167" s="4">
        <f>Table9[[#This Row],[Octane]]/Table9[[#This Row],[Batmobile]]</f>
        <v>1.0005244940251929</v>
      </c>
      <c r="R167" s="4">
        <f>Table9[[#This Row],[Octane]]/Table9[[#This Row],[Breakout]]</f>
        <v>0.98104842499940437</v>
      </c>
    </row>
    <row r="168" spans="1:18">
      <c r="A168" s="1">
        <f>Octane[[#This Row],[Degrees turned]]</f>
        <v>101.99995609554422</v>
      </c>
      <c r="B168" s="1">
        <f>Hybrid[[#This Row],[Degrees turned]]</f>
        <v>103.70083113441426</v>
      </c>
      <c r="C168" s="1">
        <f>Dominus[[#This Row],[Degrees turned]]</f>
        <v>104.34640057414389</v>
      </c>
      <c r="D168" s="1">
        <f>Plank[[#This Row],[Degrees turned]]</f>
        <v>103.35371292572241</v>
      </c>
      <c r="E168" s="1">
        <f>Batmobile[[#This Row],[Degrees turned]]</f>
        <v>101.95526881157187</v>
      </c>
      <c r="F168" s="1">
        <f>Breakout[[#This Row],[Degrees turned]]</f>
        <v>103.98508978457713</v>
      </c>
      <c r="H168" s="1">
        <v>0</v>
      </c>
      <c r="I168" s="3">
        <f>Table9[[#This Row],[Hybrid]]-Table9[[#This Row],[Octane]]</f>
        <v>1.7008750388700378</v>
      </c>
      <c r="J168" s="3">
        <f>Table9[[#This Row],[Dominus]]-Table9[[#This Row],[Octane]]</f>
        <v>2.3464444785996648</v>
      </c>
      <c r="K168" s="3">
        <f>Table9[[#This Row],[Plank]]-Table9[[#This Row],[Octane]]</f>
        <v>1.3537568301781846</v>
      </c>
      <c r="L168" s="3">
        <f>Table9[[#This Row],[Batmobile]]-Table9[[#This Row],[Octane]]</f>
        <v>-4.4687283972351111E-2</v>
      </c>
      <c r="M168" s="3">
        <f>Table9[[#This Row],[Breakout]]-Table9[[#This Row],[Octane]]</f>
        <v>1.9851336890329065</v>
      </c>
      <c r="N168" s="4">
        <f>Table9[[#This Row],[Octane]]/Table9[[#This Row],[Hybrid]]</f>
        <v>0.98359825065755346</v>
      </c>
      <c r="O168" s="4">
        <f>Table9[[#This Row],[Octane]]/Table9[[#This Row],[Dominus]]</f>
        <v>0.97751293321390242</v>
      </c>
      <c r="P168" s="4">
        <f>Table9[[#This Row],[Octane]]/Table9[[#This Row],[Plank]]</f>
        <v>0.98690171071888733</v>
      </c>
      <c r="Q168" s="4">
        <f>Table9[[#This Row],[Octane]]/Table9[[#This Row],[Batmobile]]</f>
        <v>1.0004383028409738</v>
      </c>
      <c r="R168" s="4">
        <f>Table9[[#This Row],[Octane]]/Table9[[#This Row],[Breakout]]</f>
        <v>0.98090943910184192</v>
      </c>
    </row>
    <row r="169" spans="1:18">
      <c r="A169" s="1">
        <f>Octane[[#This Row],[Degrees turned]]</f>
        <v>102.94645387876027</v>
      </c>
      <c r="B169" s="1">
        <f>Hybrid[[#This Row],[Degrees turned]]</f>
        <v>104.66995958988277</v>
      </c>
      <c r="C169" s="1">
        <f>Dominus[[#This Row],[Degrees turned]]</f>
        <v>105.32387682330678</v>
      </c>
      <c r="D169" s="1">
        <f>Plank[[#This Row],[Degrees turned]]</f>
        <v>104.32411155222384</v>
      </c>
      <c r="E169" s="1">
        <f>Batmobile[[#This Row],[Degrees turned]]</f>
        <v>102.91098933237669</v>
      </c>
      <c r="F169" s="1">
        <f>Breakout[[#This Row],[Degrees turned]]</f>
        <v>104.96520910112631</v>
      </c>
      <c r="H169" s="1">
        <v>0</v>
      </c>
      <c r="I169" s="3">
        <f>Table9[[#This Row],[Hybrid]]-Table9[[#This Row],[Octane]]</f>
        <v>1.723505711122499</v>
      </c>
      <c r="J169" s="3">
        <f>Table9[[#This Row],[Dominus]]-Table9[[#This Row],[Octane]]</f>
        <v>2.3774229445465096</v>
      </c>
      <c r="K169" s="3">
        <f>Table9[[#This Row],[Plank]]-Table9[[#This Row],[Octane]]</f>
        <v>1.3776576734635739</v>
      </c>
      <c r="L169" s="3">
        <f>Table9[[#This Row],[Batmobile]]-Table9[[#This Row],[Octane]]</f>
        <v>-3.5464546383579432E-2</v>
      </c>
      <c r="M169" s="3">
        <f>Table9[[#This Row],[Breakout]]-Table9[[#This Row],[Octane]]</f>
        <v>2.018755222366039</v>
      </c>
      <c r="N169" s="4">
        <f>Table9[[#This Row],[Octane]]/Table9[[#This Row],[Hybrid]]</f>
        <v>0.98353390296628063</v>
      </c>
      <c r="O169" s="4">
        <f>Table9[[#This Row],[Octane]]/Table9[[#This Row],[Dominus]]</f>
        <v>0.97742750251650046</v>
      </c>
      <c r="P169" s="4">
        <f>Table9[[#This Row],[Octane]]/Table9[[#This Row],[Plank]]</f>
        <v>0.98679444614513756</v>
      </c>
      <c r="Q169" s="4">
        <f>Table9[[#This Row],[Octane]]/Table9[[#This Row],[Batmobile]]</f>
        <v>1.0003446137930814</v>
      </c>
      <c r="R169" s="4">
        <f>Table9[[#This Row],[Octane]]/Table9[[#This Row],[Breakout]]</f>
        <v>0.98076738721664325</v>
      </c>
    </row>
    <row r="170" spans="1:18">
      <c r="A170" s="1">
        <f>Octane[[#This Row],[Degrees turned]]</f>
        <v>103.89275779157417</v>
      </c>
      <c r="B170" s="1">
        <f>Hybrid[[#This Row],[Degrees turned]]</f>
        <v>105.63907227059364</v>
      </c>
      <c r="C170" s="1">
        <f>Dominus[[#This Row],[Degrees turned]]</f>
        <v>106.30139923943607</v>
      </c>
      <c r="D170" s="1">
        <f>Plank[[#This Row],[Degrees turned]]</f>
        <v>105.29471295822724</v>
      </c>
      <c r="E170" s="1">
        <f>Batmobile[[#This Row],[Degrees turned]]</f>
        <v>103.86656505632939</v>
      </c>
      <c r="F170" s="1">
        <f>Breakout[[#This Row],[Degrees turned]]</f>
        <v>105.94483152104158</v>
      </c>
      <c r="H170" s="1">
        <v>0</v>
      </c>
      <c r="I170" s="3">
        <f>Table9[[#This Row],[Hybrid]]-Table9[[#This Row],[Octane]]</f>
        <v>1.7463144790194747</v>
      </c>
      <c r="J170" s="3">
        <f>Table9[[#This Row],[Dominus]]-Table9[[#This Row],[Octane]]</f>
        <v>2.4086414478618963</v>
      </c>
      <c r="K170" s="3">
        <f>Table9[[#This Row],[Plank]]-Table9[[#This Row],[Octane]]</f>
        <v>1.4019551666530674</v>
      </c>
      <c r="L170" s="3">
        <f>Table9[[#This Row],[Batmobile]]-Table9[[#This Row],[Octane]]</f>
        <v>-2.6192735244777055E-2</v>
      </c>
      <c r="M170" s="3">
        <f>Table9[[#This Row],[Breakout]]-Table9[[#This Row],[Octane]]</f>
        <v>2.0520737294674092</v>
      </c>
      <c r="N170" s="4">
        <f>Table9[[#This Row],[Octane]]/Table9[[#This Row],[Hybrid]]</f>
        <v>0.98346904756465203</v>
      </c>
      <c r="O170" s="4">
        <f>Table9[[#This Row],[Octane]]/Table9[[#This Row],[Dominus]]</f>
        <v>0.97734139470321924</v>
      </c>
      <c r="P170" s="4">
        <f>Table9[[#This Row],[Octane]]/Table9[[#This Row],[Plank]]</f>
        <v>0.9866854172705779</v>
      </c>
      <c r="Q170" s="4">
        <f>Table9[[#This Row],[Octane]]/Table9[[#This Row],[Batmobile]]</f>
        <v>1.0002521767734456</v>
      </c>
      <c r="R170" s="4">
        <f>Table9[[#This Row],[Octane]]/Table9[[#This Row],[Breakout]]</f>
        <v>0.98063073299559833</v>
      </c>
    </row>
    <row r="171" spans="1:18">
      <c r="A171" s="1">
        <f>Octane[[#This Row],[Degrees turned]]</f>
        <v>104.83897354496871</v>
      </c>
      <c r="B171" s="1">
        <f>Hybrid[[#This Row],[Degrees turned]]</f>
        <v>106.60825676894014</v>
      </c>
      <c r="C171" s="1">
        <f>Dominus[[#This Row],[Degrees turned]]</f>
        <v>107.27862974105055</v>
      </c>
      <c r="D171" s="1">
        <f>Plank[[#This Row],[Degrees turned]]</f>
        <v>106.26544231937065</v>
      </c>
      <c r="E171" s="1">
        <f>Batmobile[[#This Row],[Degrees turned]]</f>
        <v>104.82213787021982</v>
      </c>
      <c r="F171" s="1">
        <f>Breakout[[#This Row],[Degrees turned]]</f>
        <v>106.92471985690284</v>
      </c>
      <c r="H171" s="1">
        <v>0</v>
      </c>
      <c r="I171" s="3">
        <f>Table9[[#This Row],[Hybrid]]-Table9[[#This Row],[Octane]]</f>
        <v>1.7692832239714278</v>
      </c>
      <c r="J171" s="3">
        <f>Table9[[#This Row],[Dominus]]-Table9[[#This Row],[Octane]]</f>
        <v>2.4396561960818417</v>
      </c>
      <c r="K171" s="3">
        <f>Table9[[#This Row],[Plank]]-Table9[[#This Row],[Octane]]</f>
        <v>1.4264687744019398</v>
      </c>
      <c r="L171" s="3">
        <f>Table9[[#This Row],[Batmobile]]-Table9[[#This Row],[Octane]]</f>
        <v>-1.6835674748890028E-2</v>
      </c>
      <c r="M171" s="3">
        <f>Table9[[#This Row],[Breakout]]-Table9[[#This Row],[Octane]]</f>
        <v>2.0857463119341304</v>
      </c>
      <c r="N171" s="4">
        <f>Table9[[#This Row],[Octane]]/Table9[[#This Row],[Hybrid]]</f>
        <v>0.98340388186061312</v>
      </c>
      <c r="O171" s="4">
        <f>Table9[[#This Row],[Octane]]/Table9[[#This Row],[Dominus]]</f>
        <v>0.97725869353504335</v>
      </c>
      <c r="P171" s="4">
        <f>Table9[[#This Row],[Octane]]/Table9[[#This Row],[Plank]]</f>
        <v>0.98657636251948377</v>
      </c>
      <c r="Q171" s="4">
        <f>Table9[[#This Row],[Octane]]/Table9[[#This Row],[Batmobile]]</f>
        <v>1.0001606118239044</v>
      </c>
      <c r="R171" s="4">
        <f>Table9[[#This Row],[Octane]]/Table9[[#This Row],[Breakout]]</f>
        <v>0.98049331983543675</v>
      </c>
    </row>
    <row r="172" spans="1:18">
      <c r="A172" s="1">
        <f>Octane[[#This Row],[Degrees turned]]</f>
        <v>105.78589706422285</v>
      </c>
      <c r="B172" s="1">
        <f>Hybrid[[#This Row],[Degrees turned]]</f>
        <v>107.5778742133805</v>
      </c>
      <c r="C172" s="1">
        <f>Dominus[[#This Row],[Degrees turned]]</f>
        <v>108.25611940067178</v>
      </c>
      <c r="D172" s="1">
        <f>Plank[[#This Row],[Degrees turned]]</f>
        <v>107.23632145994621</v>
      </c>
      <c r="E172" s="1">
        <f>Batmobile[[#This Row],[Degrees turned]]</f>
        <v>105.77762570477083</v>
      </c>
      <c r="F172" s="1">
        <f>Breakout[[#This Row],[Degrees turned]]</f>
        <v>107.90499952471347</v>
      </c>
      <c r="H172" s="1">
        <v>0</v>
      </c>
      <c r="I172" s="3">
        <f>Table9[[#This Row],[Hybrid]]-Table9[[#This Row],[Octane]]</f>
        <v>1.7919771491576455</v>
      </c>
      <c r="J172" s="3">
        <f>Table9[[#This Row],[Dominus]]-Table9[[#This Row],[Octane]]</f>
        <v>2.4702223364489271</v>
      </c>
      <c r="K172" s="3">
        <f>Table9[[#This Row],[Plank]]-Table9[[#This Row],[Octane]]</f>
        <v>1.4504243957233598</v>
      </c>
      <c r="L172" s="3">
        <f>Table9[[#This Row],[Batmobile]]-Table9[[#This Row],[Octane]]</f>
        <v>-8.271359452024285E-3</v>
      </c>
      <c r="M172" s="3">
        <f>Table9[[#This Row],[Breakout]]-Table9[[#This Row],[Octane]]</f>
        <v>2.1191024604906232</v>
      </c>
      <c r="N172" s="4">
        <f>Table9[[#This Row],[Octane]]/Table9[[#This Row],[Hybrid]]</f>
        <v>0.98334251199644207</v>
      </c>
      <c r="O172" s="4">
        <f>Table9[[#This Row],[Octane]]/Table9[[#This Row],[Dominus]]</f>
        <v>0.97718168404590344</v>
      </c>
      <c r="P172" s="4">
        <f>Table9[[#This Row],[Octane]]/Table9[[#This Row],[Plank]]</f>
        <v>0.9864745043845512</v>
      </c>
      <c r="Q172" s="4">
        <f>Table9[[#This Row],[Octane]]/Table9[[#This Row],[Batmobile]]</f>
        <v>1.0000781957374909</v>
      </c>
      <c r="R172" s="4">
        <f>Table9[[#This Row],[Octane]]/Table9[[#This Row],[Breakout]]</f>
        <v>0.98036140614591927</v>
      </c>
    </row>
    <row r="173" spans="1:18">
      <c r="A173" s="1">
        <f>Octane[[#This Row],[Degrees turned]]</f>
        <v>106.73280980616529</v>
      </c>
      <c r="B173" s="1">
        <f>Hybrid[[#This Row],[Degrees turned]]</f>
        <v>108.54695668691367</v>
      </c>
      <c r="C173" s="1">
        <f>Dominus[[#This Row],[Degrees turned]]</f>
        <v>109.23327090829893</v>
      </c>
      <c r="D173" s="1">
        <f>Plank[[#This Row],[Degrees turned]]</f>
        <v>108.20694139372377</v>
      </c>
      <c r="E173" s="1">
        <f>Batmobile[[#This Row],[Degrees turned]]</f>
        <v>106.73329207888432</v>
      </c>
      <c r="F173" s="1">
        <f>Breakout[[#This Row],[Degrees turned]]</f>
        <v>108.8849386771866</v>
      </c>
      <c r="H173" s="1">
        <v>0</v>
      </c>
      <c r="I173" s="3">
        <f>Table9[[#This Row],[Hybrid]]-Table9[[#This Row],[Octane]]</f>
        <v>1.8141468807483818</v>
      </c>
      <c r="J173" s="3">
        <f>Table9[[#This Row],[Dominus]]-Table9[[#This Row],[Octane]]</f>
        <v>2.5004611021336416</v>
      </c>
      <c r="K173" s="3">
        <f>Table9[[#This Row],[Plank]]-Table9[[#This Row],[Octane]]</f>
        <v>1.4741315875584746</v>
      </c>
      <c r="L173" s="3">
        <f>Table9[[#This Row],[Batmobile]]-Table9[[#This Row],[Octane]]</f>
        <v>4.8227271902590019E-4</v>
      </c>
      <c r="M173" s="3">
        <f>Table9[[#This Row],[Breakout]]-Table9[[#This Row],[Octane]]</f>
        <v>2.1521288710213042</v>
      </c>
      <c r="N173" s="4">
        <f>Table9[[#This Row],[Octane]]/Table9[[#This Row],[Hybrid]]</f>
        <v>0.98328698531842773</v>
      </c>
      <c r="O173" s="4">
        <f>Table9[[#This Row],[Octane]]/Table9[[#This Row],[Dominus]]</f>
        <v>0.97710897896454307</v>
      </c>
      <c r="P173" s="4">
        <f>Table9[[#This Row],[Octane]]/Table9[[#This Row],[Plank]]</f>
        <v>0.98637673730934994</v>
      </c>
      <c r="Q173" s="4">
        <f>Table9[[#This Row],[Octane]]/Table9[[#This Row],[Batmobile]]</f>
        <v>0.99999548151556439</v>
      </c>
      <c r="R173" s="4">
        <f>Table9[[#This Row],[Octane]]/Table9[[#This Row],[Breakout]]</f>
        <v>0.98023483415459534</v>
      </c>
    </row>
    <row r="174" spans="1:18">
      <c r="A174" s="1">
        <f>Octane[[#This Row],[Degrees turned]]</f>
        <v>107.67903312004985</v>
      </c>
      <c r="B174" s="1">
        <f>Hybrid[[#This Row],[Degrees turned]]</f>
        <v>109.51655712142356</v>
      </c>
      <c r="C174" s="1">
        <f>Dominus[[#This Row],[Degrees turned]]</f>
        <v>110.21113797930279</v>
      </c>
      <c r="D174" s="1">
        <f>Plank[[#This Row],[Degrees turned]]</f>
        <v>109.1778442288114</v>
      </c>
      <c r="E174" s="1">
        <f>Batmobile[[#This Row],[Degrees turned]]</f>
        <v>107.68902582391226</v>
      </c>
      <c r="F174" s="1">
        <f>Breakout[[#This Row],[Degrees turned]]</f>
        <v>109.86469053668185</v>
      </c>
      <c r="H174" s="1">
        <v>0</v>
      </c>
      <c r="I174" s="3">
        <f>Table9[[#This Row],[Hybrid]]-Table9[[#This Row],[Octane]]</f>
        <v>1.8375240013737084</v>
      </c>
      <c r="J174" s="3">
        <f>Table9[[#This Row],[Dominus]]-Table9[[#This Row],[Octane]]</f>
        <v>2.5321048592529394</v>
      </c>
      <c r="K174" s="3">
        <f>Table9[[#This Row],[Plank]]-Table9[[#This Row],[Octane]]</f>
        <v>1.4988111087615437</v>
      </c>
      <c r="L174" s="3">
        <f>Table9[[#This Row],[Batmobile]]-Table9[[#This Row],[Octane]]</f>
        <v>9.9927038624088027E-3</v>
      </c>
      <c r="M174" s="3">
        <f>Table9[[#This Row],[Breakout]]-Table9[[#This Row],[Octane]]</f>
        <v>2.1856574166319973</v>
      </c>
      <c r="N174" s="4">
        <f>Table9[[#This Row],[Octane]]/Table9[[#This Row],[Hybrid]]</f>
        <v>0.98322149591192498</v>
      </c>
      <c r="O174" s="4">
        <f>Table9[[#This Row],[Octane]]/Table9[[#This Row],[Dominus]]</f>
        <v>0.9770249640310541</v>
      </c>
      <c r="P174" s="4">
        <f>Table9[[#This Row],[Octane]]/Table9[[#This Row],[Plank]]</f>
        <v>0.98627183821636577</v>
      </c>
      <c r="Q174" s="4">
        <f>Table9[[#This Row],[Octane]]/Table9[[#This Row],[Batmobile]]</f>
        <v>0.99990720777919606</v>
      </c>
      <c r="R174" s="4">
        <f>Table9[[#This Row],[Octane]]/Table9[[#This Row],[Breakout]]</f>
        <v>0.9801059156863301</v>
      </c>
    </row>
    <row r="175" spans="1:18">
      <c r="A175" s="1">
        <f>Octane[[#This Row],[Degrees turned]]</f>
        <v>108.62543060942575</v>
      </c>
      <c r="B175" s="1">
        <f>Hybrid[[#This Row],[Degrees turned]]</f>
        <v>110.48576083695487</v>
      </c>
      <c r="C175" s="1">
        <f>Dominus[[#This Row],[Degrees turned]]</f>
        <v>111.18867985132972</v>
      </c>
      <c r="D175" s="1">
        <f>Plank[[#This Row],[Degrees turned]]</f>
        <v>110.14850315374544</v>
      </c>
      <c r="E175" s="1">
        <f>Batmobile[[#This Row],[Degrees turned]]</f>
        <v>108.64427856800853</v>
      </c>
      <c r="F175" s="1">
        <f>Breakout[[#This Row],[Degrees turned]]</f>
        <v>110.84510133439977</v>
      </c>
      <c r="H175" s="1">
        <v>0</v>
      </c>
      <c r="I175" s="3">
        <f>Table9[[#This Row],[Hybrid]]-Table9[[#This Row],[Octane]]</f>
        <v>1.8603302275291185</v>
      </c>
      <c r="J175" s="3">
        <f>Table9[[#This Row],[Dominus]]-Table9[[#This Row],[Octane]]</f>
        <v>2.563249241903975</v>
      </c>
      <c r="K175" s="3">
        <f>Table9[[#This Row],[Plank]]-Table9[[#This Row],[Octane]]</f>
        <v>1.5230725443196889</v>
      </c>
      <c r="L175" s="3">
        <f>Table9[[#This Row],[Batmobile]]-Table9[[#This Row],[Octane]]</f>
        <v>1.8847958582782098E-2</v>
      </c>
      <c r="M175" s="3">
        <f>Table9[[#This Row],[Breakout]]-Table9[[#This Row],[Octane]]</f>
        <v>2.2196707249740228</v>
      </c>
      <c r="N175" s="4">
        <f>Table9[[#This Row],[Octane]]/Table9[[#This Row],[Hybrid]]</f>
        <v>0.98316226259893857</v>
      </c>
      <c r="O175" s="4">
        <f>Table9[[#This Row],[Octane]]/Table9[[#This Row],[Dominus]]</f>
        <v>0.976946850656638</v>
      </c>
      <c r="P175" s="4">
        <f>Table9[[#This Row],[Octane]]/Table9[[#This Row],[Plank]]</f>
        <v>0.98617255341006516</v>
      </c>
      <c r="Q175" s="4">
        <f>Table9[[#This Row],[Octane]]/Table9[[#This Row],[Batmobile]]</f>
        <v>0.99982651678642254</v>
      </c>
      <c r="R175" s="4">
        <f>Table9[[#This Row],[Octane]]/Table9[[#This Row],[Breakout]]</f>
        <v>0.97997502191569408</v>
      </c>
    </row>
    <row r="176" spans="1:18">
      <c r="A176" s="1">
        <f>Octane[[#This Row],[Degrees turned]]</f>
        <v>109.57193765357199</v>
      </c>
      <c r="B176" s="1">
        <f>Hybrid[[#This Row],[Degrees turned]]</f>
        <v>111.45477300694584</v>
      </c>
      <c r="C176" s="1">
        <f>Dominus[[#This Row],[Degrees turned]]</f>
        <v>112.16629530709032</v>
      </c>
      <c r="D176" s="1">
        <f>Plank[[#This Row],[Degrees turned]]</f>
        <v>111.11892703847967</v>
      </c>
      <c r="E176" s="1">
        <f>Batmobile[[#This Row],[Degrees turned]]</f>
        <v>109.59978198004544</v>
      </c>
      <c r="F176" s="1">
        <f>Breakout[[#This Row],[Degrees turned]]</f>
        <v>111.82532899758647</v>
      </c>
      <c r="H176" s="1">
        <v>0</v>
      </c>
      <c r="I176" s="3">
        <f>Table9[[#This Row],[Hybrid]]-Table9[[#This Row],[Octane]]</f>
        <v>1.8828353533738493</v>
      </c>
      <c r="J176" s="3">
        <f>Table9[[#This Row],[Dominus]]-Table9[[#This Row],[Octane]]</f>
        <v>2.5943576535183297</v>
      </c>
      <c r="K176" s="3">
        <f>Table9[[#This Row],[Plank]]-Table9[[#This Row],[Octane]]</f>
        <v>1.5469893849076755</v>
      </c>
      <c r="L176" s="3">
        <f>Table9[[#This Row],[Batmobile]]-Table9[[#This Row],[Octane]]</f>
        <v>2.7844326473442038E-2</v>
      </c>
      <c r="M176" s="3">
        <f>Table9[[#This Row],[Breakout]]-Table9[[#This Row],[Octane]]</f>
        <v>2.2533913440144744</v>
      </c>
      <c r="N176" s="4">
        <f>Table9[[#This Row],[Octane]]/Table9[[#This Row],[Hybrid]]</f>
        <v>0.98310673197229059</v>
      </c>
      <c r="O176" s="4">
        <f>Table9[[#This Row],[Octane]]/Table9[[#This Row],[Dominus]]</f>
        <v>0.97687043468436341</v>
      </c>
      <c r="P176" s="4">
        <f>Table9[[#This Row],[Octane]]/Table9[[#This Row],[Plank]]</f>
        <v>0.98607807485063315</v>
      </c>
      <c r="Q176" s="4">
        <f>Table9[[#This Row],[Octane]]/Table9[[#This Row],[Batmobile]]</f>
        <v>0.9997459454209634</v>
      </c>
      <c r="R176" s="4">
        <f>Table9[[#This Row],[Octane]]/Table9[[#This Row],[Breakout]]</f>
        <v>0.97984900769607297</v>
      </c>
    </row>
    <row r="177" spans="1:18">
      <c r="A177" s="1">
        <f>Octane[[#This Row],[Degrees turned]]</f>
        <v>110.51887042116725</v>
      </c>
      <c r="B177" s="1">
        <f>Hybrid[[#This Row],[Degrees turned]]</f>
        <v>112.42449916275986</v>
      </c>
      <c r="C177" s="1">
        <f>Dominus[[#This Row],[Degrees turned]]</f>
        <v>113.14372894547445</v>
      </c>
      <c r="D177" s="1">
        <f>Plank[[#This Row],[Degrees turned]]</f>
        <v>112.08982884738377</v>
      </c>
      <c r="E177" s="1">
        <f>Batmobile[[#This Row],[Degrees turned]]</f>
        <v>110.55501774790724</v>
      </c>
      <c r="F177" s="1">
        <f>Breakout[[#This Row],[Degrees turned]]</f>
        <v>112.80550713033995</v>
      </c>
      <c r="H177" s="1">
        <v>0</v>
      </c>
      <c r="I177" s="3">
        <f>Table9[[#This Row],[Hybrid]]-Table9[[#This Row],[Octane]]</f>
        <v>1.9056287415926079</v>
      </c>
      <c r="J177" s="3">
        <f>Table9[[#This Row],[Dominus]]-Table9[[#This Row],[Octane]]</f>
        <v>2.6248585243072</v>
      </c>
      <c r="K177" s="3">
        <f>Table9[[#This Row],[Plank]]-Table9[[#This Row],[Octane]]</f>
        <v>1.5709584262165208</v>
      </c>
      <c r="L177" s="3">
        <f>Table9[[#This Row],[Batmobile]]-Table9[[#This Row],[Octane]]</f>
        <v>3.6147326739992991E-2</v>
      </c>
      <c r="M177" s="3">
        <f>Table9[[#This Row],[Breakout]]-Table9[[#This Row],[Octane]]</f>
        <v>2.2866367091726971</v>
      </c>
      <c r="N177" s="4">
        <f>Table9[[#This Row],[Octane]]/Table9[[#This Row],[Hybrid]]</f>
        <v>0.9830497021931689</v>
      </c>
      <c r="O177" s="4">
        <f>Table9[[#This Row],[Octane]]/Table9[[#This Row],[Dominus]]</f>
        <v>0.97680067159911133</v>
      </c>
      <c r="P177" s="4">
        <f>Table9[[#This Row],[Octane]]/Table9[[#This Row],[Plank]]</f>
        <v>0.98598482625613193</v>
      </c>
      <c r="Q177" s="4">
        <f>Table9[[#This Row],[Octane]]/Table9[[#This Row],[Batmobile]]</f>
        <v>0.99967303766507987</v>
      </c>
      <c r="R177" s="4">
        <f>Table9[[#This Row],[Octane]]/Table9[[#This Row],[Breakout]]</f>
        <v>0.97972938762173534</v>
      </c>
    </row>
    <row r="178" spans="1:18">
      <c r="A178" s="1">
        <f>Octane[[#This Row],[Degrees turned]]</f>
        <v>111.46525757553714</v>
      </c>
      <c r="B178" s="1">
        <f>Hybrid[[#This Row],[Degrees turned]]</f>
        <v>113.39409648603647</v>
      </c>
      <c r="C178" s="1">
        <f>Dominus[[#This Row],[Degrees turned]]</f>
        <v>114.12138073367065</v>
      </c>
      <c r="D178" s="1">
        <f>Plank[[#This Row],[Degrees turned]]</f>
        <v>113.06082633525118</v>
      </c>
      <c r="E178" s="1">
        <f>Batmobile[[#This Row],[Degrees turned]]</f>
        <v>111.51063407232246</v>
      </c>
      <c r="F178" s="1">
        <f>Breakout[[#This Row],[Degrees turned]]</f>
        <v>113.78521301028937</v>
      </c>
      <c r="H178" s="1">
        <v>0</v>
      </c>
      <c r="I178" s="3">
        <f>Table9[[#This Row],[Hybrid]]-Table9[[#This Row],[Octane]]</f>
        <v>1.9288389104993371</v>
      </c>
      <c r="J178" s="3">
        <f>Table9[[#This Row],[Dominus]]-Table9[[#This Row],[Octane]]</f>
        <v>2.6561231581335107</v>
      </c>
      <c r="K178" s="3">
        <f>Table9[[#This Row],[Plank]]-Table9[[#This Row],[Octane]]</f>
        <v>1.5955687597140411</v>
      </c>
      <c r="L178" s="3">
        <f>Table9[[#This Row],[Batmobile]]-Table9[[#This Row],[Octane]]</f>
        <v>4.5376496785323184E-2</v>
      </c>
      <c r="M178" s="3">
        <f>Table9[[#This Row],[Breakout]]-Table9[[#This Row],[Octane]]</f>
        <v>2.3199554347522309</v>
      </c>
      <c r="N178" s="4">
        <f>Table9[[#This Row],[Octane]]/Table9[[#This Row],[Hybrid]]</f>
        <v>0.9829899530022107</v>
      </c>
      <c r="O178" s="4">
        <f>Table9[[#This Row],[Octane]]/Table9[[#This Row],[Dominus]]</f>
        <v>0.97672545546629685</v>
      </c>
      <c r="P178" s="4">
        <f>Table9[[#This Row],[Octane]]/Table9[[#This Row],[Plank]]</f>
        <v>0.9858875190334907</v>
      </c>
      <c r="Q178" s="4">
        <f>Table9[[#This Row],[Octane]]/Table9[[#This Row],[Batmobile]]</f>
        <v>0.99959307471289338</v>
      </c>
      <c r="R178" s="4">
        <f>Table9[[#This Row],[Octane]]/Table9[[#This Row],[Breakout]]</f>
        <v>0.97961109907539179</v>
      </c>
    </row>
    <row r="179" spans="1:18">
      <c r="A179" s="1">
        <f>Octane[[#This Row],[Degrees turned]]</f>
        <v>112.41213054832302</v>
      </c>
      <c r="B179" s="1">
        <f>Hybrid[[#This Row],[Degrees turned]]</f>
        <v>114.36378453138728</v>
      </c>
      <c r="C179" s="1">
        <f>Dominus[[#This Row],[Degrees turned]]</f>
        <v>115.09918050296197</v>
      </c>
      <c r="D179" s="1">
        <f>Plank[[#This Row],[Degrees turned]]</f>
        <v>114.03185696247617</v>
      </c>
      <c r="E179" s="1">
        <f>Batmobile[[#This Row],[Degrees turned]]</f>
        <v>112.4659204668514</v>
      </c>
      <c r="F179" s="1">
        <f>Breakout[[#This Row],[Degrees turned]]</f>
        <v>114.7650183844415</v>
      </c>
      <c r="H179" s="1">
        <v>0</v>
      </c>
      <c r="I179" s="3">
        <f>Table9[[#This Row],[Hybrid]]-Table9[[#This Row],[Octane]]</f>
        <v>1.9516539830642614</v>
      </c>
      <c r="J179" s="3">
        <f>Table9[[#This Row],[Dominus]]-Table9[[#This Row],[Octane]]</f>
        <v>2.687049954638951</v>
      </c>
      <c r="K179" s="3">
        <f>Table9[[#This Row],[Plank]]-Table9[[#This Row],[Octane]]</f>
        <v>1.6197264141531491</v>
      </c>
      <c r="L179" s="3">
        <f>Table9[[#This Row],[Batmobile]]-Table9[[#This Row],[Octane]]</f>
        <v>5.3789918528380554E-2</v>
      </c>
      <c r="M179" s="3">
        <f>Table9[[#This Row],[Breakout]]-Table9[[#This Row],[Octane]]</f>
        <v>2.3528878361184837</v>
      </c>
      <c r="N179" s="4">
        <f>Table9[[#This Row],[Octane]]/Table9[[#This Row],[Hybrid]]</f>
        <v>0.98293468521471827</v>
      </c>
      <c r="O179" s="4">
        <f>Table9[[#This Row],[Octane]]/Table9[[#This Row],[Dominus]]</f>
        <v>0.97665448230910901</v>
      </c>
      <c r="P179" s="4">
        <f>Table9[[#This Row],[Octane]]/Table9[[#This Row],[Plank]]</f>
        <v>0.98579584286971544</v>
      </c>
      <c r="Q179" s="4">
        <f>Table9[[#This Row],[Octane]]/Table9[[#This Row],[Batmobile]]</f>
        <v>0.99952172250664828</v>
      </c>
      <c r="R179" s="4">
        <f>Table9[[#This Row],[Octane]]/Table9[[#This Row],[Breakout]]</f>
        <v>0.97949821409659221</v>
      </c>
    </row>
    <row r="180" spans="1:18">
      <c r="A180" s="1">
        <f>Octane[[#This Row],[Degrees turned]]</f>
        <v>113.35885483375928</v>
      </c>
      <c r="B180" s="1">
        <f>Hybrid[[#This Row],[Degrees turned]]</f>
        <v>115.33284322103178</v>
      </c>
      <c r="C180" s="1">
        <f>Dominus[[#This Row],[Degrees turned]]</f>
        <v>116.07658612512698</v>
      </c>
      <c r="D180" s="1">
        <f>Plank[[#This Row],[Degrees turned]]</f>
        <v>115.00223256212205</v>
      </c>
      <c r="E180" s="1">
        <f>Batmobile[[#This Row],[Degrees turned]]</f>
        <v>113.42114268890757</v>
      </c>
      <c r="F180" s="1">
        <f>Breakout[[#This Row],[Degrees turned]]</f>
        <v>115.74506728791525</v>
      </c>
      <c r="H180" s="1">
        <v>0</v>
      </c>
      <c r="I180" s="3">
        <f>Table9[[#This Row],[Hybrid]]-Table9[[#This Row],[Octane]]</f>
        <v>1.9739883872724988</v>
      </c>
      <c r="J180" s="3">
        <f>Table9[[#This Row],[Dominus]]-Table9[[#This Row],[Octane]]</f>
        <v>2.7177312913676985</v>
      </c>
      <c r="K180" s="3">
        <f>Table9[[#This Row],[Plank]]-Table9[[#This Row],[Octane]]</f>
        <v>1.6433777283627649</v>
      </c>
      <c r="L180" s="3">
        <f>Table9[[#This Row],[Batmobile]]-Table9[[#This Row],[Octane]]</f>
        <v>6.2287855148284166E-2</v>
      </c>
      <c r="M180" s="3">
        <f>Table9[[#This Row],[Breakout]]-Table9[[#This Row],[Octane]]</f>
        <v>2.3862124541559666</v>
      </c>
      <c r="N180" s="4">
        <f>Table9[[#This Row],[Octane]]/Table9[[#This Row],[Hybrid]]</f>
        <v>0.98288442101882967</v>
      </c>
      <c r="O180" s="4">
        <f>Table9[[#This Row],[Octane]]/Table9[[#This Row],[Dominus]]</f>
        <v>0.97658673999562606</v>
      </c>
      <c r="P180" s="4">
        <f>Table9[[#This Row],[Octane]]/Table9[[#This Row],[Plank]]</f>
        <v>0.98571003630320786</v>
      </c>
      <c r="Q180" s="4">
        <f>Table9[[#This Row],[Octane]]/Table9[[#This Row],[Batmobile]]</f>
        <v>0.99945082677116803</v>
      </c>
      <c r="R180" s="4">
        <f>Table9[[#This Row],[Octane]]/Table9[[#This Row],[Breakout]]</f>
        <v>0.97938389505428969</v>
      </c>
    </row>
    <row r="181" spans="1:18">
      <c r="A181" s="1">
        <f>Octane[[#This Row],[Degrees turned]]</f>
        <v>114.30528948164935</v>
      </c>
      <c r="B181" s="1">
        <f>Hybrid[[#This Row],[Degrees turned]]</f>
        <v>116.30206157564284</v>
      </c>
      <c r="C181" s="1">
        <f>Dominus[[#This Row],[Degrees turned]]</f>
        <v>117.05428229819923</v>
      </c>
      <c r="D181" s="1">
        <f>Plank[[#This Row],[Degrees turned]]</f>
        <v>115.97286743773468</v>
      </c>
      <c r="E181" s="1">
        <f>Batmobile[[#This Row],[Degrees turned]]</f>
        <v>114.37693175627817</v>
      </c>
      <c r="F181" s="1">
        <f>Breakout[[#This Row],[Degrees turned]]</f>
        <v>116.72534595555211</v>
      </c>
      <c r="H181" s="1">
        <v>0</v>
      </c>
      <c r="I181" s="3">
        <f>Table9[[#This Row],[Hybrid]]-Table9[[#This Row],[Octane]]</f>
        <v>1.996772093993485</v>
      </c>
      <c r="J181" s="3">
        <f>Table9[[#This Row],[Dominus]]-Table9[[#This Row],[Octane]]</f>
        <v>2.7489928165498725</v>
      </c>
      <c r="K181" s="3">
        <f>Table9[[#This Row],[Plank]]-Table9[[#This Row],[Octane]]</f>
        <v>1.6675779560853243</v>
      </c>
      <c r="L181" s="3">
        <f>Table9[[#This Row],[Batmobile]]-Table9[[#This Row],[Octane]]</f>
        <v>7.1642274628814562E-2</v>
      </c>
      <c r="M181" s="3">
        <f>Table9[[#This Row],[Breakout]]-Table9[[#This Row],[Octane]]</f>
        <v>2.4200564739027612</v>
      </c>
      <c r="N181" s="4">
        <f>Table9[[#This Row],[Octane]]/Table9[[#This Row],[Hybrid]]</f>
        <v>0.98283115477970451</v>
      </c>
      <c r="O181" s="4">
        <f>Table9[[#This Row],[Octane]]/Table9[[#This Row],[Dominus]]</f>
        <v>0.97651523068975188</v>
      </c>
      <c r="P181" s="4">
        <f>Table9[[#This Row],[Octane]]/Table9[[#This Row],[Plank]]</f>
        <v>0.98562096468830829</v>
      </c>
      <c r="Q181" s="4">
        <f>Table9[[#This Row],[Octane]]/Table9[[#This Row],[Batmobile]]</f>
        <v>0.99937363003598068</v>
      </c>
      <c r="R181" s="4">
        <f>Table9[[#This Row],[Octane]]/Table9[[#This Row],[Breakout]]</f>
        <v>0.97926708673175156</v>
      </c>
    </row>
    <row r="182" spans="1:18">
      <c r="A182" s="1">
        <f>Octane[[#This Row],[Degrees turned]]</f>
        <v>115.2517753697699</v>
      </c>
      <c r="B182" s="1">
        <f>Hybrid[[#This Row],[Degrees turned]]</f>
        <v>117.2716496345132</v>
      </c>
      <c r="C182" s="1">
        <f>Dominus[[#This Row],[Degrees turned]]</f>
        <v>118.03145479294962</v>
      </c>
      <c r="D182" s="1">
        <f>Plank[[#This Row],[Degrees turned]]</f>
        <v>116.94360630077772</v>
      </c>
      <c r="E182" s="1">
        <f>Batmobile[[#This Row],[Degrees turned]]</f>
        <v>115.33278296101312</v>
      </c>
      <c r="F182" s="1">
        <f>Breakout[[#This Row],[Degrees turned]]</f>
        <v>117.70532044747986</v>
      </c>
      <c r="H182" s="1">
        <v>0</v>
      </c>
      <c r="I182" s="3">
        <f>Table9[[#This Row],[Hybrid]]-Table9[[#This Row],[Octane]]</f>
        <v>2.0198742647432937</v>
      </c>
      <c r="J182" s="3">
        <f>Table9[[#This Row],[Dominus]]-Table9[[#This Row],[Octane]]</f>
        <v>2.7796794231797151</v>
      </c>
      <c r="K182" s="3">
        <f>Table9[[#This Row],[Plank]]-Table9[[#This Row],[Octane]]</f>
        <v>1.6918309310078143</v>
      </c>
      <c r="L182" s="3">
        <f>Table9[[#This Row],[Batmobile]]-Table9[[#This Row],[Octane]]</f>
        <v>8.10075912432211E-2</v>
      </c>
      <c r="M182" s="3">
        <f>Table9[[#This Row],[Breakout]]-Table9[[#This Row],[Octane]]</f>
        <v>2.4535450777099612</v>
      </c>
      <c r="N182" s="4">
        <f>Table9[[#This Row],[Octane]]/Table9[[#This Row],[Hybrid]]</f>
        <v>0.98277610768639823</v>
      </c>
      <c r="O182" s="4">
        <f>Table9[[#This Row],[Octane]]/Table9[[#This Row],[Dominus]]</f>
        <v>0.97644967243642111</v>
      </c>
      <c r="P182" s="4">
        <f>Table9[[#This Row],[Octane]]/Table9[[#This Row],[Plank]]</f>
        <v>0.98553293348371318</v>
      </c>
      <c r="Q182" s="4">
        <f>Table9[[#This Row],[Octane]]/Table9[[#This Row],[Batmobile]]</f>
        <v>0.99929761868947009</v>
      </c>
      <c r="R182" s="4">
        <f>Table9[[#This Row],[Octane]]/Table9[[#This Row],[Breakout]]</f>
        <v>0.97915518968571402</v>
      </c>
    </row>
    <row r="183" spans="1:18">
      <c r="A183" s="1">
        <f>Octane[[#This Row],[Degrees turned]]</f>
        <v>116.19804558653526</v>
      </c>
      <c r="B183" s="1">
        <f>Hybrid[[#This Row],[Degrees turned]]</f>
        <v>118.24062020482991</v>
      </c>
      <c r="C183" s="1">
        <f>Dominus[[#This Row],[Degrees turned]]</f>
        <v>119.00928440500319</v>
      </c>
      <c r="D183" s="1">
        <f>Plank[[#This Row],[Degrees turned]]</f>
        <v>117.91396499605234</v>
      </c>
      <c r="E183" s="1">
        <f>Batmobile[[#This Row],[Degrees turned]]</f>
        <v>116.28801601368414</v>
      </c>
      <c r="F183" s="1">
        <f>Breakout[[#This Row],[Degrees turned]]</f>
        <v>118.68511856636326</v>
      </c>
      <c r="H183" s="1">
        <v>0</v>
      </c>
      <c r="I183" s="3">
        <f>Table9[[#This Row],[Hybrid]]-Table9[[#This Row],[Octane]]</f>
        <v>2.0425746182946511</v>
      </c>
      <c r="J183" s="3">
        <f>Table9[[#This Row],[Dominus]]-Table9[[#This Row],[Octane]]</f>
        <v>2.8112388184679276</v>
      </c>
      <c r="K183" s="3">
        <f>Table9[[#This Row],[Plank]]-Table9[[#This Row],[Octane]]</f>
        <v>1.7159194095170847</v>
      </c>
      <c r="L183" s="3">
        <f>Table9[[#This Row],[Batmobile]]-Table9[[#This Row],[Octane]]</f>
        <v>8.9970427148884369E-2</v>
      </c>
      <c r="M183" s="3">
        <f>Table9[[#This Row],[Breakout]]-Table9[[#This Row],[Octane]]</f>
        <v>2.4870729798279996</v>
      </c>
      <c r="N183" s="4">
        <f>Table9[[#This Row],[Octane]]/Table9[[#This Row],[Hybrid]]</f>
        <v>0.98272527144431188</v>
      </c>
      <c r="O183" s="4">
        <f>Table9[[#This Row],[Octane]]/Table9[[#This Row],[Dominus]]</f>
        <v>0.97637798737701054</v>
      </c>
      <c r="P183" s="4">
        <f>Table9[[#This Row],[Octane]]/Table9[[#This Row],[Plank]]</f>
        <v>0.98544769985832859</v>
      </c>
      <c r="Q183" s="4">
        <f>Table9[[#This Row],[Octane]]/Table9[[#This Row],[Batmobile]]</f>
        <v>0.99922631385216598</v>
      </c>
      <c r="R183" s="4">
        <f>Table9[[#This Row],[Octane]]/Table9[[#This Row],[Breakout]]</f>
        <v>0.97904477823445624</v>
      </c>
    </row>
    <row r="184" spans="1:18">
      <c r="A184" s="1">
        <f>Octane[[#This Row],[Degrees turned]]</f>
        <v>117.14449619996235</v>
      </c>
      <c r="B184" s="1">
        <f>Hybrid[[#This Row],[Degrees turned]]</f>
        <v>119.21009789948123</v>
      </c>
      <c r="C184" s="1">
        <f>Dominus[[#This Row],[Degrees turned]]</f>
        <v>119.98678988360497</v>
      </c>
      <c r="D184" s="1">
        <f>Plank[[#This Row],[Degrees turned]]</f>
        <v>118.884739634067</v>
      </c>
      <c r="E184" s="1">
        <f>Batmobile[[#This Row],[Degrees turned]]</f>
        <v>117.2433125869531</v>
      </c>
      <c r="F184" s="1">
        <f>Breakout[[#This Row],[Degrees turned]]</f>
        <v>119.66529825896848</v>
      </c>
      <c r="H184" s="1">
        <v>0</v>
      </c>
      <c r="I184" s="3">
        <f>Table9[[#This Row],[Hybrid]]-Table9[[#This Row],[Octane]]</f>
        <v>2.0656016995188793</v>
      </c>
      <c r="J184" s="3">
        <f>Table9[[#This Row],[Dominus]]-Table9[[#This Row],[Octane]]</f>
        <v>2.8422936836426231</v>
      </c>
      <c r="K184" s="3">
        <f>Table9[[#This Row],[Plank]]-Table9[[#This Row],[Octane]]</f>
        <v>1.7402434341046558</v>
      </c>
      <c r="L184" s="3">
        <f>Table9[[#This Row],[Batmobile]]-Table9[[#This Row],[Octane]]</f>
        <v>9.8816386990748128E-2</v>
      </c>
      <c r="M184" s="3">
        <f>Table9[[#This Row],[Breakout]]-Table9[[#This Row],[Octane]]</f>
        <v>2.5208020590061295</v>
      </c>
      <c r="N184" s="4">
        <f>Table9[[#This Row],[Octane]]/Table9[[#This Row],[Hybrid]]</f>
        <v>0.98267259455435896</v>
      </c>
      <c r="O184" s="4">
        <f>Table9[[#This Row],[Octane]]/Table9[[#This Row],[Dominus]]</f>
        <v>0.9763116115832432</v>
      </c>
      <c r="P184" s="4">
        <f>Table9[[#This Row],[Octane]]/Table9[[#This Row],[Plank]]</f>
        <v>0.98536192753198426</v>
      </c>
      <c r="Q184" s="4">
        <f>Table9[[#This Row],[Octane]]/Table9[[#This Row],[Batmobile]]</f>
        <v>0.99915716824430856</v>
      </c>
      <c r="R184" s="4">
        <f>Table9[[#This Row],[Octane]]/Table9[[#This Row],[Breakout]]</f>
        <v>0.9789345608486193</v>
      </c>
    </row>
    <row r="185" spans="1:18">
      <c r="A185" s="1">
        <f>Octane[[#This Row],[Degrees turned]]</f>
        <v>118.09085692462774</v>
      </c>
      <c r="B185" s="1">
        <f>Hybrid[[#This Row],[Degrees turned]]</f>
        <v>120.1793852030175</v>
      </c>
      <c r="C185" s="1">
        <f>Dominus[[#This Row],[Degrees turned]]</f>
        <v>120.96427329919364</v>
      </c>
      <c r="D185" s="1">
        <f>Plank[[#This Row],[Degrees turned]]</f>
        <v>119.85518394637525</v>
      </c>
      <c r="E185" s="1">
        <f>Batmobile[[#This Row],[Degrees turned]]</f>
        <v>118.198681223195</v>
      </c>
      <c r="F185" s="1">
        <f>Breakout[[#This Row],[Degrees turned]]</f>
        <v>120.64539370309404</v>
      </c>
      <c r="H185" s="1">
        <v>0</v>
      </c>
      <c r="I185" s="3">
        <f>Table9[[#This Row],[Hybrid]]-Table9[[#This Row],[Octane]]</f>
        <v>2.0885282783897594</v>
      </c>
      <c r="J185" s="3">
        <f>Table9[[#This Row],[Dominus]]-Table9[[#This Row],[Octane]]</f>
        <v>2.8734163745658918</v>
      </c>
      <c r="K185" s="3">
        <f>Table9[[#This Row],[Plank]]-Table9[[#This Row],[Octane]]</f>
        <v>1.7643270217475049</v>
      </c>
      <c r="L185" s="3">
        <f>Table9[[#This Row],[Batmobile]]-Table9[[#This Row],[Octane]]</f>
        <v>0.10782429856725173</v>
      </c>
      <c r="M185" s="3">
        <f>Table9[[#This Row],[Breakout]]-Table9[[#This Row],[Octane]]</f>
        <v>2.5545367784663</v>
      </c>
      <c r="N185" s="4">
        <f>Table9[[#This Row],[Octane]]/Table9[[#This Row],[Hybrid]]</f>
        <v>0.98262157628064384</v>
      </c>
      <c r="O185" s="4">
        <f>Table9[[#This Row],[Octane]]/Table9[[#This Row],[Dominus]]</f>
        <v>0.97624574350594606</v>
      </c>
      <c r="P185" s="4">
        <f>Table9[[#This Row],[Octane]]/Table9[[#This Row],[Plank]]</f>
        <v>0.98527951012501147</v>
      </c>
      <c r="Q185" s="4">
        <f>Table9[[#This Row],[Octane]]/Table9[[#This Row],[Batmobile]]</f>
        <v>0.99908777071409416</v>
      </c>
      <c r="R185" s="4">
        <f>Table9[[#This Row],[Octane]]/Table9[[#This Row],[Breakout]]</f>
        <v>0.97882607283993817</v>
      </c>
    </row>
    <row r="186" spans="1:18">
      <c r="A186" s="1">
        <f>Octane[[#This Row],[Degrees turned]]</f>
        <v>119.03752592702604</v>
      </c>
      <c r="B186" s="1">
        <f>Hybrid[[#This Row],[Degrees turned]]</f>
        <v>121.1483101669542</v>
      </c>
      <c r="C186" s="1">
        <f>Dominus[[#This Row],[Degrees turned]]</f>
        <v>121.94166743597437</v>
      </c>
      <c r="D186" s="1">
        <f>Plank[[#This Row],[Degrees turned]]</f>
        <v>120.82618108473987</v>
      </c>
      <c r="E186" s="1">
        <f>Batmobile[[#This Row],[Degrees turned]]</f>
        <v>119.15437679021616</v>
      </c>
      <c r="F186" s="1">
        <f>Breakout[[#This Row],[Degrees turned]]</f>
        <v>121.62548225817105</v>
      </c>
      <c r="H186" s="1">
        <v>0</v>
      </c>
      <c r="I186" s="3">
        <f>Table9[[#This Row],[Hybrid]]-Table9[[#This Row],[Octane]]</f>
        <v>2.1107842399281651</v>
      </c>
      <c r="J186" s="3">
        <f>Table9[[#This Row],[Dominus]]-Table9[[#This Row],[Octane]]</f>
        <v>2.904141508948328</v>
      </c>
      <c r="K186" s="3">
        <f>Table9[[#This Row],[Plank]]-Table9[[#This Row],[Octane]]</f>
        <v>1.7886551577138334</v>
      </c>
      <c r="L186" s="3">
        <f>Table9[[#This Row],[Batmobile]]-Table9[[#This Row],[Octane]]</f>
        <v>0.11685086319012328</v>
      </c>
      <c r="M186" s="3">
        <f>Table9[[#This Row],[Breakout]]-Table9[[#This Row],[Octane]]</f>
        <v>2.5879563311450084</v>
      </c>
      <c r="N186" s="4">
        <f>Table9[[#This Row],[Octane]]/Table9[[#This Row],[Hybrid]]</f>
        <v>0.98257685776203318</v>
      </c>
      <c r="O186" s="4">
        <f>Table9[[#This Row],[Octane]]/Table9[[#This Row],[Dominus]]</f>
        <v>0.97618417420384096</v>
      </c>
      <c r="P186" s="4">
        <f>Table9[[#This Row],[Octane]]/Table9[[#This Row],[Plank]]</f>
        <v>0.98519646038916531</v>
      </c>
      <c r="Q186" s="4">
        <f>Table9[[#This Row],[Octane]]/Table9[[#This Row],[Batmobile]]</f>
        <v>0.99901933217781957</v>
      </c>
      <c r="R186" s="4">
        <f>Table9[[#This Row],[Octane]]/Table9[[#This Row],[Breakout]]</f>
        <v>0.97872192337415254</v>
      </c>
    </row>
    <row r="187" spans="1:18">
      <c r="A187" s="1">
        <f>Octane[[#This Row],[Degrees turned]]</f>
        <v>119.98442050204893</v>
      </c>
      <c r="B187" s="1">
        <f>Hybrid[[#This Row],[Degrees turned]]</f>
        <v>122.11804047153994</v>
      </c>
      <c r="C187" s="1">
        <f>Dominus[[#This Row],[Degrees turned]]</f>
        <v>122.91904358317548</v>
      </c>
      <c r="D187" s="1">
        <f>Plank[[#This Row],[Degrees turned]]</f>
        <v>121.79707778689574</v>
      </c>
      <c r="E187" s="1">
        <f>Batmobile[[#This Row],[Degrees turned]]</f>
        <v>120.10973897711131</v>
      </c>
      <c r="F187" s="1">
        <f>Breakout[[#This Row],[Degrees turned]]</f>
        <v>122.60553165651726</v>
      </c>
      <c r="H187" s="1">
        <v>0</v>
      </c>
      <c r="I187" s="3">
        <f>Table9[[#This Row],[Hybrid]]-Table9[[#This Row],[Octane]]</f>
        <v>2.1336199694910079</v>
      </c>
      <c r="J187" s="3">
        <f>Table9[[#This Row],[Dominus]]-Table9[[#This Row],[Octane]]</f>
        <v>2.9346230811265457</v>
      </c>
      <c r="K187" s="3">
        <f>Table9[[#This Row],[Plank]]-Table9[[#This Row],[Octane]]</f>
        <v>1.8126572848468072</v>
      </c>
      <c r="L187" s="3">
        <f>Table9[[#This Row],[Batmobile]]-Table9[[#This Row],[Octane]]</f>
        <v>0.1253184750623717</v>
      </c>
      <c r="M187" s="3">
        <f>Table9[[#This Row],[Breakout]]-Table9[[#This Row],[Octane]]</f>
        <v>2.6211111544683234</v>
      </c>
      <c r="N187" s="4">
        <f>Table9[[#This Row],[Octane]]/Table9[[#This Row],[Hybrid]]</f>
        <v>0.98252821645964539</v>
      </c>
      <c r="O187" s="4">
        <f>Table9[[#This Row],[Octane]]/Table9[[#This Row],[Dominus]]</f>
        <v>0.97612556203188505</v>
      </c>
      <c r="P187" s="4">
        <f>Table9[[#This Row],[Octane]]/Table9[[#This Row],[Plank]]</f>
        <v>0.9851173992202148</v>
      </c>
      <c r="Q187" s="4">
        <f>Table9[[#This Row],[Octane]]/Table9[[#This Row],[Batmobile]]</f>
        <v>0.99895663352422859</v>
      </c>
      <c r="R187" s="4">
        <f>Table9[[#This Row],[Octane]]/Table9[[#This Row],[Breakout]]</f>
        <v>0.97862159138291216</v>
      </c>
    </row>
    <row r="188" spans="1:18">
      <c r="A188" s="1">
        <f>Octane[[#This Row],[Degrees turned]]</f>
        <v>120.93088082865999</v>
      </c>
      <c r="B188" s="1">
        <f>Hybrid[[#This Row],[Degrees turned]]</f>
        <v>123.08758772072751</v>
      </c>
      <c r="C188" s="1">
        <f>Dominus[[#This Row],[Degrees turned]]</f>
        <v>123.89651201935759</v>
      </c>
      <c r="D188" s="1">
        <f>Plank[[#This Row],[Degrees turned]]</f>
        <v>122.76779413501374</v>
      </c>
      <c r="E188" s="1">
        <f>Batmobile[[#This Row],[Degrees turned]]</f>
        <v>121.06536724904512</v>
      </c>
      <c r="F188" s="1">
        <f>Breakout[[#This Row],[Degrees turned]]</f>
        <v>123.58572107938579</v>
      </c>
      <c r="H188" s="1">
        <v>0</v>
      </c>
      <c r="I188" s="3">
        <f>Table9[[#This Row],[Hybrid]]-Table9[[#This Row],[Octane]]</f>
        <v>2.1567068920675183</v>
      </c>
      <c r="J188" s="3">
        <f>Table9[[#This Row],[Dominus]]-Table9[[#This Row],[Octane]]</f>
        <v>2.965631190697593</v>
      </c>
      <c r="K188" s="3">
        <f>Table9[[#This Row],[Plank]]-Table9[[#This Row],[Octane]]</f>
        <v>1.8369133063537504</v>
      </c>
      <c r="L188" s="3">
        <f>Table9[[#This Row],[Batmobile]]-Table9[[#This Row],[Octane]]</f>
        <v>0.13448642038513015</v>
      </c>
      <c r="M188" s="3">
        <f>Table9[[#This Row],[Breakout]]-Table9[[#This Row],[Octane]]</f>
        <v>2.6548402507257975</v>
      </c>
      <c r="N188" s="4">
        <f>Table9[[#This Row],[Octane]]/Table9[[#This Row],[Hybrid]]</f>
        <v>0.98247827476348915</v>
      </c>
      <c r="O188" s="4">
        <f>Table9[[#This Row],[Octane]]/Table9[[#This Row],[Dominus]]</f>
        <v>0.97606364261300393</v>
      </c>
      <c r="P188" s="4">
        <f>Table9[[#This Row],[Octane]]/Table9[[#This Row],[Plank]]</f>
        <v>0.98503749847998734</v>
      </c>
      <c r="Q188" s="4">
        <f>Table9[[#This Row],[Octane]]/Table9[[#This Row],[Batmobile]]</f>
        <v>0.99888914209372137</v>
      </c>
      <c r="R188" s="4">
        <f>Table9[[#This Row],[Octane]]/Table9[[#This Row],[Breakout]]</f>
        <v>0.97851822825858292</v>
      </c>
    </row>
    <row r="189" spans="1:18">
      <c r="A189" s="1">
        <f>Octane[[#This Row],[Degrees turned]]</f>
        <v>121.87769215306848</v>
      </c>
      <c r="B189" s="1">
        <f>Hybrid[[#This Row],[Degrees turned]]</f>
        <v>124.0571682821727</v>
      </c>
      <c r="C189" s="1">
        <f>Dominus[[#This Row],[Degrees turned]]</f>
        <v>124.87424929666524</v>
      </c>
      <c r="D189" s="1">
        <f>Plank[[#This Row],[Degrees turned]]</f>
        <v>123.73860788076452</v>
      </c>
      <c r="E189" s="1">
        <f>Batmobile[[#This Row],[Degrees turned]]</f>
        <v>122.02084853047566</v>
      </c>
      <c r="F189" s="1">
        <f>Breakout[[#This Row],[Degrees turned]]</f>
        <v>124.56546666011917</v>
      </c>
      <c r="H189" s="1">
        <v>0</v>
      </c>
      <c r="I189" s="3">
        <f>Table9[[#This Row],[Hybrid]]-Table9[[#This Row],[Octane]]</f>
        <v>2.1794761291042164</v>
      </c>
      <c r="J189" s="3">
        <f>Table9[[#This Row],[Dominus]]-Table9[[#This Row],[Octane]]</f>
        <v>2.9965571435967604</v>
      </c>
      <c r="K189" s="3">
        <f>Table9[[#This Row],[Plank]]-Table9[[#This Row],[Octane]]</f>
        <v>1.8609157276960389</v>
      </c>
      <c r="L189" s="3">
        <f>Table9[[#This Row],[Batmobile]]-Table9[[#This Row],[Octane]]</f>
        <v>0.14315637740718046</v>
      </c>
      <c r="M189" s="3">
        <f>Table9[[#This Row],[Breakout]]-Table9[[#This Row],[Octane]]</f>
        <v>2.6877745070506904</v>
      </c>
      <c r="N189" s="4">
        <f>Table9[[#This Row],[Octane]]/Table9[[#This Row],[Hybrid]]</f>
        <v>0.98243167920658225</v>
      </c>
      <c r="O189" s="4">
        <f>Table9[[#This Row],[Octane]]/Table9[[#This Row],[Dominus]]</f>
        <v>0.97600340213875636</v>
      </c>
      <c r="P189" s="4">
        <f>Table9[[#This Row],[Octane]]/Table9[[#This Row],[Plank]]</f>
        <v>0.98496091268871211</v>
      </c>
      <c r="Q189" s="4">
        <f>Table9[[#This Row],[Octane]]/Table9[[#This Row],[Batmobile]]</f>
        <v>0.99882678756023058</v>
      </c>
      <c r="R189" s="4">
        <f>Table9[[#This Row],[Octane]]/Table9[[#This Row],[Breakout]]</f>
        <v>0.97842279582683722</v>
      </c>
    </row>
    <row r="190" spans="1:18">
      <c r="A190" s="1">
        <f>Octane[[#This Row],[Degrees turned]]</f>
        <v>122.82405727301064</v>
      </c>
      <c r="B190" s="1">
        <f>Hybrid[[#This Row],[Degrees turned]]</f>
        <v>125.02685381293837</v>
      </c>
      <c r="C190" s="1">
        <f>Dominus[[#This Row],[Degrees turned]]</f>
        <v>125.85137995559514</v>
      </c>
      <c r="D190" s="1">
        <f>Plank[[#This Row],[Degrees turned]]</f>
        <v>124.7095261245904</v>
      </c>
      <c r="E190" s="1">
        <f>Batmobile[[#This Row],[Degrees turned]]</f>
        <v>122.97610383348592</v>
      </c>
      <c r="F190" s="1">
        <f>Breakout[[#This Row],[Degrees turned]]</f>
        <v>125.54534610852539</v>
      </c>
      <c r="H190" s="1">
        <v>0</v>
      </c>
      <c r="I190" s="3">
        <f>Table9[[#This Row],[Hybrid]]-Table9[[#This Row],[Octane]]</f>
        <v>2.2027965399277321</v>
      </c>
      <c r="J190" s="3">
        <f>Table9[[#This Row],[Dominus]]-Table9[[#This Row],[Octane]]</f>
        <v>3.0273226825844972</v>
      </c>
      <c r="K190" s="3">
        <f>Table9[[#This Row],[Plank]]-Table9[[#This Row],[Octane]]</f>
        <v>1.8854688515797591</v>
      </c>
      <c r="L190" s="3">
        <f>Table9[[#This Row],[Batmobile]]-Table9[[#This Row],[Octane]]</f>
        <v>0.15204656047528431</v>
      </c>
      <c r="M190" s="3">
        <f>Table9[[#This Row],[Breakout]]-Table9[[#This Row],[Octane]]</f>
        <v>2.7212888355147555</v>
      </c>
      <c r="N190" s="4">
        <f>Table9[[#This Row],[Octane]]/Table9[[#This Row],[Hybrid]]</f>
        <v>0.9823814126905609</v>
      </c>
      <c r="O190" s="4">
        <f>Table9[[#This Row],[Octane]]/Table9[[#This Row],[Dominus]]</f>
        <v>0.97594525635195539</v>
      </c>
      <c r="P190" s="4">
        <f>Table9[[#This Row],[Octane]]/Table9[[#This Row],[Plank]]</f>
        <v>0.98488111606088458</v>
      </c>
      <c r="Q190" s="4">
        <f>Table9[[#This Row],[Octane]]/Table9[[#This Row],[Batmobile]]</f>
        <v>0.99876360889851279</v>
      </c>
      <c r="R190" s="4">
        <f>Table9[[#This Row],[Octane]]/Table9[[#This Row],[Breakout]]</f>
        <v>0.97832425557883773</v>
      </c>
    </row>
    <row r="191" spans="1:18">
      <c r="A191" s="1">
        <f>Octane[[#This Row],[Degrees turned]]</f>
        <v>123.7703418635259</v>
      </c>
      <c r="B191" s="1">
        <f>Hybrid[[#This Row],[Degrees turned]]</f>
        <v>125.99591865188732</v>
      </c>
      <c r="C191" s="1">
        <f>Dominus[[#This Row],[Degrees turned]]</f>
        <v>126.82877073554512</v>
      </c>
      <c r="D191" s="1">
        <f>Plank[[#This Row],[Degrees turned]]</f>
        <v>125.68057468668867</v>
      </c>
      <c r="E191" s="1">
        <f>Batmobile[[#This Row],[Degrees turned]]</f>
        <v>123.93176929311534</v>
      </c>
      <c r="F191" s="1">
        <f>Breakout[[#This Row],[Degrees turned]]</f>
        <v>126.52545904534986</v>
      </c>
      <c r="H191" s="1">
        <v>0</v>
      </c>
      <c r="I191" s="3">
        <f>Table9[[#This Row],[Hybrid]]-Table9[[#This Row],[Octane]]</f>
        <v>2.2255767883614226</v>
      </c>
      <c r="J191" s="3">
        <f>Table9[[#This Row],[Dominus]]-Table9[[#This Row],[Octane]]</f>
        <v>3.0584288720192205</v>
      </c>
      <c r="K191" s="3">
        <f>Table9[[#This Row],[Plank]]-Table9[[#This Row],[Octane]]</f>
        <v>1.9102328231627723</v>
      </c>
      <c r="L191" s="3">
        <f>Table9[[#This Row],[Batmobile]]-Table9[[#This Row],[Octane]]</f>
        <v>0.16142742958943757</v>
      </c>
      <c r="M191" s="3">
        <f>Table9[[#This Row],[Breakout]]-Table9[[#This Row],[Octane]]</f>
        <v>2.7551171818239624</v>
      </c>
      <c r="N191" s="4">
        <f>Table9[[#This Row],[Octane]]/Table9[[#This Row],[Hybrid]]</f>
        <v>0.98233611999361314</v>
      </c>
      <c r="O191" s="4">
        <f>Table9[[#This Row],[Octane]]/Table9[[#This Row],[Dominus]]</f>
        <v>0.97588537006010689</v>
      </c>
      <c r="P191" s="4">
        <f>Table9[[#This Row],[Octane]]/Table9[[#This Row],[Plank]]</f>
        <v>0.98480089044846564</v>
      </c>
      <c r="Q191" s="4">
        <f>Table9[[#This Row],[Octane]]/Table9[[#This Row],[Batmobile]]</f>
        <v>0.99869744916488978</v>
      </c>
      <c r="R191" s="4">
        <f>Table9[[#This Row],[Octane]]/Table9[[#This Row],[Breakout]]</f>
        <v>0.97822479995242329</v>
      </c>
    </row>
    <row r="192" spans="1:18">
      <c r="A192" s="1">
        <f>Octane[[#This Row],[Degrees turned]]</f>
        <v>124.71712053463268</v>
      </c>
      <c r="B192" s="1">
        <f>Hybrid[[#This Row],[Degrees turned]]</f>
        <v>126.96523231575561</v>
      </c>
      <c r="C192" s="1">
        <f>Dominus[[#This Row],[Degrees turned]]</f>
        <v>127.80585697144816</v>
      </c>
      <c r="D192" s="1">
        <f>Plank[[#This Row],[Degrees turned]]</f>
        <v>126.65102965421237</v>
      </c>
      <c r="E192" s="1">
        <f>Batmobile[[#This Row],[Degrees turned]]</f>
        <v>124.88748473450977</v>
      </c>
      <c r="F192" s="1">
        <f>Breakout[[#This Row],[Degrees turned]]</f>
        <v>127.50531714496185</v>
      </c>
      <c r="H192" s="1">
        <v>0</v>
      </c>
      <c r="I192" s="3">
        <f>Table9[[#This Row],[Hybrid]]-Table9[[#This Row],[Octane]]</f>
        <v>2.2481117811229296</v>
      </c>
      <c r="J192" s="3">
        <f>Table9[[#This Row],[Dominus]]-Table9[[#This Row],[Octane]]</f>
        <v>3.0887364368154806</v>
      </c>
      <c r="K192" s="3">
        <f>Table9[[#This Row],[Plank]]-Table9[[#This Row],[Octane]]</f>
        <v>1.9339091195796811</v>
      </c>
      <c r="L192" s="3">
        <f>Table9[[#This Row],[Batmobile]]-Table9[[#This Row],[Octane]]</f>
        <v>0.17036419987708484</v>
      </c>
      <c r="M192" s="3">
        <f>Table9[[#This Row],[Breakout]]-Table9[[#This Row],[Octane]]</f>
        <v>2.788196610329166</v>
      </c>
      <c r="N192" s="4">
        <f>Table9[[#This Row],[Octane]]/Table9[[#This Row],[Hybrid]]</f>
        <v>0.98229348507367753</v>
      </c>
      <c r="O192" s="4">
        <f>Table9[[#This Row],[Octane]]/Table9[[#This Row],[Dominus]]</f>
        <v>0.97583259085297236</v>
      </c>
      <c r="P192" s="4">
        <f>Table9[[#This Row],[Octane]]/Table9[[#This Row],[Plank]]</f>
        <v>0.98473041139215589</v>
      </c>
      <c r="Q192" s="4">
        <f>Table9[[#This Row],[Octane]]/Table9[[#This Row],[Batmobile]]</f>
        <v>0.99863585850704539</v>
      </c>
      <c r="R192" s="4">
        <f>Table9[[#This Row],[Octane]]/Table9[[#This Row],[Breakout]]</f>
        <v>0.97813270322555068</v>
      </c>
    </row>
    <row r="193" spans="1:18">
      <c r="A193" s="1">
        <f>Octane[[#This Row],[Degrees turned]]</f>
        <v>125.66384008585113</v>
      </c>
      <c r="B193" s="1">
        <f>Hybrid[[#This Row],[Degrees turned]]</f>
        <v>127.93485924147045</v>
      </c>
      <c r="C193" s="1">
        <f>Dominus[[#This Row],[Degrees turned]]</f>
        <v>128.78349463753221</v>
      </c>
      <c r="D193" s="1">
        <f>Plank[[#This Row],[Degrees turned]]</f>
        <v>127.62190791092</v>
      </c>
      <c r="E193" s="1">
        <f>Batmobile[[#This Row],[Degrees turned]]</f>
        <v>125.84331460894646</v>
      </c>
      <c r="F193" s="1">
        <f>Breakout[[#This Row],[Degrees turned]]</f>
        <v>128.48551053657133</v>
      </c>
      <c r="H193" s="1">
        <v>0</v>
      </c>
      <c r="I193" s="3">
        <f>Table9[[#This Row],[Hybrid]]-Table9[[#This Row],[Octane]]</f>
        <v>2.2710191556193138</v>
      </c>
      <c r="J193" s="3">
        <f>Table9[[#This Row],[Dominus]]-Table9[[#This Row],[Octane]]</f>
        <v>3.1196545516810801</v>
      </c>
      <c r="K193" s="3">
        <f>Table9[[#This Row],[Plank]]-Table9[[#This Row],[Octane]]</f>
        <v>1.9580678250688663</v>
      </c>
      <c r="L193" s="3">
        <f>Table9[[#This Row],[Batmobile]]-Table9[[#This Row],[Octane]]</f>
        <v>0.17947452309532252</v>
      </c>
      <c r="M193" s="3">
        <f>Table9[[#This Row],[Breakout]]-Table9[[#This Row],[Octane]]</f>
        <v>2.8216704507201911</v>
      </c>
      <c r="N193" s="4">
        <f>Table9[[#This Row],[Octane]]/Table9[[#This Row],[Hybrid]]</f>
        <v>0.9822486289578598</v>
      </c>
      <c r="O193" s="4">
        <f>Table9[[#This Row],[Octane]]/Table9[[#This Row],[Dominus]]</f>
        <v>0.97577597532617433</v>
      </c>
      <c r="P193" s="4">
        <f>Table9[[#This Row],[Octane]]/Table9[[#This Row],[Plank]]</f>
        <v>0.9846572750939</v>
      </c>
      <c r="Q193" s="4">
        <f>Table9[[#This Row],[Octane]]/Table9[[#This Row],[Batmobile]]</f>
        <v>0.9985738255253922</v>
      </c>
      <c r="R193" s="4">
        <f>Table9[[#This Row],[Octane]]/Table9[[#This Row],[Breakout]]</f>
        <v>0.97803899880277123</v>
      </c>
    </row>
    <row r="194" spans="1:18">
      <c r="A194" s="1">
        <f>Octane[[#This Row],[Degrees turned]]</f>
        <v>126.61041353981797</v>
      </c>
      <c r="B194" s="1">
        <f>Hybrid[[#This Row],[Degrees turned]]</f>
        <v>128.90411634070801</v>
      </c>
      <c r="C194" s="1">
        <f>Dominus[[#This Row],[Degrees turned]]</f>
        <v>129.76063446750865</v>
      </c>
      <c r="D194" s="1">
        <f>Plank[[#This Row],[Degrees turned]]</f>
        <v>128.59234136739065</v>
      </c>
      <c r="E194" s="1">
        <f>Batmobile[[#This Row],[Degrees turned]]</f>
        <v>126.79909941360276</v>
      </c>
      <c r="F194" s="1">
        <f>Breakout[[#This Row],[Degrees turned]]</f>
        <v>129.46563008614373</v>
      </c>
      <c r="H194" s="1">
        <v>0</v>
      </c>
      <c r="I194" s="3">
        <f>Table9[[#This Row],[Hybrid]]-Table9[[#This Row],[Octane]]</f>
        <v>2.2937028008900455</v>
      </c>
      <c r="J194" s="3">
        <f>Table9[[#This Row],[Dominus]]-Table9[[#This Row],[Octane]]</f>
        <v>3.1502209276906825</v>
      </c>
      <c r="K194" s="3">
        <f>Table9[[#This Row],[Plank]]-Table9[[#This Row],[Octane]]</f>
        <v>1.9819278275726759</v>
      </c>
      <c r="L194" s="3">
        <f>Table9[[#This Row],[Batmobile]]-Table9[[#This Row],[Octane]]</f>
        <v>0.18868587378479162</v>
      </c>
      <c r="M194" s="3">
        <f>Table9[[#This Row],[Breakout]]-Table9[[#This Row],[Octane]]</f>
        <v>2.8552165463257637</v>
      </c>
      <c r="N194" s="4">
        <f>Table9[[#This Row],[Octane]]/Table9[[#This Row],[Hybrid]]</f>
        <v>0.98220613223221254</v>
      </c>
      <c r="O194" s="4">
        <f>Table9[[#This Row],[Octane]]/Table9[[#This Row],[Dominus]]</f>
        <v>0.97572283042065833</v>
      </c>
      <c r="P194" s="4">
        <f>Table9[[#This Row],[Octane]]/Table9[[#This Row],[Plank]]</f>
        <v>0.98458751270489531</v>
      </c>
      <c r="Q194" s="4">
        <f>Table9[[#This Row],[Octane]]/Table9[[#This Row],[Batmobile]]</f>
        <v>0.9985119304895903</v>
      </c>
      <c r="R194" s="4">
        <f>Table9[[#This Row],[Octane]]/Table9[[#This Row],[Breakout]]</f>
        <v>0.97794614258296997</v>
      </c>
    </row>
    <row r="195" spans="1:18">
      <c r="A195" s="1">
        <f>Octane[[#This Row],[Degrees turned]]</f>
        <v>127.55713423854856</v>
      </c>
      <c r="B195" s="1">
        <f>Hybrid[[#This Row],[Degrees turned]]</f>
        <v>129.87378741154853</v>
      </c>
      <c r="C195" s="1">
        <f>Dominus[[#This Row],[Degrees turned]]</f>
        <v>130.73787582666898</v>
      </c>
      <c r="D195" s="1">
        <f>Plank[[#This Row],[Degrees turned]]</f>
        <v>129.56318085950727</v>
      </c>
      <c r="E195" s="1">
        <f>Batmobile[[#This Row],[Degrees turned]]</f>
        <v>127.75434529069605</v>
      </c>
      <c r="F195" s="1">
        <f>Breakout[[#This Row],[Degrees turned]]</f>
        <v>130.44563100001074</v>
      </c>
      <c r="H195" s="1">
        <v>0</v>
      </c>
      <c r="I195" s="3">
        <f>Table9[[#This Row],[Hybrid]]-Table9[[#This Row],[Octane]]</f>
        <v>2.3166531729999775</v>
      </c>
      <c r="J195" s="3">
        <f>Table9[[#This Row],[Dominus]]-Table9[[#This Row],[Octane]]</f>
        <v>3.1807415881204264</v>
      </c>
      <c r="K195" s="3">
        <f>Table9[[#This Row],[Plank]]-Table9[[#This Row],[Octane]]</f>
        <v>2.0060466209587133</v>
      </c>
      <c r="L195" s="3">
        <f>Table9[[#This Row],[Batmobile]]-Table9[[#This Row],[Octane]]</f>
        <v>0.19721105214749457</v>
      </c>
      <c r="M195" s="3">
        <f>Table9[[#This Row],[Breakout]]-Table9[[#This Row],[Octane]]</f>
        <v>2.8884967614621786</v>
      </c>
      <c r="N195" s="4">
        <f>Table9[[#This Row],[Octane]]/Table9[[#This Row],[Hybrid]]</f>
        <v>0.98216227293303704</v>
      </c>
      <c r="O195" s="4">
        <f>Table9[[#This Row],[Octane]]/Table9[[#This Row],[Dominus]]</f>
        <v>0.97567084849735952</v>
      </c>
      <c r="P195" s="4">
        <f>Table9[[#This Row],[Octane]]/Table9[[#This Row],[Plank]]</f>
        <v>0.98451684647095861</v>
      </c>
      <c r="Q195" s="4">
        <f>Table9[[#This Row],[Octane]]/Table9[[#This Row],[Batmobile]]</f>
        <v>0.99845632607095469</v>
      </c>
      <c r="R195" s="4">
        <f>Table9[[#This Row],[Octane]]/Table9[[#This Row],[Breakout]]</f>
        <v>0.97785669984254253</v>
      </c>
    </row>
    <row r="196" spans="1:18">
      <c r="A196" s="1">
        <f>Octane[[#This Row],[Degrees turned]]</f>
        <v>128.50383358472629</v>
      </c>
      <c r="B196" s="1">
        <f>Hybrid[[#This Row],[Degrees turned]]</f>
        <v>130.84322699903137</v>
      </c>
      <c r="C196" s="1">
        <f>Dominus[[#This Row],[Degrees turned]]</f>
        <v>131.71571176276393</v>
      </c>
      <c r="D196" s="1">
        <f>Plank[[#This Row],[Degrees turned]]</f>
        <v>130.53371736013082</v>
      </c>
      <c r="E196" s="1">
        <f>Batmobile[[#This Row],[Degrees turned]]</f>
        <v>128.70968748898605</v>
      </c>
      <c r="F196" s="1">
        <f>Breakout[[#This Row],[Degrees turned]]</f>
        <v>131.42536821222282</v>
      </c>
      <c r="H196" s="1">
        <v>0</v>
      </c>
      <c r="I196" s="3">
        <f>Table9[[#This Row],[Hybrid]]-Table9[[#This Row],[Octane]]</f>
        <v>2.3393934143050785</v>
      </c>
      <c r="J196" s="3">
        <f>Table9[[#This Row],[Dominus]]-Table9[[#This Row],[Octane]]</f>
        <v>3.2118781780376366</v>
      </c>
      <c r="K196" s="3">
        <f>Table9[[#This Row],[Plank]]-Table9[[#This Row],[Octane]]</f>
        <v>2.029883775404528</v>
      </c>
      <c r="L196" s="3">
        <f>Table9[[#This Row],[Batmobile]]-Table9[[#This Row],[Octane]]</f>
        <v>0.20585390425975447</v>
      </c>
      <c r="M196" s="3">
        <f>Table9[[#This Row],[Breakout]]-Table9[[#This Row],[Octane]]</f>
        <v>2.921534627496527</v>
      </c>
      <c r="N196" s="4">
        <f>Table9[[#This Row],[Octane]]/Table9[[#This Row],[Hybrid]]</f>
        <v>0.98212063804936267</v>
      </c>
      <c r="O196" s="4">
        <f>Table9[[#This Row],[Octane]]/Table9[[#This Row],[Dominus]]</f>
        <v>0.97561507177046103</v>
      </c>
      <c r="P196" s="4">
        <f>Table9[[#This Row],[Octane]]/Table9[[#This Row],[Plank]]</f>
        <v>0.98444935288401958</v>
      </c>
      <c r="Q196" s="4">
        <f>Table9[[#This Row],[Octane]]/Table9[[#This Row],[Batmobile]]</f>
        <v>0.99840063395168011</v>
      </c>
      <c r="R196" s="4">
        <f>Table9[[#This Row],[Octane]]/Table9[[#This Row],[Breakout]]</f>
        <v>0.97777039039541513</v>
      </c>
    </row>
    <row r="197" spans="1:18">
      <c r="A197" s="1">
        <f>Octane[[#This Row],[Degrees turned]]</f>
        <v>129.45084606876705</v>
      </c>
      <c r="B197" s="1">
        <f>Hybrid[[#This Row],[Degrees turned]]</f>
        <v>131.81260391160757</v>
      </c>
      <c r="C197" s="1">
        <f>Dominus[[#This Row],[Degrees turned]]</f>
        <v>132.6934415673885</v>
      </c>
      <c r="D197" s="1">
        <f>Plank[[#This Row],[Degrees turned]]</f>
        <v>131.5041788650949</v>
      </c>
      <c r="E197" s="1">
        <f>Batmobile[[#This Row],[Degrees turned]]</f>
        <v>129.66540797788363</v>
      </c>
      <c r="F197" s="1">
        <f>Breakout[[#This Row],[Degrees turned]]</f>
        <v>132.40522801225859</v>
      </c>
      <c r="H197" s="1">
        <v>0</v>
      </c>
      <c r="I197" s="3">
        <f>Table9[[#This Row],[Hybrid]]-Table9[[#This Row],[Octane]]</f>
        <v>2.3617578428405182</v>
      </c>
      <c r="J197" s="3">
        <f>Table9[[#This Row],[Dominus]]-Table9[[#This Row],[Octane]]</f>
        <v>3.2425954986214549</v>
      </c>
      <c r="K197" s="3">
        <f>Table9[[#This Row],[Plank]]-Table9[[#This Row],[Octane]]</f>
        <v>2.0533327963278509</v>
      </c>
      <c r="L197" s="3">
        <f>Table9[[#This Row],[Batmobile]]-Table9[[#This Row],[Octane]]</f>
        <v>0.21456190911658268</v>
      </c>
      <c r="M197" s="3">
        <f>Table9[[#This Row],[Breakout]]-Table9[[#This Row],[Octane]]</f>
        <v>2.9543819434915406</v>
      </c>
      <c r="N197" s="4">
        <f>Table9[[#This Row],[Octane]]/Table9[[#This Row],[Hybrid]]</f>
        <v>0.98208245818112894</v>
      </c>
      <c r="O197" s="4">
        <f>Table9[[#This Row],[Octane]]/Table9[[#This Row],[Dominus]]</f>
        <v>0.97556325723170956</v>
      </c>
      <c r="P197" s="4">
        <f>Table9[[#This Row],[Octane]]/Table9[[#This Row],[Plank]]</f>
        <v>0.98438579812407112</v>
      </c>
      <c r="Q197" s="4">
        <f>Table9[[#This Row],[Octane]]/Table9[[#This Row],[Batmobile]]</f>
        <v>0.99834526484385733</v>
      </c>
      <c r="R197" s="4">
        <f>Table9[[#This Row],[Octane]]/Table9[[#This Row],[Breakout]]</f>
        <v>0.97768681805209379</v>
      </c>
    </row>
    <row r="198" spans="1:18">
      <c r="A198" s="1">
        <f>Octane[[#This Row],[Degrees turned]]</f>
        <v>130.39712541594906</v>
      </c>
      <c r="B198" s="1">
        <f>Hybrid[[#This Row],[Degrees turned]]</f>
        <v>132.78171092980512</v>
      </c>
      <c r="C198" s="1">
        <f>Dominus[[#This Row],[Degrees turned]]</f>
        <v>133.67067198574262</v>
      </c>
      <c r="D198" s="1">
        <f>Plank[[#This Row],[Degrees turned]]</f>
        <v>132.47445755888037</v>
      </c>
      <c r="E198" s="1">
        <f>Batmobile[[#This Row],[Degrees turned]]</f>
        <v>130.62061114773203</v>
      </c>
      <c r="F198" s="1">
        <f>Breakout[[#This Row],[Degrees turned]]</f>
        <v>133.38518280746177</v>
      </c>
      <c r="H198" s="1">
        <v>0</v>
      </c>
      <c r="I198" s="3">
        <f>Table9[[#This Row],[Hybrid]]-Table9[[#This Row],[Octane]]</f>
        <v>2.3845855138560523</v>
      </c>
      <c r="J198" s="3">
        <f>Table9[[#This Row],[Dominus]]-Table9[[#This Row],[Octane]]</f>
        <v>3.2735465697935524</v>
      </c>
      <c r="K198" s="3">
        <f>Table9[[#This Row],[Plank]]-Table9[[#This Row],[Octane]]</f>
        <v>2.0773321429313114</v>
      </c>
      <c r="L198" s="3">
        <f>Table9[[#This Row],[Batmobile]]-Table9[[#This Row],[Octane]]</f>
        <v>0.22348573178297215</v>
      </c>
      <c r="M198" s="3">
        <f>Table9[[#This Row],[Breakout]]-Table9[[#This Row],[Octane]]</f>
        <v>2.9880573915127115</v>
      </c>
      <c r="N198" s="4">
        <f>Table9[[#This Row],[Octane]]/Table9[[#This Row],[Hybrid]]</f>
        <v>0.98204131053020804</v>
      </c>
      <c r="O198" s="4">
        <f>Table9[[#This Row],[Octane]]/Table9[[#This Row],[Dominus]]</f>
        <v>0.97551036049147177</v>
      </c>
      <c r="P198" s="4">
        <f>Table9[[#This Row],[Octane]]/Table9[[#This Row],[Plank]]</f>
        <v>0.98431899868691286</v>
      </c>
      <c r="Q198" s="4">
        <f>Table9[[#This Row],[Octane]]/Table9[[#This Row],[Batmobile]]</f>
        <v>0.99828904695959342</v>
      </c>
      <c r="R198" s="4">
        <f>Table9[[#This Row],[Octane]]/Table9[[#This Row],[Breakout]]</f>
        <v>0.97759828094379941</v>
      </c>
    </row>
    <row r="199" spans="1:18">
      <c r="A199" s="1">
        <f>Octane[[#This Row],[Degrees turned]]</f>
        <v>131.34372612813434</v>
      </c>
      <c r="B199" s="1">
        <f>Hybrid[[#This Row],[Degrees turned]]</f>
        <v>133.75077263099436</v>
      </c>
      <c r="C199" s="1">
        <f>Dominus[[#This Row],[Degrees turned]]</f>
        <v>134.6477887907584</v>
      </c>
      <c r="D199" s="1">
        <f>Plank[[#This Row],[Degrees turned]]</f>
        <v>133.44558643328233</v>
      </c>
      <c r="E199" s="1">
        <f>Batmobile[[#This Row],[Degrees turned]]</f>
        <v>131.57628992825832</v>
      </c>
      <c r="F199" s="1">
        <f>Breakout[[#This Row],[Degrees turned]]</f>
        <v>134.36524830398102</v>
      </c>
      <c r="H199" s="1">
        <v>0</v>
      </c>
      <c r="I199" s="3">
        <f>Table9[[#This Row],[Hybrid]]-Table9[[#This Row],[Octane]]</f>
        <v>2.4070465028600267</v>
      </c>
      <c r="J199" s="3">
        <f>Table9[[#This Row],[Dominus]]-Table9[[#This Row],[Octane]]</f>
        <v>3.3040626626240623</v>
      </c>
      <c r="K199" s="3">
        <f>Table9[[#This Row],[Plank]]-Table9[[#This Row],[Octane]]</f>
        <v>2.1018603051479943</v>
      </c>
      <c r="L199" s="3">
        <f>Table9[[#This Row],[Batmobile]]-Table9[[#This Row],[Octane]]</f>
        <v>0.23256380012398381</v>
      </c>
      <c r="M199" s="3">
        <f>Table9[[#This Row],[Breakout]]-Table9[[#This Row],[Octane]]</f>
        <v>3.0215221758466839</v>
      </c>
      <c r="N199" s="4">
        <f>Table9[[#This Row],[Octane]]/Table9[[#This Row],[Hybrid]]</f>
        <v>0.98200349459288105</v>
      </c>
      <c r="O199" s="4">
        <f>Table9[[#This Row],[Octane]]/Table9[[#This Row],[Dominus]]</f>
        <v>0.97546144134785195</v>
      </c>
      <c r="P199" s="4">
        <f>Table9[[#This Row],[Octane]]/Table9[[#This Row],[Plank]]</f>
        <v>0.98424930819125411</v>
      </c>
      <c r="Q199" s="4">
        <f>Table9[[#This Row],[Octane]]/Table9[[#This Row],[Batmobile]]</f>
        <v>0.99823247942124838</v>
      </c>
      <c r="R199" s="4">
        <f>Table9[[#This Row],[Octane]]/Table9[[#This Row],[Breakout]]</f>
        <v>0.97751262164893304</v>
      </c>
    </row>
    <row r="200" spans="1:18">
      <c r="A200" s="1">
        <f>Octane[[#This Row],[Degrees turned]]</f>
        <v>132.28991764304575</v>
      </c>
      <c r="B200" s="1">
        <f>Hybrid[[#This Row],[Degrees turned]]</f>
        <v>134.72001666924106</v>
      </c>
      <c r="C200" s="1">
        <f>Dominus[[#This Row],[Degrees turned]]</f>
        <v>135.6251817979057</v>
      </c>
      <c r="D200" s="1">
        <f>Plank[[#This Row],[Degrees turned]]</f>
        <v>134.41652979247237</v>
      </c>
      <c r="E200" s="1">
        <f>Batmobile[[#This Row],[Degrees turned]]</f>
        <v>132.53156132018589</v>
      </c>
      <c r="F200" s="1">
        <f>Breakout[[#This Row],[Degrees turned]]</f>
        <v>135.3455372037472</v>
      </c>
      <c r="H200" s="1">
        <v>0</v>
      </c>
      <c r="I200" s="3">
        <f>Table9[[#This Row],[Hybrid]]-Table9[[#This Row],[Octane]]</f>
        <v>2.4300990261953075</v>
      </c>
      <c r="J200" s="3">
        <f>Table9[[#This Row],[Dominus]]-Table9[[#This Row],[Octane]]</f>
        <v>3.3352641548599422</v>
      </c>
      <c r="K200" s="3">
        <f>Table9[[#This Row],[Plank]]-Table9[[#This Row],[Octane]]</f>
        <v>2.1266121494266201</v>
      </c>
      <c r="L200" s="3">
        <f>Table9[[#This Row],[Batmobile]]-Table9[[#This Row],[Octane]]</f>
        <v>0.24164367714013224</v>
      </c>
      <c r="M200" s="3">
        <f>Table9[[#This Row],[Breakout]]-Table9[[#This Row],[Octane]]</f>
        <v>3.0556195607014445</v>
      </c>
      <c r="N200" s="4">
        <f>Table9[[#This Row],[Octane]]/Table9[[#This Row],[Hybrid]]</f>
        <v>0.98196185625361387</v>
      </c>
      <c r="O200" s="4">
        <f>Table9[[#This Row],[Octane]]/Table9[[#This Row],[Dominus]]</f>
        <v>0.97540822352717804</v>
      </c>
      <c r="P200" s="4">
        <f>Table9[[#This Row],[Octane]]/Table9[[#This Row],[Plank]]</f>
        <v>0.98417893876065743</v>
      </c>
      <c r="Q200" s="4">
        <f>Table9[[#This Row],[Octane]]/Table9[[#This Row],[Batmobile]]</f>
        <v>0.99817670844036654</v>
      </c>
      <c r="R200" s="4">
        <f>Table9[[#This Row],[Octane]]/Table9[[#This Row],[Breakout]]</f>
        <v>0.97742356620077131</v>
      </c>
    </row>
    <row r="201" spans="1:18">
      <c r="A201" s="1">
        <f>Octane[[#This Row],[Degrees turned]]</f>
        <v>133.23652530914291</v>
      </c>
      <c r="B201" s="1">
        <f>Hybrid[[#This Row],[Degrees turned]]</f>
        <v>135.68917306852993</v>
      </c>
      <c r="C201" s="1">
        <f>Dominus[[#This Row],[Degrees turned]]</f>
        <v>136.60290954954689</v>
      </c>
      <c r="D201" s="1">
        <f>Plank[[#This Row],[Degrees turned]]</f>
        <v>135.38690631992006</v>
      </c>
      <c r="E201" s="1">
        <f>Batmobile[[#This Row],[Degrees turned]]</f>
        <v>133.48670857770699</v>
      </c>
      <c r="F201" s="1">
        <f>Breakout[[#This Row],[Degrees turned]]</f>
        <v>136.32515864560011</v>
      </c>
      <c r="H201" s="1">
        <v>0</v>
      </c>
      <c r="I201" s="3">
        <f>Table9[[#This Row],[Hybrid]]-Table9[[#This Row],[Octane]]</f>
        <v>2.4526477593870197</v>
      </c>
      <c r="J201" s="3">
        <f>Table9[[#This Row],[Dominus]]-Table9[[#This Row],[Octane]]</f>
        <v>3.3663842404039883</v>
      </c>
      <c r="K201" s="3">
        <f>Table9[[#This Row],[Plank]]-Table9[[#This Row],[Octane]]</f>
        <v>2.1503810107771528</v>
      </c>
      <c r="L201" s="3">
        <f>Table9[[#This Row],[Batmobile]]-Table9[[#This Row],[Octane]]</f>
        <v>0.25018326856408635</v>
      </c>
      <c r="M201" s="3">
        <f>Table9[[#This Row],[Breakout]]-Table9[[#This Row],[Octane]]</f>
        <v>3.0886333364572067</v>
      </c>
      <c r="N201" s="4">
        <f>Table9[[#This Row],[Octane]]/Table9[[#This Row],[Hybrid]]</f>
        <v>0.98192451391719882</v>
      </c>
      <c r="O201" s="4">
        <f>Table9[[#This Row],[Octane]]/Table9[[#This Row],[Dominus]]</f>
        <v>0.97535642358201036</v>
      </c>
      <c r="P201" s="4">
        <f>Table9[[#This Row],[Octane]]/Table9[[#This Row],[Plank]]</f>
        <v>0.98411677266857855</v>
      </c>
      <c r="Q201" s="4">
        <f>Table9[[#This Row],[Octane]]/Table9[[#This Row],[Batmobile]]</f>
        <v>0.99812578142625752</v>
      </c>
      <c r="R201" s="4">
        <f>Table9[[#This Row],[Octane]]/Table9[[#This Row],[Breakout]]</f>
        <v>0.97734362925271467</v>
      </c>
    </row>
    <row r="202" spans="1:18">
      <c r="A202" s="1">
        <f>Octane[[#This Row],[Degrees turned]]</f>
        <v>134.18285794960684</v>
      </c>
      <c r="B202" s="1">
        <f>Hybrid[[#This Row],[Degrees turned]]</f>
        <v>136.65866606097956</v>
      </c>
      <c r="C202" s="1">
        <f>Dominus[[#This Row],[Degrees turned]]</f>
        <v>137.58028793841279</v>
      </c>
      <c r="D202" s="1">
        <f>Plank[[#This Row],[Degrees turned]]</f>
        <v>136.35756018426125</v>
      </c>
      <c r="E202" s="1">
        <f>Batmobile[[#This Row],[Degrees turned]]</f>
        <v>134.44236264427025</v>
      </c>
      <c r="F202" s="1">
        <f>Breakout[[#This Row],[Degrees turned]]</f>
        <v>137.30530249712959</v>
      </c>
      <c r="H202" s="1">
        <v>0</v>
      </c>
      <c r="I202" s="3">
        <f>Table9[[#This Row],[Hybrid]]-Table9[[#This Row],[Octane]]</f>
        <v>2.4758081113727144</v>
      </c>
      <c r="J202" s="3">
        <f>Table9[[#This Row],[Dominus]]-Table9[[#This Row],[Octane]]</f>
        <v>3.3974299888059534</v>
      </c>
      <c r="K202" s="3">
        <f>Table9[[#This Row],[Plank]]-Table9[[#This Row],[Octane]]</f>
        <v>2.1747022346544043</v>
      </c>
      <c r="L202" s="3">
        <f>Table9[[#This Row],[Batmobile]]-Table9[[#This Row],[Octane]]</f>
        <v>0.25950469466340564</v>
      </c>
      <c r="M202" s="3">
        <f>Table9[[#This Row],[Breakout]]-Table9[[#This Row],[Octane]]</f>
        <v>3.1224445475227469</v>
      </c>
      <c r="N202" s="4">
        <f>Table9[[#This Row],[Octane]]/Table9[[#This Row],[Hybrid]]</f>
        <v>0.98188327032061062</v>
      </c>
      <c r="O202" s="4">
        <f>Table9[[#This Row],[Octane]]/Table9[[#This Row],[Dominus]]</f>
        <v>0.97530583748794886</v>
      </c>
      <c r="P202" s="4">
        <f>Table9[[#This Row],[Octane]]/Table9[[#This Row],[Plank]]</f>
        <v>0.98405147296772022</v>
      </c>
      <c r="Q202" s="4">
        <f>Table9[[#This Row],[Octane]]/Table9[[#This Row],[Batmobile]]</f>
        <v>0.99806976990318119</v>
      </c>
      <c r="R202" s="4">
        <f>Table9[[#This Row],[Octane]]/Table9[[#This Row],[Breakout]]</f>
        <v>0.97725911169681134</v>
      </c>
    </row>
    <row r="203" spans="1:18">
      <c r="A203" s="1">
        <f>Octane[[#This Row],[Degrees turned]]</f>
        <v>135.12972717481389</v>
      </c>
      <c r="B203" s="1">
        <f>Hybrid[[#This Row],[Degrees turned]]</f>
        <v>137.628202948709</v>
      </c>
      <c r="C203" s="1">
        <f>Dominus[[#This Row],[Degrees turned]]</f>
        <v>138.55797951390738</v>
      </c>
      <c r="D203" s="1">
        <f>Plank[[#This Row],[Degrees turned]]</f>
        <v>137.32823822375249</v>
      </c>
      <c r="E203" s="1">
        <f>Batmobile[[#This Row],[Degrees turned]]</f>
        <v>135.39799276426277</v>
      </c>
      <c r="F203" s="1">
        <f>Breakout[[#This Row],[Degrees turned]]</f>
        <v>138.28511818505299</v>
      </c>
      <c r="H203" s="1">
        <v>0</v>
      </c>
      <c r="I203" s="3">
        <f>Table9[[#This Row],[Hybrid]]-Table9[[#This Row],[Octane]]</f>
        <v>2.4984757738951089</v>
      </c>
      <c r="J203" s="3">
        <f>Table9[[#This Row],[Dominus]]-Table9[[#This Row],[Octane]]</f>
        <v>3.4282523390934898</v>
      </c>
      <c r="K203" s="3">
        <f>Table9[[#This Row],[Plank]]-Table9[[#This Row],[Octane]]</f>
        <v>2.1985110489385988</v>
      </c>
      <c r="L203" s="3">
        <f>Table9[[#This Row],[Batmobile]]-Table9[[#This Row],[Octane]]</f>
        <v>0.26826558944887324</v>
      </c>
      <c r="M203" s="3">
        <f>Table9[[#This Row],[Breakout]]-Table9[[#This Row],[Octane]]</f>
        <v>3.1553910102391001</v>
      </c>
      <c r="N203" s="4">
        <f>Table9[[#This Row],[Octane]]/Table9[[#This Row],[Hybrid]]</f>
        <v>0.98184619343735646</v>
      </c>
      <c r="O203" s="4">
        <f>Table9[[#This Row],[Octane]]/Table9[[#This Row],[Dominus]]</f>
        <v>0.97525763329459214</v>
      </c>
      <c r="P203" s="4">
        <f>Table9[[#This Row],[Octane]]/Table9[[#This Row],[Plank]]</f>
        <v>0.98399083045573987</v>
      </c>
      <c r="Q203" s="4">
        <f>Table9[[#This Row],[Octane]]/Table9[[#This Row],[Batmobile]]</f>
        <v>0.99801868857896625</v>
      </c>
      <c r="R203" s="4">
        <f>Table9[[#This Row],[Octane]]/Table9[[#This Row],[Breakout]]</f>
        <v>0.97718199144164919</v>
      </c>
    </row>
    <row r="204" spans="1:18">
      <c r="A204" s="1">
        <f>Octane[[#This Row],[Degrees turned]]</f>
        <v>136.07644809361716</v>
      </c>
      <c r="B204" s="1">
        <f>Hybrid[[#This Row],[Degrees turned]]</f>
        <v>138.59746347413773</v>
      </c>
      <c r="C204" s="1">
        <f>Dominus[[#This Row],[Degrees turned]]</f>
        <v>139.53532856246559</v>
      </c>
      <c r="D204" s="1">
        <f>Plank[[#This Row],[Degrees turned]]</f>
        <v>138.29858033754772</v>
      </c>
      <c r="E204" s="1">
        <f>Batmobile[[#This Row],[Degrees turned]]</f>
        <v>136.35348881144094</v>
      </c>
      <c r="F204" s="1">
        <f>Breakout[[#This Row],[Degrees turned]]</f>
        <v>139.26541146082209</v>
      </c>
      <c r="H204" s="1">
        <v>0</v>
      </c>
      <c r="I204" s="3">
        <f>Table9[[#This Row],[Hybrid]]-Table9[[#This Row],[Octane]]</f>
        <v>2.5210153805205664</v>
      </c>
      <c r="J204" s="3">
        <f>Table9[[#This Row],[Dominus]]-Table9[[#This Row],[Octane]]</f>
        <v>3.4588804688484345</v>
      </c>
      <c r="K204" s="3">
        <f>Table9[[#This Row],[Plank]]-Table9[[#This Row],[Octane]]</f>
        <v>2.2221322439305595</v>
      </c>
      <c r="L204" s="3">
        <f>Table9[[#This Row],[Batmobile]]-Table9[[#This Row],[Octane]]</f>
        <v>0.27704071782378037</v>
      </c>
      <c r="M204" s="3">
        <f>Table9[[#This Row],[Breakout]]-Table9[[#This Row],[Octane]]</f>
        <v>3.1889633672049342</v>
      </c>
      <c r="N204" s="4">
        <f>Table9[[#This Row],[Octane]]/Table9[[#This Row],[Hybrid]]</f>
        <v>0.98181052295382742</v>
      </c>
      <c r="O204" s="4">
        <f>Table9[[#This Row],[Octane]]/Table9[[#This Row],[Dominus]]</f>
        <v>0.97521143566663115</v>
      </c>
      <c r="P204" s="4">
        <f>Table9[[#This Row],[Octane]]/Table9[[#This Row],[Plank]]</f>
        <v>0.9839323567999978</v>
      </c>
      <c r="Q204" s="4">
        <f>Table9[[#This Row],[Octane]]/Table9[[#This Row],[Batmobile]]</f>
        <v>0.99796821687337323</v>
      </c>
      <c r="R204" s="4">
        <f>Table9[[#This Row],[Octane]]/Table9[[#This Row],[Breakout]]</f>
        <v>0.97710154062121846</v>
      </c>
    </row>
    <row r="205" spans="1:18">
      <c r="A205" s="1">
        <f>Octane[[#This Row],[Degrees turned]]</f>
        <v>137.02308898825481</v>
      </c>
      <c r="B205" s="1">
        <f>Hybrid[[#This Row],[Degrees turned]]</f>
        <v>139.56690540168742</v>
      </c>
      <c r="C205" s="1">
        <f>Dominus[[#This Row],[Degrees turned]]</f>
        <v>140.51239671371934</v>
      </c>
      <c r="D205" s="1">
        <f>Plank[[#This Row],[Degrees turned]]</f>
        <v>139.26924287390898</v>
      </c>
      <c r="E205" s="1">
        <f>Batmobile[[#This Row],[Degrees turned]]</f>
        <v>137.30909708781041</v>
      </c>
      <c r="F205" s="1">
        <f>Breakout[[#This Row],[Degrees turned]]</f>
        <v>140.2453556839483</v>
      </c>
      <c r="H205" s="1">
        <v>0</v>
      </c>
      <c r="I205" s="3">
        <f>Table9[[#This Row],[Hybrid]]-Table9[[#This Row],[Octane]]</f>
        <v>2.5438164134326087</v>
      </c>
      <c r="J205" s="3">
        <f>Table9[[#This Row],[Dominus]]-Table9[[#This Row],[Octane]]</f>
        <v>3.4893077254645277</v>
      </c>
      <c r="K205" s="3">
        <f>Table9[[#This Row],[Plank]]-Table9[[#This Row],[Octane]]</f>
        <v>2.2461538856541665</v>
      </c>
      <c r="L205" s="3">
        <f>Table9[[#This Row],[Batmobile]]-Table9[[#This Row],[Octane]]</f>
        <v>0.2860080995556018</v>
      </c>
      <c r="M205" s="3">
        <f>Table9[[#This Row],[Breakout]]-Table9[[#This Row],[Octane]]</f>
        <v>3.2222666956934916</v>
      </c>
      <c r="N205" s="4">
        <f>Table9[[#This Row],[Octane]]/Table9[[#This Row],[Hybrid]]</f>
        <v>0.98177349848009277</v>
      </c>
      <c r="O205" s="4">
        <f>Table9[[#This Row],[Octane]]/Table9[[#This Row],[Dominus]]</f>
        <v>0.97516726063271375</v>
      </c>
      <c r="P205" s="4">
        <f>Table9[[#This Row],[Octane]]/Table9[[#This Row],[Plank]]</f>
        <v>0.98387185972075841</v>
      </c>
      <c r="Q205" s="4">
        <f>Table9[[#This Row],[Octane]]/Table9[[#This Row],[Batmobile]]</f>
        <v>0.99791704915681811</v>
      </c>
      <c r="R205" s="4">
        <f>Table9[[#This Row],[Octane]]/Table9[[#This Row],[Breakout]]</f>
        <v>0.97702407555687565</v>
      </c>
    </row>
    <row r="206" spans="1:18">
      <c r="A206" s="1">
        <f>Octane[[#This Row],[Degrees turned]]</f>
        <v>137.96955526754465</v>
      </c>
      <c r="B206" s="1">
        <f>Hybrid[[#This Row],[Degrees turned]]</f>
        <v>140.53605775816865</v>
      </c>
      <c r="C206" s="1">
        <f>Dominus[[#This Row],[Degrees turned]]</f>
        <v>141.49013584138871</v>
      </c>
      <c r="D206" s="1">
        <f>Plank[[#This Row],[Degrees turned]]</f>
        <v>140.23941276004379</v>
      </c>
      <c r="E206" s="1">
        <f>Batmobile[[#This Row],[Degrees turned]]</f>
        <v>138.26489997582752</v>
      </c>
      <c r="F206" s="1">
        <f>Breakout[[#This Row],[Degrees turned]]</f>
        <v>141.2253620851738</v>
      </c>
      <c r="H206" s="1">
        <v>0</v>
      </c>
      <c r="I206" s="3">
        <f>Table9[[#This Row],[Hybrid]]-Table9[[#This Row],[Octane]]</f>
        <v>2.5665024906240035</v>
      </c>
      <c r="J206" s="3">
        <f>Table9[[#This Row],[Dominus]]-Table9[[#This Row],[Octane]]</f>
        <v>3.5205805738440574</v>
      </c>
      <c r="K206" s="3">
        <f>Table9[[#This Row],[Plank]]-Table9[[#This Row],[Octane]]</f>
        <v>2.2698574924991419</v>
      </c>
      <c r="L206" s="3">
        <f>Table9[[#This Row],[Batmobile]]-Table9[[#This Row],[Octane]]</f>
        <v>0.29534470828286885</v>
      </c>
      <c r="M206" s="3">
        <f>Table9[[#This Row],[Breakout]]-Table9[[#This Row],[Octane]]</f>
        <v>3.2558068176291499</v>
      </c>
      <c r="N206" s="4">
        <f>Table9[[#This Row],[Octane]]/Table9[[#This Row],[Hybrid]]</f>
        <v>0.98173776515746314</v>
      </c>
      <c r="O206" s="4">
        <f>Table9[[#This Row],[Octane]]/Table9[[#This Row],[Dominus]]</f>
        <v>0.97511783734669211</v>
      </c>
      <c r="P206" s="4">
        <f>Table9[[#This Row],[Octane]]/Table9[[#This Row],[Plank]]</f>
        <v>0.98381441102878142</v>
      </c>
      <c r="Q206" s="4">
        <f>Table9[[#This Row],[Octane]]/Table9[[#This Row],[Batmobile]]</f>
        <v>0.99786392129647872</v>
      </c>
      <c r="R206" s="4">
        <f>Table9[[#This Row],[Octane]]/Table9[[#This Row],[Breakout]]</f>
        <v>0.97694601897592903</v>
      </c>
    </row>
    <row r="207" spans="1:18">
      <c r="A207" s="1">
        <f>Octane[[#This Row],[Degrees turned]]</f>
        <v>138.91621357983058</v>
      </c>
      <c r="B207" s="1">
        <f>Hybrid[[#This Row],[Degrees turned]]</f>
        <v>141.50585710122181</v>
      </c>
      <c r="C207" s="1">
        <f>Dominus[[#This Row],[Degrees turned]]</f>
        <v>142.46789459085937</v>
      </c>
      <c r="D207" s="1">
        <f>Plank[[#This Row],[Degrees turned]]</f>
        <v>141.21033857476544</v>
      </c>
      <c r="E207" s="1">
        <f>Batmobile[[#This Row],[Degrees turned]]</f>
        <v>139.22076428664525</v>
      </c>
      <c r="F207" s="1">
        <f>Breakout[[#This Row],[Degrees turned]]</f>
        <v>142.20517147100247</v>
      </c>
      <c r="H207" s="1">
        <v>0</v>
      </c>
      <c r="I207" s="3">
        <f>Table9[[#This Row],[Hybrid]]-Table9[[#This Row],[Octane]]</f>
        <v>2.5896435213912241</v>
      </c>
      <c r="J207" s="3">
        <f>Table9[[#This Row],[Dominus]]-Table9[[#This Row],[Octane]]</f>
        <v>3.5516810110287906</v>
      </c>
      <c r="K207" s="3">
        <f>Table9[[#This Row],[Plank]]-Table9[[#This Row],[Octane]]</f>
        <v>2.2941249949348617</v>
      </c>
      <c r="L207" s="3">
        <f>Table9[[#This Row],[Batmobile]]-Table9[[#This Row],[Octane]]</f>
        <v>0.30455070681466623</v>
      </c>
      <c r="M207" s="3">
        <f>Table9[[#This Row],[Breakout]]-Table9[[#This Row],[Octane]]</f>
        <v>3.28895789117189</v>
      </c>
      <c r="N207" s="4">
        <f>Table9[[#This Row],[Octane]]/Table9[[#This Row],[Hybrid]]</f>
        <v>0.9816993898737435</v>
      </c>
      <c r="O207" s="4">
        <f>Table9[[#This Row],[Octane]]/Table9[[#This Row],[Dominus]]</f>
        <v>0.97507030604173284</v>
      </c>
      <c r="P207" s="4">
        <f>Table9[[#This Row],[Octane]]/Table9[[#This Row],[Plank]]</f>
        <v>0.98375384537641197</v>
      </c>
      <c r="Q207" s="4">
        <f>Table9[[#This Row],[Octane]]/Table9[[#This Row],[Batmobile]]</f>
        <v>0.99781246203915663</v>
      </c>
      <c r="R207" s="4">
        <f>Table9[[#This Row],[Octane]]/Table9[[#This Row],[Breakout]]</f>
        <v>0.97687174202491955</v>
      </c>
    </row>
    <row r="208" spans="1:18">
      <c r="A208" s="1">
        <f>Octane[[#This Row],[Degrees turned]]</f>
        <v>139.86282721523469</v>
      </c>
      <c r="B208" s="1">
        <f>Hybrid[[#This Row],[Degrees turned]]</f>
        <v>142.47533062789648</v>
      </c>
      <c r="C208" s="1">
        <f>Dominus[[#This Row],[Degrees turned]]</f>
        <v>143.44543370212995</v>
      </c>
      <c r="D208" s="1">
        <f>Plank[[#This Row],[Degrees turned]]</f>
        <v>142.18091192255085</v>
      </c>
      <c r="E208" s="1">
        <f>Batmobile[[#This Row],[Degrees turned]]</f>
        <v>140.17604574073775</v>
      </c>
      <c r="F208" s="1">
        <f>Breakout[[#This Row],[Degrees turned]]</f>
        <v>143.18486689899402</v>
      </c>
      <c r="H208" s="1">
        <v>0</v>
      </c>
      <c r="I208" s="3">
        <f>Table9[[#This Row],[Hybrid]]-Table9[[#This Row],[Octane]]</f>
        <v>2.6125034126617948</v>
      </c>
      <c r="J208" s="3">
        <f>Table9[[#This Row],[Dominus]]-Table9[[#This Row],[Octane]]</f>
        <v>3.5826064868952585</v>
      </c>
      <c r="K208" s="3">
        <f>Table9[[#This Row],[Plank]]-Table9[[#This Row],[Octane]]</f>
        <v>2.3180847073161601</v>
      </c>
      <c r="L208" s="3">
        <f>Table9[[#This Row],[Batmobile]]-Table9[[#This Row],[Octane]]</f>
        <v>0.31321852550306062</v>
      </c>
      <c r="M208" s="3">
        <f>Table9[[#This Row],[Breakout]]-Table9[[#This Row],[Octane]]</f>
        <v>3.3220396837593285</v>
      </c>
      <c r="N208" s="4">
        <f>Table9[[#This Row],[Octane]]/Table9[[#This Row],[Hybrid]]</f>
        <v>0.98166346832712481</v>
      </c>
      <c r="O208" s="4">
        <f>Table9[[#This Row],[Octane]]/Table9[[#This Row],[Dominus]]</f>
        <v>0.97502460416875536</v>
      </c>
      <c r="P208" s="4">
        <f>Table9[[#This Row],[Octane]]/Table9[[#This Row],[Plank]]</f>
        <v>0.983696231259377</v>
      </c>
      <c r="Q208" s="4">
        <f>Table9[[#This Row],[Octane]]/Table9[[#This Row],[Batmobile]]</f>
        <v>0.99776553459010842</v>
      </c>
      <c r="R208" s="4">
        <f>Table9[[#This Row],[Octane]]/Table9[[#This Row],[Breakout]]</f>
        <v>0.97679894701370384</v>
      </c>
    </row>
    <row r="209" spans="1:18">
      <c r="A209" s="1">
        <f>Octane[[#This Row],[Degrees turned]]</f>
        <v>140.8096286335707</v>
      </c>
      <c r="B209" s="1">
        <f>Hybrid[[#This Row],[Degrees turned]]</f>
        <v>143.44472530912435</v>
      </c>
      <c r="C209" s="1">
        <f>Dominus[[#This Row],[Degrees turned]]</f>
        <v>144.42313731516541</v>
      </c>
      <c r="D209" s="1">
        <f>Plank[[#This Row],[Degrees turned]]</f>
        <v>143.15136431793604</v>
      </c>
      <c r="E209" s="1">
        <f>Batmobile[[#This Row],[Degrees turned]]</f>
        <v>141.13171385670483</v>
      </c>
      <c r="F209" s="1">
        <f>Breakout[[#This Row],[Degrees turned]]</f>
        <v>144.16483251442932</v>
      </c>
      <c r="H209" s="1">
        <v>0</v>
      </c>
      <c r="I209" s="3">
        <f>Table9[[#This Row],[Hybrid]]-Table9[[#This Row],[Octane]]</f>
        <v>2.6350966755536547</v>
      </c>
      <c r="J209" s="3">
        <f>Table9[[#This Row],[Dominus]]-Table9[[#This Row],[Octane]]</f>
        <v>3.6135086815947091</v>
      </c>
      <c r="K209" s="3">
        <f>Table9[[#This Row],[Plank]]-Table9[[#This Row],[Octane]]</f>
        <v>2.3417356843653465</v>
      </c>
      <c r="L209" s="3">
        <f>Table9[[#This Row],[Batmobile]]-Table9[[#This Row],[Octane]]</f>
        <v>0.32208522313413823</v>
      </c>
      <c r="M209" s="3">
        <f>Table9[[#This Row],[Breakout]]-Table9[[#This Row],[Octane]]</f>
        <v>3.3552038808586246</v>
      </c>
      <c r="N209" s="4">
        <f>Table9[[#This Row],[Octane]]/Table9[[#This Row],[Hybrid]]</f>
        <v>0.98162988098812975</v>
      </c>
      <c r="O209" s="4">
        <f>Table9[[#This Row],[Octane]]/Table9[[#This Row],[Dominus]]</f>
        <v>0.97497971066984113</v>
      </c>
      <c r="P209" s="4">
        <f>Table9[[#This Row],[Octane]]/Table9[[#This Row],[Plank]]</f>
        <v>0.98364154127679559</v>
      </c>
      <c r="Q209" s="4">
        <f>Table9[[#This Row],[Octane]]/Table9[[#This Row],[Batmobile]]</f>
        <v>0.99771783949664805</v>
      </c>
      <c r="R209" s="4">
        <f>Table9[[#This Row],[Octane]]/Table9[[#This Row],[Breakout]]</f>
        <v>0.97672661340259381</v>
      </c>
    </row>
    <row r="210" spans="1:18">
      <c r="A210" s="1">
        <f>Octane[[#This Row],[Degrees turned]]</f>
        <v>141.75593922813292</v>
      </c>
      <c r="B210" s="1">
        <f>Hybrid[[#This Row],[Degrees turned]]</f>
        <v>144.41394111080368</v>
      </c>
      <c r="C210" s="1">
        <f>Dominus[[#This Row],[Degrees turned]]</f>
        <v>145.40091510107871</v>
      </c>
      <c r="D210" s="1">
        <f>Plank[[#This Row],[Degrees turned]]</f>
        <v>144.12175229780749</v>
      </c>
      <c r="E210" s="1">
        <f>Batmobile[[#This Row],[Degrees turned]]</f>
        <v>142.0867711983511</v>
      </c>
      <c r="F210" s="1">
        <f>Breakout[[#This Row],[Degrees turned]]</f>
        <v>145.1448224831295</v>
      </c>
      <c r="H210" s="1">
        <v>0</v>
      </c>
      <c r="I210" s="3">
        <f>Table9[[#This Row],[Hybrid]]-Table9[[#This Row],[Octane]]</f>
        <v>2.6580018826707601</v>
      </c>
      <c r="J210" s="3">
        <f>Table9[[#This Row],[Dominus]]-Table9[[#This Row],[Octane]]</f>
        <v>3.6449758729457926</v>
      </c>
      <c r="K210" s="3">
        <f>Table9[[#This Row],[Plank]]-Table9[[#This Row],[Octane]]</f>
        <v>2.3658130696745729</v>
      </c>
      <c r="L210" s="3">
        <f>Table9[[#This Row],[Batmobile]]-Table9[[#This Row],[Octane]]</f>
        <v>0.33083197021818478</v>
      </c>
      <c r="M210" s="3">
        <f>Table9[[#This Row],[Breakout]]-Table9[[#This Row],[Octane]]</f>
        <v>3.3888832549965855</v>
      </c>
      <c r="N210" s="4">
        <f>Table9[[#This Row],[Octane]]/Table9[[#This Row],[Hybrid]]</f>
        <v>0.9815945617007199</v>
      </c>
      <c r="O210" s="4">
        <f>Table9[[#This Row],[Octane]]/Table9[[#This Row],[Dominus]]</f>
        <v>0.9749315479176186</v>
      </c>
      <c r="P210" s="4">
        <f>Table9[[#This Row],[Octane]]/Table9[[#This Row],[Plank]]</f>
        <v>0.98358462180791451</v>
      </c>
      <c r="Q210" s="4">
        <f>Table9[[#This Row],[Octane]]/Table9[[#This Row],[Batmobile]]</f>
        <v>0.99767162018372313</v>
      </c>
      <c r="R210" s="4">
        <f>Table9[[#This Row],[Octane]]/Table9[[#This Row],[Breakout]]</f>
        <v>0.97665171104955895</v>
      </c>
    </row>
    <row r="211" spans="1:18">
      <c r="A211" s="1">
        <f>Octane[[#This Row],[Degrees turned]]</f>
        <v>142.70241072758995</v>
      </c>
      <c r="B211" s="1">
        <f>Hybrid[[#This Row],[Degrees turned]]</f>
        <v>145.3832191636134</v>
      </c>
      <c r="C211" s="1">
        <f>Dominus[[#This Row],[Degrees turned]]</f>
        <v>146.37817232985131</v>
      </c>
      <c r="D211" s="1">
        <f>Plank[[#This Row],[Degrees turned]]</f>
        <v>145.09200838551382</v>
      </c>
      <c r="E211" s="1">
        <f>Batmobile[[#This Row],[Degrees turned]]</f>
        <v>143.04234394146604</v>
      </c>
      <c r="F211" s="1">
        <f>Breakout[[#This Row],[Degrees turned]]</f>
        <v>146.12489704137346</v>
      </c>
      <c r="H211" s="1">
        <v>0</v>
      </c>
      <c r="I211" s="3">
        <f>Table9[[#This Row],[Hybrid]]-Table9[[#This Row],[Octane]]</f>
        <v>2.6808084360234545</v>
      </c>
      <c r="J211" s="3">
        <f>Table9[[#This Row],[Dominus]]-Table9[[#This Row],[Octane]]</f>
        <v>3.6757616022613604</v>
      </c>
      <c r="K211" s="3">
        <f>Table9[[#This Row],[Plank]]-Table9[[#This Row],[Octane]]</f>
        <v>2.389597657923872</v>
      </c>
      <c r="L211" s="3">
        <f>Table9[[#This Row],[Batmobile]]-Table9[[#This Row],[Octane]]</f>
        <v>0.33993321387609399</v>
      </c>
      <c r="M211" s="3">
        <f>Table9[[#This Row],[Breakout]]-Table9[[#This Row],[Octane]]</f>
        <v>3.4224863137835086</v>
      </c>
      <c r="N211" s="4">
        <f>Table9[[#This Row],[Octane]]/Table9[[#This Row],[Hybrid]]</f>
        <v>0.98156039980785892</v>
      </c>
      <c r="O211" s="4">
        <f>Table9[[#This Row],[Octane]]/Table9[[#This Row],[Dominus]]</f>
        <v>0.97488859476959222</v>
      </c>
      <c r="P211" s="4">
        <f>Table9[[#This Row],[Octane]]/Table9[[#This Row],[Plank]]</f>
        <v>0.9835304667395971</v>
      </c>
      <c r="Q211" s="4">
        <f>Table9[[#This Row],[Octane]]/Table9[[#This Row],[Batmobile]]</f>
        <v>0.99762354835282063</v>
      </c>
      <c r="R211" s="4">
        <f>Table9[[#This Row],[Octane]]/Table9[[#This Row],[Breakout]]</f>
        <v>0.97657834918566633</v>
      </c>
    </row>
    <row r="212" spans="1:18">
      <c r="A212" s="1">
        <f>Octane[[#This Row],[Degrees turned]]</f>
        <v>143.64923464805648</v>
      </c>
      <c r="B212" s="1">
        <f>Hybrid[[#This Row],[Degrees turned]]</f>
        <v>146.35245937495185</v>
      </c>
      <c r="C212" s="1">
        <f>Dominus[[#This Row],[Degrees turned]]</f>
        <v>147.35548882480541</v>
      </c>
      <c r="D212" s="1">
        <f>Plank[[#This Row],[Degrees turned]]</f>
        <v>146.06234408840427</v>
      </c>
      <c r="E212" s="1">
        <f>Batmobile[[#This Row],[Degrees turned]]</f>
        <v>143.99761796019294</v>
      </c>
      <c r="F212" s="1">
        <f>Breakout[[#This Row],[Degrees turned]]</f>
        <v>147.10462255688751</v>
      </c>
      <c r="H212" s="1">
        <v>0</v>
      </c>
      <c r="I212" s="3">
        <f>Table9[[#This Row],[Hybrid]]-Table9[[#This Row],[Octane]]</f>
        <v>2.7032247268953711</v>
      </c>
      <c r="J212" s="3">
        <f>Table9[[#This Row],[Dominus]]-Table9[[#This Row],[Octane]]</f>
        <v>3.7062541767489279</v>
      </c>
      <c r="K212" s="3">
        <f>Table9[[#This Row],[Plank]]-Table9[[#This Row],[Octane]]</f>
        <v>2.413109440347796</v>
      </c>
      <c r="L212" s="3">
        <f>Table9[[#This Row],[Batmobile]]-Table9[[#This Row],[Octane]]</f>
        <v>0.34838331213646256</v>
      </c>
      <c r="M212" s="3">
        <f>Table9[[#This Row],[Breakout]]-Table9[[#This Row],[Octane]]</f>
        <v>3.4553879088310282</v>
      </c>
      <c r="N212" s="4">
        <f>Table9[[#This Row],[Octane]]/Table9[[#This Row],[Hybrid]]</f>
        <v>0.98152935223336579</v>
      </c>
      <c r="O212" s="4">
        <f>Table9[[#This Row],[Octane]]/Table9[[#This Row],[Dominus]]</f>
        <v>0.97484821090610763</v>
      </c>
      <c r="P212" s="4">
        <f>Table9[[#This Row],[Octane]]/Table9[[#This Row],[Plank]]</f>
        <v>0.98347890789095338</v>
      </c>
      <c r="Q212" s="4">
        <f>Table9[[#This Row],[Octane]]/Table9[[#This Row],[Batmobile]]</f>
        <v>0.99758063142243947</v>
      </c>
      <c r="R212" s="4">
        <f>Table9[[#This Row],[Octane]]/Table9[[#This Row],[Breakout]]</f>
        <v>0.97651067757918497</v>
      </c>
    </row>
    <row r="213" spans="1:18">
      <c r="A213" s="1">
        <f>Octane[[#This Row],[Degrees turned]]</f>
        <v>144.5957962732929</v>
      </c>
      <c r="B213" s="1">
        <f>Hybrid[[#This Row],[Degrees turned]]</f>
        <v>147.32206110386522</v>
      </c>
      <c r="C213" s="1">
        <f>Dominus[[#This Row],[Degrees turned]]</f>
        <v>148.3332632405064</v>
      </c>
      <c r="D213" s="1">
        <f>Plank[[#This Row],[Degrees turned]]</f>
        <v>147.03300021365945</v>
      </c>
      <c r="E213" s="1">
        <f>Batmobile[[#This Row],[Degrees turned]]</f>
        <v>144.95351444609057</v>
      </c>
      <c r="F213" s="1">
        <f>Breakout[[#This Row],[Degrees turned]]</f>
        <v>148.08457890641961</v>
      </c>
      <c r="H213" s="1">
        <v>0</v>
      </c>
      <c r="I213" s="3">
        <f>Table9[[#This Row],[Hybrid]]-Table9[[#This Row],[Octane]]</f>
        <v>2.7262648305723189</v>
      </c>
      <c r="J213" s="3">
        <f>Table9[[#This Row],[Dominus]]-Table9[[#This Row],[Octane]]</f>
        <v>3.7374669672134928</v>
      </c>
      <c r="K213" s="3">
        <f>Table9[[#This Row],[Plank]]-Table9[[#This Row],[Octane]]</f>
        <v>2.437203940366544</v>
      </c>
      <c r="L213" s="3">
        <f>Table9[[#This Row],[Batmobile]]-Table9[[#This Row],[Octane]]</f>
        <v>0.35771817279766083</v>
      </c>
      <c r="M213" s="3">
        <f>Table9[[#This Row],[Breakout]]-Table9[[#This Row],[Octane]]</f>
        <v>3.4887826331267036</v>
      </c>
      <c r="N213" s="4">
        <f>Table9[[#This Row],[Octane]]/Table9[[#This Row],[Hybrid]]</f>
        <v>0.98149452424066863</v>
      </c>
      <c r="O213" s="4">
        <f>Table9[[#This Row],[Octane]]/Table9[[#This Row],[Dominus]]</f>
        <v>0.97480358157324709</v>
      </c>
      <c r="P213" s="4">
        <f>Table9[[#This Row],[Octane]]/Table9[[#This Row],[Plank]]</f>
        <v>0.98342410250198975</v>
      </c>
      <c r="Q213" s="4">
        <f>Table9[[#This Row],[Octane]]/Table9[[#This Row],[Batmobile]]</f>
        <v>0.99753218696238855</v>
      </c>
      <c r="R213" s="4">
        <f>Table9[[#This Row],[Octane]]/Table9[[#This Row],[Breakout]]</f>
        <v>0.97644060807080124</v>
      </c>
    </row>
    <row r="214" spans="1:18">
      <c r="A214" s="1">
        <f>Octane[[#This Row],[Degrees turned]]</f>
        <v>145.54267423299768</v>
      </c>
      <c r="B214" s="1">
        <f>Hybrid[[#This Row],[Degrees turned]]</f>
        <v>148.29159628433132</v>
      </c>
      <c r="C214" s="1">
        <f>Dominus[[#This Row],[Degrees turned]]</f>
        <v>149.31106015727923</v>
      </c>
      <c r="D214" s="1">
        <f>Plank[[#This Row],[Degrees turned]]</f>
        <v>148.00355465103419</v>
      </c>
      <c r="E214" s="1">
        <f>Batmobile[[#This Row],[Degrees turned]]</f>
        <v>145.90924622249486</v>
      </c>
      <c r="F214" s="1">
        <f>Breakout[[#This Row],[Degrees turned]]</f>
        <v>149.0649917106262</v>
      </c>
      <c r="H214" s="1">
        <v>0</v>
      </c>
      <c r="I214" s="3">
        <f>Table9[[#This Row],[Hybrid]]-Table9[[#This Row],[Octane]]</f>
        <v>2.7489220513336363</v>
      </c>
      <c r="J214" s="3">
        <f>Table9[[#This Row],[Dominus]]-Table9[[#This Row],[Octane]]</f>
        <v>3.7683859242815458</v>
      </c>
      <c r="K214" s="3">
        <f>Table9[[#This Row],[Plank]]-Table9[[#This Row],[Octane]]</f>
        <v>2.4608804180365098</v>
      </c>
      <c r="L214" s="3">
        <f>Table9[[#This Row],[Batmobile]]-Table9[[#This Row],[Octane]]</f>
        <v>0.3665719894971744</v>
      </c>
      <c r="M214" s="3">
        <f>Table9[[#This Row],[Breakout]]-Table9[[#This Row],[Octane]]</f>
        <v>3.5223174776285191</v>
      </c>
      <c r="N214" s="4">
        <f>Table9[[#This Row],[Octane]]/Table9[[#This Row],[Hybrid]]</f>
        <v>0.98146272533163037</v>
      </c>
      <c r="O214" s="4">
        <f>Table9[[#This Row],[Octane]]/Table9[[#This Row],[Dominus]]</f>
        <v>0.97476150848897558</v>
      </c>
      <c r="P214" s="4">
        <f>Table9[[#This Row],[Octane]]/Table9[[#This Row],[Plank]]</f>
        <v>0.98337282895779887</v>
      </c>
      <c r="Q214" s="4">
        <f>Table9[[#This Row],[Octane]]/Table9[[#This Row],[Batmobile]]</f>
        <v>0.99748767128206395</v>
      </c>
      <c r="R214" s="4">
        <f>Table9[[#This Row],[Octane]]/Table9[[#This Row],[Breakout]]</f>
        <v>0.97637059220137845</v>
      </c>
    </row>
    <row r="215" spans="1:18">
      <c r="A215" s="1">
        <f>Octane[[#This Row],[Degrees turned]]</f>
        <v>146.48942205091862</v>
      </c>
      <c r="B215" s="1">
        <f>Hybrid[[#This Row],[Degrees turned]]</f>
        <v>149.26048272637979</v>
      </c>
      <c r="C215" s="1">
        <f>Dominus[[#This Row],[Degrees turned]]</f>
        <v>150.28814779785802</v>
      </c>
      <c r="D215" s="1">
        <f>Plank[[#This Row],[Degrees turned]]</f>
        <v>148.97455495950638</v>
      </c>
      <c r="E215" s="1">
        <f>Batmobile[[#This Row],[Degrees turned]]</f>
        <v>146.86472643966448</v>
      </c>
      <c r="F215" s="1">
        <f>Breakout[[#This Row],[Degrees turned]]</f>
        <v>150.04463164328283</v>
      </c>
      <c r="H215" s="1">
        <v>0</v>
      </c>
      <c r="I215" s="3">
        <f>Table9[[#This Row],[Hybrid]]-Table9[[#This Row],[Octane]]</f>
        <v>2.7710606754611717</v>
      </c>
      <c r="J215" s="3">
        <f>Table9[[#This Row],[Dominus]]-Table9[[#This Row],[Octane]]</f>
        <v>3.7987257469393967</v>
      </c>
      <c r="K215" s="3">
        <f>Table9[[#This Row],[Plank]]-Table9[[#This Row],[Octane]]</f>
        <v>2.485132908587758</v>
      </c>
      <c r="L215" s="3">
        <f>Table9[[#This Row],[Batmobile]]-Table9[[#This Row],[Octane]]</f>
        <v>0.37530438874586025</v>
      </c>
      <c r="M215" s="3">
        <f>Table9[[#This Row],[Breakout]]-Table9[[#This Row],[Octane]]</f>
        <v>3.5552095923642071</v>
      </c>
      <c r="N215" s="4">
        <f>Table9[[#This Row],[Octane]]/Table9[[#This Row],[Hybrid]]</f>
        <v>0.98143473326063801</v>
      </c>
      <c r="O215" s="4">
        <f>Table9[[#This Row],[Octane]]/Table9[[#This Row],[Dominus]]</f>
        <v>0.97472371705552729</v>
      </c>
      <c r="P215" s="4">
        <f>Table9[[#This Row],[Octane]]/Table9[[#This Row],[Plank]]</f>
        <v>0.98331840689664585</v>
      </c>
      <c r="Q215" s="4">
        <f>Table9[[#This Row],[Octane]]/Table9[[#This Row],[Batmobile]]</f>
        <v>0.99744455732942761</v>
      </c>
      <c r="R215" s="4">
        <f>Table9[[#This Row],[Octane]]/Table9[[#This Row],[Breakout]]</f>
        <v>0.97630565283524184</v>
      </c>
    </row>
    <row r="216" spans="1:18">
      <c r="A216" s="1">
        <f>Octane[[#This Row],[Degrees turned]]</f>
        <v>147.43578463634515</v>
      </c>
      <c r="B216" s="1">
        <f>Hybrid[[#This Row],[Degrees turned]]</f>
        <v>150.22944924279261</v>
      </c>
      <c r="C216" s="1">
        <f>Dominus[[#This Row],[Degrees turned]]</f>
        <v>151.26589256651627</v>
      </c>
      <c r="D216" s="1">
        <f>Plank[[#This Row],[Degrees turned]]</f>
        <v>149.9454190309398</v>
      </c>
      <c r="E216" s="1">
        <f>Batmobile[[#This Row],[Degrees turned]]</f>
        <v>147.82018241739448</v>
      </c>
      <c r="F216" s="1">
        <f>Breakout[[#This Row],[Degrees turned]]</f>
        <v>151.02423356048666</v>
      </c>
      <c r="H216" s="1">
        <v>0</v>
      </c>
      <c r="I216" s="3">
        <f>Table9[[#This Row],[Hybrid]]-Table9[[#This Row],[Octane]]</f>
        <v>2.7936646064474644</v>
      </c>
      <c r="J216" s="3">
        <f>Table9[[#This Row],[Dominus]]-Table9[[#This Row],[Octane]]</f>
        <v>3.8301079301711241</v>
      </c>
      <c r="K216" s="3">
        <f>Table9[[#This Row],[Plank]]-Table9[[#This Row],[Octane]]</f>
        <v>2.5096343945946558</v>
      </c>
      <c r="L216" s="3">
        <f>Table9[[#This Row],[Batmobile]]-Table9[[#This Row],[Octane]]</f>
        <v>0.38439778104932998</v>
      </c>
      <c r="M216" s="3">
        <f>Table9[[#This Row],[Breakout]]-Table9[[#This Row],[Octane]]</f>
        <v>3.5884489241415167</v>
      </c>
      <c r="N216" s="4">
        <f>Table9[[#This Row],[Octane]]/Table9[[#This Row],[Hybrid]]</f>
        <v>0.98140401485508677</v>
      </c>
      <c r="O216" s="4">
        <f>Table9[[#This Row],[Octane]]/Table9[[#This Row],[Dominus]]</f>
        <v>0.97467963289551929</v>
      </c>
      <c r="P216" s="4">
        <f>Table9[[#This Row],[Octane]]/Table9[[#This Row],[Plank]]</f>
        <v>0.98326301389656445</v>
      </c>
      <c r="Q216" s="4">
        <f>Table9[[#This Row],[Octane]]/Table9[[#This Row],[Batmobile]]</f>
        <v>0.99739955820130222</v>
      </c>
      <c r="R216" s="4">
        <f>Table9[[#This Row],[Octane]]/Table9[[#This Row],[Breakout]]</f>
        <v>0.97623925088350605</v>
      </c>
    </row>
    <row r="217" spans="1:18">
      <c r="A217" s="1">
        <f>Octane[[#This Row],[Degrees turned]]</f>
        <v>148.3819899770491</v>
      </c>
      <c r="B217" s="1">
        <f>Hybrid[[#This Row],[Degrees turned]]</f>
        <v>151.19904200966266</v>
      </c>
      <c r="C217" s="1">
        <f>Dominus[[#This Row],[Degrees turned]]</f>
        <v>152.24323253171758</v>
      </c>
      <c r="D217" s="1">
        <f>Plank[[#This Row],[Degrees turned]]</f>
        <v>150.91637917087655</v>
      </c>
      <c r="E217" s="1">
        <f>Batmobile[[#This Row],[Degrees turned]]</f>
        <v>148.77568324362755</v>
      </c>
      <c r="F217" s="1">
        <f>Breakout[[#This Row],[Degrees turned]]</f>
        <v>152.00449810444411</v>
      </c>
      <c r="H217" s="1">
        <v>0</v>
      </c>
      <c r="I217" s="3">
        <f>Table9[[#This Row],[Hybrid]]-Table9[[#This Row],[Octane]]</f>
        <v>2.8170520326135602</v>
      </c>
      <c r="J217" s="3">
        <f>Table9[[#This Row],[Dominus]]-Table9[[#This Row],[Octane]]</f>
        <v>3.861242554668479</v>
      </c>
      <c r="K217" s="3">
        <f>Table9[[#This Row],[Plank]]-Table9[[#This Row],[Octane]]</f>
        <v>2.534389193827451</v>
      </c>
      <c r="L217" s="3">
        <f>Table9[[#This Row],[Batmobile]]-Table9[[#This Row],[Octane]]</f>
        <v>0.39369326657845249</v>
      </c>
      <c r="M217" s="3">
        <f>Table9[[#This Row],[Breakout]]-Table9[[#This Row],[Octane]]</f>
        <v>3.6225081273950082</v>
      </c>
      <c r="N217" s="4">
        <f>Table9[[#This Row],[Octane]]/Table9[[#This Row],[Hybrid]]</f>
        <v>0.98136858544094785</v>
      </c>
      <c r="O217" s="4">
        <f>Table9[[#This Row],[Octane]]/Table9[[#This Row],[Dominus]]</f>
        <v>0.97463767360651621</v>
      </c>
      <c r="P217" s="4">
        <f>Table9[[#This Row],[Octane]]/Table9[[#This Row],[Plank]]</f>
        <v>0.98320666578570726</v>
      </c>
      <c r="Q217" s="4">
        <f>Table9[[#This Row],[Octane]]/Table9[[#This Row],[Batmobile]]</f>
        <v>0.99735377947528048</v>
      </c>
      <c r="R217" s="4">
        <f>Table9[[#This Row],[Octane]]/Table9[[#This Row],[Breakout]]</f>
        <v>0.9761684149313401</v>
      </c>
    </row>
    <row r="218" spans="1:18">
      <c r="A218" s="1">
        <f>Octane[[#This Row],[Degrees turned]]</f>
        <v>149.32875515224521</v>
      </c>
      <c r="B218" s="1">
        <f>Hybrid[[#This Row],[Degrees turned]]</f>
        <v>152.1683617145631</v>
      </c>
      <c r="C218" s="1">
        <f>Dominus[[#This Row],[Degrees turned]]</f>
        <v>153.22041674655472</v>
      </c>
      <c r="D218" s="1">
        <f>Plank[[#This Row],[Degrees turned]]</f>
        <v>151.88718229116648</v>
      </c>
      <c r="E218" s="1">
        <f>Batmobile[[#This Row],[Degrees turned]]</f>
        <v>149.730809239081</v>
      </c>
      <c r="F218" s="1">
        <f>Breakout[[#This Row],[Degrees turned]]</f>
        <v>152.98437577208333</v>
      </c>
      <c r="H218" s="1">
        <v>0</v>
      </c>
      <c r="I218" s="3">
        <f>Table9[[#This Row],[Hybrid]]-Table9[[#This Row],[Octane]]</f>
        <v>2.839606562317897</v>
      </c>
      <c r="J218" s="3">
        <f>Table9[[#This Row],[Dominus]]-Table9[[#This Row],[Octane]]</f>
        <v>3.891661594309511</v>
      </c>
      <c r="K218" s="3">
        <f>Table9[[#This Row],[Plank]]-Table9[[#This Row],[Octane]]</f>
        <v>2.5584271389212745</v>
      </c>
      <c r="L218" s="3">
        <f>Table9[[#This Row],[Batmobile]]-Table9[[#This Row],[Octane]]</f>
        <v>0.4020540868357898</v>
      </c>
      <c r="M218" s="3">
        <f>Table9[[#This Row],[Breakout]]-Table9[[#This Row],[Octane]]</f>
        <v>3.6556206198381176</v>
      </c>
      <c r="N218" s="4">
        <f>Table9[[#This Row],[Octane]]/Table9[[#This Row],[Hybrid]]</f>
        <v>0.98133904755021006</v>
      </c>
      <c r="O218" s="4">
        <f>Table9[[#This Row],[Octane]]/Table9[[#This Row],[Dominus]]</f>
        <v>0.97460089407832118</v>
      </c>
      <c r="P218" s="4">
        <f>Table9[[#This Row],[Octane]]/Table9[[#This Row],[Plank]]</f>
        <v>0.98315574033089381</v>
      </c>
      <c r="Q218" s="4">
        <f>Table9[[#This Row],[Octane]]/Table9[[#This Row],[Batmobile]]</f>
        <v>0.99731482058449428</v>
      </c>
      <c r="R218" s="4">
        <f>Table9[[#This Row],[Octane]]/Table9[[#This Row],[Breakout]]</f>
        <v>0.97610461459617104</v>
      </c>
    </row>
    <row r="219" spans="1:18">
      <c r="A219" s="1">
        <f>Octane[[#This Row],[Degrees turned]]</f>
        <v>150.27549035073397</v>
      </c>
      <c r="B219" s="1">
        <f>Hybrid[[#This Row],[Degrees turned]]</f>
        <v>153.13764108506109</v>
      </c>
      <c r="C219" s="1">
        <f>Dominus[[#This Row],[Degrees turned]]</f>
        <v>154.1982888371094</v>
      </c>
      <c r="D219" s="1">
        <f>Plank[[#This Row],[Degrees turned]]</f>
        <v>152.85790542153995</v>
      </c>
      <c r="E219" s="1">
        <f>Batmobile[[#This Row],[Degrees turned]]</f>
        <v>150.6864354343937</v>
      </c>
      <c r="F219" s="1">
        <f>Breakout[[#This Row],[Degrees turned]]</f>
        <v>153.96410761295198</v>
      </c>
      <c r="H219" s="1">
        <v>0</v>
      </c>
      <c r="I219" s="3">
        <f>Table9[[#This Row],[Hybrid]]-Table9[[#This Row],[Octane]]</f>
        <v>2.8621507343271162</v>
      </c>
      <c r="J219" s="3">
        <f>Table9[[#This Row],[Dominus]]-Table9[[#This Row],[Octane]]</f>
        <v>3.9227984863754273</v>
      </c>
      <c r="K219" s="3">
        <f>Table9[[#This Row],[Plank]]-Table9[[#This Row],[Octane]]</f>
        <v>2.582415070805979</v>
      </c>
      <c r="L219" s="3">
        <f>Table9[[#This Row],[Batmobile]]-Table9[[#This Row],[Octane]]</f>
        <v>0.41094508365972615</v>
      </c>
      <c r="M219" s="3">
        <f>Table9[[#This Row],[Breakout]]-Table9[[#This Row],[Octane]]</f>
        <v>3.6886172622180027</v>
      </c>
      <c r="N219" s="4">
        <f>Table9[[#This Row],[Octane]]/Table9[[#This Row],[Hybrid]]</f>
        <v>0.98130994630681745</v>
      </c>
      <c r="O219" s="4">
        <f>Table9[[#This Row],[Octane]]/Table9[[#This Row],[Dominus]]</f>
        <v>0.97456003879187425</v>
      </c>
      <c r="P219" s="4">
        <f>Table9[[#This Row],[Octane]]/Table9[[#This Row],[Plank]]</f>
        <v>0.98310578007932015</v>
      </c>
      <c r="Q219" s="4">
        <f>Table9[[#This Row],[Octane]]/Table9[[#This Row],[Batmobile]]</f>
        <v>0.99727284620891676</v>
      </c>
      <c r="R219" s="4">
        <f>Table9[[#This Row],[Octane]]/Table9[[#This Row],[Breakout]]</f>
        <v>0.97604235610879675</v>
      </c>
    </row>
    <row r="220" spans="1:18">
      <c r="A220" s="1">
        <f>Octane[[#This Row],[Degrees turned]]</f>
        <v>151.2224182207583</v>
      </c>
      <c r="B220" s="1">
        <f>Hybrid[[#This Row],[Degrees turned]]</f>
        <v>154.10696246877205</v>
      </c>
      <c r="C220" s="1">
        <f>Dominus[[#This Row],[Degrees turned]]</f>
        <v>155.17597513605241</v>
      </c>
      <c r="D220" s="1">
        <f>Plank[[#This Row],[Degrees turned]]</f>
        <v>153.82846145399424</v>
      </c>
      <c r="E220" s="1">
        <f>Batmobile[[#This Row],[Degrees turned]]</f>
        <v>151.64197948541187</v>
      </c>
      <c r="F220" s="1">
        <f>Breakout[[#This Row],[Degrees turned]]</f>
        <v>154.94454228858464</v>
      </c>
      <c r="H220" s="1">
        <v>0</v>
      </c>
      <c r="I220" s="3">
        <f>Table9[[#This Row],[Hybrid]]-Table9[[#This Row],[Octane]]</f>
        <v>2.8845442480137535</v>
      </c>
      <c r="J220" s="3">
        <f>Table9[[#This Row],[Dominus]]-Table9[[#This Row],[Octane]]</f>
        <v>3.953556915294115</v>
      </c>
      <c r="K220" s="3">
        <f>Table9[[#This Row],[Plank]]-Table9[[#This Row],[Octane]]</f>
        <v>2.6060432332359369</v>
      </c>
      <c r="L220" s="3">
        <f>Table9[[#This Row],[Batmobile]]-Table9[[#This Row],[Octane]]</f>
        <v>0.41956126465356647</v>
      </c>
      <c r="M220" s="3">
        <f>Table9[[#This Row],[Breakout]]-Table9[[#This Row],[Octane]]</f>
        <v>3.7221240678263428</v>
      </c>
      <c r="N220" s="4">
        <f>Table9[[#This Row],[Octane]]/Table9[[#This Row],[Hybrid]]</f>
        <v>0.98128219386195303</v>
      </c>
      <c r="O220" s="4">
        <f>Table9[[#This Row],[Octane]]/Table9[[#This Row],[Dominus]]</f>
        <v>0.97452210684142448</v>
      </c>
      <c r="P220" s="4">
        <f>Table9[[#This Row],[Octane]]/Table9[[#This Row],[Plank]]</f>
        <v>0.98305877073329939</v>
      </c>
      <c r="Q220" s="4">
        <f>Table9[[#This Row],[Octane]]/Table9[[#This Row],[Batmobile]]</f>
        <v>0.99723321163389367</v>
      </c>
      <c r="R220" s="4">
        <f>Table9[[#This Row],[Octane]]/Table9[[#This Row],[Breakout]]</f>
        <v>0.97597770135785822</v>
      </c>
    </row>
    <row r="221" spans="1:18">
      <c r="A221" s="1">
        <f>Octane[[#This Row],[Degrees turned]]</f>
        <v>152.16849136057039</v>
      </c>
      <c r="B221" s="1">
        <f>Hybrid[[#This Row],[Degrees turned]]</f>
        <v>155.0762150611159</v>
      </c>
      <c r="C221" s="1">
        <f>Dominus[[#This Row],[Degrees turned]]</f>
        <v>156.15371554015869</v>
      </c>
      <c r="D221" s="1">
        <f>Plank[[#This Row],[Degrees turned]]</f>
        <v>154.79892060099627</v>
      </c>
      <c r="E221" s="1">
        <f>Batmobile[[#This Row],[Degrees turned]]</f>
        <v>152.59750733786123</v>
      </c>
      <c r="F221" s="1">
        <f>Breakout[[#This Row],[Degrees turned]]</f>
        <v>155.92480819262212</v>
      </c>
      <c r="H221" s="1">
        <v>0</v>
      </c>
      <c r="I221" s="3">
        <f>Table9[[#This Row],[Hybrid]]-Table9[[#This Row],[Octane]]</f>
        <v>2.9077237005455174</v>
      </c>
      <c r="J221" s="3">
        <f>Table9[[#This Row],[Dominus]]-Table9[[#This Row],[Octane]]</f>
        <v>3.9852241795883003</v>
      </c>
      <c r="K221" s="3">
        <f>Table9[[#This Row],[Plank]]-Table9[[#This Row],[Octane]]</f>
        <v>2.6304292404258831</v>
      </c>
      <c r="L221" s="3">
        <f>Table9[[#This Row],[Batmobile]]-Table9[[#This Row],[Octane]]</f>
        <v>0.42901597729084529</v>
      </c>
      <c r="M221" s="3">
        <f>Table9[[#This Row],[Breakout]]-Table9[[#This Row],[Octane]]</f>
        <v>3.7563168320517377</v>
      </c>
      <c r="N221" s="4">
        <f>Table9[[#This Row],[Octane]]/Table9[[#This Row],[Hybrid]]</f>
        <v>0.98124971196002186</v>
      </c>
      <c r="O221" s="4">
        <f>Table9[[#This Row],[Octane]]/Table9[[#This Row],[Dominus]]</f>
        <v>0.97447883858669115</v>
      </c>
      <c r="P221" s="4">
        <f>Table9[[#This Row],[Octane]]/Table9[[#This Row],[Plank]]</f>
        <v>0.98300744455960398</v>
      </c>
      <c r="Q221" s="4">
        <f>Table9[[#This Row],[Octane]]/Table9[[#This Row],[Batmobile]]</f>
        <v>0.99718857807853323</v>
      </c>
      <c r="R221" s="4">
        <f>Table9[[#This Row],[Octane]]/Table9[[#This Row],[Breakout]]</f>
        <v>0.97590943432547717</v>
      </c>
    </row>
    <row r="222" spans="1:18">
      <c r="A222" s="1">
        <f>Octane[[#This Row],[Degrees turned]]</f>
        <v>153.11505017521438</v>
      </c>
      <c r="B222" s="1">
        <f>Hybrid[[#This Row],[Degrees turned]]</f>
        <v>156.04547954773838</v>
      </c>
      <c r="C222" s="1">
        <f>Dominus[[#This Row],[Degrees turned]]</f>
        <v>157.13156514620985</v>
      </c>
      <c r="D222" s="1">
        <f>Plank[[#This Row],[Degrees turned]]</f>
        <v>155.76951361565671</v>
      </c>
      <c r="E222" s="1">
        <f>Batmobile[[#This Row],[Degrees turned]]</f>
        <v>153.55324647858706</v>
      </c>
      <c r="F222" s="1">
        <f>Breakout[[#This Row],[Degrees turned]]</f>
        <v>156.90513165457259</v>
      </c>
      <c r="H222" s="1">
        <v>0</v>
      </c>
      <c r="I222" s="3">
        <f>Table9[[#This Row],[Hybrid]]-Table9[[#This Row],[Octane]]</f>
        <v>2.9304293725240029</v>
      </c>
      <c r="J222" s="3">
        <f>Table9[[#This Row],[Dominus]]-Table9[[#This Row],[Octane]]</f>
        <v>4.0165149709954733</v>
      </c>
      <c r="K222" s="3">
        <f>Table9[[#This Row],[Plank]]-Table9[[#This Row],[Octane]]</f>
        <v>2.6544634404423277</v>
      </c>
      <c r="L222" s="3">
        <f>Table9[[#This Row],[Batmobile]]-Table9[[#This Row],[Octane]]</f>
        <v>0.43819630337267768</v>
      </c>
      <c r="M222" s="3">
        <f>Table9[[#This Row],[Breakout]]-Table9[[#This Row],[Octane]]</f>
        <v>3.7900814793582072</v>
      </c>
      <c r="N222" s="4">
        <f>Table9[[#This Row],[Octane]]/Table9[[#This Row],[Hybrid]]</f>
        <v>0.98122067117216616</v>
      </c>
      <c r="O222" s="4">
        <f>Table9[[#This Row],[Octane]]/Table9[[#This Row],[Dominus]]</f>
        <v>0.97443852247472917</v>
      </c>
      <c r="P222" s="4">
        <f>Table9[[#This Row],[Octane]]/Table9[[#This Row],[Plank]]</f>
        <v>0.98295903107849514</v>
      </c>
      <c r="Q222" s="4">
        <f>Table9[[#This Row],[Octane]]/Table9[[#This Row],[Batmobile]]</f>
        <v>0.99714629085726436</v>
      </c>
      <c r="R222" s="4">
        <f>Table9[[#This Row],[Octane]]/Table9[[#This Row],[Breakout]]</f>
        <v>0.9758447576609407</v>
      </c>
    </row>
    <row r="223" spans="1:18">
      <c r="A223" s="1">
        <f>Octane[[#This Row],[Degrees turned]]</f>
        <v>154.06167634232361</v>
      </c>
      <c r="B223" s="1">
        <f>Hybrid[[#This Row],[Degrees turned]]</f>
        <v>157.01498497663113</v>
      </c>
      <c r="C223" s="1">
        <f>Dominus[[#This Row],[Degrees turned]]</f>
        <v>158.10854202485956</v>
      </c>
      <c r="D223" s="1">
        <f>Plank[[#This Row],[Degrees turned]]</f>
        <v>156.74029816511296</v>
      </c>
      <c r="E223" s="1">
        <f>Batmobile[[#This Row],[Degrees turned]]</f>
        <v>154.50848739750117</v>
      </c>
      <c r="F223" s="1">
        <f>Breakout[[#This Row],[Degrees turned]]</f>
        <v>157.88543265508275</v>
      </c>
      <c r="H223" s="1">
        <v>0</v>
      </c>
      <c r="I223" s="3">
        <f>Table9[[#This Row],[Hybrid]]-Table9[[#This Row],[Octane]]</f>
        <v>2.9533086343075183</v>
      </c>
      <c r="J223" s="3">
        <f>Table9[[#This Row],[Dominus]]-Table9[[#This Row],[Octane]]</f>
        <v>4.0468656825359517</v>
      </c>
      <c r="K223" s="3">
        <f>Table9[[#This Row],[Plank]]-Table9[[#This Row],[Octane]]</f>
        <v>2.6786218227893528</v>
      </c>
      <c r="L223" s="3">
        <f>Table9[[#This Row],[Batmobile]]-Table9[[#This Row],[Octane]]</f>
        <v>0.44681105517756237</v>
      </c>
      <c r="M223" s="3">
        <f>Table9[[#This Row],[Breakout]]-Table9[[#This Row],[Octane]]</f>
        <v>3.8237563127591443</v>
      </c>
      <c r="N223" s="4">
        <f>Table9[[#This Row],[Octane]]/Table9[[#This Row],[Hybrid]]</f>
        <v>0.98119091222568933</v>
      </c>
      <c r="O223" s="4">
        <f>Table9[[#This Row],[Octane]]/Table9[[#This Row],[Dominus]]</f>
        <v>0.97440450951790036</v>
      </c>
      <c r="P223" s="4">
        <f>Table9[[#This Row],[Octane]]/Table9[[#This Row],[Plank]]</f>
        <v>0.98291044578741549</v>
      </c>
      <c r="Q223" s="4">
        <f>Table9[[#This Row],[Octane]]/Table9[[#This Row],[Batmobile]]</f>
        <v>0.99710817792146222</v>
      </c>
      <c r="R223" s="4">
        <f>Table9[[#This Row],[Octane]]/Table9[[#This Row],[Breakout]]</f>
        <v>0.97578144957101554</v>
      </c>
    </row>
    <row r="224" spans="1:18">
      <c r="A224" s="1">
        <f>Octane[[#This Row],[Degrees turned]]</f>
        <v>155.00797012479799</v>
      </c>
      <c r="B224" s="1">
        <f>Hybrid[[#This Row],[Degrees turned]]</f>
        <v>157.98405046563332</v>
      </c>
      <c r="C224" s="1">
        <f>Dominus[[#This Row],[Degrees turned]]</f>
        <v>159.08594702137424</v>
      </c>
      <c r="D224" s="1">
        <f>Plank[[#This Row],[Degrees turned]]</f>
        <v>157.71119802038658</v>
      </c>
      <c r="E224" s="1">
        <f>Batmobile[[#This Row],[Degrees turned]]</f>
        <v>155.46390693142794</v>
      </c>
      <c r="F224" s="1">
        <f>Breakout[[#This Row],[Degrees turned]]</f>
        <v>158.8651996017856</v>
      </c>
      <c r="H224" s="1">
        <v>0</v>
      </c>
      <c r="I224" s="3">
        <f>Table9[[#This Row],[Hybrid]]-Table9[[#This Row],[Octane]]</f>
        <v>2.976080340835324</v>
      </c>
      <c r="J224" s="3">
        <f>Table9[[#This Row],[Dominus]]-Table9[[#This Row],[Octane]]</f>
        <v>4.0779768965762457</v>
      </c>
      <c r="K224" s="3">
        <f>Table9[[#This Row],[Plank]]-Table9[[#This Row],[Octane]]</f>
        <v>2.7032278955885829</v>
      </c>
      <c r="L224" s="3">
        <f>Table9[[#This Row],[Batmobile]]-Table9[[#This Row],[Octane]]</f>
        <v>0.45593680662994984</v>
      </c>
      <c r="M224" s="3">
        <f>Table9[[#This Row],[Breakout]]-Table9[[#This Row],[Octane]]</f>
        <v>3.8572294769876123</v>
      </c>
      <c r="N224" s="4">
        <f>Table9[[#This Row],[Octane]]/Table9[[#This Row],[Hybrid]]</f>
        <v>0.98116214686189018</v>
      </c>
      <c r="O224" s="4">
        <f>Table9[[#This Row],[Octane]]/Table9[[#This Row],[Dominus]]</f>
        <v>0.97436620284236453</v>
      </c>
      <c r="P224" s="4">
        <f>Table9[[#This Row],[Octane]]/Table9[[#This Row],[Plank]]</f>
        <v>0.98285963248317254</v>
      </c>
      <c r="Q224" s="4">
        <f>Table9[[#This Row],[Octane]]/Table9[[#This Row],[Batmobile]]</f>
        <v>0.99706724978402184</v>
      </c>
      <c r="R224" s="4">
        <f>Table9[[#This Row],[Octane]]/Table9[[#This Row],[Breakout]]</f>
        <v>0.97572011059277797</v>
      </c>
    </row>
    <row r="225" spans="1:18">
      <c r="A225" s="1">
        <f>Octane[[#This Row],[Degrees turned]]</f>
        <v>155.95478039876923</v>
      </c>
      <c r="B225" s="1">
        <f>Hybrid[[#This Row],[Degrees turned]]</f>
        <v>158.95315398512645</v>
      </c>
      <c r="C225" s="1">
        <f>Dominus[[#This Row],[Degrees turned]]</f>
        <v>160.06336438478058</v>
      </c>
      <c r="D225" s="1">
        <f>Plank[[#This Row],[Degrees turned]]</f>
        <v>158.68167564850751</v>
      </c>
      <c r="E225" s="1">
        <f>Batmobile[[#This Row],[Degrees turned]]</f>
        <v>156.41957090175092</v>
      </c>
      <c r="F225" s="1">
        <f>Breakout[[#This Row],[Degrees turned]]</f>
        <v>159.84508355931004</v>
      </c>
      <c r="H225" s="1">
        <v>0</v>
      </c>
      <c r="I225" s="3">
        <f>Table9[[#This Row],[Hybrid]]-Table9[[#This Row],[Octane]]</f>
        <v>2.9983735863572178</v>
      </c>
      <c r="J225" s="3">
        <f>Table9[[#This Row],[Dominus]]-Table9[[#This Row],[Octane]]</f>
        <v>4.1085839860113538</v>
      </c>
      <c r="K225" s="3">
        <f>Table9[[#This Row],[Plank]]-Table9[[#This Row],[Octane]]</f>
        <v>2.726895249738277</v>
      </c>
      <c r="L225" s="3">
        <f>Table9[[#This Row],[Batmobile]]-Table9[[#This Row],[Octane]]</f>
        <v>0.46479050298168545</v>
      </c>
      <c r="M225" s="3">
        <f>Table9[[#This Row],[Breakout]]-Table9[[#This Row],[Octane]]</f>
        <v>3.8903031605408103</v>
      </c>
      <c r="N225" s="4">
        <f>Table9[[#This Row],[Octane]]/Table9[[#This Row],[Hybrid]]</f>
        <v>0.98113674682644059</v>
      </c>
      <c r="O225" s="4">
        <f>Table9[[#This Row],[Octane]]/Table9[[#This Row],[Dominus]]</f>
        <v>0.9743315155107285</v>
      </c>
      <c r="P225" s="4">
        <f>Table9[[#This Row],[Octane]]/Table9[[#This Row],[Plank]]</f>
        <v>0.98281531097655805</v>
      </c>
      <c r="Q225" s="4">
        <f>Table9[[#This Row],[Octane]]/Table9[[#This Row],[Batmobile]]</f>
        <v>0.99702856554136932</v>
      </c>
      <c r="R225" s="4">
        <f>Table9[[#This Row],[Octane]]/Table9[[#This Row],[Breakout]]</f>
        <v>0.97566204055880568</v>
      </c>
    </row>
    <row r="226" spans="1:18">
      <c r="A226" s="1">
        <f>Octane[[#This Row],[Degrees turned]]</f>
        <v>156.90107711540384</v>
      </c>
      <c r="B226" s="1">
        <f>Hybrid[[#This Row],[Degrees turned]]</f>
        <v>159.92287382719454</v>
      </c>
      <c r="C226" s="1">
        <f>Dominus[[#This Row],[Degrees turned]]</f>
        <v>161.04118335938338</v>
      </c>
      <c r="D226" s="1">
        <f>Plank[[#This Row],[Degrees turned]]</f>
        <v>159.6523994482751</v>
      </c>
      <c r="E226" s="1">
        <f>Batmobile[[#This Row],[Degrees turned]]</f>
        <v>157.37494721375293</v>
      </c>
      <c r="F226" s="1">
        <f>Breakout[[#This Row],[Degrees turned]]</f>
        <v>160.8251602494224</v>
      </c>
      <c r="H226" s="1">
        <v>0</v>
      </c>
      <c r="I226" s="3">
        <f>Table9[[#This Row],[Hybrid]]-Table9[[#This Row],[Octane]]</f>
        <v>3.0217967117906994</v>
      </c>
      <c r="J226" s="3">
        <f>Table9[[#This Row],[Dominus]]-Table9[[#This Row],[Octane]]</f>
        <v>4.1401062439795453</v>
      </c>
      <c r="K226" s="3">
        <f>Table9[[#This Row],[Plank]]-Table9[[#This Row],[Octane]]</f>
        <v>2.7513223328712684</v>
      </c>
      <c r="L226" s="3">
        <f>Table9[[#This Row],[Batmobile]]-Table9[[#This Row],[Octane]]</f>
        <v>0.47387009834909577</v>
      </c>
      <c r="M226" s="3">
        <f>Table9[[#This Row],[Breakout]]-Table9[[#This Row],[Octane]]</f>
        <v>3.9240831340185593</v>
      </c>
      <c r="N226" s="4">
        <f>Table9[[#This Row],[Octane]]/Table9[[#This Row],[Hybrid]]</f>
        <v>0.9811046622695393</v>
      </c>
      <c r="O226" s="4">
        <f>Table9[[#This Row],[Octane]]/Table9[[#This Row],[Dominus]]</f>
        <v>0.97429163051577694</v>
      </c>
      <c r="P226" s="4">
        <f>Table9[[#This Row],[Octane]]/Table9[[#This Row],[Plank]]</f>
        <v>0.98276679622492835</v>
      </c>
      <c r="Q226" s="4">
        <f>Table9[[#This Row],[Octane]]/Table9[[#This Row],[Batmobile]]</f>
        <v>0.99698891019988423</v>
      </c>
      <c r="R226" s="4">
        <f>Table9[[#This Row],[Octane]]/Table9[[#This Row],[Breakout]]</f>
        <v>0.97560031572216233</v>
      </c>
    </row>
    <row r="227" spans="1:18">
      <c r="A227" s="1">
        <f>Octane[[#This Row],[Degrees turned]]</f>
        <v>157.84815165502818</v>
      </c>
      <c r="B227" s="1">
        <f>Hybrid[[#This Row],[Degrees turned]]</f>
        <v>160.89202375486303</v>
      </c>
      <c r="C227" s="1">
        <f>Dominus[[#This Row],[Degrees turned]]</f>
        <v>162.01874107841195</v>
      </c>
      <c r="D227" s="1">
        <f>Plank[[#This Row],[Degrees turned]]</f>
        <v>160.62343010213641</v>
      </c>
      <c r="E227" s="1">
        <f>Batmobile[[#This Row],[Degrees turned]]</f>
        <v>158.3306964432478</v>
      </c>
      <c r="F227" s="1">
        <f>Breakout[[#This Row],[Degrees turned]]</f>
        <v>161.80492162660929</v>
      </c>
      <c r="H227" s="1">
        <v>0</v>
      </c>
      <c r="I227" s="3">
        <f>Table9[[#This Row],[Hybrid]]-Table9[[#This Row],[Octane]]</f>
        <v>3.0438720998348572</v>
      </c>
      <c r="J227" s="3">
        <f>Table9[[#This Row],[Dominus]]-Table9[[#This Row],[Octane]]</f>
        <v>4.1705894233837739</v>
      </c>
      <c r="K227" s="3">
        <f>Table9[[#This Row],[Plank]]-Table9[[#This Row],[Octane]]</f>
        <v>2.775278447108235</v>
      </c>
      <c r="L227" s="3">
        <f>Table9[[#This Row],[Batmobile]]-Table9[[#This Row],[Octane]]</f>
        <v>0.48254478821962721</v>
      </c>
      <c r="M227" s="3">
        <f>Table9[[#This Row],[Breakout]]-Table9[[#This Row],[Octane]]</f>
        <v>3.9567699715811102</v>
      </c>
      <c r="N227" s="4">
        <f>Table9[[#This Row],[Octane]]/Table9[[#This Row],[Hybrid]]</f>
        <v>0.9810812740818492</v>
      </c>
      <c r="O227" s="4">
        <f>Table9[[#This Row],[Octane]]/Table9[[#This Row],[Dominus]]</f>
        <v>0.97425859875453946</v>
      </c>
      <c r="P227" s="4">
        <f>Table9[[#This Row],[Octane]]/Table9[[#This Row],[Plank]]</f>
        <v>0.9827218330143771</v>
      </c>
      <c r="Q227" s="4">
        <f>Table9[[#This Row],[Octane]]/Table9[[#This Row],[Batmobile]]</f>
        <v>0.99695229794942142</v>
      </c>
      <c r="R227" s="4">
        <f>Table9[[#This Row],[Octane]]/Table9[[#This Row],[Breakout]]</f>
        <v>0.97554604685812962</v>
      </c>
    </row>
    <row r="228" spans="1:18">
      <c r="A228" s="1">
        <f>Octane[[#This Row],[Degrees turned]]</f>
        <v>158.79485193462398</v>
      </c>
      <c r="B228" s="1">
        <f>Hybrid[[#This Row],[Degrees turned]]</f>
        <v>161.86176293738649</v>
      </c>
      <c r="C228" s="1">
        <f>Dominus[[#This Row],[Degrees turned]]</f>
        <v>162.9957986711635</v>
      </c>
      <c r="D228" s="1">
        <f>Plank[[#This Row],[Degrees turned]]</f>
        <v>161.59425149153634</v>
      </c>
      <c r="E228" s="1">
        <f>Batmobile[[#This Row],[Degrees turned]]</f>
        <v>159.28612359980582</v>
      </c>
      <c r="F228" s="1">
        <f>Breakout[[#This Row],[Degrees turned]]</f>
        <v>162.78518265244199</v>
      </c>
      <c r="H228" s="1">
        <v>0</v>
      </c>
      <c r="I228" s="3">
        <f>Table9[[#This Row],[Hybrid]]-Table9[[#This Row],[Octane]]</f>
        <v>3.0669110027625095</v>
      </c>
      <c r="J228" s="3">
        <f>Table9[[#This Row],[Dominus]]-Table9[[#This Row],[Octane]]</f>
        <v>4.200946736539521</v>
      </c>
      <c r="K228" s="3">
        <f>Table9[[#This Row],[Plank]]-Table9[[#This Row],[Octane]]</f>
        <v>2.7993995569123626</v>
      </c>
      <c r="L228" s="3">
        <f>Table9[[#This Row],[Batmobile]]-Table9[[#This Row],[Octane]]</f>
        <v>0.4912716651818414</v>
      </c>
      <c r="M228" s="3">
        <f>Table9[[#This Row],[Breakout]]-Table9[[#This Row],[Octane]]</f>
        <v>3.9903307178180114</v>
      </c>
      <c r="N228" s="4">
        <f>Table9[[#This Row],[Octane]]/Table9[[#This Row],[Hybrid]]</f>
        <v>0.98105228222462337</v>
      </c>
      <c r="O228" s="4">
        <f>Table9[[#This Row],[Octane]]/Table9[[#This Row],[Dominus]]</f>
        <v>0.9742266563261871</v>
      </c>
      <c r="P228" s="4">
        <f>Table9[[#This Row],[Octane]]/Table9[[#This Row],[Plank]]</f>
        <v>0.98267636669576097</v>
      </c>
      <c r="Q228" s="4">
        <f>Table9[[#This Row],[Octane]]/Table9[[#This Row],[Batmobile]]</f>
        <v>0.99691579119336138</v>
      </c>
      <c r="R228" s="4">
        <f>Table9[[#This Row],[Octane]]/Table9[[#This Row],[Breakout]]</f>
        <v>0.97548713800114317</v>
      </c>
    </row>
    <row r="229" spans="1:18">
      <c r="A229" s="1">
        <f>Octane[[#This Row],[Degrees turned]]</f>
        <v>159.74139805094771</v>
      </c>
      <c r="B229" s="1">
        <f>Hybrid[[#This Row],[Degrees turned]]</f>
        <v>162.83123071763805</v>
      </c>
      <c r="C229" s="1">
        <f>Dominus[[#This Row],[Degrees turned]]</f>
        <v>163.97361739006155</v>
      </c>
      <c r="D229" s="1">
        <f>Plank[[#This Row],[Degrees turned]]</f>
        <v>162.56479586041797</v>
      </c>
      <c r="E229" s="1">
        <f>Batmobile[[#This Row],[Degrees turned]]</f>
        <v>160.2413136760552</v>
      </c>
      <c r="F229" s="1">
        <f>Breakout[[#This Row],[Degrees turned]]</f>
        <v>163.76495635483059</v>
      </c>
      <c r="H229" s="1">
        <v>0</v>
      </c>
      <c r="I229" s="3">
        <f>Table9[[#This Row],[Hybrid]]-Table9[[#This Row],[Octane]]</f>
        <v>3.0898326666903415</v>
      </c>
      <c r="J229" s="3">
        <f>Table9[[#This Row],[Dominus]]-Table9[[#This Row],[Octane]]</f>
        <v>4.2322193391138399</v>
      </c>
      <c r="K229" s="3">
        <f>Table9[[#This Row],[Plank]]-Table9[[#This Row],[Octane]]</f>
        <v>2.823397809470265</v>
      </c>
      <c r="L229" s="3">
        <f>Table9[[#This Row],[Batmobile]]-Table9[[#This Row],[Octane]]</f>
        <v>0.49991562510749077</v>
      </c>
      <c r="M229" s="3">
        <f>Table9[[#This Row],[Breakout]]-Table9[[#This Row],[Octane]]</f>
        <v>4.0235583038828793</v>
      </c>
      <c r="N229" s="4">
        <f>Table9[[#This Row],[Octane]]/Table9[[#This Row],[Hybrid]]</f>
        <v>0.98102432406195872</v>
      </c>
      <c r="O229" s="4">
        <f>Table9[[#This Row],[Octane]]/Table9[[#This Row],[Dominus]]</f>
        <v>0.9741896324147914</v>
      </c>
      <c r="P229" s="4">
        <f>Table9[[#This Row],[Octane]]/Table9[[#This Row],[Plank]]</f>
        <v>0.98263216956336286</v>
      </c>
      <c r="Q229" s="4">
        <f>Table9[[#This Row],[Octane]]/Table9[[#This Row],[Batmobile]]</f>
        <v>0.99688023260893799</v>
      </c>
      <c r="R229" s="4">
        <f>Table9[[#This Row],[Octane]]/Table9[[#This Row],[Breakout]]</f>
        <v>0.97543089563578544</v>
      </c>
    </row>
    <row r="230" spans="1:18">
      <c r="A230" s="1">
        <f>Octane[[#This Row],[Degrees turned]]</f>
        <v>160.68800279121854</v>
      </c>
      <c r="B230" s="1">
        <f>Hybrid[[#This Row],[Degrees turned]]</f>
        <v>163.80069187411982</v>
      </c>
      <c r="C230" s="1">
        <f>Dominus[[#This Row],[Degrees turned]]</f>
        <v>164.95106035619744</v>
      </c>
      <c r="D230" s="1">
        <f>Plank[[#This Row],[Degrees turned]]</f>
        <v>163.53510571275831</v>
      </c>
      <c r="E230" s="1">
        <f>Batmobile[[#This Row],[Degrees turned]]</f>
        <v>161.19648393052009</v>
      </c>
      <c r="F230" s="1">
        <f>Breakout[[#This Row],[Degrees turned]]</f>
        <v>164.7446413993087</v>
      </c>
      <c r="H230" s="1">
        <v>0</v>
      </c>
      <c r="I230" s="3">
        <f>Table9[[#This Row],[Hybrid]]-Table9[[#This Row],[Octane]]</f>
        <v>3.1126890829012837</v>
      </c>
      <c r="J230" s="3">
        <f>Table9[[#This Row],[Dominus]]-Table9[[#This Row],[Octane]]</f>
        <v>4.263057564978908</v>
      </c>
      <c r="K230" s="3">
        <f>Table9[[#This Row],[Plank]]-Table9[[#This Row],[Octane]]</f>
        <v>2.8471029215397721</v>
      </c>
      <c r="L230" s="3">
        <f>Table9[[#This Row],[Batmobile]]-Table9[[#This Row],[Octane]]</f>
        <v>0.50848113930155137</v>
      </c>
      <c r="M230" s="3">
        <f>Table9[[#This Row],[Breakout]]-Table9[[#This Row],[Octane]]</f>
        <v>4.056638608090168</v>
      </c>
      <c r="N230" s="4">
        <f>Table9[[#This Row],[Octane]]/Table9[[#This Row],[Hybrid]]</f>
        <v>0.98099709441219352</v>
      </c>
      <c r="O230" s="4">
        <f>Table9[[#This Row],[Octane]]/Table9[[#This Row],[Dominus]]</f>
        <v>0.97415562194160377</v>
      </c>
      <c r="P230" s="4">
        <f>Table9[[#This Row],[Octane]]/Table9[[#This Row],[Plank]]</f>
        <v>0.98259026458489851</v>
      </c>
      <c r="Q230" s="4">
        <f>Table9[[#This Row],[Octane]]/Table9[[#This Row],[Batmobile]]</f>
        <v>0.99684558169692639</v>
      </c>
      <c r="R230" s="4">
        <f>Table9[[#This Row],[Octane]]/Table9[[#This Row],[Breakout]]</f>
        <v>0.97537620299128469</v>
      </c>
    </row>
    <row r="231" spans="1:18">
      <c r="A231" s="1">
        <f>Octane[[#This Row],[Degrees turned]]</f>
        <v>161.63458401332514</v>
      </c>
      <c r="B231" s="1">
        <f>Hybrid[[#This Row],[Degrees turned]]</f>
        <v>164.76988572367819</v>
      </c>
      <c r="C231" s="1">
        <f>Dominus[[#This Row],[Degrees turned]]</f>
        <v>165.92838071284558</v>
      </c>
      <c r="D231" s="1">
        <f>Plank[[#This Row],[Degrees turned]]</f>
        <v>164.50602271356342</v>
      </c>
      <c r="E231" s="1">
        <f>Batmobile[[#This Row],[Degrees turned]]</f>
        <v>162.15228984710075</v>
      </c>
      <c r="F231" s="1">
        <f>Breakout[[#This Row],[Degrees turned]]</f>
        <v>165.72486323186953</v>
      </c>
      <c r="H231" s="1">
        <v>0</v>
      </c>
      <c r="I231" s="3">
        <f>Table9[[#This Row],[Hybrid]]-Table9[[#This Row],[Octane]]</f>
        <v>3.1353017103530476</v>
      </c>
      <c r="J231" s="3">
        <f>Table9[[#This Row],[Dominus]]-Table9[[#This Row],[Octane]]</f>
        <v>4.293796699520442</v>
      </c>
      <c r="K231" s="3">
        <f>Table9[[#This Row],[Plank]]-Table9[[#This Row],[Octane]]</f>
        <v>2.8714387002382864</v>
      </c>
      <c r="L231" s="3">
        <f>Table9[[#This Row],[Batmobile]]-Table9[[#This Row],[Octane]]</f>
        <v>0.51770583377560797</v>
      </c>
      <c r="M231" s="3">
        <f>Table9[[#This Row],[Breakout]]-Table9[[#This Row],[Octane]]</f>
        <v>4.0902792185443957</v>
      </c>
      <c r="N231" s="4">
        <f>Table9[[#This Row],[Octane]]/Table9[[#This Row],[Hybrid]]</f>
        <v>0.98097163388453756</v>
      </c>
      <c r="O231" s="4">
        <f>Table9[[#This Row],[Octane]]/Table9[[#This Row],[Dominus]]</f>
        <v>0.97412259023396819</v>
      </c>
      <c r="P231" s="4">
        <f>Table9[[#This Row],[Octane]]/Table9[[#This Row],[Plank]]</f>
        <v>0.98254508465481527</v>
      </c>
      <c r="Q231" s="4">
        <f>Table9[[#This Row],[Octane]]/Table9[[#This Row],[Batmobile]]</f>
        <v>0.99680728632161919</v>
      </c>
      <c r="R231" s="4">
        <f>Table9[[#This Row],[Octane]]/Table9[[#This Row],[Breakout]]</f>
        <v>0.97531885597140855</v>
      </c>
    </row>
    <row r="232" spans="1:18">
      <c r="A232" s="1">
        <f>Octane[[#This Row],[Degrees turned]]</f>
        <v>162.58120633637498</v>
      </c>
      <c r="B232" s="1">
        <f>Hybrid[[#This Row],[Degrees turned]]</f>
        <v>165.73917959912396</v>
      </c>
      <c r="C232" s="1">
        <f>Dominus[[#This Row],[Degrees turned]]</f>
        <v>166.90580944980297</v>
      </c>
      <c r="D232" s="1">
        <f>Plank[[#This Row],[Degrees turned]]</f>
        <v>165.47699490840859</v>
      </c>
      <c r="E232" s="1">
        <f>Batmobile[[#This Row],[Degrees turned]]</f>
        <v>163.10819821941956</v>
      </c>
      <c r="F232" s="1">
        <f>Breakout[[#This Row],[Degrees turned]]</f>
        <v>166.70513157279009</v>
      </c>
      <c r="H232" s="1">
        <v>0</v>
      </c>
      <c r="I232" s="3">
        <f>Table9[[#This Row],[Hybrid]]-Table9[[#This Row],[Octane]]</f>
        <v>3.1579732627489818</v>
      </c>
      <c r="J232" s="3">
        <f>Table9[[#This Row],[Dominus]]-Table9[[#This Row],[Octane]]</f>
        <v>4.3246031134279974</v>
      </c>
      <c r="K232" s="3">
        <f>Table9[[#This Row],[Plank]]-Table9[[#This Row],[Octane]]</f>
        <v>2.8957885720336094</v>
      </c>
      <c r="L232" s="3">
        <f>Table9[[#This Row],[Batmobile]]-Table9[[#This Row],[Octane]]</f>
        <v>0.52699188304458744</v>
      </c>
      <c r="M232" s="3">
        <f>Table9[[#This Row],[Breakout]]-Table9[[#This Row],[Octane]]</f>
        <v>4.1239252364151184</v>
      </c>
      <c r="N232" s="4">
        <f>Table9[[#This Row],[Octane]]/Table9[[#This Row],[Hybrid]]</f>
        <v>0.98094612709929407</v>
      </c>
      <c r="O232" s="4">
        <f>Table9[[#This Row],[Octane]]/Table9[[#This Row],[Dominus]]</f>
        <v>0.9740895590891423</v>
      </c>
      <c r="P232" s="4">
        <f>Table9[[#This Row],[Octane]]/Table9[[#This Row],[Plank]]</f>
        <v>0.98250035557125981</v>
      </c>
      <c r="Q232" s="4">
        <f>Table9[[#This Row],[Octane]]/Table9[[#This Row],[Batmobile]]</f>
        <v>0.9967690656337479</v>
      </c>
      <c r="R232" s="4">
        <f>Table9[[#This Row],[Octane]]/Table9[[#This Row],[Breakout]]</f>
        <v>0.97526215781417358</v>
      </c>
    </row>
    <row r="233" spans="1:18">
      <c r="A233" s="1">
        <f>Octane[[#This Row],[Degrees turned]]</f>
        <v>163.52793244230375</v>
      </c>
      <c r="B233" s="1">
        <f>Hybrid[[#This Row],[Degrees turned]]</f>
        <v>166.7085264678673</v>
      </c>
      <c r="C233" s="1">
        <f>Dominus[[#This Row],[Degrees turned]]</f>
        <v>167.88323934390058</v>
      </c>
      <c r="D233" s="1">
        <f>Plank[[#This Row],[Degrees turned]]</f>
        <v>166.44797040955501</v>
      </c>
      <c r="E233" s="1">
        <f>Batmobile[[#This Row],[Degrees turned]]</f>
        <v>164.06395691416128</v>
      </c>
      <c r="F233" s="1">
        <f>Breakout[[#This Row],[Degrees turned]]</f>
        <v>167.68520525608395</v>
      </c>
      <c r="H233" s="1">
        <v>0</v>
      </c>
      <c r="I233" s="3">
        <f>Table9[[#This Row],[Hybrid]]-Table9[[#This Row],[Octane]]</f>
        <v>3.1805940255635505</v>
      </c>
      <c r="J233" s="3">
        <f>Table9[[#This Row],[Dominus]]-Table9[[#This Row],[Octane]]</f>
        <v>4.3553069015968333</v>
      </c>
      <c r="K233" s="3">
        <f>Table9[[#This Row],[Plank]]-Table9[[#This Row],[Octane]]</f>
        <v>2.9200379672512611</v>
      </c>
      <c r="L233" s="3">
        <f>Table9[[#This Row],[Batmobile]]-Table9[[#This Row],[Octane]]</f>
        <v>0.53602447185753022</v>
      </c>
      <c r="M233" s="3">
        <f>Table9[[#This Row],[Breakout]]-Table9[[#This Row],[Octane]]</f>
        <v>4.157272813780196</v>
      </c>
      <c r="N233" s="4">
        <f>Table9[[#This Row],[Octane]]/Table9[[#This Row],[Hybrid]]</f>
        <v>0.98092122764832546</v>
      </c>
      <c r="O233" s="4">
        <f>Table9[[#This Row],[Octane]]/Table9[[#This Row],[Dominus]]</f>
        <v>0.97405752403505153</v>
      </c>
      <c r="P233" s="4">
        <f>Table9[[#This Row],[Octane]]/Table9[[#This Row],[Plank]]</f>
        <v>0.98245675234088869</v>
      </c>
      <c r="Q233" s="4">
        <f>Table9[[#This Row],[Octane]]/Table9[[#This Row],[Batmobile]]</f>
        <v>0.99673283223238374</v>
      </c>
      <c r="R233" s="4">
        <f>Table9[[#This Row],[Octane]]/Table9[[#This Row],[Breakout]]</f>
        <v>0.97520787354238359</v>
      </c>
    </row>
    <row r="234" spans="1:18">
      <c r="A234" s="1">
        <f>Octane[[#This Row],[Degrees turned]]</f>
        <v>164.47482763750503</v>
      </c>
      <c r="B234" s="1">
        <f>Hybrid[[#This Row],[Degrees turned]]</f>
        <v>167.67796986427149</v>
      </c>
      <c r="C234" s="1">
        <f>Dominus[[#This Row],[Degrees turned]]</f>
        <v>168.86076001696389</v>
      </c>
      <c r="D234" s="1">
        <f>Plank[[#This Row],[Degrees turned]]</f>
        <v>167.41899833852895</v>
      </c>
      <c r="E234" s="1">
        <f>Batmobile[[#This Row],[Degrees turned]]</f>
        <v>165.01911175525908</v>
      </c>
      <c r="F234" s="1">
        <f>Breakout[[#This Row],[Degrees turned]]</f>
        <v>168.66546876470289</v>
      </c>
      <c r="H234" s="1">
        <v>0</v>
      </c>
      <c r="I234" s="3">
        <f>Table9[[#This Row],[Hybrid]]-Table9[[#This Row],[Octane]]</f>
        <v>3.2031422267664595</v>
      </c>
      <c r="J234" s="3">
        <f>Table9[[#This Row],[Dominus]]-Table9[[#This Row],[Octane]]</f>
        <v>4.3859323794588647</v>
      </c>
      <c r="K234" s="3">
        <f>Table9[[#This Row],[Plank]]-Table9[[#This Row],[Octane]]</f>
        <v>2.9441707010239213</v>
      </c>
      <c r="L234" s="3">
        <f>Table9[[#This Row],[Batmobile]]-Table9[[#This Row],[Octane]]</f>
        <v>0.54428411775404584</v>
      </c>
      <c r="M234" s="3">
        <f>Table9[[#This Row],[Breakout]]-Table9[[#This Row],[Octane]]</f>
        <v>4.1906411271978641</v>
      </c>
      <c r="N234" s="4">
        <f>Table9[[#This Row],[Octane]]/Table9[[#This Row],[Hybrid]]</f>
        <v>0.98089705982628916</v>
      </c>
      <c r="O234" s="4">
        <f>Table9[[#This Row],[Octane]]/Table9[[#This Row],[Dominus]]</f>
        <v>0.97402633756345613</v>
      </c>
      <c r="P234" s="4">
        <f>Table9[[#This Row],[Octane]]/Table9[[#This Row],[Plank]]</f>
        <v>0.98241435721010184</v>
      </c>
      <c r="Q234" s="4">
        <f>Table9[[#This Row],[Octane]]/Table9[[#This Row],[Batmobile]]</f>
        <v>0.99670169041655443</v>
      </c>
      <c r="R234" s="4">
        <f>Table9[[#This Row],[Octane]]/Table9[[#This Row],[Breakout]]</f>
        <v>0.97515412515739053</v>
      </c>
    </row>
    <row r="235" spans="1:18">
      <c r="A235" s="1">
        <f>Octane[[#This Row],[Degrees turned]]</f>
        <v>165.4212371932316</v>
      </c>
      <c r="B235" s="1">
        <f>Hybrid[[#This Row],[Degrees turned]]</f>
        <v>168.64757582860554</v>
      </c>
      <c r="C235" s="1">
        <f>Dominus[[#This Row],[Degrees turned]]</f>
        <v>169.83844275450861</v>
      </c>
      <c r="D235" s="1">
        <f>Plank[[#This Row],[Degrees turned]]</f>
        <v>168.38947391565748</v>
      </c>
      <c r="E235" s="1">
        <f>Batmobile[[#This Row],[Degrees turned]]</f>
        <v>165.97457361112316</v>
      </c>
      <c r="F235" s="1">
        <f>Breakout[[#This Row],[Degrees turned]]</f>
        <v>169.64585582904041</v>
      </c>
      <c r="H235" s="1">
        <v>0</v>
      </c>
      <c r="I235" s="3">
        <f>Table9[[#This Row],[Hybrid]]-Table9[[#This Row],[Octane]]</f>
        <v>3.2263386353739349</v>
      </c>
      <c r="J235" s="3">
        <f>Table9[[#This Row],[Dominus]]-Table9[[#This Row],[Octane]]</f>
        <v>4.4172055612770009</v>
      </c>
      <c r="K235" s="3">
        <f>Table9[[#This Row],[Plank]]-Table9[[#This Row],[Octane]]</f>
        <v>2.9682367224258712</v>
      </c>
      <c r="L235" s="3">
        <f>Table9[[#This Row],[Batmobile]]-Table9[[#This Row],[Octane]]</f>
        <v>0.55333641789155763</v>
      </c>
      <c r="M235" s="3">
        <f>Table9[[#This Row],[Breakout]]-Table9[[#This Row],[Octane]]</f>
        <v>4.2246186358088096</v>
      </c>
      <c r="N235" s="4">
        <f>Table9[[#This Row],[Octane]]/Table9[[#This Row],[Hybrid]]</f>
        <v>0.98086934472955112</v>
      </c>
      <c r="O235" s="4">
        <f>Table9[[#This Row],[Octane]]/Table9[[#This Row],[Dominus]]</f>
        <v>0.97399172125205002</v>
      </c>
      <c r="P235" s="4">
        <f>Table9[[#This Row],[Octane]]/Table9[[#This Row],[Plank]]</f>
        <v>0.98237278938282924</v>
      </c>
      <c r="Q235" s="4">
        <f>Table9[[#This Row],[Octane]]/Table9[[#This Row],[Batmobile]]</f>
        <v>0.99666613743386967</v>
      </c>
      <c r="R235" s="4">
        <f>Table9[[#This Row],[Octane]]/Table9[[#This Row],[Breakout]]</f>
        <v>0.97509742507317043</v>
      </c>
    </row>
    <row r="236" spans="1:18">
      <c r="A236" s="1">
        <f>Octane[[#This Row],[Degrees turned]]</f>
        <v>166.36809804035775</v>
      </c>
      <c r="B236" s="1">
        <f>Hybrid[[#This Row],[Degrees turned]]</f>
        <v>169.6167239462599</v>
      </c>
      <c r="C236" s="1">
        <f>Dominus[[#This Row],[Degrees turned]]</f>
        <v>170.81565122686254</v>
      </c>
      <c r="D236" s="1">
        <f>Plank[[#This Row],[Degrees turned]]</f>
        <v>169.36012291327143</v>
      </c>
      <c r="E236" s="1">
        <f>Batmobile[[#This Row],[Degrees turned]]</f>
        <v>166.93008717445554</v>
      </c>
      <c r="F236" s="1">
        <f>Breakout[[#This Row],[Degrees turned]]</f>
        <v>170.62555835625514</v>
      </c>
      <c r="H236" s="1">
        <v>0</v>
      </c>
      <c r="I236" s="3">
        <f>Table9[[#This Row],[Hybrid]]-Table9[[#This Row],[Octane]]</f>
        <v>3.248625905902145</v>
      </c>
      <c r="J236" s="3">
        <f>Table9[[#This Row],[Dominus]]-Table9[[#This Row],[Octane]]</f>
        <v>4.4475531865047913</v>
      </c>
      <c r="K236" s="3">
        <f>Table9[[#This Row],[Plank]]-Table9[[#This Row],[Octane]]</f>
        <v>2.9920248729136745</v>
      </c>
      <c r="L236" s="3">
        <f>Table9[[#This Row],[Batmobile]]-Table9[[#This Row],[Octane]]</f>
        <v>0.56198913409778584</v>
      </c>
      <c r="M236" s="3">
        <f>Table9[[#This Row],[Breakout]]-Table9[[#This Row],[Octane]]</f>
        <v>4.25746031589739</v>
      </c>
      <c r="N236" s="4">
        <f>Table9[[#This Row],[Octane]]/Table9[[#This Row],[Hybrid]]</f>
        <v>0.98084725473809165</v>
      </c>
      <c r="O236" s="4">
        <f>Table9[[#This Row],[Octane]]/Table9[[#This Row],[Dominus]]</f>
        <v>0.97396284734706229</v>
      </c>
      <c r="P236" s="4">
        <f>Table9[[#This Row],[Octane]]/Table9[[#This Row],[Plank]]</f>
        <v>0.98233335674628741</v>
      </c>
      <c r="Q236" s="4">
        <f>Table9[[#This Row],[Octane]]/Table9[[#This Row],[Batmobile]]</f>
        <v>0.99663338620610398</v>
      </c>
      <c r="R236" s="4">
        <f>Table9[[#This Row],[Octane]]/Table9[[#This Row],[Breakout]]</f>
        <v>0.97504793328202277</v>
      </c>
    </row>
    <row r="237" spans="1:18">
      <c r="A237" s="1">
        <f>Octane[[#This Row],[Degrees turned]]</f>
        <v>167.31445342013765</v>
      </c>
      <c r="B237" s="1">
        <f>Hybrid[[#This Row],[Degrees turned]]</f>
        <v>170.58617222371944</v>
      </c>
      <c r="C237" s="1">
        <f>Dominus[[#This Row],[Degrees turned]]</f>
        <v>171.79299168254752</v>
      </c>
      <c r="D237" s="1">
        <f>Plank[[#This Row],[Degrees turned]]</f>
        <v>170.33107714099086</v>
      </c>
      <c r="E237" s="1">
        <f>Batmobile[[#This Row],[Degrees turned]]</f>
        <v>167.88519402876193</v>
      </c>
      <c r="F237" s="1">
        <f>Breakout[[#This Row],[Degrees turned]]</f>
        <v>171.60566432705974</v>
      </c>
      <c r="H237" s="1">
        <v>0</v>
      </c>
      <c r="I237" s="3">
        <f>Table9[[#This Row],[Hybrid]]-Table9[[#This Row],[Octane]]</f>
        <v>3.2717188035817912</v>
      </c>
      <c r="J237" s="3">
        <f>Table9[[#This Row],[Dominus]]-Table9[[#This Row],[Octane]]</f>
        <v>4.4785382624098702</v>
      </c>
      <c r="K237" s="3">
        <f>Table9[[#This Row],[Plank]]-Table9[[#This Row],[Octane]]</f>
        <v>3.0166237208532038</v>
      </c>
      <c r="L237" s="3">
        <f>Table9[[#This Row],[Batmobile]]-Table9[[#This Row],[Octane]]</f>
        <v>0.570740608624277</v>
      </c>
      <c r="M237" s="3">
        <f>Table9[[#This Row],[Breakout]]-Table9[[#This Row],[Octane]]</f>
        <v>4.291210906922089</v>
      </c>
      <c r="N237" s="4">
        <f>Table9[[#This Row],[Octane]]/Table9[[#This Row],[Hybrid]]</f>
        <v>0.9808207267861605</v>
      </c>
      <c r="O237" s="4">
        <f>Table9[[#This Row],[Octane]]/Table9[[#This Row],[Dominus]]</f>
        <v>0.97393061137973747</v>
      </c>
      <c r="P237" s="4">
        <f>Table9[[#This Row],[Octane]]/Table9[[#This Row],[Plank]]</f>
        <v>0.98228964572121968</v>
      </c>
      <c r="Q237" s="4">
        <f>Table9[[#This Row],[Octane]]/Table9[[#This Row],[Batmobile]]</f>
        <v>0.99660041129936394</v>
      </c>
      <c r="R237" s="4">
        <f>Table9[[#This Row],[Octane]]/Table9[[#This Row],[Breakout]]</f>
        <v>0.97499376886101174</v>
      </c>
    </row>
    <row r="238" spans="1:18">
      <c r="A238" s="1">
        <f>Octane[[#This Row],[Degrees turned]]</f>
        <v>168.26122813205066</v>
      </c>
      <c r="B238" s="1">
        <f>Hybrid[[#This Row],[Degrees turned]]</f>
        <v>171.55530906786782</v>
      </c>
      <c r="C238" s="1">
        <f>Dominus[[#This Row],[Degrees turned]]</f>
        <v>172.7701878345361</v>
      </c>
      <c r="D238" s="1">
        <f>Plank[[#This Row],[Degrees turned]]</f>
        <v>171.3016544228152</v>
      </c>
      <c r="E238" s="1">
        <f>Batmobile[[#This Row],[Degrees turned]]</f>
        <v>168.84079621692655</v>
      </c>
      <c r="F238" s="1">
        <f>Breakout[[#This Row],[Degrees turned]]</f>
        <v>172.58542141078357</v>
      </c>
      <c r="H238" s="1">
        <v>0</v>
      </c>
      <c r="I238" s="3">
        <f>Table9[[#This Row],[Hybrid]]-Table9[[#This Row],[Octane]]</f>
        <v>3.2940809358171634</v>
      </c>
      <c r="J238" s="3">
        <f>Table9[[#This Row],[Dominus]]-Table9[[#This Row],[Octane]]</f>
        <v>4.5089597024854413</v>
      </c>
      <c r="K238" s="3">
        <f>Table9[[#This Row],[Plank]]-Table9[[#This Row],[Octane]]</f>
        <v>3.0404262907645432</v>
      </c>
      <c r="L238" s="3">
        <f>Table9[[#This Row],[Batmobile]]-Table9[[#This Row],[Octane]]</f>
        <v>0.57956808487588773</v>
      </c>
      <c r="M238" s="3">
        <f>Table9[[#This Row],[Breakout]]-Table9[[#This Row],[Octane]]</f>
        <v>4.3241932787329063</v>
      </c>
      <c r="N238" s="4">
        <f>Table9[[#This Row],[Octane]]/Table9[[#This Row],[Hybrid]]</f>
        <v>0.98079872343377017</v>
      </c>
      <c r="O238" s="4">
        <f>Table9[[#This Row],[Octane]]/Table9[[#This Row],[Dominus]]</f>
        <v>0.97390198066576328</v>
      </c>
      <c r="P238" s="4">
        <f>Table9[[#This Row],[Octane]]/Table9[[#This Row],[Plank]]</f>
        <v>0.98225103954185977</v>
      </c>
      <c r="Q238" s="4">
        <f>Table9[[#This Row],[Octane]]/Table9[[#This Row],[Batmobile]]</f>
        <v>0.99656736939257706</v>
      </c>
      <c r="R238" s="4">
        <f>Table9[[#This Row],[Octane]]/Table9[[#This Row],[Breakout]]</f>
        <v>0.97494462021539718</v>
      </c>
    </row>
    <row r="239" spans="1:18">
      <c r="A239" s="1">
        <f>Octane[[#This Row],[Degrees turned]]</f>
        <v>169.20778632372406</v>
      </c>
      <c r="B239" s="1">
        <f>Hybrid[[#This Row],[Degrees turned]]</f>
        <v>172.52490284754731</v>
      </c>
      <c r="C239" s="1">
        <f>Dominus[[#This Row],[Degrees turned]]</f>
        <v>173.74779663802215</v>
      </c>
      <c r="D239" s="1">
        <f>Plank[[#This Row],[Degrees turned]]</f>
        <v>172.27264862673351</v>
      </c>
      <c r="E239" s="1">
        <f>Batmobile[[#This Row],[Degrees turned]]</f>
        <v>169.79597529126124</v>
      </c>
      <c r="F239" s="1">
        <f>Breakout[[#This Row],[Degrees turned]]</f>
        <v>173.56541415186135</v>
      </c>
      <c r="H239" s="1">
        <v>0</v>
      </c>
      <c r="I239" s="3">
        <f>Table9[[#This Row],[Hybrid]]-Table9[[#This Row],[Octane]]</f>
        <v>3.3171165238232447</v>
      </c>
      <c r="J239" s="3">
        <f>Table9[[#This Row],[Dominus]]-Table9[[#This Row],[Octane]]</f>
        <v>4.5400103142980868</v>
      </c>
      <c r="K239" s="3">
        <f>Table9[[#This Row],[Plank]]-Table9[[#This Row],[Octane]]</f>
        <v>3.0648623030094484</v>
      </c>
      <c r="L239" s="3">
        <f>Table9[[#This Row],[Batmobile]]-Table9[[#This Row],[Octane]]</f>
        <v>0.58818896753717809</v>
      </c>
      <c r="M239" s="3">
        <f>Table9[[#This Row],[Breakout]]-Table9[[#This Row],[Octane]]</f>
        <v>4.3576278281372822</v>
      </c>
      <c r="N239" s="4">
        <f>Table9[[#This Row],[Octane]]/Table9[[#This Row],[Hybrid]]</f>
        <v>0.98077311466881723</v>
      </c>
      <c r="O239" s="4">
        <f>Table9[[#This Row],[Octane]]/Table9[[#This Row],[Dominus]]</f>
        <v>0.97387011287540803</v>
      </c>
      <c r="P239" s="4">
        <f>Table9[[#This Row],[Octane]]/Table9[[#This Row],[Plank]]</f>
        <v>0.9822092344464376</v>
      </c>
      <c r="Q239" s="4">
        <f>Table9[[#This Row],[Octane]]/Table9[[#This Row],[Batmobile]]</f>
        <v>0.99653590748232856</v>
      </c>
      <c r="R239" s="4">
        <f>Table9[[#This Row],[Octane]]/Table9[[#This Row],[Breakout]]</f>
        <v>0.97489345530368987</v>
      </c>
    </row>
    <row r="240" spans="1:18">
      <c r="A240" s="1">
        <f>Octane[[#This Row],[Degrees turned]]</f>
        <v>170.15417615986834</v>
      </c>
      <c r="B240" s="1">
        <f>Hybrid[[#This Row],[Degrees turned]]</f>
        <v>173.49430114671006</v>
      </c>
      <c r="C240" s="1">
        <f>Dominus[[#This Row],[Degrees turned]]</f>
        <v>174.7252502089803</v>
      </c>
      <c r="D240" s="1">
        <f>Plank[[#This Row],[Degrees turned]]</f>
        <v>173.24327815821457</v>
      </c>
      <c r="E240" s="1">
        <f>Batmobile[[#This Row],[Degrees turned]]</f>
        <v>170.75177120493188</v>
      </c>
      <c r="F240" s="1">
        <f>Breakout[[#This Row],[Degrees turned]]</f>
        <v>174.54535130170535</v>
      </c>
      <c r="H240" s="1">
        <v>0</v>
      </c>
      <c r="I240" s="3">
        <f>Table9[[#This Row],[Hybrid]]-Table9[[#This Row],[Octane]]</f>
        <v>3.3401249868417153</v>
      </c>
      <c r="J240" s="3">
        <f>Table9[[#This Row],[Dominus]]-Table9[[#This Row],[Octane]]</f>
        <v>4.5710740491119566</v>
      </c>
      <c r="K240" s="3">
        <f>Table9[[#This Row],[Plank]]-Table9[[#This Row],[Octane]]</f>
        <v>3.0891019983462229</v>
      </c>
      <c r="L240" s="3">
        <f>Table9[[#This Row],[Batmobile]]-Table9[[#This Row],[Octane]]</f>
        <v>0.59759504506354233</v>
      </c>
      <c r="M240" s="3">
        <f>Table9[[#This Row],[Breakout]]-Table9[[#This Row],[Octane]]</f>
        <v>4.3911751418370102</v>
      </c>
      <c r="N240" s="4">
        <f>Table9[[#This Row],[Octane]]/Table9[[#This Row],[Hybrid]]</f>
        <v>0.98074792679203193</v>
      </c>
      <c r="O240" s="4">
        <f>Table9[[#This Row],[Octane]]/Table9[[#This Row],[Dominus]]</f>
        <v>0.97383850334370836</v>
      </c>
      <c r="P240" s="4">
        <f>Table9[[#This Row],[Octane]]/Table9[[#This Row],[Plank]]</f>
        <v>0.98216899361875909</v>
      </c>
      <c r="Q240" s="4">
        <f>Table9[[#This Row],[Octane]]/Table9[[#This Row],[Batmobile]]</f>
        <v>0.99650021173516068</v>
      </c>
      <c r="R240" s="4">
        <f>Table9[[#This Row],[Octane]]/Table9[[#This Row],[Breakout]]</f>
        <v>0.97484221086904355</v>
      </c>
    </row>
    <row r="241" spans="1:18">
      <c r="A241" s="1">
        <f>Octane[[#This Row],[Degrees turned]]</f>
        <v>171.1003314861041</v>
      </c>
      <c r="B241" s="1">
        <f>Hybrid[[#This Row],[Degrees turned]]</f>
        <v>174.46359999937624</v>
      </c>
      <c r="C241" s="1">
        <f>Dominus[[#This Row],[Degrees turned]]</f>
        <v>175.70241904428704</v>
      </c>
      <c r="D241" s="1">
        <f>Plank[[#This Row],[Degrees turned]]</f>
        <v>174.2139230438471</v>
      </c>
      <c r="E241" s="1">
        <f>Batmobile[[#This Row],[Degrees turned]]</f>
        <v>171.70727834929153</v>
      </c>
      <c r="F241" s="1">
        <f>Breakout[[#This Row],[Degrees turned]]</f>
        <v>175.52497870891631</v>
      </c>
      <c r="H241" s="1">
        <v>0</v>
      </c>
      <c r="I241" s="3">
        <f>Table9[[#This Row],[Hybrid]]-Table9[[#This Row],[Octane]]</f>
        <v>3.3632685132721463</v>
      </c>
      <c r="J241" s="3">
        <f>Table9[[#This Row],[Dominus]]-Table9[[#This Row],[Octane]]</f>
        <v>4.6020875581829443</v>
      </c>
      <c r="K241" s="3">
        <f>Table9[[#This Row],[Plank]]-Table9[[#This Row],[Octane]]</f>
        <v>3.1135915577430069</v>
      </c>
      <c r="L241" s="3">
        <f>Table9[[#This Row],[Batmobile]]-Table9[[#This Row],[Octane]]</f>
        <v>0.60694686318743152</v>
      </c>
      <c r="M241" s="3">
        <f>Table9[[#This Row],[Breakout]]-Table9[[#This Row],[Octane]]</f>
        <v>4.4246472228122116</v>
      </c>
      <c r="N241" s="4">
        <f>Table9[[#This Row],[Octane]]/Table9[[#This Row],[Hybrid]]</f>
        <v>0.98072223367347588</v>
      </c>
      <c r="O241" s="4">
        <f>Table9[[#This Row],[Octane]]/Table9[[#This Row],[Dominus]]</f>
        <v>0.97380748891668389</v>
      </c>
      <c r="P241" s="4">
        <f>Table9[[#This Row],[Octane]]/Table9[[#This Row],[Plank]]</f>
        <v>0.98212776853111006</v>
      </c>
      <c r="Q241" s="4">
        <f>Table9[[#This Row],[Octane]]/Table9[[#This Row],[Batmobile]]</f>
        <v>0.99646522343710575</v>
      </c>
      <c r="R241" s="4">
        <f>Table9[[#This Row],[Octane]]/Table9[[#This Row],[Breakout]]</f>
        <v>0.97479192274878512</v>
      </c>
    </row>
    <row r="242" spans="1:18">
      <c r="A242" s="1">
        <f>Octane[[#This Row],[Degrees turned]]</f>
        <v>172.047324985535</v>
      </c>
      <c r="B242" s="1">
        <f>Hybrid[[#This Row],[Degrees turned]]</f>
        <v>175.43269383018429</v>
      </c>
      <c r="C242" s="1">
        <f>Dominus[[#This Row],[Degrees turned]]</f>
        <v>176.67973341989926</v>
      </c>
      <c r="D242" s="1">
        <f>Plank[[#This Row],[Degrees turned]]</f>
        <v>175.18435120635613</v>
      </c>
      <c r="E242" s="1">
        <f>Batmobile[[#This Row],[Degrees turned]]</f>
        <v>172.66272290924476</v>
      </c>
      <c r="F242" s="1">
        <f>Breakout[[#This Row],[Degrees turned]]</f>
        <v>176.50522078664179</v>
      </c>
      <c r="H242" s="1">
        <v>0</v>
      </c>
      <c r="I242" s="3">
        <f>Table9[[#This Row],[Hybrid]]-Table9[[#This Row],[Octane]]</f>
        <v>3.3853688446492924</v>
      </c>
      <c r="J242" s="3">
        <f>Table9[[#This Row],[Dominus]]-Table9[[#This Row],[Octane]]</f>
        <v>4.6324084343642653</v>
      </c>
      <c r="K242" s="3">
        <f>Table9[[#This Row],[Plank]]-Table9[[#This Row],[Octane]]</f>
        <v>3.1370262208211273</v>
      </c>
      <c r="L242" s="3">
        <f>Table9[[#This Row],[Batmobile]]-Table9[[#This Row],[Octane]]</f>
        <v>0.61539792370976443</v>
      </c>
      <c r="M242" s="3">
        <f>Table9[[#This Row],[Breakout]]-Table9[[#This Row],[Octane]]</f>
        <v>4.4578958011067868</v>
      </c>
      <c r="N242" s="4">
        <f>Table9[[#This Row],[Octane]]/Table9[[#This Row],[Hybrid]]</f>
        <v>0.9807027483262255</v>
      </c>
      <c r="O242" s="4">
        <f>Table9[[#This Row],[Octane]]/Table9[[#This Row],[Dominus]]</f>
        <v>0.97378075943008802</v>
      </c>
      <c r="P242" s="4">
        <f>Table9[[#This Row],[Octane]]/Table9[[#This Row],[Plank]]</f>
        <v>0.98209299975015518</v>
      </c>
      <c r="Q242" s="4">
        <f>Table9[[#This Row],[Octane]]/Table9[[#This Row],[Batmobile]]</f>
        <v>0.99643583795424551</v>
      </c>
      <c r="R242" s="4">
        <f>Table9[[#This Row],[Octane]]/Table9[[#This Row],[Breakout]]</f>
        <v>0.97474354706767874</v>
      </c>
    </row>
    <row r="243" spans="1:18">
      <c r="A243" s="1">
        <f>Octane[[#This Row],[Degrees turned]]</f>
        <v>172.99418167674969</v>
      </c>
      <c r="B243" s="1">
        <f>Hybrid[[#This Row],[Degrees turned]]</f>
        <v>176.40185889017889</v>
      </c>
      <c r="C243" s="1">
        <f>Dominus[[#This Row],[Degrees turned]]</f>
        <v>177.65681215150434</v>
      </c>
      <c r="D243" s="1">
        <f>Plank[[#This Row],[Degrees turned]]</f>
        <v>176.15475886568086</v>
      </c>
      <c r="E243" s="1">
        <f>Batmobile[[#This Row],[Degrees turned]]</f>
        <v>173.61796904547589</v>
      </c>
      <c r="F243" s="1">
        <f>Breakout[[#This Row],[Degrees turned]]</f>
        <v>177.48544317955307</v>
      </c>
      <c r="H243" s="1">
        <v>0</v>
      </c>
      <c r="I243" s="3">
        <f>Table9[[#This Row],[Hybrid]]-Table9[[#This Row],[Octane]]</f>
        <v>3.4076772134291957</v>
      </c>
      <c r="J243" s="3">
        <f>Table9[[#This Row],[Dominus]]-Table9[[#This Row],[Octane]]</f>
        <v>4.6626304747546499</v>
      </c>
      <c r="K243" s="3">
        <f>Table9[[#This Row],[Plank]]-Table9[[#This Row],[Octane]]</f>
        <v>3.1605771889311711</v>
      </c>
      <c r="L243" s="3">
        <f>Table9[[#This Row],[Batmobile]]-Table9[[#This Row],[Octane]]</f>
        <v>0.62378736872619811</v>
      </c>
      <c r="M243" s="3">
        <f>Table9[[#This Row],[Breakout]]-Table9[[#This Row],[Octane]]</f>
        <v>4.4912615028033827</v>
      </c>
      <c r="N243" s="4">
        <f>Table9[[#This Row],[Octane]]/Table9[[#This Row],[Hybrid]]</f>
        <v>0.98068230553312541</v>
      </c>
      <c r="O243" s="4">
        <f>Table9[[#This Row],[Octane]]/Table9[[#This Row],[Dominus]]</f>
        <v>0.97375484554581337</v>
      </c>
      <c r="P243" s="4">
        <f>Table9[[#This Row],[Octane]]/Table9[[#This Row],[Plank]]</f>
        <v>0.98205795171652932</v>
      </c>
      <c r="Q243" s="4">
        <f>Table9[[#This Row],[Octane]]/Table9[[#This Row],[Batmobile]]</f>
        <v>0.99640712668074805</v>
      </c>
      <c r="R243" s="4">
        <f>Table9[[#This Row],[Octane]]/Table9[[#This Row],[Breakout]]</f>
        <v>0.97469504302806509</v>
      </c>
    </row>
    <row r="244" spans="1:18">
      <c r="A244" s="1">
        <f>Octane[[#This Row],[Degrees turned]]</f>
        <v>173.9404846221837</v>
      </c>
      <c r="B244" s="1">
        <f>Hybrid[[#This Row],[Degrees turned]]</f>
        <v>177.37110854048404</v>
      </c>
      <c r="C244" s="1">
        <f>Dominus[[#This Row],[Degrees turned]]</f>
        <v>178.63412214735044</v>
      </c>
      <c r="D244" s="1">
        <f>Plank[[#This Row],[Degrees turned]]</f>
        <v>177.12526866032246</v>
      </c>
      <c r="E244" s="1">
        <f>Batmobile[[#This Row],[Degrees turned]]</f>
        <v>174.57344037473766</v>
      </c>
      <c r="F244" s="1">
        <f>Breakout[[#This Row],[Degrees turned]]</f>
        <v>178.46574242517053</v>
      </c>
      <c r="H244" s="1">
        <v>0</v>
      </c>
      <c r="I244" s="3">
        <f>Table9[[#This Row],[Hybrid]]-Table9[[#This Row],[Octane]]</f>
        <v>3.4306239183003413</v>
      </c>
      <c r="J244" s="3">
        <f>Table9[[#This Row],[Dominus]]-Table9[[#This Row],[Octane]]</f>
        <v>4.6936375251667357</v>
      </c>
      <c r="K244" s="3">
        <f>Table9[[#This Row],[Plank]]-Table9[[#This Row],[Octane]]</f>
        <v>3.1847840381387584</v>
      </c>
      <c r="L244" s="3">
        <f>Table9[[#This Row],[Batmobile]]-Table9[[#This Row],[Octane]]</f>
        <v>0.6329557525539542</v>
      </c>
      <c r="M244" s="3">
        <f>Table9[[#This Row],[Breakout]]-Table9[[#This Row],[Octane]]</f>
        <v>4.5252578029868289</v>
      </c>
      <c r="N244" s="4">
        <f>Table9[[#This Row],[Octane]]/Table9[[#This Row],[Hybrid]]</f>
        <v>0.98065849649060899</v>
      </c>
      <c r="O244" s="4">
        <f>Table9[[#This Row],[Octane]]/Table9[[#This Row],[Dominus]]</f>
        <v>0.97372485464285996</v>
      </c>
      <c r="P244" s="4">
        <f>Table9[[#This Row],[Octane]]/Table9[[#This Row],[Plank]]</f>
        <v>0.98201959515868797</v>
      </c>
      <c r="Q244" s="4">
        <f>Table9[[#This Row],[Octane]]/Table9[[#This Row],[Batmobile]]</f>
        <v>0.99637427233377962</v>
      </c>
      <c r="R244" s="4">
        <f>Table9[[#This Row],[Octane]]/Table9[[#This Row],[Breakout]]</f>
        <v>0.9746435492801413</v>
      </c>
    </row>
    <row r="245" spans="1:18">
      <c r="A245" s="1">
        <f>Octane[[#This Row],[Degrees turned]]</f>
        <v>174.88681566896258</v>
      </c>
      <c r="B245" s="1">
        <f>Hybrid[[#This Row],[Degrees turned]]</f>
        <v>178.340359875339</v>
      </c>
      <c r="C245" s="1">
        <f>Dominus[[#This Row],[Degrees turned]]</f>
        <v>179.61160763294725</v>
      </c>
      <c r="D245" s="1">
        <f>Plank[[#This Row],[Degrees turned]]</f>
        <v>178.0959217089337</v>
      </c>
      <c r="E245" s="1">
        <f>Batmobile[[#This Row],[Degrees turned]]</f>
        <v>175.52889973016931</v>
      </c>
      <c r="F245" s="1">
        <f>Breakout[[#This Row],[Degrees turned]]</f>
        <v>179.44553295915281</v>
      </c>
      <c r="H245" s="1">
        <v>0</v>
      </c>
      <c r="I245" s="3">
        <f>Table9[[#This Row],[Hybrid]]-Table9[[#This Row],[Octane]]</f>
        <v>3.4535442063764208</v>
      </c>
      <c r="J245" s="3">
        <f>Table9[[#This Row],[Dominus]]-Table9[[#This Row],[Octane]]</f>
        <v>4.7247919639846714</v>
      </c>
      <c r="K245" s="3">
        <f>Table9[[#This Row],[Plank]]-Table9[[#This Row],[Octane]]</f>
        <v>3.2091060399711182</v>
      </c>
      <c r="L245" s="3">
        <f>Table9[[#This Row],[Batmobile]]-Table9[[#This Row],[Octane]]</f>
        <v>0.64208406120673089</v>
      </c>
      <c r="M245" s="3">
        <f>Table9[[#This Row],[Breakout]]-Table9[[#This Row],[Octane]]</f>
        <v>4.5587172901902306</v>
      </c>
      <c r="N245" s="4">
        <f>Table9[[#This Row],[Octane]]/Table9[[#This Row],[Hybrid]]</f>
        <v>0.98063509455296338</v>
      </c>
      <c r="O245" s="4">
        <f>Table9[[#This Row],[Octane]]/Table9[[#This Row],[Dominus]]</f>
        <v>0.97369439522171519</v>
      </c>
      <c r="P245" s="4">
        <f>Table9[[#This Row],[Octane]]/Table9[[#This Row],[Plank]]</f>
        <v>0.98198102455588043</v>
      </c>
      <c r="Q245" s="4">
        <f>Table9[[#This Row],[Octane]]/Table9[[#This Row],[Batmobile]]</f>
        <v>0.99634200372591764</v>
      </c>
      <c r="R245" s="4">
        <f>Table9[[#This Row],[Octane]]/Table9[[#This Row],[Breakout]]</f>
        <v>0.97459553762629503</v>
      </c>
    </row>
    <row r="246" spans="1:18">
      <c r="A246" s="1">
        <f>Octane[[#This Row],[Degrees turned]]</f>
        <v>175.83336003033142</v>
      </c>
      <c r="B246" s="1">
        <f>Hybrid[[#This Row],[Degrees turned]]</f>
        <v>179.31003238847541</v>
      </c>
      <c r="C246" s="1">
        <f>Dominus[[#This Row],[Degrees turned]]</f>
        <v>180.58921626512628</v>
      </c>
      <c r="D246" s="1">
        <f>Plank[[#This Row],[Degrees turned]]</f>
        <v>179.06663472061916</v>
      </c>
      <c r="E246" s="1">
        <f>Batmobile[[#This Row],[Degrees turned]]</f>
        <v>176.48453479517028</v>
      </c>
      <c r="F246" s="1">
        <f>Breakout[[#This Row],[Degrees turned]]</f>
        <v>180.4253733862063</v>
      </c>
      <c r="H246" s="1">
        <v>0</v>
      </c>
      <c r="I246" s="3">
        <f>Table9[[#This Row],[Hybrid]]-Table9[[#This Row],[Octane]]</f>
        <v>3.4766723581439862</v>
      </c>
      <c r="J246" s="3">
        <f>Table9[[#This Row],[Dominus]]-Table9[[#This Row],[Octane]]</f>
        <v>4.7558562347948623</v>
      </c>
      <c r="K246" s="3">
        <f>Table9[[#This Row],[Plank]]-Table9[[#This Row],[Octane]]</f>
        <v>3.2332746902877432</v>
      </c>
      <c r="L246" s="3">
        <f>Table9[[#This Row],[Batmobile]]-Table9[[#This Row],[Octane]]</f>
        <v>0.65117476483885639</v>
      </c>
      <c r="M246" s="3">
        <f>Table9[[#This Row],[Breakout]]-Table9[[#This Row],[Octane]]</f>
        <v>4.592013355874883</v>
      </c>
      <c r="N246" s="4">
        <f>Table9[[#This Row],[Octane]]/Table9[[#This Row],[Hybrid]]</f>
        <v>0.98061083191033183</v>
      </c>
      <c r="O246" s="4">
        <f>Table9[[#This Row],[Octane]]/Table9[[#This Row],[Dominus]]</f>
        <v>0.97366478279736979</v>
      </c>
      <c r="P246" s="4">
        <f>Table9[[#This Row],[Octane]]/Table9[[#This Row],[Plank]]</f>
        <v>0.98194373454701755</v>
      </c>
      <c r="Q246" s="4">
        <f>Table9[[#This Row],[Octane]]/Table9[[#This Row],[Batmobile]]</f>
        <v>0.99631030126467102</v>
      </c>
      <c r="R246" s="4">
        <f>Table9[[#This Row],[Octane]]/Table9[[#This Row],[Breakout]]</f>
        <v>0.97454896021722215</v>
      </c>
    </row>
    <row r="247" spans="1:18">
      <c r="A247" s="1">
        <f>Octane[[#This Row],[Degrees turned]]</f>
        <v>176.78020406366133</v>
      </c>
      <c r="B247" s="1">
        <f>Hybrid[[#This Row],[Degrees turned]]</f>
        <v>180.2792117784316</v>
      </c>
      <c r="C247" s="1">
        <f>Dominus[[#This Row],[Degrees turned]]</f>
        <v>181.56649202612826</v>
      </c>
      <c r="D247" s="1">
        <f>Plank[[#This Row],[Degrees turned]]</f>
        <v>180.03762510321792</v>
      </c>
      <c r="E247" s="1">
        <f>Batmobile[[#This Row],[Degrees turned]]</f>
        <v>177.44040619536392</v>
      </c>
      <c r="F247" s="1">
        <f>Breakout[[#This Row],[Degrees turned]]</f>
        <v>181.40550744160905</v>
      </c>
      <c r="H247" s="1">
        <v>0</v>
      </c>
      <c r="I247" s="3">
        <f>Table9[[#This Row],[Hybrid]]-Table9[[#This Row],[Octane]]</f>
        <v>3.4990077147702721</v>
      </c>
      <c r="J247" s="3">
        <f>Table9[[#This Row],[Dominus]]-Table9[[#This Row],[Octane]]</f>
        <v>4.786287962466929</v>
      </c>
      <c r="K247" s="3">
        <f>Table9[[#This Row],[Plank]]-Table9[[#This Row],[Octane]]</f>
        <v>3.2574210395565899</v>
      </c>
      <c r="L247" s="3">
        <f>Table9[[#This Row],[Batmobile]]-Table9[[#This Row],[Octane]]</f>
        <v>0.66020213170259012</v>
      </c>
      <c r="M247" s="3">
        <f>Table9[[#This Row],[Breakout]]-Table9[[#This Row],[Octane]]</f>
        <v>4.6253033779477164</v>
      </c>
      <c r="N247" s="4">
        <f>Table9[[#This Row],[Octane]]/Table9[[#This Row],[Hybrid]]</f>
        <v>0.98059117476578139</v>
      </c>
      <c r="O247" s="4">
        <f>Table9[[#This Row],[Octane]]/Table9[[#This Row],[Dominus]]</f>
        <v>0.97363892473189295</v>
      </c>
      <c r="P247" s="4">
        <f>Table9[[#This Row],[Octane]]/Table9[[#This Row],[Plank]]</f>
        <v>0.9819069983972013</v>
      </c>
      <c r="Q247" s="4">
        <f>Table9[[#This Row],[Octane]]/Table9[[#This Row],[Batmobile]]</f>
        <v>0.99627930218455596</v>
      </c>
      <c r="R247" s="4">
        <f>Table9[[#This Row],[Octane]]/Table9[[#This Row],[Breakout]]</f>
        <v>0.97450296055958219</v>
      </c>
    </row>
    <row r="248" spans="1:18">
      <c r="A248" s="1">
        <f>Octane[[#This Row],[Degrees turned]]</f>
        <v>177.7267670548037</v>
      </c>
      <c r="B248" s="1">
        <f>Hybrid[[#This Row],[Degrees turned]]</f>
        <v>181.24859479535851</v>
      </c>
      <c r="C248" s="1">
        <f>Dominus[[#This Row],[Degrees turned]]</f>
        <v>182.54400485677141</v>
      </c>
      <c r="D248" s="1">
        <f>Plank[[#This Row],[Degrees turned]]</f>
        <v>181.00830419936588</v>
      </c>
      <c r="E248" s="1">
        <f>Batmobile[[#This Row],[Degrees turned]]</f>
        <v>178.39579071678469</v>
      </c>
      <c r="F248" s="1">
        <f>Breakout[[#This Row],[Degrees turned]]</f>
        <v>182.38521919415297</v>
      </c>
      <c r="H248" s="1">
        <v>0</v>
      </c>
      <c r="I248" s="3">
        <f>Table9[[#This Row],[Hybrid]]-Table9[[#This Row],[Octane]]</f>
        <v>3.5218277405548122</v>
      </c>
      <c r="J248" s="3">
        <f>Table9[[#This Row],[Dominus]]-Table9[[#This Row],[Octane]]</f>
        <v>4.8172378019677069</v>
      </c>
      <c r="K248" s="3">
        <f>Table9[[#This Row],[Plank]]-Table9[[#This Row],[Octane]]</f>
        <v>3.2815371445621793</v>
      </c>
      <c r="L248" s="3">
        <f>Table9[[#This Row],[Batmobile]]-Table9[[#This Row],[Octane]]</f>
        <v>0.66902366198098662</v>
      </c>
      <c r="M248" s="3">
        <f>Table9[[#This Row],[Breakout]]-Table9[[#This Row],[Octane]]</f>
        <v>4.6584521393492651</v>
      </c>
      <c r="N248" s="4">
        <f>Table9[[#This Row],[Octane]]/Table9[[#This Row],[Hybrid]]</f>
        <v>0.98056907561390372</v>
      </c>
      <c r="O248" s="4">
        <f>Table9[[#This Row],[Octane]]/Table9[[#This Row],[Dominus]]</f>
        <v>0.97361053952033416</v>
      </c>
      <c r="P248" s="4">
        <f>Table9[[#This Row],[Octane]]/Table9[[#This Row],[Plank]]</f>
        <v>0.98187079228725427</v>
      </c>
      <c r="Q248" s="4">
        <f>Table9[[#This Row],[Octane]]/Table9[[#This Row],[Batmobile]]</f>
        <v>0.99624977888047195</v>
      </c>
      <c r="R248" s="4">
        <f>Table9[[#This Row],[Octane]]/Table9[[#This Row],[Breakout]]</f>
        <v>0.97445817067889562</v>
      </c>
    </row>
    <row r="249" spans="1:18">
      <c r="A249" s="1">
        <f>Octane[[#This Row],[Degrees turned]]</f>
        <v>178.67357656091599</v>
      </c>
      <c r="B249" s="1">
        <f>Hybrid[[#This Row],[Degrees turned]]</f>
        <v>182.21780743365068</v>
      </c>
      <c r="C249" s="1">
        <f>Dominus[[#This Row],[Degrees turned]]</f>
        <v>183.52132527717831</v>
      </c>
      <c r="D249" s="1">
        <f>Plank[[#This Row],[Degrees turned]]</f>
        <v>181.97924576184104</v>
      </c>
      <c r="E249" s="1">
        <f>Batmobile[[#This Row],[Degrees turned]]</f>
        <v>179.35154238476076</v>
      </c>
      <c r="F249" s="1">
        <f>Breakout[[#This Row],[Degrees turned]]</f>
        <v>183.36533489287669</v>
      </c>
      <c r="H249" s="1">
        <v>0</v>
      </c>
      <c r="I249" s="3">
        <f>Table9[[#This Row],[Hybrid]]-Table9[[#This Row],[Octane]]</f>
        <v>3.544230872734687</v>
      </c>
      <c r="J249" s="3">
        <f>Table9[[#This Row],[Dominus]]-Table9[[#This Row],[Octane]]</f>
        <v>4.8477487162623163</v>
      </c>
      <c r="K249" s="3">
        <f>Table9[[#This Row],[Plank]]-Table9[[#This Row],[Octane]]</f>
        <v>3.3056692009250526</v>
      </c>
      <c r="L249" s="3">
        <f>Table9[[#This Row],[Batmobile]]-Table9[[#This Row],[Octane]]</f>
        <v>0.67796582384477233</v>
      </c>
      <c r="M249" s="3">
        <f>Table9[[#This Row],[Breakout]]-Table9[[#This Row],[Octane]]</f>
        <v>4.691758331960699</v>
      </c>
      <c r="N249" s="4">
        <f>Table9[[#This Row],[Octane]]/Table9[[#This Row],[Hybrid]]</f>
        <v>0.98054948129026731</v>
      </c>
      <c r="O249" s="4">
        <f>Table9[[#This Row],[Octane]]/Table9[[#This Row],[Dominus]]</f>
        <v>0.97358482067988228</v>
      </c>
      <c r="P249" s="4">
        <f>Table9[[#This Row],[Octane]]/Table9[[#This Row],[Plank]]</f>
        <v>0.98183491096973097</v>
      </c>
      <c r="Q249" s="4">
        <f>Table9[[#This Row],[Octane]]/Table9[[#This Row],[Batmobile]]</f>
        <v>0.99621990524960002</v>
      </c>
      <c r="R249" s="4">
        <f>Table9[[#This Row],[Octane]]/Table9[[#This Row],[Breakout]]</f>
        <v>0.97441305721879412</v>
      </c>
    </row>
    <row r="250" spans="1:18">
      <c r="A250" s="1">
        <f>Octane[[#This Row],[Degrees turned]]</f>
        <v>179.62009065907171</v>
      </c>
      <c r="B250" s="1">
        <f>Hybrid[[#This Row],[Degrees turned]]</f>
        <v>183.18736075379721</v>
      </c>
      <c r="C250" s="1">
        <f>Dominus[[#This Row],[Degrees turned]]</f>
        <v>184.49904877687192</v>
      </c>
      <c r="D250" s="1">
        <f>Plank[[#This Row],[Degrees turned]]</f>
        <v>182.95004879969429</v>
      </c>
      <c r="E250" s="1">
        <f>Batmobile[[#This Row],[Degrees turned]]</f>
        <v>180.30694713957931</v>
      </c>
      <c r="F250" s="1">
        <f>Breakout[[#This Row],[Degrees turned]]</f>
        <v>184.34516790827544</v>
      </c>
      <c r="H250" s="1">
        <v>0</v>
      </c>
      <c r="I250" s="3">
        <f>Table9[[#This Row],[Hybrid]]-Table9[[#This Row],[Octane]]</f>
        <v>3.5672700947255009</v>
      </c>
      <c r="J250" s="3">
        <f>Table9[[#This Row],[Dominus]]-Table9[[#This Row],[Octane]]</f>
        <v>4.8789581178002095</v>
      </c>
      <c r="K250" s="3">
        <f>Table9[[#This Row],[Plank]]-Table9[[#This Row],[Octane]]</f>
        <v>3.3299581406225798</v>
      </c>
      <c r="L250" s="3">
        <f>Table9[[#This Row],[Batmobile]]-Table9[[#This Row],[Octane]]</f>
        <v>0.68685648050760051</v>
      </c>
      <c r="M250" s="3">
        <f>Table9[[#This Row],[Breakout]]-Table9[[#This Row],[Octane]]</f>
        <v>4.7250772492037356</v>
      </c>
      <c r="N250" s="4">
        <f>Table9[[#This Row],[Octane]]/Table9[[#This Row],[Hybrid]]</f>
        <v>0.98052665817092099</v>
      </c>
      <c r="O250" s="4">
        <f>Table9[[#This Row],[Octane]]/Table9[[#This Row],[Dominus]]</f>
        <v>0.97355564622069846</v>
      </c>
      <c r="P250" s="4">
        <f>Table9[[#This Row],[Octane]]/Table9[[#This Row],[Plank]]</f>
        <v>0.9817985392052645</v>
      </c>
      <c r="Q250" s="4">
        <f>Table9[[#This Row],[Octane]]/Table9[[#This Row],[Batmobile]]</f>
        <v>0.99619062664304392</v>
      </c>
      <c r="R250" s="4">
        <f>Table9[[#This Row],[Octane]]/Table9[[#This Row],[Breakout]]</f>
        <v>0.97436831514046096</v>
      </c>
    </row>
    <row r="251" spans="1:18">
      <c r="A251" s="1">
        <f>Octane[[#This Row],[Degrees turned]]</f>
        <v>180.56649845504629</v>
      </c>
      <c r="B251" s="1">
        <f>Hybrid[[#This Row],[Degrees turned]]</f>
        <v>184.15685208575201</v>
      </c>
      <c r="C251" s="1">
        <f>Dominus[[#This Row],[Degrees turned]]</f>
        <v>185.4767211227182</v>
      </c>
      <c r="D251" s="1">
        <f>Plank[[#This Row],[Degrees turned]]</f>
        <v>183.92058132710957</v>
      </c>
      <c r="E251" s="1">
        <f>Batmobile[[#This Row],[Degrees turned]]</f>
        <v>181.26207860316339</v>
      </c>
      <c r="F251" s="1">
        <f>Breakout[[#This Row],[Degrees turned]]</f>
        <v>185.32494078503768</v>
      </c>
      <c r="H251" s="1">
        <v>0</v>
      </c>
      <c r="I251" s="3">
        <f>Table9[[#This Row],[Hybrid]]-Table9[[#This Row],[Octane]]</f>
        <v>3.5903536307057209</v>
      </c>
      <c r="J251" s="3">
        <f>Table9[[#This Row],[Dominus]]-Table9[[#This Row],[Octane]]</f>
        <v>4.910222667671917</v>
      </c>
      <c r="K251" s="3">
        <f>Table9[[#This Row],[Plank]]-Table9[[#This Row],[Octane]]</f>
        <v>3.3540828720632874</v>
      </c>
      <c r="L251" s="3">
        <f>Table9[[#This Row],[Batmobile]]-Table9[[#This Row],[Octane]]</f>
        <v>0.69558014811710223</v>
      </c>
      <c r="M251" s="3">
        <f>Table9[[#This Row],[Breakout]]-Table9[[#This Row],[Octane]]</f>
        <v>4.7584423299913965</v>
      </c>
      <c r="N251" s="4">
        <f>Table9[[#This Row],[Octane]]/Table9[[#This Row],[Hybrid]]</f>
        <v>0.98050382817667903</v>
      </c>
      <c r="O251" s="4">
        <f>Table9[[#This Row],[Octane]]/Table9[[#This Row],[Dominus]]</f>
        <v>0.9735264747082566</v>
      </c>
      <c r="P251" s="4">
        <f>Table9[[#This Row],[Octane]]/Table9[[#This Row],[Plank]]</f>
        <v>0.98176341740624484</v>
      </c>
      <c r="Q251" s="4">
        <f>Table9[[#This Row],[Octane]]/Table9[[#This Row],[Batmobile]]</f>
        <v>0.99616257215255744</v>
      </c>
      <c r="R251" s="4">
        <f>Table9[[#This Row],[Octane]]/Table9[[#This Row],[Breakout]]</f>
        <v>0.97432378874729653</v>
      </c>
    </row>
    <row r="252" spans="1:18">
      <c r="A252" s="1">
        <f>Octane[[#This Row],[Degrees turned]]</f>
        <v>181.5128378431871</v>
      </c>
      <c r="B252" s="1">
        <f>Hybrid[[#This Row],[Degrees turned]]</f>
        <v>185.12635153243022</v>
      </c>
      <c r="C252" s="1">
        <f>Dominus[[#This Row],[Degrees turned]]</f>
        <v>186.45427016434172</v>
      </c>
      <c r="D252" s="1">
        <f>Plank[[#This Row],[Degrees turned]]</f>
        <v>184.8909767115467</v>
      </c>
      <c r="E252" s="1">
        <f>Batmobile[[#This Row],[Degrees turned]]</f>
        <v>182.21791452743068</v>
      </c>
      <c r="F252" s="1">
        <f>Breakout[[#This Row],[Degrees turned]]</f>
        <v>186.30520664560535</v>
      </c>
      <c r="H252" s="1">
        <v>0</v>
      </c>
      <c r="I252" s="3">
        <f>Table9[[#This Row],[Hybrid]]-Table9[[#This Row],[Octane]]</f>
        <v>3.6135136892431206</v>
      </c>
      <c r="J252" s="3">
        <f>Table9[[#This Row],[Dominus]]-Table9[[#This Row],[Octane]]</f>
        <v>4.9414323211546218</v>
      </c>
      <c r="K252" s="3">
        <f>Table9[[#This Row],[Plank]]-Table9[[#This Row],[Octane]]</f>
        <v>3.3781388683595992</v>
      </c>
      <c r="L252" s="3">
        <f>Table9[[#This Row],[Batmobile]]-Table9[[#This Row],[Octane]]</f>
        <v>0.70507668424357917</v>
      </c>
      <c r="M252" s="3">
        <f>Table9[[#This Row],[Breakout]]-Table9[[#This Row],[Octane]]</f>
        <v>4.7923688024182525</v>
      </c>
      <c r="N252" s="4">
        <f>Table9[[#This Row],[Octane]]/Table9[[#This Row],[Hybrid]]</f>
        <v>0.98048082480245868</v>
      </c>
      <c r="O252" s="4">
        <f>Table9[[#This Row],[Octane]]/Table9[[#This Row],[Dominus]]</f>
        <v>0.97349788601355591</v>
      </c>
      <c r="P252" s="4">
        <f>Table9[[#This Row],[Octane]]/Table9[[#This Row],[Plank]]</f>
        <v>0.98172902253834748</v>
      </c>
      <c r="Q252" s="4">
        <f>Table9[[#This Row],[Octane]]/Table9[[#This Row],[Batmobile]]</f>
        <v>0.99613058526066356</v>
      </c>
      <c r="R252" s="4">
        <f>Table9[[#This Row],[Octane]]/Table9[[#This Row],[Breakout]]</f>
        <v>0.97427678544951013</v>
      </c>
    </row>
    <row r="253" spans="1:18">
      <c r="A253" s="1">
        <f>Octane[[#This Row],[Degrees turned]]</f>
        <v>182.45972762431998</v>
      </c>
      <c r="B253" s="1">
        <f>Hybrid[[#This Row],[Degrees turned]]</f>
        <v>186.09578503645315</v>
      </c>
      <c r="C253" s="1">
        <f>Dominus[[#This Row],[Degrees turned]]</f>
        <v>187.43191303821499</v>
      </c>
      <c r="D253" s="1">
        <f>Plank[[#This Row],[Degrees turned]]</f>
        <v>185.8613899177785</v>
      </c>
      <c r="E253" s="1">
        <f>Batmobile[[#This Row],[Degrees turned]]</f>
        <v>183.17357609180831</v>
      </c>
      <c r="F253" s="1">
        <f>Breakout[[#This Row],[Degrees turned]]</f>
        <v>187.28551746771257</v>
      </c>
      <c r="H253" s="1">
        <v>0</v>
      </c>
      <c r="I253" s="3">
        <f>Table9[[#This Row],[Hybrid]]-Table9[[#This Row],[Octane]]</f>
        <v>3.6360574121331695</v>
      </c>
      <c r="J253" s="3">
        <f>Table9[[#This Row],[Dominus]]-Table9[[#This Row],[Octane]]</f>
        <v>4.972185413895005</v>
      </c>
      <c r="K253" s="3">
        <f>Table9[[#This Row],[Plank]]-Table9[[#This Row],[Octane]]</f>
        <v>3.4016622934585143</v>
      </c>
      <c r="L253" s="3">
        <f>Table9[[#This Row],[Batmobile]]-Table9[[#This Row],[Octane]]</f>
        <v>0.71384846748833297</v>
      </c>
      <c r="M253" s="3">
        <f>Table9[[#This Row],[Breakout]]-Table9[[#This Row],[Octane]]</f>
        <v>4.8257898433925845</v>
      </c>
      <c r="N253" s="4">
        <f>Table9[[#This Row],[Octane]]/Table9[[#This Row],[Hybrid]]</f>
        <v>0.9804613661108933</v>
      </c>
      <c r="O253" s="4">
        <f>Table9[[#This Row],[Octane]]/Table9[[#This Row],[Dominus]]</f>
        <v>0.9734720446838675</v>
      </c>
      <c r="P253" s="4">
        <f>Table9[[#This Row],[Octane]]/Table9[[#This Row],[Plank]]</f>
        <v>0.98169785400311838</v>
      </c>
      <c r="Q253" s="4">
        <f>Table9[[#This Row],[Octane]]/Table9[[#This Row],[Batmobile]]</f>
        <v>0.99610288512830836</v>
      </c>
      <c r="R253" s="4">
        <f>Table9[[#This Row],[Octane]]/Table9[[#This Row],[Breakout]]</f>
        <v>0.9742329790971449</v>
      </c>
    </row>
    <row r="254" spans="1:18">
      <c r="A254" s="1">
        <f>Octane[[#This Row],[Degrees turned]]</f>
        <v>183.40655782854529</v>
      </c>
      <c r="B254" s="1">
        <f>Hybrid[[#This Row],[Degrees turned]]</f>
        <v>187.06519102285557</v>
      </c>
      <c r="C254" s="1">
        <f>Dominus[[#This Row],[Degrees turned]]</f>
        <v>188.40960742362944</v>
      </c>
      <c r="D254" s="1">
        <f>Plank[[#This Row],[Degrees turned]]</f>
        <v>186.83177711251531</v>
      </c>
      <c r="E254" s="1">
        <f>Batmobile[[#This Row],[Degrees turned]]</f>
        <v>184.12916227565967</v>
      </c>
      <c r="F254" s="1">
        <f>Breakout[[#This Row],[Degrees turned]]</f>
        <v>188.26580253110944</v>
      </c>
      <c r="H254" s="1">
        <v>0</v>
      </c>
      <c r="I254" s="3">
        <f>Table9[[#This Row],[Hybrid]]-Table9[[#This Row],[Octane]]</f>
        <v>3.6586331943102834</v>
      </c>
      <c r="J254" s="3">
        <f>Table9[[#This Row],[Dominus]]-Table9[[#This Row],[Octane]]</f>
        <v>5.0030495950841498</v>
      </c>
      <c r="K254" s="3">
        <f>Table9[[#This Row],[Plank]]-Table9[[#This Row],[Octane]]</f>
        <v>3.4252192839700228</v>
      </c>
      <c r="L254" s="3">
        <f>Table9[[#This Row],[Batmobile]]-Table9[[#This Row],[Octane]]</f>
        <v>0.72260444711437799</v>
      </c>
      <c r="M254" s="3">
        <f>Table9[[#This Row],[Breakout]]-Table9[[#This Row],[Octane]]</f>
        <v>4.8592447025641547</v>
      </c>
      <c r="N254" s="4">
        <f>Table9[[#This Row],[Octane]]/Table9[[#This Row],[Hybrid]]</f>
        <v>0.98044193484471798</v>
      </c>
      <c r="O254" s="4">
        <f>Table9[[#This Row],[Octane]]/Table9[[#This Row],[Dominus]]</f>
        <v>0.97344588917997665</v>
      </c>
      <c r="P254" s="4">
        <f>Table9[[#This Row],[Octane]]/Table9[[#This Row],[Plank]]</f>
        <v>0.98166682704138031</v>
      </c>
      <c r="Q254" s="4">
        <f>Table9[[#This Row],[Octane]]/Table9[[#This Row],[Batmobile]]</f>
        <v>0.9960755567549231</v>
      </c>
      <c r="R254" s="4">
        <f>Table9[[#This Row],[Octane]]/Table9[[#This Row],[Breakout]]</f>
        <v>0.97418944578763211</v>
      </c>
    </row>
    <row r="255" spans="1:18">
      <c r="A255" s="1">
        <f>Octane[[#This Row],[Degrees turned]]</f>
        <v>184.35275462913052</v>
      </c>
      <c r="B255" s="1">
        <f>Hybrid[[#This Row],[Degrees turned]]</f>
        <v>188.03470134737688</v>
      </c>
      <c r="C255" s="1">
        <f>Dominus[[#This Row],[Degrees turned]]</f>
        <v>189.38674843750925</v>
      </c>
      <c r="D255" s="1">
        <f>Plank[[#This Row],[Degrees turned]]</f>
        <v>187.80223716078461</v>
      </c>
      <c r="E255" s="1">
        <f>Batmobile[[#This Row],[Degrees turned]]</f>
        <v>185.08474043317736</v>
      </c>
      <c r="F255" s="1">
        <f>Breakout[[#This Row],[Degrees turned]]</f>
        <v>189.24555221278789</v>
      </c>
      <c r="H255" s="1">
        <v>0</v>
      </c>
      <c r="I255" s="3">
        <f>Table9[[#This Row],[Hybrid]]-Table9[[#This Row],[Octane]]</f>
        <v>3.6819467182463654</v>
      </c>
      <c r="J255" s="3">
        <f>Table9[[#This Row],[Dominus]]-Table9[[#This Row],[Octane]]</f>
        <v>5.0339938083787388</v>
      </c>
      <c r="K255" s="3">
        <f>Table9[[#This Row],[Plank]]-Table9[[#This Row],[Octane]]</f>
        <v>3.4494825316540982</v>
      </c>
      <c r="L255" s="3">
        <f>Table9[[#This Row],[Batmobile]]-Table9[[#This Row],[Octane]]</f>
        <v>0.73198580404684321</v>
      </c>
      <c r="M255" s="3">
        <f>Table9[[#This Row],[Breakout]]-Table9[[#This Row],[Octane]]</f>
        <v>4.8927975836573694</v>
      </c>
      <c r="N255" s="4">
        <f>Table9[[#This Row],[Octane]]/Table9[[#This Row],[Hybrid]]</f>
        <v>0.98041879136210974</v>
      </c>
      <c r="O255" s="4">
        <f>Table9[[#This Row],[Octane]]/Table9[[#This Row],[Dominus]]</f>
        <v>0.97341950347682449</v>
      </c>
      <c r="P255" s="4">
        <f>Table9[[#This Row],[Octane]]/Table9[[#This Row],[Plank]]</f>
        <v>0.98163236719751712</v>
      </c>
      <c r="Q255" s="4">
        <f>Table9[[#This Row],[Octane]]/Table9[[#This Row],[Batmobile]]</f>
        <v>0.996045131530921</v>
      </c>
      <c r="R255" s="4">
        <f>Table9[[#This Row],[Octane]]/Table9[[#This Row],[Breakout]]</f>
        <v>0.9741457723764313</v>
      </c>
    </row>
    <row r="256" spans="1:18">
      <c r="A256" s="1">
        <f>Octane[[#This Row],[Degrees turned]]</f>
        <v>185.29916908091062</v>
      </c>
      <c r="B256" s="1">
        <f>Hybrid[[#This Row],[Degrees turned]]</f>
        <v>189.00384915968937</v>
      </c>
      <c r="C256" s="1">
        <f>Dominus[[#This Row],[Degrees turned]]</f>
        <v>190.3640881123836</v>
      </c>
      <c r="D256" s="1">
        <f>Plank[[#This Row],[Degrees turned]]</f>
        <v>188.7729189133876</v>
      </c>
      <c r="E256" s="1">
        <f>Batmobile[[#This Row],[Degrees turned]]</f>
        <v>186.04049012875723</v>
      </c>
      <c r="F256" s="1">
        <f>Breakout[[#This Row],[Degrees turned]]</f>
        <v>190.22559464637084</v>
      </c>
      <c r="H256" s="1">
        <v>0</v>
      </c>
      <c r="I256" s="3">
        <f>Table9[[#This Row],[Hybrid]]-Table9[[#This Row],[Octane]]</f>
        <v>3.7046800787787504</v>
      </c>
      <c r="J256" s="3">
        <f>Table9[[#This Row],[Dominus]]-Table9[[#This Row],[Octane]]</f>
        <v>5.0649190314729822</v>
      </c>
      <c r="K256" s="3">
        <f>Table9[[#This Row],[Plank]]-Table9[[#This Row],[Octane]]</f>
        <v>3.4737498324769831</v>
      </c>
      <c r="L256" s="3">
        <f>Table9[[#This Row],[Batmobile]]-Table9[[#This Row],[Octane]]</f>
        <v>0.74132104784661124</v>
      </c>
      <c r="M256" s="3">
        <f>Table9[[#This Row],[Breakout]]-Table9[[#This Row],[Octane]]</f>
        <v>4.9264255654602209</v>
      </c>
      <c r="N256" s="4">
        <f>Table9[[#This Row],[Octane]]/Table9[[#This Row],[Hybrid]]</f>
        <v>0.98039891729586592</v>
      </c>
      <c r="O256" s="4">
        <f>Table9[[#This Row],[Octane]]/Table9[[#This Row],[Dominus]]</f>
        <v>0.97339351617368686</v>
      </c>
      <c r="P256" s="4">
        <f>Table9[[#This Row],[Octane]]/Table9[[#This Row],[Plank]]</f>
        <v>0.98159826180326848</v>
      </c>
      <c r="Q256" s="4">
        <f>Table9[[#This Row],[Octane]]/Table9[[#This Row],[Batmobile]]</f>
        <v>0.99601527039982773</v>
      </c>
      <c r="R256" s="4">
        <f>Table9[[#This Row],[Octane]]/Table9[[#This Row],[Breakout]]</f>
        <v>0.9741021938997303</v>
      </c>
    </row>
    <row r="257" spans="1:18">
      <c r="A257" s="1">
        <f>Octane[[#This Row],[Degrees turned]]</f>
        <v>186.24568633042065</v>
      </c>
      <c r="B257" s="1">
        <f>Hybrid[[#This Row],[Degrees turned]]</f>
        <v>189.97306903880735</v>
      </c>
      <c r="C257" s="1">
        <f>Dominus[[#This Row],[Degrees turned]]</f>
        <v>191.34177444415835</v>
      </c>
      <c r="D257" s="1">
        <f>Plank[[#This Row],[Degrees turned]]</f>
        <v>189.74380742763395</v>
      </c>
      <c r="E257" s="1">
        <f>Batmobile[[#This Row],[Degrees turned]]</f>
        <v>186.99574026985215</v>
      </c>
      <c r="F257" s="1">
        <f>Breakout[[#This Row],[Degrees turned]]</f>
        <v>191.20582788417883</v>
      </c>
      <c r="H257" s="1">
        <v>0</v>
      </c>
      <c r="I257" s="3">
        <f>Table9[[#This Row],[Hybrid]]-Table9[[#This Row],[Octane]]</f>
        <v>3.7273827083866991</v>
      </c>
      <c r="J257" s="3">
        <f>Table9[[#This Row],[Dominus]]-Table9[[#This Row],[Octane]]</f>
        <v>5.096088113737693</v>
      </c>
      <c r="K257" s="3">
        <f>Table9[[#This Row],[Plank]]-Table9[[#This Row],[Octane]]</f>
        <v>3.4981210972132999</v>
      </c>
      <c r="L257" s="3">
        <f>Table9[[#This Row],[Batmobile]]-Table9[[#This Row],[Octane]]</f>
        <v>0.75005393943149556</v>
      </c>
      <c r="M257" s="3">
        <f>Table9[[#This Row],[Breakout]]-Table9[[#This Row],[Octane]]</f>
        <v>4.9601415537581772</v>
      </c>
      <c r="N257" s="4">
        <f>Table9[[#This Row],[Octane]]/Table9[[#This Row],[Hybrid]]</f>
        <v>0.98037941521266214</v>
      </c>
      <c r="O257" s="4">
        <f>Table9[[#This Row],[Octane]]/Table9[[#This Row],[Dominus]]</f>
        <v>0.97336656812898459</v>
      </c>
      <c r="P257" s="4">
        <f>Table9[[#This Row],[Octane]]/Table9[[#This Row],[Plank]]</f>
        <v>0.98156397753034741</v>
      </c>
      <c r="Q257" s="4">
        <f>Table9[[#This Row],[Octane]]/Table9[[#This Row],[Batmobile]]</f>
        <v>0.99598892499717318</v>
      </c>
      <c r="R257" s="4">
        <f>Table9[[#This Row],[Octane]]/Table9[[#This Row],[Breakout]]</f>
        <v>0.97405862776963714</v>
      </c>
    </row>
    <row r="258" spans="1:18">
      <c r="A258" s="1">
        <f>Octane[[#This Row],[Degrees turned]]</f>
        <v>187.19257293703038</v>
      </c>
      <c r="B258" s="1">
        <f>Hybrid[[#This Row],[Degrees turned]]</f>
        <v>190.94281523925832</v>
      </c>
      <c r="C258" s="1">
        <f>Dominus[[#This Row],[Degrees turned]]</f>
        <v>192.31916053833177</v>
      </c>
      <c r="D258" s="1">
        <f>Plank[[#This Row],[Degrees turned]]</f>
        <v>190.71444114301192</v>
      </c>
      <c r="E258" s="1">
        <f>Batmobile[[#This Row],[Degrees turned]]</f>
        <v>187.95115282829133</v>
      </c>
      <c r="F258" s="1">
        <f>Breakout[[#This Row],[Degrees turned]]</f>
        <v>192.18572288018134</v>
      </c>
      <c r="H258" s="1">
        <v>0</v>
      </c>
      <c r="I258" s="3">
        <f>Table9[[#This Row],[Hybrid]]-Table9[[#This Row],[Octane]]</f>
        <v>3.7502423022279459</v>
      </c>
      <c r="J258" s="3">
        <f>Table9[[#This Row],[Dominus]]-Table9[[#This Row],[Octane]]</f>
        <v>5.1265876013013951</v>
      </c>
      <c r="K258" s="3">
        <f>Table9[[#This Row],[Plank]]-Table9[[#This Row],[Octane]]</f>
        <v>3.5218682059815478</v>
      </c>
      <c r="L258" s="3">
        <f>Table9[[#This Row],[Batmobile]]-Table9[[#This Row],[Octane]]</f>
        <v>0.75857989126095049</v>
      </c>
      <c r="M258" s="3">
        <f>Table9[[#This Row],[Breakout]]-Table9[[#This Row],[Octane]]</f>
        <v>4.9931499431509678</v>
      </c>
      <c r="N258" s="4">
        <f>Table9[[#This Row],[Octane]]/Table9[[#This Row],[Hybrid]]</f>
        <v>0.98035934320163476</v>
      </c>
      <c r="O258" s="4">
        <f>Table9[[#This Row],[Octane]]/Table9[[#This Row],[Dominus]]</f>
        <v>0.97334333413815211</v>
      </c>
      <c r="P258" s="4">
        <f>Table9[[#This Row],[Octane]]/Table9[[#This Row],[Plank]]</f>
        <v>0.98153329037447878</v>
      </c>
      <c r="Q258" s="4">
        <f>Table9[[#This Row],[Octane]]/Table9[[#This Row],[Batmobile]]</f>
        <v>0.99596395191066489</v>
      </c>
      <c r="R258" s="4">
        <f>Table9[[#This Row],[Octane]]/Table9[[#This Row],[Breakout]]</f>
        <v>0.97401914216976482</v>
      </c>
    </row>
    <row r="259" spans="1:18">
      <c r="A259" s="1">
        <f>Octane[[#This Row],[Degrees turned]]</f>
        <v>188.13895529912139</v>
      </c>
      <c r="B259" s="1">
        <f>Hybrid[[#This Row],[Degrees turned]]</f>
        <v>191.91216156967391</v>
      </c>
      <c r="C259" s="1">
        <f>Dominus[[#This Row],[Degrees turned]]</f>
        <v>193.29694723277274</v>
      </c>
      <c r="D259" s="1">
        <f>Plank[[#This Row],[Degrees turned]]</f>
        <v>191.68524809819738</v>
      </c>
      <c r="E259" s="1">
        <f>Batmobile[[#This Row],[Degrees turned]]</f>
        <v>188.90696237767716</v>
      </c>
      <c r="F259" s="1">
        <f>Breakout[[#This Row],[Degrees turned]]</f>
        <v>193.16597854203638</v>
      </c>
      <c r="H259" s="1">
        <v>0</v>
      </c>
      <c r="I259" s="3">
        <f>Table9[[#This Row],[Hybrid]]-Table9[[#This Row],[Octane]]</f>
        <v>3.7732062705525209</v>
      </c>
      <c r="J259" s="3">
        <f>Table9[[#This Row],[Dominus]]-Table9[[#This Row],[Octane]]</f>
        <v>5.1579919336513456</v>
      </c>
      <c r="K259" s="3">
        <f>Table9[[#This Row],[Plank]]-Table9[[#This Row],[Octane]]</f>
        <v>3.5462927990759852</v>
      </c>
      <c r="L259" s="3">
        <f>Table9[[#This Row],[Batmobile]]-Table9[[#This Row],[Octane]]</f>
        <v>0.76800707855576889</v>
      </c>
      <c r="M259" s="3">
        <f>Table9[[#This Row],[Breakout]]-Table9[[#This Row],[Octane]]</f>
        <v>5.0270232429149928</v>
      </c>
      <c r="N259" s="4">
        <f>Table9[[#This Row],[Octane]]/Table9[[#This Row],[Hybrid]]</f>
        <v>0.98033888921008971</v>
      </c>
      <c r="O259" s="4">
        <f>Table9[[#This Row],[Octane]]/Table9[[#This Row],[Dominus]]</f>
        <v>0.97331570928825917</v>
      </c>
      <c r="P259" s="4">
        <f>Table9[[#This Row],[Octane]]/Table9[[#This Row],[Plank]]</f>
        <v>0.98149939635803751</v>
      </c>
      <c r="Q259" s="4">
        <f>Table9[[#This Row],[Octane]]/Table9[[#This Row],[Batmobile]]</f>
        <v>0.99593446917525297</v>
      </c>
      <c r="R259" s="4">
        <f>Table9[[#This Row],[Octane]]/Table9[[#This Row],[Breakout]]</f>
        <v>0.97397562820918271</v>
      </c>
    </row>
    <row r="260" spans="1:18">
      <c r="A260" s="1">
        <f>Octane[[#This Row],[Degrees turned]]</f>
        <v>189.08580086109151</v>
      </c>
      <c r="B260" s="1">
        <f>Hybrid[[#This Row],[Degrees turned]]</f>
        <v>192.88129089845987</v>
      </c>
      <c r="C260" s="1">
        <f>Dominus[[#This Row],[Degrees turned]]</f>
        <v>194.27454550825024</v>
      </c>
      <c r="D260" s="1">
        <f>Plank[[#This Row],[Degrees turned]]</f>
        <v>192.65597283970249</v>
      </c>
      <c r="E260" s="1">
        <f>Batmobile[[#This Row],[Degrees turned]]</f>
        <v>189.86230700143381</v>
      </c>
      <c r="F260" s="1">
        <f>Breakout[[#This Row],[Degrees turned]]</f>
        <v>194.14603690288388</v>
      </c>
      <c r="H260" s="1">
        <v>0</v>
      </c>
      <c r="I260" s="3">
        <f>Table9[[#This Row],[Hybrid]]-Table9[[#This Row],[Octane]]</f>
        <v>3.7954900373683529</v>
      </c>
      <c r="J260" s="3">
        <f>Table9[[#This Row],[Dominus]]-Table9[[#This Row],[Octane]]</f>
        <v>5.1887446471587282</v>
      </c>
      <c r="K260" s="3">
        <f>Table9[[#This Row],[Plank]]-Table9[[#This Row],[Octane]]</f>
        <v>3.570171978610972</v>
      </c>
      <c r="L260" s="3">
        <f>Table9[[#This Row],[Batmobile]]-Table9[[#This Row],[Octane]]</f>
        <v>0.77650614034229193</v>
      </c>
      <c r="M260" s="3">
        <f>Table9[[#This Row],[Breakout]]-Table9[[#This Row],[Octane]]</f>
        <v>5.0602360417923649</v>
      </c>
      <c r="N260" s="4">
        <f>Table9[[#This Row],[Octane]]/Table9[[#This Row],[Hybrid]]</f>
        <v>0.98032214519257632</v>
      </c>
      <c r="O260" s="4">
        <f>Table9[[#This Row],[Octane]]/Table9[[#This Row],[Dominus]]</f>
        <v>0.97329169071746269</v>
      </c>
      <c r="P260" s="4">
        <f>Table9[[#This Row],[Octane]]/Table9[[#This Row],[Plank]]</f>
        <v>0.98146866704422653</v>
      </c>
      <c r="Q260" s="4">
        <f>Table9[[#This Row],[Octane]]/Table9[[#This Row],[Batmobile]]</f>
        <v>0.99591016167133994</v>
      </c>
      <c r="R260" s="4">
        <f>Table9[[#This Row],[Octane]]/Table9[[#This Row],[Breakout]]</f>
        <v>0.9739359292493639</v>
      </c>
    </row>
    <row r="261" spans="1:18">
      <c r="A261" s="1">
        <f>Octane[[#This Row],[Degrees turned]]</f>
        <v>190.03241702840381</v>
      </c>
      <c r="B261" s="1">
        <f>Hybrid[[#This Row],[Degrees turned]]</f>
        <v>193.85093088222041</v>
      </c>
      <c r="C261" s="1">
        <f>Dominus[[#This Row],[Degrees turned]]</f>
        <v>195.25206002859221</v>
      </c>
      <c r="D261" s="1">
        <f>Plank[[#This Row],[Degrees turned]]</f>
        <v>193.62638098272225</v>
      </c>
      <c r="E261" s="1">
        <f>Batmobile[[#This Row],[Degrees turned]]</f>
        <v>190.81814523160651</v>
      </c>
      <c r="F261" s="1">
        <f>Breakout[[#This Row],[Degrees turned]]</f>
        <v>195.12596935252233</v>
      </c>
      <c r="H261" s="1">
        <v>0</v>
      </c>
      <c r="I261" s="3">
        <f>Table9[[#This Row],[Hybrid]]-Table9[[#This Row],[Octane]]</f>
        <v>3.8185138538165972</v>
      </c>
      <c r="J261" s="3">
        <f>Table9[[#This Row],[Dominus]]-Table9[[#This Row],[Octane]]</f>
        <v>5.2196430001883982</v>
      </c>
      <c r="K261" s="3">
        <f>Table9[[#This Row],[Plank]]-Table9[[#This Row],[Octane]]</f>
        <v>3.5939639543184398</v>
      </c>
      <c r="L261" s="3">
        <f>Table9[[#This Row],[Batmobile]]-Table9[[#This Row],[Octane]]</f>
        <v>0.78572820320269443</v>
      </c>
      <c r="M261" s="3">
        <f>Table9[[#This Row],[Breakout]]-Table9[[#This Row],[Octane]]</f>
        <v>5.0935523241185194</v>
      </c>
      <c r="N261" s="4">
        <f>Table9[[#This Row],[Octane]]/Table9[[#This Row],[Hybrid]]</f>
        <v>0.98030180285212742</v>
      </c>
      <c r="O261" s="4">
        <f>Table9[[#This Row],[Octane]]/Table9[[#This Row],[Dominus]]</f>
        <v>0.97326715528930119</v>
      </c>
      <c r="P261" s="4">
        <f>Table9[[#This Row],[Octane]]/Table9[[#This Row],[Plank]]</f>
        <v>0.98143866586733786</v>
      </c>
      <c r="Q261" s="4">
        <f>Table9[[#This Row],[Octane]]/Table9[[#This Row],[Batmobile]]</f>
        <v>0.99588231925088144</v>
      </c>
      <c r="R261" s="4">
        <f>Table9[[#This Row],[Octane]]/Table9[[#This Row],[Breakout]]</f>
        <v>0.97389608189509458</v>
      </c>
    </row>
    <row r="262" spans="1:18">
      <c r="A262" s="1">
        <f>Octane[[#This Row],[Degrees turned]]</f>
        <v>190.97884141852808</v>
      </c>
      <c r="B262" s="1">
        <f>Hybrid[[#This Row],[Degrees turned]]</f>
        <v>194.82059573109365</v>
      </c>
      <c r="C262" s="1">
        <f>Dominus[[#This Row],[Degrees turned]]</f>
        <v>196.22953280654119</v>
      </c>
      <c r="D262" s="1">
        <f>Plank[[#This Row],[Degrees turned]]</f>
        <v>194.596850214932</v>
      </c>
      <c r="E262" s="1">
        <f>Batmobile[[#This Row],[Degrees turned]]</f>
        <v>191.77382419652011</v>
      </c>
      <c r="F262" s="1">
        <f>Breakout[[#This Row],[Degrees turned]]</f>
        <v>196.10598757657647</v>
      </c>
      <c r="H262" s="1">
        <v>0</v>
      </c>
      <c r="I262" s="3">
        <f>Table9[[#This Row],[Hybrid]]-Table9[[#This Row],[Octane]]</f>
        <v>3.8417543125655698</v>
      </c>
      <c r="J262" s="3">
        <f>Table9[[#This Row],[Dominus]]-Table9[[#This Row],[Octane]]</f>
        <v>5.2506913880131094</v>
      </c>
      <c r="K262" s="3">
        <f>Table9[[#This Row],[Plank]]-Table9[[#This Row],[Octane]]</f>
        <v>3.6180087964039274</v>
      </c>
      <c r="L262" s="3">
        <f>Table9[[#This Row],[Batmobile]]-Table9[[#This Row],[Octane]]</f>
        <v>0.79498277799203265</v>
      </c>
      <c r="M262" s="3">
        <f>Table9[[#This Row],[Breakout]]-Table9[[#This Row],[Octane]]</f>
        <v>5.1271461580483901</v>
      </c>
      <c r="N262" s="4">
        <f>Table9[[#This Row],[Octane]]/Table9[[#This Row],[Hybrid]]</f>
        <v>0.980280553510532</v>
      </c>
      <c r="O262" s="4">
        <f>Table9[[#This Row],[Octane]]/Table9[[#This Row],[Dominus]]</f>
        <v>0.97324209402674544</v>
      </c>
      <c r="P262" s="4">
        <f>Table9[[#This Row],[Octane]]/Table9[[#This Row],[Plank]]</f>
        <v>0.98140767030705867</v>
      </c>
      <c r="Q262" s="4">
        <f>Table9[[#This Row],[Octane]]/Table9[[#This Row],[Batmobile]]</f>
        <v>0.99585458139908933</v>
      </c>
      <c r="R262" s="4">
        <f>Table9[[#This Row],[Octane]]/Table9[[#This Row],[Breakout]]</f>
        <v>0.9738552288922524</v>
      </c>
    </row>
    <row r="263" spans="1:18">
      <c r="A263" s="1">
        <f>Octane[[#This Row],[Degrees turned]]</f>
        <v>191.92503239610363</v>
      </c>
      <c r="B263" s="1">
        <f>Hybrid[[#This Row],[Degrees turned]]</f>
        <v>195.79014413561751</v>
      </c>
      <c r="C263" s="1">
        <f>Dominus[[#This Row],[Degrees turned]]</f>
        <v>197.20706433577189</v>
      </c>
      <c r="D263" s="1">
        <f>Plank[[#This Row],[Degrees turned]]</f>
        <v>195.56714671084609</v>
      </c>
      <c r="E263" s="1">
        <f>Batmobile[[#This Row],[Degrees turned]]</f>
        <v>192.72938256401468</v>
      </c>
      <c r="F263" s="1">
        <f>Breakout[[#This Row],[Degrees turned]]</f>
        <v>197.08586154820046</v>
      </c>
      <c r="H263" s="1">
        <v>0</v>
      </c>
      <c r="I263" s="3">
        <f>Table9[[#This Row],[Hybrid]]-Table9[[#This Row],[Octane]]</f>
        <v>3.8651117395138783</v>
      </c>
      <c r="J263" s="3">
        <f>Table9[[#This Row],[Dominus]]-Table9[[#This Row],[Octane]]</f>
        <v>5.2820319396682578</v>
      </c>
      <c r="K263" s="3">
        <f>Table9[[#This Row],[Plank]]-Table9[[#This Row],[Octane]]</f>
        <v>3.6421143147424573</v>
      </c>
      <c r="L263" s="3">
        <f>Table9[[#This Row],[Batmobile]]-Table9[[#This Row],[Octane]]</f>
        <v>0.8043501679110534</v>
      </c>
      <c r="M263" s="3">
        <f>Table9[[#This Row],[Breakout]]-Table9[[#This Row],[Octane]]</f>
        <v>5.1608291520968237</v>
      </c>
      <c r="N263" s="4">
        <f>Table9[[#This Row],[Octane]]/Table9[[#This Row],[Hybrid]]</f>
        <v>0.98025890548996863</v>
      </c>
      <c r="O263" s="4">
        <f>Table9[[#This Row],[Octane]]/Table9[[#This Row],[Dominus]]</f>
        <v>0.97321580767170246</v>
      </c>
      <c r="P263" s="4">
        <f>Table9[[#This Row],[Octane]]/Table9[[#This Row],[Plank]]</f>
        <v>0.98137665566022969</v>
      </c>
      <c r="Q263" s="4">
        <f>Table9[[#This Row],[Octane]]/Table9[[#This Row],[Batmobile]]</f>
        <v>0.99582653066589943</v>
      </c>
      <c r="R263" s="4">
        <f>Table9[[#This Row],[Octane]]/Table9[[#This Row],[Breakout]]</f>
        <v>0.97381431061794022</v>
      </c>
    </row>
    <row r="264" spans="1:18">
      <c r="A264" s="1">
        <f>Octane[[#This Row],[Degrees turned]]</f>
        <v>192.87133548620685</v>
      </c>
      <c r="B264" s="1">
        <f>Hybrid[[#This Row],[Degrees turned]]</f>
        <v>196.75988631165291</v>
      </c>
      <c r="C264" s="1">
        <f>Dominus[[#This Row],[Degrees turned]]</f>
        <v>198.18472477040658</v>
      </c>
      <c r="D264" s="1">
        <f>Plank[[#This Row],[Degrees turned]]</f>
        <v>196.53764294273859</v>
      </c>
      <c r="E264" s="1">
        <f>Batmobile[[#This Row],[Degrees turned]]</f>
        <v>193.68488852210999</v>
      </c>
      <c r="F264" s="1">
        <f>Breakout[[#This Row],[Degrees turned]]</f>
        <v>198.06585934182729</v>
      </c>
      <c r="H264" s="1">
        <v>0</v>
      </c>
      <c r="I264" s="3">
        <f>Table9[[#This Row],[Hybrid]]-Table9[[#This Row],[Octane]]</f>
        <v>3.8885508254460603</v>
      </c>
      <c r="J264" s="3">
        <f>Table9[[#This Row],[Dominus]]-Table9[[#This Row],[Octane]]</f>
        <v>5.3133892841997294</v>
      </c>
      <c r="K264" s="3">
        <f>Table9[[#This Row],[Plank]]-Table9[[#This Row],[Octane]]</f>
        <v>3.6663074565317402</v>
      </c>
      <c r="L264" s="3">
        <f>Table9[[#This Row],[Batmobile]]-Table9[[#This Row],[Octane]]</f>
        <v>0.81355303590314065</v>
      </c>
      <c r="M264" s="3">
        <f>Table9[[#This Row],[Breakout]]-Table9[[#This Row],[Octane]]</f>
        <v>5.1945238556204458</v>
      </c>
      <c r="N264" s="4">
        <f>Table9[[#This Row],[Octane]]/Table9[[#This Row],[Hybrid]]</f>
        <v>0.98023707525787607</v>
      </c>
      <c r="O264" s="4">
        <f>Table9[[#This Row],[Octane]]/Table9[[#This Row],[Dominus]]</f>
        <v>0.97318971333257298</v>
      </c>
      <c r="P264" s="4">
        <f>Table9[[#This Row],[Octane]]/Table9[[#This Row],[Plank]]</f>
        <v>0.9813455203713829</v>
      </c>
      <c r="Q264" s="4">
        <f>Table9[[#This Row],[Octane]]/Table9[[#This Row],[Batmobile]]</f>
        <v>0.995799605007335</v>
      </c>
      <c r="R264" s="4">
        <f>Table9[[#This Row],[Octane]]/Table9[[#This Row],[Breakout]]</f>
        <v>0.97377375448307024</v>
      </c>
    </row>
    <row r="265" spans="1:18">
      <c r="A265" s="1">
        <f>Octane[[#This Row],[Degrees turned]]</f>
        <v>193.81764415884419</v>
      </c>
      <c r="B265" s="1">
        <f>Hybrid[[#This Row],[Degrees turned]]</f>
        <v>197.7290396937789</v>
      </c>
      <c r="C265" s="1">
        <f>Dominus[[#This Row],[Degrees turned]]</f>
        <v>199.16181586597776</v>
      </c>
      <c r="D265" s="1">
        <f>Plank[[#This Row],[Degrees turned]]</f>
        <v>197.50810600969902</v>
      </c>
      <c r="E265" s="1">
        <f>Batmobile[[#This Row],[Degrees turned]]</f>
        <v>194.64024129508036</v>
      </c>
      <c r="F265" s="1">
        <f>Breakout[[#This Row],[Degrees turned]]</f>
        <v>199.04601974951342</v>
      </c>
      <c r="H265" s="1">
        <v>0</v>
      </c>
      <c r="I265" s="3">
        <f>Table9[[#This Row],[Hybrid]]-Table9[[#This Row],[Octane]]</f>
        <v>3.9113955349347123</v>
      </c>
      <c r="J265" s="3">
        <f>Table9[[#This Row],[Dominus]]-Table9[[#This Row],[Octane]]</f>
        <v>5.3441717071335688</v>
      </c>
      <c r="K265" s="3">
        <f>Table9[[#This Row],[Plank]]-Table9[[#This Row],[Octane]]</f>
        <v>3.690461850854831</v>
      </c>
      <c r="L265" s="3">
        <f>Table9[[#This Row],[Batmobile]]-Table9[[#This Row],[Octane]]</f>
        <v>0.82259713623616904</v>
      </c>
      <c r="M265" s="3">
        <f>Table9[[#This Row],[Breakout]]-Table9[[#This Row],[Octane]]</f>
        <v>5.2283755906692306</v>
      </c>
      <c r="N265" s="4">
        <f>Table9[[#This Row],[Octane]]/Table9[[#This Row],[Hybrid]]</f>
        <v>0.98021840625437595</v>
      </c>
      <c r="O265" s="4">
        <f>Table9[[#This Row],[Octane]]/Table9[[#This Row],[Dominus]]</f>
        <v>0.97316668517056593</v>
      </c>
      <c r="P265" s="4">
        <f>Table9[[#This Row],[Octane]]/Table9[[#This Row],[Plank]]</f>
        <v>0.98131488410570045</v>
      </c>
      <c r="Q265" s="4">
        <f>Table9[[#This Row],[Octane]]/Table9[[#This Row],[Batmobile]]</f>
        <v>0.99577375608063967</v>
      </c>
      <c r="R265" s="4">
        <f>Table9[[#This Row],[Octane]]/Table9[[#This Row],[Breakout]]</f>
        <v>0.97373283024072121</v>
      </c>
    </row>
    <row r="266" spans="1:18">
      <c r="A266" s="1">
        <f>Octane[[#This Row],[Degrees turned]]</f>
        <v>194.76391703065096</v>
      </c>
      <c r="B266" s="1">
        <f>Hybrid[[#This Row],[Degrees turned]]</f>
        <v>198.69839323187946</v>
      </c>
      <c r="C266" s="1">
        <f>Dominus[[#This Row],[Degrees turned]]</f>
        <v>200.13928282223134</v>
      </c>
      <c r="D266" s="1">
        <f>Plank[[#This Row],[Degrees turned]]</f>
        <v>198.47873829226165</v>
      </c>
      <c r="E266" s="1">
        <f>Batmobile[[#This Row],[Degrees turned]]</f>
        <v>195.59584197980976</v>
      </c>
      <c r="F266" s="1">
        <f>Breakout[[#This Row],[Degrees turned]]</f>
        <v>200.02580974464638</v>
      </c>
      <c r="H266" s="1">
        <v>0</v>
      </c>
      <c r="I266" s="3">
        <f>Table9[[#This Row],[Hybrid]]-Table9[[#This Row],[Octane]]</f>
        <v>3.9344762012285059</v>
      </c>
      <c r="J266" s="3">
        <f>Table9[[#This Row],[Dominus]]-Table9[[#This Row],[Octane]]</f>
        <v>5.3753657915803785</v>
      </c>
      <c r="K266" s="3">
        <f>Table9[[#This Row],[Plank]]-Table9[[#This Row],[Octane]]</f>
        <v>3.7148212616106946</v>
      </c>
      <c r="L266" s="3">
        <f>Table9[[#This Row],[Batmobile]]-Table9[[#This Row],[Octane]]</f>
        <v>0.83192494915880388</v>
      </c>
      <c r="M266" s="3">
        <f>Table9[[#This Row],[Breakout]]-Table9[[#This Row],[Octane]]</f>
        <v>5.2618927139954224</v>
      </c>
      <c r="N266" s="4">
        <f>Table9[[#This Row],[Octane]]/Table9[[#This Row],[Hybrid]]</f>
        <v>0.98019875180048888</v>
      </c>
      <c r="O266" s="4">
        <f>Table9[[#This Row],[Octane]]/Table9[[#This Row],[Dominus]]</f>
        <v>0.9731418754190555</v>
      </c>
      <c r="P266" s="4">
        <f>Table9[[#This Row],[Octane]]/Table9[[#This Row],[Plank]]</f>
        <v>0.98128353044979266</v>
      </c>
      <c r="Q266" s="4">
        <f>Table9[[#This Row],[Octane]]/Table9[[#This Row],[Batmobile]]</f>
        <v>0.99574671454802866</v>
      </c>
      <c r="R266" s="4">
        <f>Table9[[#This Row],[Octane]]/Table9[[#This Row],[Breakout]]</f>
        <v>0.97369393119461545</v>
      </c>
    </row>
    <row r="267" spans="1:18">
      <c r="A267" s="1">
        <f>Octane[[#This Row],[Degrees turned]]</f>
        <v>195.71048924318515</v>
      </c>
      <c r="B267" s="1">
        <f>Hybrid[[#This Row],[Degrees turned]]</f>
        <v>199.66801196163379</v>
      </c>
      <c r="C267" s="1">
        <f>Dominus[[#This Row],[Degrees turned]]</f>
        <v>201.11698547747989</v>
      </c>
      <c r="D267" s="1">
        <f>Plank[[#This Row],[Degrees turned]]</f>
        <v>199.44976916703183</v>
      </c>
      <c r="E267" s="1">
        <f>Batmobile[[#This Row],[Degrees turned]]</f>
        <v>196.55161730120898</v>
      </c>
      <c r="F267" s="1">
        <f>Breakout[[#This Row],[Degrees turned]]</f>
        <v>201.00577690908992</v>
      </c>
      <c r="H267" s="1">
        <v>0</v>
      </c>
      <c r="I267" s="3">
        <f>Table9[[#This Row],[Hybrid]]-Table9[[#This Row],[Octane]]</f>
        <v>3.9575227184486437</v>
      </c>
      <c r="J267" s="3">
        <f>Table9[[#This Row],[Dominus]]-Table9[[#This Row],[Octane]]</f>
        <v>5.4064962342947354</v>
      </c>
      <c r="K267" s="3">
        <f>Table9[[#This Row],[Plank]]-Table9[[#This Row],[Octane]]</f>
        <v>3.7392799238466807</v>
      </c>
      <c r="L267" s="3">
        <f>Table9[[#This Row],[Batmobile]]-Table9[[#This Row],[Octane]]</f>
        <v>0.84112805802382695</v>
      </c>
      <c r="M267" s="3">
        <f>Table9[[#This Row],[Breakout]]-Table9[[#This Row],[Octane]]</f>
        <v>5.2952876659047661</v>
      </c>
      <c r="N267" s="4">
        <f>Table9[[#This Row],[Octane]]/Table9[[#This Row],[Hybrid]]</f>
        <v>0.98017948553918055</v>
      </c>
      <c r="O267" s="4">
        <f>Table9[[#This Row],[Octane]]/Table9[[#This Row],[Dominus]]</f>
        <v>0.97311765477461309</v>
      </c>
      <c r="P267" s="4">
        <f>Table9[[#This Row],[Octane]]/Table9[[#This Row],[Plank]]</f>
        <v>0.98125202180246607</v>
      </c>
      <c r="Q267" s="4">
        <f>Table9[[#This Row],[Octane]]/Table9[[#This Row],[Batmobile]]</f>
        <v>0.99572057422079197</v>
      </c>
      <c r="R267" s="4">
        <f>Table9[[#This Row],[Octane]]/Table9[[#This Row],[Breakout]]</f>
        <v>0.97365604239175818</v>
      </c>
    </row>
    <row r="268" spans="1:18">
      <c r="A268" s="1">
        <f>Octane[[#This Row],[Degrees turned]]</f>
        <v>196.6572540948714</v>
      </c>
      <c r="B268" s="1">
        <f>Hybrid[[#This Row],[Degrees turned]]</f>
        <v>200.63725943494106</v>
      </c>
      <c r="C268" s="1">
        <f>Dominus[[#This Row],[Degrees turned]]</f>
        <v>202.09446799726607</v>
      </c>
      <c r="D268" s="1">
        <f>Plank[[#This Row],[Degrees turned]]</f>
        <v>200.42039717301759</v>
      </c>
      <c r="E268" s="1">
        <f>Batmobile[[#This Row],[Degrees turned]]</f>
        <v>197.50682531523518</v>
      </c>
      <c r="F268" s="1">
        <f>Breakout[[#This Row],[Degrees turned]]</f>
        <v>201.98549381877152</v>
      </c>
      <c r="H268" s="1">
        <v>0</v>
      </c>
      <c r="I268" s="3">
        <f>Table9[[#This Row],[Hybrid]]-Table9[[#This Row],[Octane]]</f>
        <v>3.9800053400696527</v>
      </c>
      <c r="J268" s="3">
        <f>Table9[[#This Row],[Dominus]]-Table9[[#This Row],[Octane]]</f>
        <v>5.4372139023946602</v>
      </c>
      <c r="K268" s="3">
        <f>Table9[[#This Row],[Plank]]-Table9[[#This Row],[Octane]]</f>
        <v>3.7631430781461859</v>
      </c>
      <c r="L268" s="3">
        <f>Table9[[#This Row],[Batmobile]]-Table9[[#This Row],[Octane]]</f>
        <v>0.84957122036377086</v>
      </c>
      <c r="M268" s="3">
        <f>Table9[[#This Row],[Breakout]]-Table9[[#This Row],[Octane]]</f>
        <v>5.3282397239001114</v>
      </c>
      <c r="N268" s="4">
        <f>Table9[[#This Row],[Octane]]/Table9[[#This Row],[Hybrid]]</f>
        <v>0.9801631793053861</v>
      </c>
      <c r="O268" s="4">
        <f>Table9[[#This Row],[Octane]]/Table9[[#This Row],[Dominus]]</f>
        <v>0.97309568165681692</v>
      </c>
      <c r="P268" s="4">
        <f>Table9[[#This Row],[Octane]]/Table9[[#This Row],[Plank]]</f>
        <v>0.98122375201712841</v>
      </c>
      <c r="Q268" s="4">
        <f>Table9[[#This Row],[Octane]]/Table9[[#This Row],[Batmobile]]</f>
        <v>0.99569852222064836</v>
      </c>
      <c r="R268" s="4">
        <f>Table9[[#This Row],[Octane]]/Table9[[#This Row],[Breakout]]</f>
        <v>0.97362068125208634</v>
      </c>
    </row>
    <row r="269" spans="1:18">
      <c r="A269" s="1">
        <f>Octane[[#This Row],[Degrees turned]]</f>
        <v>197.60356021038217</v>
      </c>
      <c r="B269" s="1">
        <f>Hybrid[[#This Row],[Degrees turned]]</f>
        <v>201.60631348476994</v>
      </c>
      <c r="C269" s="1">
        <f>Dominus[[#This Row],[Degrees turned]]</f>
        <v>203.07180544309708</v>
      </c>
      <c r="D269" s="1">
        <f>Plank[[#This Row],[Degrees turned]]</f>
        <v>201.39139651047424</v>
      </c>
      <c r="E269" s="1">
        <f>Batmobile[[#This Row],[Degrees turned]]</f>
        <v>198.46247562532562</v>
      </c>
      <c r="F269" s="1">
        <f>Breakout[[#This Row],[Degrees turned]]</f>
        <v>202.96581322172906</v>
      </c>
      <c r="H269" s="1">
        <v>0</v>
      </c>
      <c r="I269" s="3">
        <f>Table9[[#This Row],[Hybrid]]-Table9[[#This Row],[Octane]]</f>
        <v>4.0027532743877714</v>
      </c>
      <c r="J269" s="3">
        <f>Table9[[#This Row],[Dominus]]-Table9[[#This Row],[Octane]]</f>
        <v>5.4682452327149065</v>
      </c>
      <c r="K269" s="3">
        <f>Table9[[#This Row],[Plank]]-Table9[[#This Row],[Octane]]</f>
        <v>3.7878363000920672</v>
      </c>
      <c r="L269" s="3">
        <f>Table9[[#This Row],[Batmobile]]-Table9[[#This Row],[Octane]]</f>
        <v>0.85891541494345347</v>
      </c>
      <c r="M269" s="3">
        <f>Table9[[#This Row],[Breakout]]-Table9[[#This Row],[Octane]]</f>
        <v>5.362253011346894</v>
      </c>
      <c r="N269" s="4">
        <f>Table9[[#This Row],[Octane]]/Table9[[#This Row],[Hybrid]]</f>
        <v>0.98014569481877778</v>
      </c>
      <c r="O269" s="4">
        <f>Table9[[#This Row],[Octane]]/Table9[[#This Row],[Dominus]]</f>
        <v>0.97307235624963617</v>
      </c>
      <c r="P269" s="4">
        <f>Table9[[#This Row],[Octane]]/Table9[[#This Row],[Plank]]</f>
        <v>0.98119166773891919</v>
      </c>
      <c r="Q269" s="4">
        <f>Table9[[#This Row],[Octane]]/Table9[[#This Row],[Batmobile]]</f>
        <v>0.99567215206684723</v>
      </c>
      <c r="R269" s="4">
        <f>Table9[[#This Row],[Octane]]/Table9[[#This Row],[Breakout]]</f>
        <v>0.97358051128793333</v>
      </c>
    </row>
    <row r="270" spans="1:18">
      <c r="A270" s="1">
        <f>Octane[[#This Row],[Degrees turned]]</f>
        <v>198.55021875266044</v>
      </c>
      <c r="B270" s="1">
        <f>Hybrid[[#This Row],[Degrees turned]]</f>
        <v>202.57596741610121</v>
      </c>
      <c r="C270" s="1">
        <f>Dominus[[#This Row],[Degrees turned]]</f>
        <v>204.04968662553188</v>
      </c>
      <c r="D270" s="1">
        <f>Plank[[#This Row],[Degrees turned]]</f>
        <v>202.36213575760465</v>
      </c>
      <c r="E270" s="1">
        <f>Batmobile[[#This Row],[Degrees turned]]</f>
        <v>199.41756514448167</v>
      </c>
      <c r="F270" s="1">
        <f>Breakout[[#This Row],[Degrees turned]]</f>
        <v>203.94579261219769</v>
      </c>
      <c r="H270" s="1">
        <v>0</v>
      </c>
      <c r="I270" s="3">
        <f>Table9[[#This Row],[Hybrid]]-Table9[[#This Row],[Octane]]</f>
        <v>4.0257486634407655</v>
      </c>
      <c r="J270" s="3">
        <f>Table9[[#This Row],[Dominus]]-Table9[[#This Row],[Octane]]</f>
        <v>5.4994678728714348</v>
      </c>
      <c r="K270" s="3">
        <f>Table9[[#This Row],[Plank]]-Table9[[#This Row],[Octane]]</f>
        <v>3.8119170049442062</v>
      </c>
      <c r="L270" s="3">
        <f>Table9[[#This Row],[Batmobile]]-Table9[[#This Row],[Octane]]</f>
        <v>0.86734639182122919</v>
      </c>
      <c r="M270" s="3">
        <f>Table9[[#This Row],[Breakout]]-Table9[[#This Row],[Octane]]</f>
        <v>5.3955738595372509</v>
      </c>
      <c r="N270" s="4">
        <f>Table9[[#This Row],[Octane]]/Table9[[#This Row],[Hybrid]]</f>
        <v>0.98012721491700106</v>
      </c>
      <c r="O270" s="4">
        <f>Table9[[#This Row],[Octane]]/Table9[[#This Row],[Dominus]]</f>
        <v>0.97304838853801356</v>
      </c>
      <c r="P270" s="4">
        <f>Table9[[#This Row],[Octane]]/Table9[[#This Row],[Plank]]</f>
        <v>0.98116289398373302</v>
      </c>
      <c r="Q270" s="4">
        <f>Table9[[#This Row],[Octane]]/Table9[[#This Row],[Batmobile]]</f>
        <v>0.99565060183543597</v>
      </c>
      <c r="R270" s="4">
        <f>Table9[[#This Row],[Octane]]/Table9[[#This Row],[Breakout]]</f>
        <v>0.97354407859839054</v>
      </c>
    </row>
    <row r="271" spans="1:18">
      <c r="A271" s="1">
        <f>Octane[[#This Row],[Degrees turned]]</f>
        <v>199.49668412571145</v>
      </c>
      <c r="B271" s="1">
        <f>Hybrid[[#This Row],[Degrees turned]]</f>
        <v>203.54530204060438</v>
      </c>
      <c r="C271" s="1">
        <f>Dominus[[#This Row],[Degrees turned]]</f>
        <v>205.02746085537129</v>
      </c>
      <c r="D271" s="1">
        <f>Plank[[#This Row],[Degrees turned]]</f>
        <v>203.33278824040693</v>
      </c>
      <c r="E271" s="1">
        <f>Batmobile[[#This Row],[Degrees turned]]</f>
        <v>200.37322446408467</v>
      </c>
      <c r="F271" s="1">
        <f>Breakout[[#This Row],[Degrees turned]]</f>
        <v>204.92586446350546</v>
      </c>
      <c r="H271" s="1">
        <v>0</v>
      </c>
      <c r="I271" s="3">
        <f>Table9[[#This Row],[Hybrid]]-Table9[[#This Row],[Octane]]</f>
        <v>4.0486179148929295</v>
      </c>
      <c r="J271" s="3">
        <f>Table9[[#This Row],[Dominus]]-Table9[[#This Row],[Octane]]</f>
        <v>5.5307767296598342</v>
      </c>
      <c r="K271" s="3">
        <f>Table9[[#This Row],[Plank]]-Table9[[#This Row],[Octane]]</f>
        <v>3.8361041146954733</v>
      </c>
      <c r="L271" s="3">
        <f>Table9[[#This Row],[Batmobile]]-Table9[[#This Row],[Octane]]</f>
        <v>0.87654033837321776</v>
      </c>
      <c r="M271" s="3">
        <f>Table9[[#This Row],[Breakout]]-Table9[[#This Row],[Octane]]</f>
        <v>5.4291803377940084</v>
      </c>
      <c r="N271" s="4">
        <f>Table9[[#This Row],[Octane]]/Table9[[#This Row],[Hybrid]]</f>
        <v>0.98010949958410098</v>
      </c>
      <c r="O271" s="4">
        <f>Table9[[#This Row],[Octane]]/Table9[[#This Row],[Dominus]]</f>
        <v>0.97302421487060553</v>
      </c>
      <c r="P271" s="4">
        <f>Table9[[#This Row],[Octane]]/Table9[[#This Row],[Plank]]</f>
        <v>0.98113386361396904</v>
      </c>
      <c r="Q271" s="4">
        <f>Table9[[#This Row],[Octane]]/Table9[[#This Row],[Batmobile]]</f>
        <v>0.99562546173163802</v>
      </c>
      <c r="R271" s="4">
        <f>Table9[[#This Row],[Octane]]/Table9[[#This Row],[Breakout]]</f>
        <v>0.97350661249126569</v>
      </c>
    </row>
    <row r="272" spans="1:18">
      <c r="A272" s="1">
        <f>Octane[[#This Row],[Degrees turned]]</f>
        <v>200.44346477869701</v>
      </c>
      <c r="B272" s="1">
        <f>Hybrid[[#This Row],[Degrees turned]]</f>
        <v>204.51467810970786</v>
      </c>
      <c r="C272" s="1">
        <f>Dominus[[#This Row],[Degrees turned]]</f>
        <v>206.00529885026461</v>
      </c>
      <c r="D272" s="1">
        <f>Plank[[#This Row],[Degrees turned]]</f>
        <v>204.30342494664711</v>
      </c>
      <c r="E272" s="1">
        <f>Batmobile[[#This Row],[Degrees turned]]</f>
        <v>201.32875218173774</v>
      </c>
      <c r="F272" s="1">
        <f>Breakout[[#This Row],[Degrees turned]]</f>
        <v>205.90589998552866</v>
      </c>
      <c r="H272" s="1">
        <v>0</v>
      </c>
      <c r="I272" s="3">
        <f>Table9[[#This Row],[Hybrid]]-Table9[[#This Row],[Octane]]</f>
        <v>4.0712133310108527</v>
      </c>
      <c r="J272" s="3">
        <f>Table9[[#This Row],[Dominus]]-Table9[[#This Row],[Octane]]</f>
        <v>5.5618340715676027</v>
      </c>
      <c r="K272" s="3">
        <f>Table9[[#This Row],[Plank]]-Table9[[#This Row],[Octane]]</f>
        <v>3.8599601679501063</v>
      </c>
      <c r="L272" s="3">
        <f>Table9[[#This Row],[Batmobile]]-Table9[[#This Row],[Octane]]</f>
        <v>0.88528740304073494</v>
      </c>
      <c r="M272" s="3">
        <f>Table9[[#This Row],[Breakout]]-Table9[[#This Row],[Octane]]</f>
        <v>5.4624352068316568</v>
      </c>
      <c r="N272" s="4">
        <f>Table9[[#This Row],[Octane]]/Table9[[#This Row],[Hybrid]]</f>
        <v>0.98009329516766064</v>
      </c>
      <c r="O272" s="4">
        <f>Table9[[#This Row],[Octane]]/Table9[[#This Row],[Dominus]]</f>
        <v>0.9730014999487453</v>
      </c>
      <c r="P272" s="4">
        <f>Table9[[#This Row],[Octane]]/Table9[[#This Row],[Plank]]</f>
        <v>0.98110672804942889</v>
      </c>
      <c r="Q272" s="4">
        <f>Table9[[#This Row],[Octane]]/Table9[[#This Row],[Batmobile]]</f>
        <v>0.99560277708252221</v>
      </c>
      <c r="R272" s="4">
        <f>Table9[[#This Row],[Octane]]/Table9[[#This Row],[Breakout]]</f>
        <v>0.97347120598673686</v>
      </c>
    </row>
    <row r="273" spans="1:18">
      <c r="A273" s="1">
        <f>Octane[[#This Row],[Degrees turned]]</f>
        <v>201.39034176729271</v>
      </c>
      <c r="B273" s="1">
        <f>Hybrid[[#This Row],[Degrees turned]]</f>
        <v>205.48413373094513</v>
      </c>
      <c r="C273" s="1">
        <f>Dominus[[#This Row],[Degrees turned]]</f>
        <v>206.98243550777153</v>
      </c>
      <c r="D273" s="1">
        <f>Plank[[#This Row],[Degrees turned]]</f>
        <v>205.27401684552035</v>
      </c>
      <c r="E273" s="1">
        <f>Batmobile[[#This Row],[Degrees turned]]</f>
        <v>202.28408626200962</v>
      </c>
      <c r="F273" s="1">
        <f>Breakout[[#This Row],[Degrees turned]]</f>
        <v>206.88591447613405</v>
      </c>
      <c r="H273" s="1">
        <v>0</v>
      </c>
      <c r="I273" s="3">
        <f>Table9[[#This Row],[Hybrid]]-Table9[[#This Row],[Octane]]</f>
        <v>4.0937919636524214</v>
      </c>
      <c r="J273" s="3">
        <f>Table9[[#This Row],[Dominus]]-Table9[[#This Row],[Octane]]</f>
        <v>5.5920937404788162</v>
      </c>
      <c r="K273" s="3">
        <f>Table9[[#This Row],[Plank]]-Table9[[#This Row],[Octane]]</f>
        <v>3.8836750782276397</v>
      </c>
      <c r="L273" s="3">
        <f>Table9[[#This Row],[Batmobile]]-Table9[[#This Row],[Octane]]</f>
        <v>0.89374449471691264</v>
      </c>
      <c r="M273" s="3">
        <f>Table9[[#This Row],[Breakout]]-Table9[[#This Row],[Octane]]</f>
        <v>5.4955727088413369</v>
      </c>
      <c r="N273" s="4">
        <f>Table9[[#This Row],[Octane]]/Table9[[#This Row],[Hybrid]]</f>
        <v>0.98007733303140221</v>
      </c>
      <c r="O273" s="4">
        <f>Table9[[#This Row],[Octane]]/Table9[[#This Row],[Dominus]]</f>
        <v>0.97298276191039967</v>
      </c>
      <c r="P273" s="4">
        <f>Table9[[#This Row],[Octane]]/Table9[[#This Row],[Plank]]</f>
        <v>0.98108053255882688</v>
      </c>
      <c r="Q273" s="4">
        <f>Table9[[#This Row],[Octane]]/Table9[[#This Row],[Batmobile]]</f>
        <v>0.99558173600685873</v>
      </c>
      <c r="R273" s="4">
        <f>Table9[[#This Row],[Octane]]/Table9[[#This Row],[Breakout]]</f>
        <v>0.97343669953192824</v>
      </c>
    </row>
    <row r="274" spans="1:18">
      <c r="A274" s="1">
        <f>Octane[[#This Row],[Degrees turned]]</f>
        <v>202.33705806902952</v>
      </c>
      <c r="B274" s="1">
        <f>Hybrid[[#This Row],[Degrees turned]]</f>
        <v>206.45373766994345</v>
      </c>
      <c r="C274" s="1">
        <f>Dominus[[#This Row],[Degrees turned]]</f>
        <v>207.95993817912949</v>
      </c>
      <c r="D274" s="1">
        <f>Plank[[#This Row],[Degrees turned]]</f>
        <v>206.24475872234981</v>
      </c>
      <c r="E274" s="1">
        <f>Batmobile[[#This Row],[Degrees turned]]</f>
        <v>203.23929695353334</v>
      </c>
      <c r="F274" s="1">
        <f>Breakout[[#This Row],[Degrees turned]]</f>
        <v>207.8661334810734</v>
      </c>
      <c r="H274" s="1">
        <v>0</v>
      </c>
      <c r="I274" s="3">
        <f>Table9[[#This Row],[Hybrid]]-Table9[[#This Row],[Octane]]</f>
        <v>4.1166796009139262</v>
      </c>
      <c r="J274" s="3">
        <f>Table9[[#This Row],[Dominus]]-Table9[[#This Row],[Octane]]</f>
        <v>5.6228801100999704</v>
      </c>
      <c r="K274" s="3">
        <f>Table9[[#This Row],[Plank]]-Table9[[#This Row],[Octane]]</f>
        <v>3.9077006533202905</v>
      </c>
      <c r="L274" s="3">
        <f>Table9[[#This Row],[Batmobile]]-Table9[[#This Row],[Octane]]</f>
        <v>0.90223888450381651</v>
      </c>
      <c r="M274" s="3">
        <f>Table9[[#This Row],[Breakout]]-Table9[[#This Row],[Octane]]</f>
        <v>5.5290754120438805</v>
      </c>
      <c r="N274" s="4">
        <f>Table9[[#This Row],[Octane]]/Table9[[#This Row],[Hybrid]]</f>
        <v>0.98006003840194333</v>
      </c>
      <c r="O274" s="4">
        <f>Table9[[#This Row],[Octane]]/Table9[[#This Row],[Dominus]]</f>
        <v>0.97296171484117</v>
      </c>
      <c r="P274" s="4">
        <f>Table9[[#This Row],[Octane]]/Table9[[#This Row],[Plank]]</f>
        <v>0.98105309110627681</v>
      </c>
      <c r="Q274" s="4">
        <f>Table9[[#This Row],[Octane]]/Table9[[#This Row],[Batmobile]]</f>
        <v>0.995560706526602</v>
      </c>
      <c r="R274" s="4">
        <f>Table9[[#This Row],[Octane]]/Table9[[#This Row],[Breakout]]</f>
        <v>0.9734007877115427</v>
      </c>
    </row>
    <row r="275" spans="1:18">
      <c r="A275" s="1">
        <f>Octane[[#This Row],[Degrees turned]]</f>
        <v>203.28368169217191</v>
      </c>
      <c r="B275" s="1">
        <f>Hybrid[[#This Row],[Degrees turned]]</f>
        <v>207.42272335216069</v>
      </c>
      <c r="C275" s="1">
        <f>Dominus[[#This Row],[Degrees turned]]</f>
        <v>208.93759217548416</v>
      </c>
      <c r="D275" s="1">
        <f>Plank[[#This Row],[Degrees turned]]</f>
        <v>207.21556392733237</v>
      </c>
      <c r="E275" s="1">
        <f>Batmobile[[#This Row],[Degrees turned]]</f>
        <v>204.19457930758921</v>
      </c>
      <c r="F275" s="1">
        <f>Breakout[[#This Row],[Degrees turned]]</f>
        <v>208.84605072286288</v>
      </c>
      <c r="H275" s="1">
        <v>0</v>
      </c>
      <c r="I275" s="3">
        <f>Table9[[#This Row],[Hybrid]]-Table9[[#This Row],[Octane]]</f>
        <v>4.1390416599887772</v>
      </c>
      <c r="J275" s="3">
        <f>Table9[[#This Row],[Dominus]]-Table9[[#This Row],[Octane]]</f>
        <v>5.6539104833122451</v>
      </c>
      <c r="K275" s="3">
        <f>Table9[[#This Row],[Plank]]-Table9[[#This Row],[Octane]]</f>
        <v>3.9318822351604581</v>
      </c>
      <c r="L275" s="3">
        <f>Table9[[#This Row],[Batmobile]]-Table9[[#This Row],[Octane]]</f>
        <v>0.91089761541729786</v>
      </c>
      <c r="M275" s="3">
        <f>Table9[[#This Row],[Breakout]]-Table9[[#This Row],[Octane]]</f>
        <v>5.5623690306909737</v>
      </c>
      <c r="N275" s="4">
        <f>Table9[[#This Row],[Octane]]/Table9[[#This Row],[Hybrid]]</f>
        <v>0.98004537982580842</v>
      </c>
      <c r="O275" s="4">
        <f>Table9[[#This Row],[Octane]]/Table9[[#This Row],[Dominus]]</f>
        <v>0.9729397164749386</v>
      </c>
      <c r="P275" s="4">
        <f>Table9[[#This Row],[Octane]]/Table9[[#This Row],[Plank]]</f>
        <v>0.98102515969051762</v>
      </c>
      <c r="Q275" s="4">
        <f>Table9[[#This Row],[Octane]]/Table9[[#This Row],[Batmobile]]</f>
        <v>0.99553907053504509</v>
      </c>
      <c r="R275" s="4">
        <f>Table9[[#This Row],[Octane]]/Table9[[#This Row],[Breakout]]</f>
        <v>0.97336617565216876</v>
      </c>
    </row>
    <row r="276" spans="1:18">
      <c r="A276" s="1">
        <f>Octane[[#This Row],[Degrees turned]]</f>
        <v>204.23046246018521</v>
      </c>
      <c r="B276" s="1">
        <f>Hybrid[[#This Row],[Degrees turned]]</f>
        <v>208.39212450311879</v>
      </c>
      <c r="C276" s="1">
        <f>Dominus[[#This Row],[Degrees turned]]</f>
        <v>209.9149227926666</v>
      </c>
      <c r="D276" s="1">
        <f>Plank[[#This Row],[Degrees turned]]</f>
        <v>208.18604872144294</v>
      </c>
      <c r="E276" s="1">
        <f>Batmobile[[#This Row],[Degrees turned]]</f>
        <v>205.14999902265535</v>
      </c>
      <c r="F276" s="1">
        <f>Breakout[[#This Row],[Degrees turned]]</f>
        <v>209.82606691839118</v>
      </c>
      <c r="H276" s="1">
        <v>0</v>
      </c>
      <c r="I276" s="3">
        <f>Table9[[#This Row],[Hybrid]]-Table9[[#This Row],[Octane]]</f>
        <v>4.1616620429335853</v>
      </c>
      <c r="J276" s="3">
        <f>Table9[[#This Row],[Dominus]]-Table9[[#This Row],[Octane]]</f>
        <v>5.6844603324813932</v>
      </c>
      <c r="K276" s="3">
        <f>Table9[[#This Row],[Plank]]-Table9[[#This Row],[Octane]]</f>
        <v>3.9555862612577357</v>
      </c>
      <c r="L276" s="3">
        <f>Table9[[#This Row],[Batmobile]]-Table9[[#This Row],[Octane]]</f>
        <v>0.91953656247014237</v>
      </c>
      <c r="M276" s="3">
        <f>Table9[[#This Row],[Breakout]]-Table9[[#This Row],[Octane]]</f>
        <v>5.595604458205969</v>
      </c>
      <c r="N276" s="4">
        <f>Table9[[#This Row],[Octane]]/Table9[[#This Row],[Hybrid]]</f>
        <v>0.98002965777686435</v>
      </c>
      <c r="O276" s="4">
        <f>Table9[[#This Row],[Octane]]/Table9[[#This Row],[Dominus]]</f>
        <v>0.97292017043449575</v>
      </c>
      <c r="P276" s="4">
        <f>Table9[[#This Row],[Octane]]/Table9[[#This Row],[Plank]]</f>
        <v>0.98099975341503121</v>
      </c>
      <c r="Q276" s="4">
        <f>Table9[[#This Row],[Octane]]/Table9[[#This Row],[Batmobile]]</f>
        <v>0.99551773547720757</v>
      </c>
      <c r="R276" s="4">
        <f>Table9[[#This Row],[Octane]]/Table9[[#This Row],[Breakout]]</f>
        <v>0.97333217678629846</v>
      </c>
    </row>
    <row r="277" spans="1:18">
      <c r="A277" s="1">
        <f>Octane[[#This Row],[Degrees turned]]</f>
        <v>205.17669225233783</v>
      </c>
      <c r="B277" s="1">
        <f>Hybrid[[#This Row],[Degrees turned]]</f>
        <v>209.36165353323628</v>
      </c>
      <c r="C277" s="1">
        <f>Dominus[[#This Row],[Degrees turned]]</f>
        <v>210.89264670920386</v>
      </c>
      <c r="D277" s="1">
        <f>Plank[[#This Row],[Degrees turned]]</f>
        <v>209.15673738702449</v>
      </c>
      <c r="E277" s="1">
        <f>Batmobile[[#This Row],[Degrees turned]]</f>
        <v>206.10561927031137</v>
      </c>
      <c r="F277" s="1">
        <f>Breakout[[#This Row],[Degrees turned]]</f>
        <v>210.80602397588706</v>
      </c>
      <c r="H277" s="1">
        <v>0</v>
      </c>
      <c r="I277" s="3">
        <f>Table9[[#This Row],[Hybrid]]-Table9[[#This Row],[Octane]]</f>
        <v>4.1849612808984489</v>
      </c>
      <c r="J277" s="3">
        <f>Table9[[#This Row],[Dominus]]-Table9[[#This Row],[Octane]]</f>
        <v>5.7159544568660294</v>
      </c>
      <c r="K277" s="3">
        <f>Table9[[#This Row],[Plank]]-Table9[[#This Row],[Octane]]</f>
        <v>3.9800451346866623</v>
      </c>
      <c r="L277" s="3">
        <f>Table9[[#This Row],[Batmobile]]-Table9[[#This Row],[Octane]]</f>
        <v>0.92892701797353538</v>
      </c>
      <c r="M277" s="3">
        <f>Table9[[#This Row],[Breakout]]-Table9[[#This Row],[Octane]]</f>
        <v>5.6293317235492282</v>
      </c>
      <c r="N277" s="4">
        <f>Table9[[#This Row],[Octane]]/Table9[[#This Row],[Hybrid]]</f>
        <v>0.98001085103087382</v>
      </c>
      <c r="O277" s="4">
        <f>Table9[[#This Row],[Octane]]/Table9[[#This Row],[Dominus]]</f>
        <v>0.97289637857906131</v>
      </c>
      <c r="P277" s="4">
        <f>Table9[[#This Row],[Octane]]/Table9[[#This Row],[Plank]]</f>
        <v>0.9809709924508816</v>
      </c>
      <c r="Q277" s="4">
        <f>Table9[[#This Row],[Octane]]/Table9[[#This Row],[Batmobile]]</f>
        <v>0.99549295637226065</v>
      </c>
      <c r="R277" s="4">
        <f>Table9[[#This Row],[Octane]]/Table9[[#This Row],[Breakout]]</f>
        <v>0.97329615341450992</v>
      </c>
    </row>
    <row r="278" spans="1:18">
      <c r="A278" s="1">
        <f>Octane[[#This Row],[Degrees turned]]</f>
        <v>206.12315431141695</v>
      </c>
      <c r="B278" s="1">
        <f>Hybrid[[#This Row],[Degrees turned]]</f>
        <v>210.33100273737119</v>
      </c>
      <c r="C278" s="1">
        <f>Dominus[[#This Row],[Degrees turned]]</f>
        <v>211.87018574215466</v>
      </c>
      <c r="D278" s="1">
        <f>Plank[[#This Row],[Degrees turned]]</f>
        <v>210.12712300862944</v>
      </c>
      <c r="E278" s="1">
        <f>Batmobile[[#This Row],[Degrees turned]]</f>
        <v>207.06127484987741</v>
      </c>
      <c r="F278" s="1">
        <f>Breakout[[#This Row],[Degrees turned]]</f>
        <v>211.78621863386775</v>
      </c>
      <c r="H278" s="1">
        <v>0</v>
      </c>
      <c r="I278" s="3">
        <f>Table9[[#This Row],[Hybrid]]-Table9[[#This Row],[Octane]]</f>
        <v>4.2078484259542392</v>
      </c>
      <c r="J278" s="3">
        <f>Table9[[#This Row],[Dominus]]-Table9[[#This Row],[Octane]]</f>
        <v>5.7470314307377066</v>
      </c>
      <c r="K278" s="3">
        <f>Table9[[#This Row],[Plank]]-Table9[[#This Row],[Octane]]</f>
        <v>4.0039686972124855</v>
      </c>
      <c r="L278" s="3">
        <f>Table9[[#This Row],[Batmobile]]-Table9[[#This Row],[Octane]]</f>
        <v>0.93812053846045274</v>
      </c>
      <c r="M278" s="3">
        <f>Table9[[#This Row],[Breakout]]-Table9[[#This Row],[Octane]]</f>
        <v>5.6630643224507935</v>
      </c>
      <c r="N278" s="4">
        <f>Table9[[#This Row],[Octane]]/Table9[[#This Row],[Hybrid]]</f>
        <v>0.97999415981861526</v>
      </c>
      <c r="O278" s="4">
        <f>Table9[[#This Row],[Octane]]/Table9[[#This Row],[Dominus]]</f>
        <v>0.97287475153426339</v>
      </c>
      <c r="P278" s="4">
        <f>Table9[[#This Row],[Octane]]/Table9[[#This Row],[Plank]]</f>
        <v>0.98094501728342776</v>
      </c>
      <c r="Q278" s="4">
        <f>Table9[[#This Row],[Octane]]/Table9[[#This Row],[Batmobile]]</f>
        <v>0.9954693578548639</v>
      </c>
      <c r="R278" s="4">
        <f>Table9[[#This Row],[Octane]]/Table9[[#This Row],[Breakout]]</f>
        <v>0.97326046822602275</v>
      </c>
    </row>
    <row r="279" spans="1:18">
      <c r="A279" s="1">
        <f>Octane[[#This Row],[Degrees turned]]</f>
        <v>207.06996483245069</v>
      </c>
      <c r="B279" s="1">
        <f>Hybrid[[#This Row],[Degrees turned]]</f>
        <v>211.30014476629469</v>
      </c>
      <c r="C279" s="1">
        <f>Dominus[[#This Row],[Degrees turned]]</f>
        <v>212.84771105218249</v>
      </c>
      <c r="D279" s="1">
        <f>Plank[[#This Row],[Degrees turned]]</f>
        <v>211.09799913788191</v>
      </c>
      <c r="E279" s="1">
        <f>Batmobile[[#This Row],[Degrees turned]]</f>
        <v>208.01678017222207</v>
      </c>
      <c r="F279" s="1">
        <f>Breakout[[#This Row],[Degrees turned]]</f>
        <v>212.76637318813886</v>
      </c>
      <c r="H279" s="1">
        <v>0</v>
      </c>
      <c r="I279" s="3">
        <f>Table9[[#This Row],[Hybrid]]-Table9[[#This Row],[Octane]]</f>
        <v>4.2301799338439992</v>
      </c>
      <c r="J279" s="3">
        <f>Table9[[#This Row],[Dominus]]-Table9[[#This Row],[Octane]]</f>
        <v>5.7777462197317959</v>
      </c>
      <c r="K279" s="3">
        <f>Table9[[#This Row],[Plank]]-Table9[[#This Row],[Octane]]</f>
        <v>4.0280343054312198</v>
      </c>
      <c r="L279" s="3">
        <f>Table9[[#This Row],[Batmobile]]-Table9[[#This Row],[Octane]]</f>
        <v>0.94681533977137633</v>
      </c>
      <c r="M279" s="3">
        <f>Table9[[#This Row],[Breakout]]-Table9[[#This Row],[Octane]]</f>
        <v>5.6964083556881633</v>
      </c>
      <c r="N279" s="4">
        <f>Table9[[#This Row],[Octane]]/Table9[[#This Row],[Hybrid]]</f>
        <v>0.97998023172902826</v>
      </c>
      <c r="O279" s="4">
        <f>Table9[[#This Row],[Octane]]/Table9[[#This Row],[Dominus]]</f>
        <v>0.97285502300602467</v>
      </c>
      <c r="P279" s="4">
        <f>Table9[[#This Row],[Octane]]/Table9[[#This Row],[Plank]]</f>
        <v>0.9809186523705502</v>
      </c>
      <c r="Q279" s="4">
        <f>Table9[[#This Row],[Octane]]/Table9[[#This Row],[Batmobile]]</f>
        <v>0.99544837037191192</v>
      </c>
      <c r="R279" s="4">
        <f>Table9[[#This Row],[Octane]]/Table9[[#This Row],[Breakout]]</f>
        <v>0.97322693304241681</v>
      </c>
    </row>
    <row r="280" spans="1:18">
      <c r="A280" s="1">
        <f>Octane[[#This Row],[Degrees turned]]</f>
        <v>208.01626982424074</v>
      </c>
      <c r="B280" s="1">
        <f>Hybrid[[#This Row],[Degrees turned]]</f>
        <v>212.2698441082029</v>
      </c>
      <c r="C280" s="1">
        <f>Dominus[[#This Row],[Degrees turned]]</f>
        <v>213.82504738901275</v>
      </c>
      <c r="D280" s="1">
        <f>Plank[[#This Row],[Degrees turned]]</f>
        <v>212.06871100992151</v>
      </c>
      <c r="E280" s="1">
        <f>Batmobile[[#This Row],[Degrees turned]]</f>
        <v>208.97242834887436</v>
      </c>
      <c r="F280" s="1">
        <f>Breakout[[#This Row],[Degrees turned]]</f>
        <v>213.74645988404643</v>
      </c>
      <c r="H280" s="1">
        <v>0</v>
      </c>
      <c r="I280" s="3">
        <f>Table9[[#This Row],[Hybrid]]-Table9[[#This Row],[Octane]]</f>
        <v>4.2535742839621662</v>
      </c>
      <c r="J280" s="3">
        <f>Table9[[#This Row],[Dominus]]-Table9[[#This Row],[Octane]]</f>
        <v>5.808777564772015</v>
      </c>
      <c r="K280" s="3">
        <f>Table9[[#This Row],[Plank]]-Table9[[#This Row],[Octane]]</f>
        <v>4.0524411856807774</v>
      </c>
      <c r="L280" s="3">
        <f>Table9[[#This Row],[Batmobile]]-Table9[[#This Row],[Octane]]</f>
        <v>0.95615852463362216</v>
      </c>
      <c r="M280" s="3">
        <f>Table9[[#This Row],[Breakout]]-Table9[[#This Row],[Octane]]</f>
        <v>5.7301900598056932</v>
      </c>
      <c r="N280" s="4">
        <f>Table9[[#This Row],[Octane]]/Table9[[#This Row],[Hybrid]]</f>
        <v>0.97996147638477593</v>
      </c>
      <c r="O280" s="4">
        <f>Table9[[#This Row],[Octane]]/Table9[[#This Row],[Dominus]]</f>
        <v>0.97283397040850839</v>
      </c>
      <c r="P280" s="4">
        <f>Table9[[#This Row],[Octane]]/Table9[[#This Row],[Plank]]</f>
        <v>0.98089090480919094</v>
      </c>
      <c r="Q280" s="4">
        <f>Table9[[#This Row],[Octane]]/Table9[[#This Row],[Batmobile]]</f>
        <v>0.99542447521815014</v>
      </c>
      <c r="R280" s="4">
        <f>Table9[[#This Row],[Octane]]/Table9[[#This Row],[Breakout]]</f>
        <v>0.97319164928900237</v>
      </c>
    </row>
    <row r="281" spans="1:18">
      <c r="A281" s="1">
        <f>Octane[[#This Row],[Degrees turned]]</f>
        <v>208.9630481251541</v>
      </c>
      <c r="B281" s="1">
        <f>Hybrid[[#This Row],[Degrees turned]]</f>
        <v>213.23949666503518</v>
      </c>
      <c r="C281" s="1">
        <f>Dominus[[#This Row],[Degrees turned]]</f>
        <v>214.80251227162353</v>
      </c>
      <c r="D281" s="1">
        <f>Plank[[#This Row],[Degrees turned]]</f>
        <v>213.0394522475153</v>
      </c>
      <c r="E281" s="1">
        <f>Batmobile[[#This Row],[Degrees turned]]</f>
        <v>209.92796043975187</v>
      </c>
      <c r="F281" s="1">
        <f>Breakout[[#This Row],[Degrees turned]]</f>
        <v>214.72652764068852</v>
      </c>
      <c r="H281" s="1">
        <v>0</v>
      </c>
      <c r="I281" s="3">
        <f>Table9[[#This Row],[Hybrid]]-Table9[[#This Row],[Octane]]</f>
        <v>4.2764485398810734</v>
      </c>
      <c r="J281" s="3">
        <f>Table9[[#This Row],[Dominus]]-Table9[[#This Row],[Octane]]</f>
        <v>5.8394641464694246</v>
      </c>
      <c r="K281" s="3">
        <f>Table9[[#This Row],[Plank]]-Table9[[#This Row],[Octane]]</f>
        <v>4.0764041223611969</v>
      </c>
      <c r="L281" s="3">
        <f>Table9[[#This Row],[Batmobile]]-Table9[[#This Row],[Octane]]</f>
        <v>0.96491231459776827</v>
      </c>
      <c r="M281" s="3">
        <f>Table9[[#This Row],[Breakout]]-Table9[[#This Row],[Octane]]</f>
        <v>5.7634795155344136</v>
      </c>
      <c r="N281" s="4">
        <f>Table9[[#This Row],[Octane]]/Table9[[#This Row],[Hybrid]]</f>
        <v>0.97994532623288511</v>
      </c>
      <c r="O281" s="4">
        <f>Table9[[#This Row],[Octane]]/Table9[[#This Row],[Dominus]]</f>
        <v>0.9728147306811511</v>
      </c>
      <c r="P281" s="4">
        <f>Table9[[#This Row],[Octane]]/Table9[[#This Row],[Plank]]</f>
        <v>0.98086549660470812</v>
      </c>
      <c r="Q281" s="4">
        <f>Table9[[#This Row],[Octane]]/Table9[[#This Row],[Batmobile]]</f>
        <v>0.99540360268076489</v>
      </c>
      <c r="R281" s="4">
        <f>Table9[[#This Row],[Octane]]/Table9[[#This Row],[Breakout]]</f>
        <v>0.97315897770591853</v>
      </c>
    </row>
    <row r="282" spans="1:18">
      <c r="A282" s="1">
        <f>Octane[[#This Row],[Degrees turned]]</f>
        <v>209.90973136242195</v>
      </c>
      <c r="B282" s="1">
        <f>Hybrid[[#This Row],[Degrees turned]]</f>
        <v>214.20910093543847</v>
      </c>
      <c r="C282" s="1">
        <f>Dominus[[#This Row],[Degrees turned]]</f>
        <v>215.77991152570911</v>
      </c>
      <c r="D282" s="1">
        <f>Plank[[#This Row],[Degrees turned]]</f>
        <v>214.01002431933267</v>
      </c>
      <c r="E282" s="1">
        <f>Batmobile[[#This Row],[Degrees turned]]</f>
        <v>210.883293854085</v>
      </c>
      <c r="F282" s="1">
        <f>Breakout[[#This Row],[Degrees turned]]</f>
        <v>215.70676930457427</v>
      </c>
      <c r="H282" s="1">
        <v>0</v>
      </c>
      <c r="I282" s="3">
        <f>Table9[[#This Row],[Hybrid]]-Table9[[#This Row],[Octane]]</f>
        <v>4.29936957301652</v>
      </c>
      <c r="J282" s="3">
        <f>Table9[[#This Row],[Dominus]]-Table9[[#This Row],[Octane]]</f>
        <v>5.8701801632871593</v>
      </c>
      <c r="K282" s="3">
        <f>Table9[[#This Row],[Plank]]-Table9[[#This Row],[Octane]]</f>
        <v>4.1002929569107209</v>
      </c>
      <c r="L282" s="3">
        <f>Table9[[#This Row],[Batmobile]]-Table9[[#This Row],[Octane]]</f>
        <v>0.97356249166304565</v>
      </c>
      <c r="M282" s="3">
        <f>Table9[[#This Row],[Breakout]]-Table9[[#This Row],[Octane]]</f>
        <v>5.7970379421523148</v>
      </c>
      <c r="N282" s="4">
        <f>Table9[[#This Row],[Octane]]/Table9[[#This Row],[Hybrid]]</f>
        <v>0.97992909939754458</v>
      </c>
      <c r="O282" s="4">
        <f>Table9[[#This Row],[Octane]]/Table9[[#This Row],[Dominus]]</f>
        <v>0.97279552057565954</v>
      </c>
      <c r="P282" s="4">
        <f>Table9[[#This Row],[Octane]]/Table9[[#This Row],[Plank]]</f>
        <v>0.98084065001183074</v>
      </c>
      <c r="Q282" s="4">
        <f>Table9[[#This Row],[Octane]]/Table9[[#This Row],[Batmobile]]</f>
        <v>0.99538340627239696</v>
      </c>
      <c r="R282" s="4">
        <f>Table9[[#This Row],[Octane]]/Table9[[#This Row],[Breakout]]</f>
        <v>0.97312537774849805</v>
      </c>
    </row>
    <row r="283" spans="1:18">
      <c r="A283" s="1">
        <f>Octane[[#This Row],[Degrees turned]]</f>
        <v>210.85613671773353</v>
      </c>
      <c r="B283" s="1">
        <f>Hybrid[[#This Row],[Degrees turned]]</f>
        <v>215.17820870262955</v>
      </c>
      <c r="C283" s="1">
        <f>Dominus[[#This Row],[Degrees turned]]</f>
        <v>216.75760105452568</v>
      </c>
      <c r="D283" s="1">
        <f>Plank[[#This Row],[Degrees turned]]</f>
        <v>214.98076580642299</v>
      </c>
      <c r="E283" s="1">
        <f>Batmobile[[#This Row],[Degrees turned]]</f>
        <v>211.83924033934909</v>
      </c>
      <c r="F283" s="1">
        <f>Breakout[[#This Row],[Degrees turned]]</f>
        <v>216.68645074021487</v>
      </c>
      <c r="H283" s="1">
        <v>0</v>
      </c>
      <c r="I283" s="3">
        <f>Table9[[#This Row],[Hybrid]]-Table9[[#This Row],[Octane]]</f>
        <v>4.322071984896013</v>
      </c>
      <c r="J283" s="3">
        <f>Table9[[#This Row],[Dominus]]-Table9[[#This Row],[Octane]]</f>
        <v>5.9014643367921451</v>
      </c>
      <c r="K283" s="3">
        <f>Table9[[#This Row],[Plank]]-Table9[[#This Row],[Octane]]</f>
        <v>4.1246290886894599</v>
      </c>
      <c r="L283" s="3">
        <f>Table9[[#This Row],[Batmobile]]-Table9[[#This Row],[Octane]]</f>
        <v>0.98310362161555531</v>
      </c>
      <c r="M283" s="3">
        <f>Table9[[#This Row],[Breakout]]-Table9[[#This Row],[Octane]]</f>
        <v>5.8303140224813319</v>
      </c>
      <c r="N283" s="4">
        <f>Table9[[#This Row],[Octane]]/Table9[[#This Row],[Hybrid]]</f>
        <v>0.97991398845192079</v>
      </c>
      <c r="O283" s="4">
        <f>Table9[[#This Row],[Octane]]/Table9[[#This Row],[Dominus]]</f>
        <v>0.97277389900939337</v>
      </c>
      <c r="P283" s="4">
        <f>Table9[[#This Row],[Octane]]/Table9[[#This Row],[Plank]]</f>
        <v>0.98081396224812301</v>
      </c>
      <c r="Q283" s="4">
        <f>Table9[[#This Row],[Octane]]/Table9[[#This Row],[Batmobile]]</f>
        <v>0.99535919964572805</v>
      </c>
      <c r="R283" s="4">
        <f>Table9[[#This Row],[Octane]]/Table9[[#This Row],[Breakout]]</f>
        <v>0.97309331523699516</v>
      </c>
    </row>
    <row r="284" spans="1:18">
      <c r="A284" s="1">
        <f>Octane[[#This Row],[Degrees turned]]</f>
        <v>211.80260361487785</v>
      </c>
      <c r="B284" s="1">
        <f>Hybrid[[#This Row],[Degrees turned]]</f>
        <v>216.14745594838541</v>
      </c>
      <c r="C284" s="1">
        <f>Dominus[[#This Row],[Degrees turned]]</f>
        <v>217.73492419580862</v>
      </c>
      <c r="D284" s="1">
        <f>Plank[[#This Row],[Degrees turned]]</f>
        <v>215.95152210098803</v>
      </c>
      <c r="E284" s="1">
        <f>Batmobile[[#This Row],[Degrees turned]]</f>
        <v>212.79514440070884</v>
      </c>
      <c r="F284" s="1">
        <f>Breakout[[#This Row],[Degrees turned]]</f>
        <v>217.66633095353217</v>
      </c>
      <c r="H284" s="1">
        <v>0</v>
      </c>
      <c r="I284" s="3">
        <f>Table9[[#This Row],[Hybrid]]-Table9[[#This Row],[Octane]]</f>
        <v>4.3448523335075606</v>
      </c>
      <c r="J284" s="3">
        <f>Table9[[#This Row],[Dominus]]-Table9[[#This Row],[Octane]]</f>
        <v>5.9323205809307638</v>
      </c>
      <c r="K284" s="3">
        <f>Table9[[#This Row],[Plank]]-Table9[[#This Row],[Octane]]</f>
        <v>4.1489184861101762</v>
      </c>
      <c r="L284" s="3">
        <f>Table9[[#This Row],[Batmobile]]-Table9[[#This Row],[Octane]]</f>
        <v>0.99254078583098249</v>
      </c>
      <c r="M284" s="3">
        <f>Table9[[#This Row],[Breakout]]-Table9[[#This Row],[Octane]]</f>
        <v>5.8637273386543143</v>
      </c>
      <c r="N284" s="4">
        <f>Table9[[#This Row],[Octane]]/Table9[[#This Row],[Hybrid]]</f>
        <v>0.979898665406707</v>
      </c>
      <c r="O284" s="4">
        <f>Table9[[#This Row],[Octane]]/Table9[[#This Row],[Dominus]]</f>
        <v>0.9727543911348101</v>
      </c>
      <c r="P284" s="4">
        <f>Table9[[#This Row],[Octane]]/Table9[[#This Row],[Plank]]</f>
        <v>0.980787732145875</v>
      </c>
      <c r="Q284" s="4">
        <f>Table9[[#This Row],[Octane]]/Table9[[#This Row],[Batmobile]]</f>
        <v>0.99533569814938094</v>
      </c>
      <c r="R284" s="4">
        <f>Table9[[#This Row],[Octane]]/Table9[[#This Row],[Breakout]]</f>
        <v>0.97306093545580963</v>
      </c>
    </row>
    <row r="285" spans="1:18">
      <c r="A285" s="1">
        <f>Octane[[#This Row],[Degrees turned]]</f>
        <v>212.74902371604554</v>
      </c>
      <c r="B285" s="1">
        <f>Hybrid[[#This Row],[Degrees turned]]</f>
        <v>217.11689178322399</v>
      </c>
      <c r="C285" s="1">
        <f>Dominus[[#This Row],[Degrees turned]]</f>
        <v>218.71251895082847</v>
      </c>
      <c r="D285" s="1">
        <f>Plank[[#This Row],[Degrees turned]]</f>
        <v>216.9219783742052</v>
      </c>
      <c r="E285" s="1">
        <f>Batmobile[[#This Row],[Degrees turned]]</f>
        <v>213.75104692870832</v>
      </c>
      <c r="F285" s="1">
        <f>Breakout[[#This Row],[Degrees turned]]</f>
        <v>218.64660209644694</v>
      </c>
      <c r="H285" s="1">
        <v>0</v>
      </c>
      <c r="I285" s="3">
        <f>Table9[[#This Row],[Hybrid]]-Table9[[#This Row],[Octane]]</f>
        <v>4.3678680671784491</v>
      </c>
      <c r="J285" s="3">
        <f>Table9[[#This Row],[Dominus]]-Table9[[#This Row],[Octane]]</f>
        <v>5.9634952347829255</v>
      </c>
      <c r="K285" s="3">
        <f>Table9[[#This Row],[Plank]]-Table9[[#This Row],[Octane]]</f>
        <v>4.1729546581596537</v>
      </c>
      <c r="L285" s="3">
        <f>Table9[[#This Row],[Batmobile]]-Table9[[#This Row],[Octane]]</f>
        <v>1.0020232126627775</v>
      </c>
      <c r="M285" s="3">
        <f>Table9[[#This Row],[Breakout]]-Table9[[#This Row],[Octane]]</f>
        <v>5.8975783804013986</v>
      </c>
      <c r="N285" s="4">
        <f>Table9[[#This Row],[Octane]]/Table9[[#This Row],[Hybrid]]</f>
        <v>0.97988241250459929</v>
      </c>
      <c r="O285" s="4">
        <f>Table9[[#This Row],[Octane]]/Table9[[#This Row],[Dominus]]</f>
        <v>0.97273363562639203</v>
      </c>
      <c r="P285" s="4">
        <f>Table9[[#This Row],[Octane]]/Table9[[#This Row],[Plank]]</f>
        <v>0.98076287755885661</v>
      </c>
      <c r="Q285" s="4">
        <f>Table9[[#This Row],[Octane]]/Table9[[#This Row],[Batmobile]]</f>
        <v>0.99531219506495805</v>
      </c>
      <c r="R285" s="4">
        <f>Table9[[#This Row],[Octane]]/Table9[[#This Row],[Breakout]]</f>
        <v>0.97302689214534455</v>
      </c>
    </row>
    <row r="286" spans="1:18">
      <c r="A286" s="1">
        <f>Octane[[#This Row],[Degrees turned]]</f>
        <v>213.69550988299409</v>
      </c>
      <c r="B286" s="1">
        <f>Hybrid[[#This Row],[Degrees turned]]</f>
        <v>218.08601690217304</v>
      </c>
      <c r="C286" s="1">
        <f>Dominus[[#This Row],[Degrees turned]]</f>
        <v>219.68991104576423</v>
      </c>
      <c r="D286" s="1">
        <f>Plank[[#This Row],[Degrees turned]]</f>
        <v>217.89270876716634</v>
      </c>
      <c r="E286" s="1">
        <f>Batmobile[[#This Row],[Degrees turned]]</f>
        <v>214.70632834956143</v>
      </c>
      <c r="F286" s="1">
        <f>Breakout[[#This Row],[Degrees turned]]</f>
        <v>219.62653094469164</v>
      </c>
      <c r="H286" s="1">
        <v>0</v>
      </c>
      <c r="I286" s="3">
        <f>Table9[[#This Row],[Hybrid]]-Table9[[#This Row],[Octane]]</f>
        <v>4.3905070191789548</v>
      </c>
      <c r="J286" s="3">
        <f>Table9[[#This Row],[Dominus]]-Table9[[#This Row],[Octane]]</f>
        <v>5.9944011627701457</v>
      </c>
      <c r="K286" s="3">
        <f>Table9[[#This Row],[Plank]]-Table9[[#This Row],[Octane]]</f>
        <v>4.1971988841722521</v>
      </c>
      <c r="L286" s="3">
        <f>Table9[[#This Row],[Batmobile]]-Table9[[#This Row],[Octane]]</f>
        <v>1.0108184665673434</v>
      </c>
      <c r="M286" s="3">
        <f>Table9[[#This Row],[Breakout]]-Table9[[#This Row],[Octane]]</f>
        <v>5.9310210616975496</v>
      </c>
      <c r="N286" s="4">
        <f>Table9[[#This Row],[Octane]]/Table9[[#This Row],[Hybrid]]</f>
        <v>0.97986800308637667</v>
      </c>
      <c r="O286" s="4">
        <f>Table9[[#This Row],[Octane]]/Table9[[#This Row],[Dominus]]</f>
        <v>0.97271426287062657</v>
      </c>
      <c r="P286" s="4">
        <f>Table9[[#This Row],[Octane]]/Table9[[#This Row],[Plank]]</f>
        <v>0.98073731375446227</v>
      </c>
      <c r="Q286" s="4">
        <f>Table9[[#This Row],[Octane]]/Table9[[#This Row],[Batmobile]]</f>
        <v>0.99529208815437598</v>
      </c>
      <c r="R286" s="4">
        <f>Table9[[#This Row],[Octane]]/Table9[[#This Row],[Breakout]]</f>
        <v>0.97299496997841683</v>
      </c>
    </row>
    <row r="287" spans="1:18">
      <c r="A287" s="1">
        <f>Octane[[#This Row],[Degrees turned]]</f>
        <v>214.64212500592276</v>
      </c>
      <c r="B287" s="1">
        <f>Hybrid[[#This Row],[Degrees turned]]</f>
        <v>219.0554681303982</v>
      </c>
      <c r="C287" s="1">
        <f>Dominus[[#This Row],[Degrees turned]]</f>
        <v>220.66771308963575</v>
      </c>
      <c r="D287" s="1">
        <f>Plank[[#This Row],[Degrees turned]]</f>
        <v>218.86316043408735</v>
      </c>
      <c r="E287" s="1">
        <f>Batmobile[[#This Row],[Degrees turned]]</f>
        <v>215.66188786062975</v>
      </c>
      <c r="F287" s="1">
        <f>Breakout[[#This Row],[Degrees turned]]</f>
        <v>220.60629124238824</v>
      </c>
      <c r="H287" s="1">
        <v>0</v>
      </c>
      <c r="I287" s="3">
        <f>Table9[[#This Row],[Hybrid]]-Table9[[#This Row],[Octane]]</f>
        <v>4.413343124475432</v>
      </c>
      <c r="J287" s="3">
        <f>Table9[[#This Row],[Dominus]]-Table9[[#This Row],[Octane]]</f>
        <v>6.0255880837129894</v>
      </c>
      <c r="K287" s="3">
        <f>Table9[[#This Row],[Plank]]-Table9[[#This Row],[Octane]]</f>
        <v>4.2210354281645834</v>
      </c>
      <c r="L287" s="3">
        <f>Table9[[#This Row],[Batmobile]]-Table9[[#This Row],[Octane]]</f>
        <v>1.0197628547069826</v>
      </c>
      <c r="M287" s="3">
        <f>Table9[[#This Row],[Breakout]]-Table9[[#This Row],[Octane]]</f>
        <v>5.9641662364654735</v>
      </c>
      <c r="N287" s="4">
        <f>Table9[[#This Row],[Octane]]/Table9[[#This Row],[Hybrid]]</f>
        <v>0.97985285114248655</v>
      </c>
      <c r="O287" s="4">
        <f>Table9[[#This Row],[Octane]]/Table9[[#This Row],[Dominus]]</f>
        <v>0.97269383907891693</v>
      </c>
      <c r="P287" s="4">
        <f>Table9[[#This Row],[Octane]]/Table9[[#This Row],[Plank]]</f>
        <v>0.98071381487961384</v>
      </c>
      <c r="Q287" s="4">
        <f>Table9[[#This Row],[Octane]]/Table9[[#This Row],[Batmobile]]</f>
        <v>0.99527147395015847</v>
      </c>
      <c r="R287" s="4">
        <f>Table9[[#This Row],[Octane]]/Table9[[#This Row],[Breakout]]</f>
        <v>0.9729646593355199</v>
      </c>
    </row>
    <row r="288" spans="1:18">
      <c r="A288" s="1">
        <f>Octane[[#This Row],[Degrees turned]]</f>
        <v>215.58888697031705</v>
      </c>
      <c r="B288" s="1">
        <f>Hybrid[[#This Row],[Degrees turned]]</f>
        <v>220.02477048139778</v>
      </c>
      <c r="C288" s="1">
        <f>Dominus[[#This Row],[Degrees turned]]</f>
        <v>221.64533317555637</v>
      </c>
      <c r="D288" s="1">
        <f>Plank[[#This Row],[Degrees turned]]</f>
        <v>219.83388421310383</v>
      </c>
      <c r="E288" s="1">
        <f>Batmobile[[#This Row],[Degrees turned]]</f>
        <v>216.61764773359113</v>
      </c>
      <c r="F288" s="1">
        <f>Breakout[[#This Row],[Degrees turned]]</f>
        <v>221.58654962683931</v>
      </c>
      <c r="H288" s="1">
        <v>0</v>
      </c>
      <c r="I288" s="3">
        <f>Table9[[#This Row],[Hybrid]]-Table9[[#This Row],[Octane]]</f>
        <v>4.435883511080732</v>
      </c>
      <c r="J288" s="3">
        <f>Table9[[#This Row],[Dominus]]-Table9[[#This Row],[Octane]]</f>
        <v>6.0564462052393253</v>
      </c>
      <c r="K288" s="3">
        <f>Table9[[#This Row],[Plank]]-Table9[[#This Row],[Octane]]</f>
        <v>4.2449972427867806</v>
      </c>
      <c r="L288" s="3">
        <f>Table9[[#This Row],[Batmobile]]-Table9[[#This Row],[Octane]]</f>
        <v>1.0287607632740787</v>
      </c>
      <c r="M288" s="3">
        <f>Table9[[#This Row],[Breakout]]-Table9[[#This Row],[Octane]]</f>
        <v>5.9976626565222659</v>
      </c>
      <c r="N288" s="4">
        <f>Table9[[#This Row],[Octane]]/Table9[[#This Row],[Hybrid]]</f>
        <v>0.97983916310252095</v>
      </c>
      <c r="O288" s="4">
        <f>Table9[[#This Row],[Octane]]/Table9[[#This Row],[Dominus]]</f>
        <v>0.972675056503706</v>
      </c>
      <c r="P288" s="4">
        <f>Table9[[#This Row],[Octane]]/Table9[[#This Row],[Plank]]</f>
        <v>0.98068997753471099</v>
      </c>
      <c r="Q288" s="4">
        <f>Table9[[#This Row],[Octane]]/Table9[[#This Row],[Batmobile]]</f>
        <v>0.99525079893518509</v>
      </c>
      <c r="R288" s="4">
        <f>Table9[[#This Row],[Octane]]/Table9[[#This Row],[Breakout]]</f>
        <v>0.97293309243443449</v>
      </c>
    </row>
    <row r="289" spans="1:18">
      <c r="A289" s="1">
        <f>Octane[[#This Row],[Degrees turned]]</f>
        <v>216.53544018958706</v>
      </c>
      <c r="B289" s="1">
        <f>Hybrid[[#This Row],[Degrees turned]]</f>
        <v>220.9939568072347</v>
      </c>
      <c r="C289" s="1">
        <f>Dominus[[#This Row],[Degrees turned]]</f>
        <v>222.62306418051656</v>
      </c>
      <c r="D289" s="1">
        <f>Plank[[#This Row],[Degrees turned]]</f>
        <v>220.8046082132756</v>
      </c>
      <c r="E289" s="1">
        <f>Batmobile[[#This Row],[Degrees turned]]</f>
        <v>217.57311165220509</v>
      </c>
      <c r="F289" s="1">
        <f>Breakout[[#This Row],[Degrees turned]]</f>
        <v>222.5667819674623</v>
      </c>
      <c r="H289" s="1">
        <v>0</v>
      </c>
      <c r="I289" s="3">
        <f>Table9[[#This Row],[Hybrid]]-Table9[[#This Row],[Octane]]</f>
        <v>4.4585166176476321</v>
      </c>
      <c r="J289" s="3">
        <f>Table9[[#This Row],[Dominus]]-Table9[[#This Row],[Octane]]</f>
        <v>6.0876239909295009</v>
      </c>
      <c r="K289" s="3">
        <f>Table9[[#This Row],[Plank]]-Table9[[#This Row],[Octane]]</f>
        <v>4.2691680236885361</v>
      </c>
      <c r="L289" s="3">
        <f>Table9[[#This Row],[Batmobile]]-Table9[[#This Row],[Octane]]</f>
        <v>1.0376714626180217</v>
      </c>
      <c r="M289" s="3">
        <f>Table9[[#This Row],[Breakout]]-Table9[[#This Row],[Octane]]</f>
        <v>6.031341777875241</v>
      </c>
      <c r="N289" s="4">
        <f>Table9[[#This Row],[Octane]]/Table9[[#This Row],[Hybrid]]</f>
        <v>0.97982516498613292</v>
      </c>
      <c r="O289" s="4">
        <f>Table9[[#This Row],[Octane]]/Table9[[#This Row],[Dominus]]</f>
        <v>0.97265501661591869</v>
      </c>
      <c r="P289" s="4">
        <f>Table9[[#This Row],[Octane]]/Table9[[#This Row],[Plank]]</f>
        <v>0.98066540341601505</v>
      </c>
      <c r="Q289" s="4">
        <f>Table9[[#This Row],[Octane]]/Table9[[#This Row],[Batmobile]]</f>
        <v>0.9952306999024918</v>
      </c>
      <c r="R289" s="4">
        <f>Table9[[#This Row],[Octane]]/Table9[[#This Row],[Breakout]]</f>
        <v>0.97290097954169563</v>
      </c>
    </row>
    <row r="290" spans="1:18">
      <c r="A290" s="1">
        <f>Octane[[#This Row],[Degrees turned]]</f>
        <v>217.48219180782698</v>
      </c>
      <c r="B290" s="1">
        <f>Hybrid[[#This Row],[Degrees turned]]</f>
        <v>221.96311814754938</v>
      </c>
      <c r="C290" s="1">
        <f>Dominus[[#This Row],[Degrees turned]]</f>
        <v>223.6007236810745</v>
      </c>
      <c r="D290" s="1">
        <f>Plank[[#This Row],[Degrees turned]]</f>
        <v>221.77516473498463</v>
      </c>
      <c r="E290" s="1">
        <f>Batmobile[[#This Row],[Degrees turned]]</f>
        <v>218.5289283303606</v>
      </c>
      <c r="F290" s="1">
        <f>Breakout[[#This Row],[Degrees turned]]</f>
        <v>223.54707484006542</v>
      </c>
      <c r="H290" s="1">
        <v>0</v>
      </c>
      <c r="I290" s="3">
        <f>Table9[[#This Row],[Hybrid]]-Table9[[#This Row],[Octane]]</f>
        <v>4.4809263397224015</v>
      </c>
      <c r="J290" s="3">
        <f>Table9[[#This Row],[Dominus]]-Table9[[#This Row],[Octane]]</f>
        <v>6.1185318732475196</v>
      </c>
      <c r="K290" s="3">
        <f>Table9[[#This Row],[Plank]]-Table9[[#This Row],[Octane]]</f>
        <v>4.2929729271576491</v>
      </c>
      <c r="L290" s="3">
        <f>Table9[[#This Row],[Batmobile]]-Table9[[#This Row],[Octane]]</f>
        <v>1.0467365225336209</v>
      </c>
      <c r="M290" s="3">
        <f>Table9[[#This Row],[Breakout]]-Table9[[#This Row],[Octane]]</f>
        <v>6.0648830322384413</v>
      </c>
      <c r="N290" s="4">
        <f>Table9[[#This Row],[Octane]]/Table9[[#This Row],[Hybrid]]</f>
        <v>0.97981229324439512</v>
      </c>
      <c r="O290" s="4">
        <f>Table9[[#This Row],[Octane]]/Table9[[#This Row],[Dominus]]</f>
        <v>0.97263635030996376</v>
      </c>
      <c r="P290" s="4">
        <f>Table9[[#This Row],[Octane]]/Table9[[#This Row],[Plank]]</f>
        <v>0.98064267957015094</v>
      </c>
      <c r="Q290" s="4">
        <f>Table9[[#This Row],[Octane]]/Table9[[#This Row],[Batmobile]]</f>
        <v>0.99521007799502303</v>
      </c>
      <c r="R290" s="4">
        <f>Table9[[#This Row],[Octane]]/Table9[[#This Row],[Breakout]]</f>
        <v>0.97286977234402416</v>
      </c>
    </row>
    <row r="291" spans="1:18">
      <c r="A291" s="1">
        <f>Octane[[#This Row],[Degrees turned]]</f>
        <v>218.42872244765738</v>
      </c>
      <c r="B291" s="1">
        <f>Hybrid[[#This Row],[Degrees turned]]</f>
        <v>222.932202027193</v>
      </c>
      <c r="C291" s="1">
        <f>Dominus[[#This Row],[Degrees turned]]</f>
        <v>224.57853177973755</v>
      </c>
      <c r="D291" s="1">
        <f>Plank[[#This Row],[Degrees turned]]</f>
        <v>222.74575810860657</v>
      </c>
      <c r="E291" s="1">
        <f>Batmobile[[#This Row],[Degrees turned]]</f>
        <v>219.48458115642978</v>
      </c>
      <c r="F291" s="1">
        <f>Breakout[[#This Row],[Degrees turned]]</f>
        <v>224.52677701646306</v>
      </c>
      <c r="H291" s="1">
        <v>0</v>
      </c>
      <c r="I291" s="3">
        <f>Table9[[#This Row],[Hybrid]]-Table9[[#This Row],[Octane]]</f>
        <v>4.5034795795356217</v>
      </c>
      <c r="J291" s="3">
        <f>Table9[[#This Row],[Dominus]]-Table9[[#This Row],[Octane]]</f>
        <v>6.1498093320801672</v>
      </c>
      <c r="K291" s="3">
        <f>Table9[[#This Row],[Plank]]-Table9[[#This Row],[Octane]]</f>
        <v>4.3170356609491876</v>
      </c>
      <c r="L291" s="3">
        <f>Table9[[#This Row],[Batmobile]]-Table9[[#This Row],[Octane]]</f>
        <v>1.055858708772405</v>
      </c>
      <c r="M291" s="3">
        <f>Table9[[#This Row],[Breakout]]-Table9[[#This Row],[Octane]]</f>
        <v>6.0980545688056793</v>
      </c>
      <c r="N291" s="4">
        <f>Table9[[#This Row],[Octane]]/Table9[[#This Row],[Hybrid]]</f>
        <v>0.97979888262626902</v>
      </c>
      <c r="O291" s="4">
        <f>Table9[[#This Row],[Octane]]/Table9[[#This Row],[Dominus]]</f>
        <v>0.97261621899767436</v>
      </c>
      <c r="P291" s="4">
        <f>Table9[[#This Row],[Octane]]/Table9[[#This Row],[Plank]]</f>
        <v>0.98061899944759312</v>
      </c>
      <c r="Q291" s="4">
        <f>Table9[[#This Row],[Octane]]/Table9[[#This Row],[Batmobile]]</f>
        <v>0.99518937183099943</v>
      </c>
      <c r="R291" s="4">
        <f>Table9[[#This Row],[Octane]]/Table9[[#This Row],[Breakout]]</f>
        <v>0.9728404128459095</v>
      </c>
    </row>
    <row r="292" spans="1:18">
      <c r="A292" s="1">
        <f>Octane[[#This Row],[Degrees turned]]</f>
        <v>219.37509902240276</v>
      </c>
      <c r="B292" s="1">
        <f>Hybrid[[#This Row],[Degrees turned]]</f>
        <v>223.90138153058825</v>
      </c>
      <c r="C292" s="1">
        <f>Dominus[[#This Row],[Degrees turned]]</f>
        <v>225.55595783268001</v>
      </c>
      <c r="D292" s="1">
        <f>Plank[[#This Row],[Degrees turned]]</f>
        <v>223.71642530113519</v>
      </c>
      <c r="E292" s="1">
        <f>Batmobile[[#This Row],[Degrees turned]]</f>
        <v>220.44011973199409</v>
      </c>
      <c r="F292" s="1">
        <f>Breakout[[#This Row],[Degrees turned]]</f>
        <v>225.506683817012</v>
      </c>
      <c r="H292" s="1">
        <v>0</v>
      </c>
      <c r="I292" s="3">
        <f>Table9[[#This Row],[Hybrid]]-Table9[[#This Row],[Octane]]</f>
        <v>4.5262825081854885</v>
      </c>
      <c r="J292" s="3">
        <f>Table9[[#This Row],[Dominus]]-Table9[[#This Row],[Octane]]</f>
        <v>6.1808588102772433</v>
      </c>
      <c r="K292" s="3">
        <f>Table9[[#This Row],[Plank]]-Table9[[#This Row],[Octane]]</f>
        <v>4.3413262787324243</v>
      </c>
      <c r="L292" s="3">
        <f>Table9[[#This Row],[Batmobile]]-Table9[[#This Row],[Octane]]</f>
        <v>1.0650207095913231</v>
      </c>
      <c r="M292" s="3">
        <f>Table9[[#This Row],[Breakout]]-Table9[[#This Row],[Octane]]</f>
        <v>6.131584794609239</v>
      </c>
      <c r="N292" s="4">
        <f>Table9[[#This Row],[Octane]]/Table9[[#This Row],[Hybrid]]</f>
        <v>0.97978448155503173</v>
      </c>
      <c r="O292" s="4">
        <f>Table9[[#This Row],[Octane]]/Table9[[#This Row],[Dominus]]</f>
        <v>0.97259722656112557</v>
      </c>
      <c r="P292" s="4">
        <f>Table9[[#This Row],[Octane]]/Table9[[#This Row],[Plank]]</f>
        <v>0.98059451257148977</v>
      </c>
      <c r="Q292" s="4">
        <f>Table9[[#This Row],[Octane]]/Table9[[#This Row],[Batmobile]]</f>
        <v>0.99516866207981491</v>
      </c>
      <c r="R292" s="4">
        <f>Table9[[#This Row],[Octane]]/Table9[[#This Row],[Breakout]]</f>
        <v>0.9728097425281429</v>
      </c>
    </row>
    <row r="293" spans="1:18">
      <c r="A293" s="1">
        <f>Octane[[#This Row],[Degrees turned]]</f>
        <v>220.32138738538586</v>
      </c>
      <c r="B293" s="1">
        <f>Hybrid[[#This Row],[Degrees turned]]</f>
        <v>224.87073935259286</v>
      </c>
      <c r="C293" s="1">
        <f>Dominus[[#This Row],[Degrees turned]]</f>
        <v>226.53354357324463</v>
      </c>
      <c r="D293" s="1">
        <f>Plank[[#This Row],[Degrees turned]]</f>
        <v>224.6872510289586</v>
      </c>
      <c r="E293" s="1">
        <f>Batmobile[[#This Row],[Degrees turned]]</f>
        <v>221.39562915159274</v>
      </c>
      <c r="F293" s="1">
        <f>Breakout[[#This Row],[Degrees turned]]</f>
        <v>226.48685363567424</v>
      </c>
      <c r="H293" s="1">
        <v>0</v>
      </c>
      <c r="I293" s="3">
        <f>Table9[[#This Row],[Hybrid]]-Table9[[#This Row],[Octane]]</f>
        <v>4.5493519672070022</v>
      </c>
      <c r="J293" s="3">
        <f>Table9[[#This Row],[Dominus]]-Table9[[#This Row],[Octane]]</f>
        <v>6.212156187858767</v>
      </c>
      <c r="K293" s="3">
        <f>Table9[[#This Row],[Plank]]-Table9[[#This Row],[Octane]]</f>
        <v>4.3658636435727374</v>
      </c>
      <c r="L293" s="3">
        <f>Table9[[#This Row],[Batmobile]]-Table9[[#This Row],[Octane]]</f>
        <v>1.0742417662068817</v>
      </c>
      <c r="M293" s="3">
        <f>Table9[[#This Row],[Breakout]]-Table9[[#This Row],[Octane]]</f>
        <v>6.1654662502883752</v>
      </c>
      <c r="N293" s="4">
        <f>Table9[[#This Row],[Octane]]/Table9[[#This Row],[Hybrid]]</f>
        <v>0.97976903540093885</v>
      </c>
      <c r="O293" s="4">
        <f>Table9[[#This Row],[Octane]]/Table9[[#This Row],[Dominus]]</f>
        <v>0.97257732303185285</v>
      </c>
      <c r="P293" s="4">
        <f>Table9[[#This Row],[Octane]]/Table9[[#This Row],[Plank]]</f>
        <v>0.98056915279536694</v>
      </c>
      <c r="Q293" s="4">
        <f>Table9[[#This Row],[Octane]]/Table9[[#This Row],[Batmobile]]</f>
        <v>0.9951478637120188</v>
      </c>
      <c r="R293" s="4">
        <f>Table9[[#This Row],[Octane]]/Table9[[#This Row],[Breakout]]</f>
        <v>0.97277781844147948</v>
      </c>
    </row>
    <row r="294" spans="1:18">
      <c r="A294" s="1">
        <f>Octane[[#This Row],[Degrees turned]]</f>
        <v>221.26826376059597</v>
      </c>
      <c r="B294" s="1">
        <f>Hybrid[[#This Row],[Degrees turned]]</f>
        <v>225.84034317347573</v>
      </c>
      <c r="C294" s="1">
        <f>Dominus[[#This Row],[Degrees turned]]</f>
        <v>227.51090612380568</v>
      </c>
      <c r="D294" s="1">
        <f>Plank[[#This Row],[Degrees turned]]</f>
        <v>225.65830365211951</v>
      </c>
      <c r="E294" s="1">
        <f>Batmobile[[#This Row],[Degrees turned]]</f>
        <v>222.35105716122808</v>
      </c>
      <c r="F294" s="1">
        <f>Breakout[[#This Row],[Degrees turned]]</f>
        <v>227.46678518623466</v>
      </c>
      <c r="H294" s="1">
        <v>0</v>
      </c>
      <c r="I294" s="3">
        <f>Table9[[#This Row],[Hybrid]]-Table9[[#This Row],[Octane]]</f>
        <v>4.5720794128797593</v>
      </c>
      <c r="J294" s="3">
        <f>Table9[[#This Row],[Dominus]]-Table9[[#This Row],[Octane]]</f>
        <v>6.2426423632097112</v>
      </c>
      <c r="K294" s="3">
        <f>Table9[[#This Row],[Plank]]-Table9[[#This Row],[Octane]]</f>
        <v>4.3900398915235428</v>
      </c>
      <c r="L294" s="3">
        <f>Table9[[#This Row],[Batmobile]]-Table9[[#This Row],[Octane]]</f>
        <v>1.0827934006321129</v>
      </c>
      <c r="M294" s="3">
        <f>Table9[[#This Row],[Breakout]]-Table9[[#This Row],[Octane]]</f>
        <v>6.1985214256386882</v>
      </c>
      <c r="N294" s="4">
        <f>Table9[[#This Row],[Octane]]/Table9[[#This Row],[Hybrid]]</f>
        <v>0.97975525830047205</v>
      </c>
      <c r="O294" s="4">
        <f>Table9[[#This Row],[Octane]]/Table9[[#This Row],[Dominus]]</f>
        <v>0.97256112918027493</v>
      </c>
      <c r="P294" s="4">
        <f>Table9[[#This Row],[Octane]]/Table9[[#This Row],[Plank]]</f>
        <v>0.98054563106930315</v>
      </c>
      <c r="Q294" s="4">
        <f>Table9[[#This Row],[Octane]]/Table9[[#This Row],[Batmobile]]</f>
        <v>0.99513025296818369</v>
      </c>
      <c r="R294" s="4">
        <f>Table9[[#This Row],[Octane]]/Table9[[#This Row],[Breakout]]</f>
        <v>0.9727497734644478</v>
      </c>
    </row>
    <row r="295" spans="1:18">
      <c r="A295" s="1">
        <f>Octane[[#This Row],[Degrees turned]]</f>
        <v>222.21516092609704</v>
      </c>
      <c r="B295" s="1">
        <f>Hybrid[[#This Row],[Degrees turned]]</f>
        <v>226.80955853013887</v>
      </c>
      <c r="C295" s="1">
        <f>Dominus[[#This Row],[Degrees turned]]</f>
        <v>228.48856911585111</v>
      </c>
      <c r="D295" s="1">
        <f>Plank[[#This Row],[Degrees turned]]</f>
        <v>226.62883524491698</v>
      </c>
      <c r="E295" s="1">
        <f>Batmobile[[#This Row],[Degrees turned]]</f>
        <v>223.3065725117842</v>
      </c>
      <c r="F295" s="1">
        <f>Breakout[[#This Row],[Degrees turned]]</f>
        <v>228.44701891790928</v>
      </c>
      <c r="H295" s="1">
        <v>0</v>
      </c>
      <c r="I295" s="3">
        <f>Table9[[#This Row],[Hybrid]]-Table9[[#This Row],[Octane]]</f>
        <v>4.5943976040418306</v>
      </c>
      <c r="J295" s="3">
        <f>Table9[[#This Row],[Dominus]]-Table9[[#This Row],[Octane]]</f>
        <v>6.2734081897540648</v>
      </c>
      <c r="K295" s="3">
        <f>Table9[[#This Row],[Plank]]-Table9[[#This Row],[Octane]]</f>
        <v>4.4136743188199432</v>
      </c>
      <c r="L295" s="3">
        <f>Table9[[#This Row],[Batmobile]]-Table9[[#This Row],[Octane]]</f>
        <v>1.0914115856871547</v>
      </c>
      <c r="M295" s="3">
        <f>Table9[[#This Row],[Breakout]]-Table9[[#This Row],[Octane]]</f>
        <v>6.2318579918122339</v>
      </c>
      <c r="N295" s="4">
        <f>Table9[[#This Row],[Octane]]/Table9[[#This Row],[Hybrid]]</f>
        <v>0.97974336869302925</v>
      </c>
      <c r="O295" s="4">
        <f>Table9[[#This Row],[Octane]]/Table9[[#This Row],[Dominus]]</f>
        <v>0.97254388605071418</v>
      </c>
      <c r="P295" s="4">
        <f>Table9[[#This Row],[Octane]]/Table9[[#This Row],[Plank]]</f>
        <v>0.98052465691733315</v>
      </c>
      <c r="Q295" s="4">
        <f>Table9[[#This Row],[Octane]]/Table9[[#This Row],[Batmobile]]</f>
        <v>0.99511249680915881</v>
      </c>
      <c r="R295" s="4">
        <f>Table9[[#This Row],[Octane]]/Table9[[#This Row],[Breakout]]</f>
        <v>0.97272077341463759</v>
      </c>
    </row>
    <row r="296" spans="1:18">
      <c r="A296" s="1">
        <f>Octane[[#This Row],[Degrees turned]]</f>
        <v>223.16148612777911</v>
      </c>
      <c r="B296" s="1">
        <f>Hybrid[[#This Row],[Degrees turned]]</f>
        <v>227.77915777171444</v>
      </c>
      <c r="C296" s="1">
        <f>Dominus[[#This Row],[Degrees turned]]</f>
        <v>229.46614727885125</v>
      </c>
      <c r="D296" s="1">
        <f>Plank[[#This Row],[Degrees turned]]</f>
        <v>227.5998618968282</v>
      </c>
      <c r="E296" s="1">
        <f>Batmobile[[#This Row],[Degrees turned]]</f>
        <v>224.26225662525675</v>
      </c>
      <c r="F296" s="1">
        <f>Breakout[[#This Row],[Degrees turned]]</f>
        <v>229.427046217444</v>
      </c>
      <c r="H296" s="1">
        <v>0</v>
      </c>
      <c r="I296" s="3">
        <f>Table9[[#This Row],[Hybrid]]-Table9[[#This Row],[Octane]]</f>
        <v>4.6176716439353243</v>
      </c>
      <c r="J296" s="3">
        <f>Table9[[#This Row],[Dominus]]-Table9[[#This Row],[Octane]]</f>
        <v>6.3046611510721391</v>
      </c>
      <c r="K296" s="3">
        <f>Table9[[#This Row],[Plank]]-Table9[[#This Row],[Octane]]</f>
        <v>4.4383757690490881</v>
      </c>
      <c r="L296" s="3">
        <f>Table9[[#This Row],[Batmobile]]-Table9[[#This Row],[Octane]]</f>
        <v>1.1007704974776402</v>
      </c>
      <c r="M296" s="3">
        <f>Table9[[#This Row],[Breakout]]-Table9[[#This Row],[Octane]]</f>
        <v>6.2655600896648878</v>
      </c>
      <c r="N296" s="4">
        <f>Table9[[#This Row],[Octane]]/Table9[[#This Row],[Hybrid]]</f>
        <v>0.97972741804338714</v>
      </c>
      <c r="O296" s="4">
        <f>Table9[[#This Row],[Octane]]/Table9[[#This Row],[Dominus]]</f>
        <v>0.97252465679213851</v>
      </c>
      <c r="P296" s="4">
        <f>Table9[[#This Row],[Octane]]/Table9[[#This Row],[Plank]]</f>
        <v>0.98049921589556577</v>
      </c>
      <c r="Q296" s="4">
        <f>Table9[[#This Row],[Octane]]/Table9[[#This Row],[Batmobile]]</f>
        <v>0.99509159270025083</v>
      </c>
      <c r="R296" s="4">
        <f>Table9[[#This Row],[Octane]]/Table9[[#This Row],[Breakout]]</f>
        <v>0.97269040336366197</v>
      </c>
    </row>
    <row r="297" spans="1:18">
      <c r="A297" s="1">
        <f>Octane[[#This Row],[Degrees turned]]</f>
        <v>224.1079803086742</v>
      </c>
      <c r="B297" s="1">
        <f>Hybrid[[#This Row],[Degrees turned]]</f>
        <v>228.74852229622968</v>
      </c>
      <c r="C297" s="1">
        <f>Dominus[[#This Row],[Degrees turned]]</f>
        <v>230.44358892749267</v>
      </c>
      <c r="D297" s="1">
        <f>Plank[[#This Row],[Degrees turned]]</f>
        <v>228.57062555272179</v>
      </c>
      <c r="E297" s="1">
        <f>Batmobile[[#This Row],[Degrees turned]]</f>
        <v>225.21805710952719</v>
      </c>
      <c r="F297" s="1">
        <f>Breakout[[#This Row],[Degrees turned]]</f>
        <v>230.40704131295459</v>
      </c>
      <c r="H297" s="1">
        <v>0</v>
      </c>
      <c r="I297" s="3">
        <f>Table9[[#This Row],[Hybrid]]-Table9[[#This Row],[Octane]]</f>
        <v>4.6405419875554799</v>
      </c>
      <c r="J297" s="3">
        <f>Table9[[#This Row],[Dominus]]-Table9[[#This Row],[Octane]]</f>
        <v>6.335608618818469</v>
      </c>
      <c r="K297" s="3">
        <f>Table9[[#This Row],[Plank]]-Table9[[#This Row],[Octane]]</f>
        <v>4.462645244047593</v>
      </c>
      <c r="L297" s="3">
        <f>Table9[[#This Row],[Batmobile]]-Table9[[#This Row],[Octane]]</f>
        <v>1.110076800852994</v>
      </c>
      <c r="M297" s="3">
        <f>Table9[[#This Row],[Breakout]]-Table9[[#This Row],[Octane]]</f>
        <v>6.2990610042803894</v>
      </c>
      <c r="N297" s="4">
        <f>Table9[[#This Row],[Octane]]/Table9[[#This Row],[Hybrid]]</f>
        <v>0.97971334660013243</v>
      </c>
      <c r="O297" s="4">
        <f>Table9[[#This Row],[Octane]]/Table9[[#This Row],[Dominus]]</f>
        <v>0.97250690006910145</v>
      </c>
      <c r="P297" s="4">
        <f>Table9[[#This Row],[Octane]]/Table9[[#This Row],[Plank]]</f>
        <v>0.98047585846494412</v>
      </c>
      <c r="Q297" s="4">
        <f>Table9[[#This Row],[Octane]]/Table9[[#This Row],[Batmobile]]</f>
        <v>0.99507110213497163</v>
      </c>
      <c r="R297" s="4">
        <f>Table9[[#This Row],[Octane]]/Table9[[#This Row],[Breakout]]</f>
        <v>0.97266116101146161</v>
      </c>
    </row>
    <row r="298" spans="1:18">
      <c r="A298" s="1">
        <f>Octane[[#This Row],[Degrees turned]]</f>
        <v>225.05470853902776</v>
      </c>
      <c r="B298" s="1">
        <f>Hybrid[[#This Row],[Degrees turned]]</f>
        <v>229.71782712783704</v>
      </c>
      <c r="C298" s="1">
        <f>Dominus[[#This Row],[Degrees turned]]</f>
        <v>231.42108145440392</v>
      </c>
      <c r="D298" s="1">
        <f>Plank[[#This Row],[Degrees turned]]</f>
        <v>229.54132332274412</v>
      </c>
      <c r="E298" s="1">
        <f>Batmobile[[#This Row],[Degrees turned]]</f>
        <v>226.17357187089232</v>
      </c>
      <c r="F298" s="1">
        <f>Breakout[[#This Row],[Degrees turned]]</f>
        <v>231.38698004272678</v>
      </c>
      <c r="H298" s="1">
        <v>0</v>
      </c>
      <c r="I298" s="3">
        <f>Table9[[#This Row],[Hybrid]]-Table9[[#This Row],[Octane]]</f>
        <v>4.663118588809283</v>
      </c>
      <c r="J298" s="3">
        <f>Table9[[#This Row],[Dominus]]-Table9[[#This Row],[Octane]]</f>
        <v>6.3663729153761608</v>
      </c>
      <c r="K298" s="3">
        <f>Table9[[#This Row],[Plank]]-Table9[[#This Row],[Octane]]</f>
        <v>4.4866147837163624</v>
      </c>
      <c r="L298" s="3">
        <f>Table9[[#This Row],[Batmobile]]-Table9[[#This Row],[Octane]]</f>
        <v>1.11886333186456</v>
      </c>
      <c r="M298" s="3">
        <f>Table9[[#This Row],[Breakout]]-Table9[[#This Row],[Octane]]</f>
        <v>6.3322715036990189</v>
      </c>
      <c r="N298" s="4">
        <f>Table9[[#This Row],[Octane]]/Table9[[#This Row],[Hybrid]]</f>
        <v>0.97970066734866734</v>
      </c>
      <c r="O298" s="4">
        <f>Table9[[#This Row],[Octane]]/Table9[[#This Row],[Dominus]]</f>
        <v>0.9724900908967945</v>
      </c>
      <c r="P298" s="4">
        <f>Table9[[#This Row],[Octane]]/Table9[[#This Row],[Plank]]</f>
        <v>0.98045399965997404</v>
      </c>
      <c r="Q298" s="4">
        <f>Table9[[#This Row],[Octane]]/Table9[[#This Row],[Batmobile]]</f>
        <v>0.99505307661452491</v>
      </c>
      <c r="R298" s="4">
        <f>Table9[[#This Row],[Octane]]/Table9[[#This Row],[Breakout]]</f>
        <v>0.97263341479918297</v>
      </c>
    </row>
    <row r="299" spans="1:18">
      <c r="A299" s="1">
        <f>Octane[[#This Row],[Degrees turned]]</f>
        <v>226.00105919137403</v>
      </c>
      <c r="B299" s="1">
        <f>Hybrid[[#This Row],[Degrees turned]]</f>
        <v>230.6870263741578</v>
      </c>
      <c r="C299" s="1">
        <f>Dominus[[#This Row],[Degrees turned]]</f>
        <v>232.39859524112302</v>
      </c>
      <c r="D299" s="1">
        <f>Plank[[#This Row],[Degrees turned]]</f>
        <v>230.51189956885676</v>
      </c>
      <c r="E299" s="1">
        <f>Batmobile[[#This Row],[Degrees turned]]</f>
        <v>227.12945270812764</v>
      </c>
      <c r="F299" s="1">
        <f>Breakout[[#This Row],[Degrees turned]]</f>
        <v>232.36703185989461</v>
      </c>
      <c r="H299" s="1">
        <v>0</v>
      </c>
      <c r="I299" s="3">
        <f>Table9[[#This Row],[Hybrid]]-Table9[[#This Row],[Octane]]</f>
        <v>4.6859671827837701</v>
      </c>
      <c r="J299" s="3">
        <f>Table9[[#This Row],[Dominus]]-Table9[[#This Row],[Octane]]</f>
        <v>6.397536049748993</v>
      </c>
      <c r="K299" s="3">
        <f>Table9[[#This Row],[Plank]]-Table9[[#This Row],[Octane]]</f>
        <v>4.5108403774827366</v>
      </c>
      <c r="L299" s="3">
        <f>Table9[[#This Row],[Batmobile]]-Table9[[#This Row],[Octane]]</f>
        <v>1.1283935167536185</v>
      </c>
      <c r="M299" s="3">
        <f>Table9[[#This Row],[Breakout]]-Table9[[#This Row],[Octane]]</f>
        <v>6.365972668520584</v>
      </c>
      <c r="N299" s="4">
        <f>Table9[[#This Row],[Octane]]/Table9[[#This Row],[Hybrid]]</f>
        <v>0.97968690629709076</v>
      </c>
      <c r="O299" s="4">
        <f>Table9[[#This Row],[Octane]]/Table9[[#This Row],[Dominus]]</f>
        <v>0.97247170946489037</v>
      </c>
      <c r="P299" s="4">
        <f>Table9[[#This Row],[Octane]]/Table9[[#This Row],[Plank]]</f>
        <v>0.98043120382973858</v>
      </c>
      <c r="Q299" s="4">
        <f>Table9[[#This Row],[Octane]]/Table9[[#This Row],[Batmobile]]</f>
        <v>0.99503193661896572</v>
      </c>
      <c r="R299" s="4">
        <f>Table9[[#This Row],[Octane]]/Table9[[#This Row],[Breakout]]</f>
        <v>0.97260380434536453</v>
      </c>
    </row>
    <row r="300" spans="1:18">
      <c r="A300" s="1">
        <f>Octane[[#This Row],[Degrees turned]]</f>
        <v>226.94777221849199</v>
      </c>
      <c r="B300" s="1">
        <f>Hybrid[[#This Row],[Degrees turned]]</f>
        <v>231.65620269461846</v>
      </c>
      <c r="C300" s="1">
        <f>Dominus[[#This Row],[Degrees turned]]</f>
        <v>233.37618616534962</v>
      </c>
      <c r="D300" s="1">
        <f>Plank[[#This Row],[Degrees turned]]</f>
        <v>231.48243345329226</v>
      </c>
      <c r="E300" s="1">
        <f>Batmobile[[#This Row],[Degrees turned]]</f>
        <v>228.08518181463435</v>
      </c>
      <c r="F300" s="1">
        <f>Breakout[[#This Row],[Degrees turned]]</f>
        <v>233.34716171472385</v>
      </c>
      <c r="H300" s="1">
        <v>0</v>
      </c>
      <c r="I300" s="3">
        <f>Table9[[#This Row],[Hybrid]]-Table9[[#This Row],[Octane]]</f>
        <v>4.7084304761264661</v>
      </c>
      <c r="J300" s="3">
        <f>Table9[[#This Row],[Dominus]]-Table9[[#This Row],[Octane]]</f>
        <v>6.4284139468576313</v>
      </c>
      <c r="K300" s="3">
        <f>Table9[[#This Row],[Plank]]-Table9[[#This Row],[Octane]]</f>
        <v>4.5346612348002679</v>
      </c>
      <c r="L300" s="3">
        <f>Table9[[#This Row],[Batmobile]]-Table9[[#This Row],[Octane]]</f>
        <v>1.137409596142362</v>
      </c>
      <c r="M300" s="3">
        <f>Table9[[#This Row],[Breakout]]-Table9[[#This Row],[Octane]]</f>
        <v>6.399389496231862</v>
      </c>
      <c r="N300" s="4">
        <f>Table9[[#This Row],[Octane]]/Table9[[#This Row],[Hybrid]]</f>
        <v>0.97967492162369008</v>
      </c>
      <c r="O300" s="4">
        <f>Table9[[#This Row],[Octane]]/Table9[[#This Row],[Dominus]]</f>
        <v>0.97245471334293276</v>
      </c>
      <c r="P300" s="4">
        <f>Table9[[#This Row],[Octane]]/Table9[[#This Row],[Plank]]</f>
        <v>0.98041034402848004</v>
      </c>
      <c r="Q300" s="4">
        <f>Table9[[#This Row],[Octane]]/Table9[[#This Row],[Batmobile]]</f>
        <v>0.99501322450194618</v>
      </c>
      <c r="R300" s="4">
        <f>Table9[[#This Row],[Octane]]/Table9[[#This Row],[Breakout]]</f>
        <v>0.97257567030510805</v>
      </c>
    </row>
    <row r="301" spans="1:18">
      <c r="A301" s="1">
        <f>Octane[[#This Row],[Degrees turned]]</f>
        <v>227.89422416249653</v>
      </c>
      <c r="B301" s="1">
        <f>Hybrid[[#This Row],[Degrees turned]]</f>
        <v>232.62552181226613</v>
      </c>
      <c r="C301" s="1">
        <f>Dominus[[#This Row],[Degrees turned]]</f>
        <v>234.35346692953851</v>
      </c>
      <c r="D301" s="1">
        <f>Plank[[#This Row],[Degrees turned]]</f>
        <v>232.45310858547725</v>
      </c>
      <c r="E301" s="1">
        <f>Batmobile[[#This Row],[Degrees turned]]</f>
        <v>229.04060520027281</v>
      </c>
      <c r="F301" s="1">
        <f>Breakout[[#This Row],[Degrees turned]]</f>
        <v>234.32686611005994</v>
      </c>
      <c r="H301" s="1">
        <v>0</v>
      </c>
      <c r="I301" s="3">
        <f>Table9[[#This Row],[Hybrid]]-Table9[[#This Row],[Octane]]</f>
        <v>4.7312976497696013</v>
      </c>
      <c r="J301" s="3">
        <f>Table9[[#This Row],[Dominus]]-Table9[[#This Row],[Octane]]</f>
        <v>6.4592427670419852</v>
      </c>
      <c r="K301" s="3">
        <f>Table9[[#This Row],[Plank]]-Table9[[#This Row],[Octane]]</f>
        <v>4.558884422980725</v>
      </c>
      <c r="L301" s="3">
        <f>Table9[[#This Row],[Batmobile]]-Table9[[#This Row],[Octane]]</f>
        <v>1.1463810377762798</v>
      </c>
      <c r="M301" s="3">
        <f>Table9[[#This Row],[Breakout]]-Table9[[#This Row],[Octane]]</f>
        <v>6.4326419475634111</v>
      </c>
      <c r="N301" s="4">
        <f>Table9[[#This Row],[Octane]]/Table9[[#This Row],[Hybrid]]</f>
        <v>0.97966131311426841</v>
      </c>
      <c r="O301" s="4">
        <f>Table9[[#This Row],[Octane]]/Table9[[#This Row],[Dominus]]</f>
        <v>0.9724380319537409</v>
      </c>
      <c r="P301" s="4">
        <f>Table9[[#This Row],[Octane]]/Table9[[#This Row],[Plank]]</f>
        <v>0.98038793952585779</v>
      </c>
      <c r="Q301" s="4">
        <f>Table9[[#This Row],[Octane]]/Table9[[#This Row],[Batmobile]]</f>
        <v>0.9949948567557535</v>
      </c>
      <c r="R301" s="4">
        <f>Table9[[#This Row],[Octane]]/Table9[[#This Row],[Breakout]]</f>
        <v>0.97254842325872237</v>
      </c>
    </row>
    <row r="302" spans="1:18">
      <c r="A302" s="1">
        <f>Octane[[#This Row],[Degrees turned]]</f>
        <v>228.84059709312623</v>
      </c>
      <c r="B302" s="1">
        <f>Hybrid[[#This Row],[Degrees turned]]</f>
        <v>233.59507281358677</v>
      </c>
      <c r="C302" s="1">
        <f>Dominus[[#This Row],[Degrees turned]]</f>
        <v>235.33085998419062</v>
      </c>
      <c r="D302" s="1">
        <f>Plank[[#This Row],[Degrees turned]]</f>
        <v>233.42387198481896</v>
      </c>
      <c r="E302" s="1">
        <f>Batmobile[[#This Row],[Degrees turned]]</f>
        <v>229.99601139709364</v>
      </c>
      <c r="F302" s="1">
        <f>Breakout[[#This Row],[Degrees turned]]</f>
        <v>235.30678952287141</v>
      </c>
      <c r="H302" s="1">
        <v>0</v>
      </c>
      <c r="I302" s="3">
        <f>Table9[[#This Row],[Hybrid]]-Table9[[#This Row],[Octane]]</f>
        <v>4.7544757204605332</v>
      </c>
      <c r="J302" s="3">
        <f>Table9[[#This Row],[Dominus]]-Table9[[#This Row],[Octane]]</f>
        <v>6.4902628910643898</v>
      </c>
      <c r="K302" s="3">
        <f>Table9[[#This Row],[Plank]]-Table9[[#This Row],[Octane]]</f>
        <v>4.5832748916927244</v>
      </c>
      <c r="L302" s="3">
        <f>Table9[[#This Row],[Batmobile]]-Table9[[#This Row],[Octane]]</f>
        <v>1.1554143039674045</v>
      </c>
      <c r="M302" s="3">
        <f>Table9[[#This Row],[Breakout]]-Table9[[#This Row],[Octane]]</f>
        <v>6.4661924297451776</v>
      </c>
      <c r="N302" s="4">
        <f>Table9[[#This Row],[Octane]]/Table9[[#This Row],[Hybrid]]</f>
        <v>0.97964650682399157</v>
      </c>
      <c r="O302" s="4">
        <f>Table9[[#This Row],[Octane]]/Table9[[#This Row],[Dominus]]</f>
        <v>0.97242068935837656</v>
      </c>
      <c r="P302" s="4">
        <f>Table9[[#This Row],[Octane]]/Table9[[#This Row],[Plank]]</f>
        <v>0.98036501214412719</v>
      </c>
      <c r="Q302" s="4">
        <f>Table9[[#This Row],[Octane]]/Table9[[#This Row],[Batmobile]]</f>
        <v>0.99497637242946546</v>
      </c>
      <c r="R302" s="4">
        <f>Table9[[#This Row],[Octane]]/Table9[[#This Row],[Breakout]]</f>
        <v>0.97252016211322845</v>
      </c>
    </row>
    <row r="303" spans="1:18">
      <c r="A303" s="1">
        <f>Octane[[#This Row],[Degrees turned]]</f>
        <v>229.78740965994717</v>
      </c>
      <c r="B303" s="1">
        <f>Hybrid[[#This Row],[Degrees turned]]</f>
        <v>234.56410197236389</v>
      </c>
      <c r="C303" s="1">
        <f>Dominus[[#This Row],[Degrees turned]]</f>
        <v>236.30809031308701</v>
      </c>
      <c r="D303" s="1">
        <f>Plank[[#This Row],[Degrees turned]]</f>
        <v>234.39479470331872</v>
      </c>
      <c r="E303" s="1">
        <f>Batmobile[[#This Row],[Degrees turned]]</f>
        <v>230.95146948246179</v>
      </c>
      <c r="F303" s="1">
        <f>Breakout[[#This Row],[Degrees turned]]</f>
        <v>236.28642790757482</v>
      </c>
      <c r="H303" s="1">
        <v>0</v>
      </c>
      <c r="I303" s="3">
        <f>Table9[[#This Row],[Hybrid]]-Table9[[#This Row],[Octane]]</f>
        <v>4.7766923124167135</v>
      </c>
      <c r="J303" s="3">
        <f>Table9[[#This Row],[Dominus]]-Table9[[#This Row],[Octane]]</f>
        <v>6.5206806531398342</v>
      </c>
      <c r="K303" s="3">
        <f>Table9[[#This Row],[Plank]]-Table9[[#This Row],[Octane]]</f>
        <v>4.6073850433715506</v>
      </c>
      <c r="L303" s="3">
        <f>Table9[[#This Row],[Batmobile]]-Table9[[#This Row],[Octane]]</f>
        <v>1.1640598225146164</v>
      </c>
      <c r="M303" s="3">
        <f>Table9[[#This Row],[Breakout]]-Table9[[#This Row],[Octane]]</f>
        <v>6.4990182476276459</v>
      </c>
      <c r="N303" s="4">
        <f>Table9[[#This Row],[Octane]]/Table9[[#This Row],[Hybrid]]</f>
        <v>0.97963587662284535</v>
      </c>
      <c r="O303" s="4">
        <f>Table9[[#This Row],[Octane]]/Table9[[#This Row],[Dominus]]</f>
        <v>0.97240602027420853</v>
      </c>
      <c r="P303" s="4">
        <f>Table9[[#This Row],[Octane]]/Table9[[#This Row],[Plank]]</f>
        <v>0.9803434839532027</v>
      </c>
      <c r="Q303" s="4">
        <f>Table9[[#This Row],[Octane]]/Table9[[#This Row],[Batmobile]]</f>
        <v>0.99495972108286146</v>
      </c>
      <c r="R303" s="4">
        <f>Table9[[#This Row],[Octane]]/Table9[[#This Row],[Breakout]]</f>
        <v>0.97249516908279732</v>
      </c>
    </row>
    <row r="304" spans="1:18">
      <c r="A304" s="1">
        <f>Octane[[#This Row],[Degrees turned]]</f>
        <v>230.73428126105469</v>
      </c>
      <c r="B304" s="1">
        <f>Hybrid[[#This Row],[Degrees turned]]</f>
        <v>235.53349909747504</v>
      </c>
      <c r="C304" s="1">
        <f>Dominus[[#This Row],[Degrees turned]]</f>
        <v>237.28568834958025</v>
      </c>
      <c r="D304" s="1">
        <f>Plank[[#This Row],[Degrees turned]]</f>
        <v>235.36549627312894</v>
      </c>
      <c r="E304" s="1">
        <f>Batmobile[[#This Row],[Degrees turned]]</f>
        <v>231.90682058603352</v>
      </c>
      <c r="F304" s="1">
        <f>Breakout[[#This Row],[Degrees turned]]</f>
        <v>237.26654859642335</v>
      </c>
      <c r="H304" s="1">
        <v>0</v>
      </c>
      <c r="I304" s="3">
        <f>Table9[[#This Row],[Hybrid]]-Table9[[#This Row],[Octane]]</f>
        <v>4.7992178364203539</v>
      </c>
      <c r="J304" s="3">
        <f>Table9[[#This Row],[Dominus]]-Table9[[#This Row],[Octane]]</f>
        <v>6.5514070885255649</v>
      </c>
      <c r="K304" s="3">
        <f>Table9[[#This Row],[Plank]]-Table9[[#This Row],[Octane]]</f>
        <v>4.6312150120742501</v>
      </c>
      <c r="L304" s="3">
        <f>Table9[[#This Row],[Batmobile]]-Table9[[#This Row],[Octane]]</f>
        <v>1.1725393249788283</v>
      </c>
      <c r="M304" s="3">
        <f>Table9[[#This Row],[Breakout]]-Table9[[#This Row],[Octane]]</f>
        <v>6.5322673353686582</v>
      </c>
      <c r="N304" s="4">
        <f>Table9[[#This Row],[Octane]]/Table9[[#This Row],[Hybrid]]</f>
        <v>0.97962405409502196</v>
      </c>
      <c r="O304" s="4">
        <f>Table9[[#This Row],[Octane]]/Table9[[#This Row],[Dominus]]</f>
        <v>0.97239021394803327</v>
      </c>
      <c r="P304" s="4">
        <f>Table9[[#This Row],[Octane]]/Table9[[#This Row],[Plank]]</f>
        <v>0.98032330530427458</v>
      </c>
      <c r="Q304" s="4">
        <f>Table9[[#This Row],[Octane]]/Table9[[#This Row],[Batmobile]]</f>
        <v>0.99494392048489222</v>
      </c>
      <c r="R304" s="4">
        <f>Table9[[#This Row],[Octane]]/Table9[[#This Row],[Breakout]]</f>
        <v>0.97246865445630237</v>
      </c>
    </row>
    <row r="305" spans="1:18">
      <c r="A305" s="1">
        <f>Octane[[#This Row],[Degrees turned]]</f>
        <v>231.680573034362</v>
      </c>
      <c r="B305" s="1">
        <f>Hybrid[[#This Row],[Degrees turned]]</f>
        <v>236.50251639618608</v>
      </c>
      <c r="C305" s="1">
        <f>Dominus[[#This Row],[Degrees turned]]</f>
        <v>238.2632636640156</v>
      </c>
      <c r="D305" s="1">
        <f>Plank[[#This Row],[Degrees turned]]</f>
        <v>236.33638164262231</v>
      </c>
      <c r="E305" s="1">
        <f>Batmobile[[#This Row],[Degrees turned]]</f>
        <v>232.86246911031185</v>
      </c>
      <c r="F305" s="1">
        <f>Breakout[[#This Row],[Degrees turned]]</f>
        <v>238.24652945969791</v>
      </c>
      <c r="H305" s="1">
        <v>0</v>
      </c>
      <c r="I305" s="3">
        <f>Table9[[#This Row],[Hybrid]]-Table9[[#This Row],[Octane]]</f>
        <v>4.8219433618240828</v>
      </c>
      <c r="J305" s="3">
        <f>Table9[[#This Row],[Dominus]]-Table9[[#This Row],[Octane]]</f>
        <v>6.5826906296535981</v>
      </c>
      <c r="K305" s="3">
        <f>Table9[[#This Row],[Plank]]-Table9[[#This Row],[Octane]]</f>
        <v>4.6558086082603154</v>
      </c>
      <c r="L305" s="3">
        <f>Table9[[#This Row],[Batmobile]]-Table9[[#This Row],[Octane]]</f>
        <v>1.1818960759498509</v>
      </c>
      <c r="M305" s="3">
        <f>Table9[[#This Row],[Breakout]]-Table9[[#This Row],[Octane]]</f>
        <v>6.5659564253359122</v>
      </c>
      <c r="N305" s="4">
        <f>Table9[[#This Row],[Octane]]/Table9[[#This Row],[Hybrid]]</f>
        <v>0.97961145007968364</v>
      </c>
      <c r="O305" s="4">
        <f>Table9[[#This Row],[Octane]]/Table9[[#This Row],[Dominus]]</f>
        <v>0.97237219650052265</v>
      </c>
      <c r="P305" s="4">
        <f>Table9[[#This Row],[Octane]]/Table9[[#This Row],[Plank]]</f>
        <v>0.98030007662848695</v>
      </c>
      <c r="Q305" s="4">
        <f>Table9[[#This Row],[Octane]]/Table9[[#This Row],[Batmobile]]</f>
        <v>0.99492448877457385</v>
      </c>
      <c r="R305" s="4">
        <f>Table9[[#This Row],[Octane]]/Table9[[#This Row],[Breakout]]</f>
        <v>0.97244049497708795</v>
      </c>
    </row>
    <row r="306" spans="1:18">
      <c r="A306" s="1">
        <f>Octane[[#This Row],[Degrees turned]]</f>
        <v>232.62692662058856</v>
      </c>
      <c r="B306" s="1">
        <f>Hybrid[[#This Row],[Degrees turned]]</f>
        <v>237.4720334541808</v>
      </c>
      <c r="C306" s="1">
        <f>Dominus[[#This Row],[Degrees turned]]</f>
        <v>239.24066031588853</v>
      </c>
      <c r="D306" s="1">
        <f>Plank[[#This Row],[Degrees turned]]</f>
        <v>237.3071783134227</v>
      </c>
      <c r="E306" s="1">
        <f>Batmobile[[#This Row],[Degrees turned]]</f>
        <v>233.81813671893624</v>
      </c>
      <c r="F306" s="1">
        <f>Breakout[[#This Row],[Degrees turned]]</f>
        <v>239.22644465898435</v>
      </c>
      <c r="H306" s="1">
        <v>0</v>
      </c>
      <c r="I306" s="3">
        <f>Table9[[#This Row],[Hybrid]]-Table9[[#This Row],[Octane]]</f>
        <v>4.84510683359224</v>
      </c>
      <c r="J306" s="3">
        <f>Table9[[#This Row],[Dominus]]-Table9[[#This Row],[Octane]]</f>
        <v>6.6137336952999703</v>
      </c>
      <c r="K306" s="3">
        <f>Table9[[#This Row],[Plank]]-Table9[[#This Row],[Octane]]</f>
        <v>4.6802516928341333</v>
      </c>
      <c r="L306" s="3">
        <f>Table9[[#This Row],[Batmobile]]-Table9[[#This Row],[Octane]]</f>
        <v>1.1912100983476819</v>
      </c>
      <c r="M306" s="3">
        <f>Table9[[#This Row],[Breakout]]-Table9[[#This Row],[Octane]]</f>
        <v>6.5995180383957859</v>
      </c>
      <c r="N306" s="4">
        <f>Table9[[#This Row],[Octane]]/Table9[[#This Row],[Hybrid]]</f>
        <v>0.97959714765938077</v>
      </c>
      <c r="O306" s="4">
        <f>Table9[[#This Row],[Octane]]/Table9[[#This Row],[Dominus]]</f>
        <v>0.97235531081310622</v>
      </c>
      <c r="P306" s="4">
        <f>Table9[[#This Row],[Octane]]/Table9[[#This Row],[Plank]]</f>
        <v>0.98027766489788726</v>
      </c>
      <c r="Q306" s="4">
        <f>Table9[[#This Row],[Octane]]/Table9[[#This Row],[Batmobile]]</f>
        <v>0.99490539906329167</v>
      </c>
      <c r="R306" s="4">
        <f>Table9[[#This Row],[Octane]]/Table9[[#This Row],[Breakout]]</f>
        <v>0.97241309150498245</v>
      </c>
    </row>
    <row r="307" spans="1:18">
      <c r="A307" s="1">
        <f>Octane[[#This Row],[Degrees turned]]</f>
        <v>233.57352282757557</v>
      </c>
      <c r="B307" s="1">
        <f>Hybrid[[#This Row],[Degrees turned]]</f>
        <v>238.44142793208155</v>
      </c>
      <c r="C307" s="1">
        <f>Dominus[[#This Row],[Degrees turned]]</f>
        <v>240.21806364885262</v>
      </c>
      <c r="D307" s="1">
        <f>Plank[[#This Row],[Degrees turned]]</f>
        <v>238.27784540580646</v>
      </c>
      <c r="E307" s="1">
        <f>Batmobile[[#This Row],[Degrees turned]]</f>
        <v>234.77355015190381</v>
      </c>
      <c r="F307" s="1">
        <f>Breakout[[#This Row],[Degrees turned]]</f>
        <v>240.2062497117642</v>
      </c>
      <c r="H307" s="1">
        <v>0</v>
      </c>
      <c r="I307" s="3">
        <f>Table9[[#This Row],[Hybrid]]-Table9[[#This Row],[Octane]]</f>
        <v>4.8679051045059794</v>
      </c>
      <c r="J307" s="3">
        <f>Table9[[#This Row],[Dominus]]-Table9[[#This Row],[Octane]]</f>
        <v>6.6445408212770474</v>
      </c>
      <c r="K307" s="3">
        <f>Table9[[#This Row],[Plank]]-Table9[[#This Row],[Octane]]</f>
        <v>4.7043225782308866</v>
      </c>
      <c r="L307" s="3">
        <f>Table9[[#This Row],[Batmobile]]-Table9[[#This Row],[Octane]]</f>
        <v>1.2000273243282322</v>
      </c>
      <c r="M307" s="3">
        <f>Table9[[#This Row],[Breakout]]-Table9[[#This Row],[Octane]]</f>
        <v>6.632726884188628</v>
      </c>
      <c r="N307" s="4">
        <f>Table9[[#This Row],[Octane]]/Table9[[#This Row],[Hybrid]]</f>
        <v>0.97958448266845399</v>
      </c>
      <c r="O307" s="4">
        <f>Table9[[#This Row],[Octane]]/Table9[[#This Row],[Dominus]]</f>
        <v>0.97233954549317347</v>
      </c>
      <c r="P307" s="4">
        <f>Table9[[#This Row],[Octane]]/Table9[[#This Row],[Plank]]</f>
        <v>0.98025698708908904</v>
      </c>
      <c r="Q307" s="4">
        <f>Table9[[#This Row],[Octane]]/Table9[[#This Row],[Batmobile]]</f>
        <v>0.99488857529499475</v>
      </c>
      <c r="R307" s="4">
        <f>Table9[[#This Row],[Octane]]/Table9[[#This Row],[Breakout]]</f>
        <v>0.97238736755539223</v>
      </c>
    </row>
    <row r="308" spans="1:18">
      <c r="A308" s="1">
        <f>Octane[[#This Row],[Degrees turned]]</f>
        <v>234.52031181839976</v>
      </c>
      <c r="B308" s="1">
        <f>Hybrid[[#This Row],[Degrees turned]]</f>
        <v>239.41088661787029</v>
      </c>
      <c r="C308" s="1">
        <f>Dominus[[#This Row],[Degrees turned]]</f>
        <v>241.1955438395791</v>
      </c>
      <c r="D308" s="1">
        <f>Plank[[#This Row],[Degrees turned]]</f>
        <v>239.2484492239754</v>
      </c>
      <c r="E308" s="1">
        <f>Batmobile[[#This Row],[Degrees turned]]</f>
        <v>235.72923124280899</v>
      </c>
      <c r="F308" s="1">
        <f>Breakout[[#This Row],[Degrees turned]]</f>
        <v>241.18624787177492</v>
      </c>
      <c r="H308" s="1">
        <v>0</v>
      </c>
      <c r="I308" s="3">
        <f>Table9[[#This Row],[Hybrid]]-Table9[[#This Row],[Octane]]</f>
        <v>4.890574799470528</v>
      </c>
      <c r="J308" s="3">
        <f>Table9[[#This Row],[Dominus]]-Table9[[#This Row],[Octane]]</f>
        <v>6.6752320211793403</v>
      </c>
      <c r="K308" s="3">
        <f>Table9[[#This Row],[Plank]]-Table9[[#This Row],[Octane]]</f>
        <v>4.7281374055756373</v>
      </c>
      <c r="L308" s="3">
        <f>Table9[[#This Row],[Batmobile]]-Table9[[#This Row],[Octane]]</f>
        <v>1.2089194244092312</v>
      </c>
      <c r="M308" s="3">
        <f>Table9[[#This Row],[Breakout]]-Table9[[#This Row],[Octane]]</f>
        <v>6.6659360533751624</v>
      </c>
      <c r="N308" s="4">
        <f>Table9[[#This Row],[Octane]]/Table9[[#This Row],[Hybrid]]</f>
        <v>0.97957246277076571</v>
      </c>
      <c r="O308" s="4">
        <f>Table9[[#This Row],[Octane]]/Table9[[#This Row],[Dominus]]</f>
        <v>0.97232439739591925</v>
      </c>
      <c r="P308" s="4">
        <f>Table9[[#This Row],[Octane]]/Table9[[#This Row],[Plank]]</f>
        <v>0.98023754209938752</v>
      </c>
      <c r="Q308" s="4">
        <f>Table9[[#This Row],[Octane]]/Table9[[#This Row],[Batmobile]]</f>
        <v>0.99487157609586396</v>
      </c>
      <c r="R308" s="4">
        <f>Table9[[#This Row],[Octane]]/Table9[[#This Row],[Breakout]]</f>
        <v>0.97236187339786029</v>
      </c>
    </row>
    <row r="309" spans="1:18">
      <c r="A309" s="1">
        <f>Octane[[#This Row],[Degrees turned]]</f>
        <v>235.46678365561337</v>
      </c>
      <c r="B309" s="1">
        <f>Hybrid[[#This Row],[Degrees turned]]</f>
        <v>240.3802495728649</v>
      </c>
      <c r="C309" s="1">
        <f>Dominus[[#This Row],[Degrees turned]]</f>
        <v>242.17316578843861</v>
      </c>
      <c r="D309" s="1">
        <f>Plank[[#This Row],[Degrees turned]]</f>
        <v>240.21905945186464</v>
      </c>
      <c r="E309" s="1">
        <f>Batmobile[[#This Row],[Degrees turned]]</f>
        <v>236.68467388545477</v>
      </c>
      <c r="F309" s="1">
        <f>Breakout[[#This Row],[Degrees turned]]</f>
        <v>242.16639481501721</v>
      </c>
      <c r="H309" s="1">
        <v>0</v>
      </c>
      <c r="I309" s="3">
        <f>Table9[[#This Row],[Hybrid]]-Table9[[#This Row],[Octane]]</f>
        <v>4.9134659172515285</v>
      </c>
      <c r="J309" s="3">
        <f>Table9[[#This Row],[Dominus]]-Table9[[#This Row],[Octane]]</f>
        <v>6.7063821328252402</v>
      </c>
      <c r="K309" s="3">
        <f>Table9[[#This Row],[Plank]]-Table9[[#This Row],[Octane]]</f>
        <v>4.7522757962512685</v>
      </c>
      <c r="L309" s="3">
        <f>Table9[[#This Row],[Batmobile]]-Table9[[#This Row],[Octane]]</f>
        <v>1.2178902298414016</v>
      </c>
      <c r="M309" s="3">
        <f>Table9[[#This Row],[Breakout]]-Table9[[#This Row],[Octane]]</f>
        <v>6.6996111594038439</v>
      </c>
      <c r="N309" s="4">
        <f>Table9[[#This Row],[Octane]]/Table9[[#This Row],[Hybrid]]</f>
        <v>0.97955961055044105</v>
      </c>
      <c r="O309" s="4">
        <f>Table9[[#This Row],[Octane]]/Table9[[#This Row],[Dominus]]</f>
        <v>0.97230749281824269</v>
      </c>
      <c r="P309" s="4">
        <f>Table9[[#This Row],[Octane]]/Table9[[#This Row],[Plank]]</f>
        <v>0.98021690782115678</v>
      </c>
      <c r="Q309" s="4">
        <f>Table9[[#This Row],[Octane]]/Table9[[#This Row],[Batmobile]]</f>
        <v>0.99485437645856689</v>
      </c>
      <c r="R309" s="4">
        <f>Table9[[#This Row],[Octane]]/Table9[[#This Row],[Breakout]]</f>
        <v>0.97233467853984679</v>
      </c>
    </row>
    <row r="310" spans="1:18">
      <c r="A310" s="1">
        <f>Octane[[#This Row],[Degrees turned]]</f>
        <v>236.41358314120185</v>
      </c>
      <c r="B310" s="1">
        <f>Hybrid[[#This Row],[Degrees turned]]</f>
        <v>241.34969953520468</v>
      </c>
      <c r="C310" s="1">
        <f>Dominus[[#This Row],[Degrees turned]]</f>
        <v>243.15043700022488</v>
      </c>
      <c r="D310" s="1">
        <f>Plank[[#This Row],[Degrees turned]]</f>
        <v>241.18974821614904</v>
      </c>
      <c r="E310" s="1">
        <f>Batmobile[[#This Row],[Degrees turned]]</f>
        <v>237.64051712205429</v>
      </c>
      <c r="F310" s="1">
        <f>Breakout[[#This Row],[Degrees turned]]</f>
        <v>243.14607212838405</v>
      </c>
      <c r="H310" s="1">
        <v>0</v>
      </c>
      <c r="I310" s="3">
        <f>Table9[[#This Row],[Hybrid]]-Table9[[#This Row],[Octane]]</f>
        <v>4.9361163940028234</v>
      </c>
      <c r="J310" s="3">
        <f>Table9[[#This Row],[Dominus]]-Table9[[#This Row],[Octane]]</f>
        <v>6.7368538590230287</v>
      </c>
      <c r="K310" s="3">
        <f>Table9[[#This Row],[Plank]]-Table9[[#This Row],[Octane]]</f>
        <v>4.7761650749471869</v>
      </c>
      <c r="L310" s="3">
        <f>Table9[[#This Row],[Batmobile]]-Table9[[#This Row],[Octane]]</f>
        <v>1.2269339808524364</v>
      </c>
      <c r="M310" s="3">
        <f>Table9[[#This Row],[Breakout]]-Table9[[#This Row],[Octane]]</f>
        <v>6.7324889871821938</v>
      </c>
      <c r="N310" s="4">
        <f>Table9[[#This Row],[Octane]]/Table9[[#This Row],[Hybrid]]</f>
        <v>0.97954786600725474</v>
      </c>
      <c r="O310" s="4">
        <f>Table9[[#This Row],[Octane]]/Table9[[#This Row],[Dominus]]</f>
        <v>0.97229347418768242</v>
      </c>
      <c r="P310" s="4">
        <f>Table9[[#This Row],[Octane]]/Table9[[#This Row],[Plank]]</f>
        <v>0.98019747891329567</v>
      </c>
      <c r="Q310" s="4">
        <f>Table9[[#This Row],[Octane]]/Table9[[#This Row],[Batmobile]]</f>
        <v>0.99483701687022386</v>
      </c>
      <c r="R310" s="4">
        <f>Table9[[#This Row],[Octane]]/Table9[[#This Row],[Breakout]]</f>
        <v>0.97231092845445033</v>
      </c>
    </row>
    <row r="311" spans="1:18">
      <c r="A311" s="1">
        <f>Octane[[#This Row],[Degrees turned]]</f>
        <v>237.36030951371859</v>
      </c>
      <c r="B311" s="1">
        <f>Hybrid[[#This Row],[Degrees turned]]</f>
        <v>242.31930795888999</v>
      </c>
      <c r="C311" s="1">
        <f>Dominus[[#This Row],[Degrees turned]]</f>
        <v>244.12799765564961</v>
      </c>
      <c r="D311" s="1">
        <f>Plank[[#This Row],[Degrees turned]]</f>
        <v>242.16058136646657</v>
      </c>
      <c r="E311" s="1">
        <f>Batmobile[[#This Row],[Degrees turned]]</f>
        <v>238.59637069928587</v>
      </c>
      <c r="F311" s="1">
        <f>Breakout[[#This Row],[Degrees turned]]</f>
        <v>244.12616537238017</v>
      </c>
      <c r="H311" s="1">
        <v>0</v>
      </c>
      <c r="I311" s="3">
        <f>Table9[[#This Row],[Hybrid]]-Table9[[#This Row],[Octane]]</f>
        <v>4.9589984451714031</v>
      </c>
      <c r="J311" s="3">
        <f>Table9[[#This Row],[Dominus]]-Table9[[#This Row],[Octane]]</f>
        <v>6.7676881419310178</v>
      </c>
      <c r="K311" s="3">
        <f>Table9[[#This Row],[Plank]]-Table9[[#This Row],[Octane]]</f>
        <v>4.8002718527479828</v>
      </c>
      <c r="L311" s="3">
        <f>Table9[[#This Row],[Batmobile]]-Table9[[#This Row],[Octane]]</f>
        <v>1.2360611855672801</v>
      </c>
      <c r="M311" s="3">
        <f>Table9[[#This Row],[Breakout]]-Table9[[#This Row],[Octane]]</f>
        <v>6.7658558586615811</v>
      </c>
      <c r="N311" s="4">
        <f>Table9[[#This Row],[Octane]]/Table9[[#This Row],[Hybrid]]</f>
        <v>0.97953527316109412</v>
      </c>
      <c r="O311" s="4">
        <f>Table9[[#This Row],[Octane]]/Table9[[#This Row],[Dominus]]</f>
        <v>0.97227811555036359</v>
      </c>
      <c r="P311" s="4">
        <f>Table9[[#This Row],[Octane]]/Table9[[#This Row],[Plank]]</f>
        <v>0.98017731942308306</v>
      </c>
      <c r="Q311" s="4">
        <f>Table9[[#This Row],[Octane]]/Table9[[#This Row],[Batmobile]]</f>
        <v>0.99481944682584822</v>
      </c>
      <c r="R311" s="4">
        <f>Table9[[#This Row],[Octane]]/Table9[[#This Row],[Breakout]]</f>
        <v>0.97228541296119886</v>
      </c>
    </row>
    <row r="312" spans="1:18">
      <c r="A312" s="1">
        <f>Octane[[#This Row],[Degrees turned]]</f>
        <v>238.30679785160436</v>
      </c>
      <c r="B312" s="1">
        <f>Hybrid[[#This Row],[Degrees turned]]</f>
        <v>243.28846011578491</v>
      </c>
      <c r="C312" s="1">
        <f>Dominus[[#This Row],[Degrees turned]]</f>
        <v>245.10524059030405</v>
      </c>
      <c r="D312" s="1">
        <f>Plank[[#This Row],[Degrees turned]]</f>
        <v>243.13094444893119</v>
      </c>
      <c r="E312" s="1">
        <f>Batmobile[[#This Row],[Degrees turned]]</f>
        <v>239.55207070742077</v>
      </c>
      <c r="F312" s="1">
        <f>Breakout[[#This Row],[Degrees turned]]</f>
        <v>245.10592883964418</v>
      </c>
      <c r="H312" s="1">
        <v>0</v>
      </c>
      <c r="I312" s="3">
        <f>Table9[[#This Row],[Hybrid]]-Table9[[#This Row],[Octane]]</f>
        <v>4.9816622641805566</v>
      </c>
      <c r="J312" s="3">
        <f>Table9[[#This Row],[Dominus]]-Table9[[#This Row],[Octane]]</f>
        <v>6.7984427386996913</v>
      </c>
      <c r="K312" s="3">
        <f>Table9[[#This Row],[Plank]]-Table9[[#This Row],[Octane]]</f>
        <v>4.8241465973268305</v>
      </c>
      <c r="L312" s="3">
        <f>Table9[[#This Row],[Batmobile]]-Table9[[#This Row],[Octane]]</f>
        <v>1.2452728558164097</v>
      </c>
      <c r="M312" s="3">
        <f>Table9[[#This Row],[Breakout]]-Table9[[#This Row],[Octane]]</f>
        <v>6.7991309880398205</v>
      </c>
      <c r="N312" s="4">
        <f>Table9[[#This Row],[Octane]]/Table9[[#This Row],[Hybrid]]</f>
        <v>0.97952363929711384</v>
      </c>
      <c r="O312" s="4">
        <f>Table9[[#This Row],[Octane]]/Table9[[#This Row],[Dominus]]</f>
        <v>0.97226316857882544</v>
      </c>
      <c r="P312" s="4">
        <f>Table9[[#This Row],[Octane]]/Table9[[#This Row],[Plank]]</f>
        <v>0.98015823691936454</v>
      </c>
      <c r="Q312" s="4">
        <f>Table9[[#This Row],[Octane]]/Table9[[#This Row],[Batmobile]]</f>
        <v>0.99480166106626</v>
      </c>
      <c r="R312" s="4">
        <f>Table9[[#This Row],[Octane]]/Table9[[#This Row],[Breakout]]</f>
        <v>0.9722604384960104</v>
      </c>
    </row>
    <row r="313" spans="1:18">
      <c r="A313" s="1">
        <f>Octane[[#This Row],[Degrees turned]]</f>
        <v>239.25334328089144</v>
      </c>
      <c r="B313" s="1">
        <f>Hybrid[[#This Row],[Degrees turned]]</f>
        <v>244.25801738018066</v>
      </c>
      <c r="C313" s="1">
        <f>Dominus[[#This Row],[Degrees turned]]</f>
        <v>246.08302515089079</v>
      </c>
      <c r="D313" s="1">
        <f>Plank[[#This Row],[Degrees turned]]</f>
        <v>244.10170746063326</v>
      </c>
      <c r="E313" s="1">
        <f>Batmobile[[#This Row],[Degrees turned]]</f>
        <v>240.50779834829922</v>
      </c>
      <c r="F313" s="1">
        <f>Breakout[[#This Row],[Degrees turned]]</f>
        <v>246.08613477623044</v>
      </c>
      <c r="H313" s="1">
        <v>0</v>
      </c>
      <c r="I313" s="3">
        <f>Table9[[#This Row],[Hybrid]]-Table9[[#This Row],[Octane]]</f>
        <v>5.0046740992892182</v>
      </c>
      <c r="J313" s="3">
        <f>Table9[[#This Row],[Dominus]]-Table9[[#This Row],[Octane]]</f>
        <v>6.829681869999348</v>
      </c>
      <c r="K313" s="3">
        <f>Table9[[#This Row],[Plank]]-Table9[[#This Row],[Octane]]</f>
        <v>4.8483641797418215</v>
      </c>
      <c r="L313" s="3">
        <f>Table9[[#This Row],[Batmobile]]-Table9[[#This Row],[Octane]]</f>
        <v>1.2544550674077755</v>
      </c>
      <c r="M313" s="3">
        <f>Table9[[#This Row],[Breakout]]-Table9[[#This Row],[Octane]]</f>
        <v>6.832791495338995</v>
      </c>
      <c r="N313" s="4">
        <f>Table9[[#This Row],[Octane]]/Table9[[#This Row],[Hybrid]]</f>
        <v>0.97951070694437192</v>
      </c>
      <c r="O313" s="4">
        <f>Table9[[#This Row],[Octane]]/Table9[[#This Row],[Dominus]]</f>
        <v>0.9722464324151916</v>
      </c>
      <c r="P313" s="4">
        <f>Table9[[#This Row],[Octane]]/Table9[[#This Row],[Plank]]</f>
        <v>0.98013793418252215</v>
      </c>
      <c r="Q313" s="4">
        <f>Table9[[#This Row],[Octane]]/Table9[[#This Row],[Batmobile]]</f>
        <v>0.99478413974090318</v>
      </c>
      <c r="R313" s="4">
        <f>Table9[[#This Row],[Octane]]/Table9[[#This Row],[Breakout]]</f>
        <v>0.97223414678948838</v>
      </c>
    </row>
    <row r="314" spans="1:18">
      <c r="A314" s="1">
        <f>Octane[[#This Row],[Degrees turned]]</f>
        <v>240.19978181832141</v>
      </c>
      <c r="B314" s="1">
        <f>Hybrid[[#This Row],[Degrees turned]]</f>
        <v>245.22725945285615</v>
      </c>
      <c r="C314" s="1">
        <f>Dominus[[#This Row],[Degrees turned]]</f>
        <v>247.06062939198227</v>
      </c>
      <c r="D314" s="1">
        <f>Plank[[#This Row],[Degrees turned]]</f>
        <v>245.07213518685865</v>
      </c>
      <c r="E314" s="1">
        <f>Batmobile[[#This Row],[Degrees turned]]</f>
        <v>241.46373641965181</v>
      </c>
      <c r="F314" s="1">
        <f>Breakout[[#This Row],[Degrees turned]]</f>
        <v>247.06615342454367</v>
      </c>
      <c r="H314" s="1">
        <v>0</v>
      </c>
      <c r="I314" s="3">
        <f>Table9[[#This Row],[Hybrid]]-Table9[[#This Row],[Octane]]</f>
        <v>5.0274776345347334</v>
      </c>
      <c r="J314" s="3">
        <f>Table9[[#This Row],[Dominus]]-Table9[[#This Row],[Octane]]</f>
        <v>6.8608475736608625</v>
      </c>
      <c r="K314" s="3">
        <f>Table9[[#This Row],[Plank]]-Table9[[#This Row],[Octane]]</f>
        <v>4.8723533685372331</v>
      </c>
      <c r="L314" s="3">
        <f>Table9[[#This Row],[Batmobile]]-Table9[[#This Row],[Octane]]</f>
        <v>1.2639546013303971</v>
      </c>
      <c r="M314" s="3">
        <f>Table9[[#This Row],[Breakout]]-Table9[[#This Row],[Octane]]</f>
        <v>6.8663716062222591</v>
      </c>
      <c r="N314" s="4">
        <f>Table9[[#This Row],[Octane]]/Table9[[#This Row],[Hybrid]]</f>
        <v>0.97949869991716298</v>
      </c>
      <c r="O314" s="4">
        <f>Table9[[#This Row],[Octane]]/Table9[[#This Row],[Dominus]]</f>
        <v>0.97223010566051959</v>
      </c>
      <c r="P314" s="4">
        <f>Table9[[#This Row],[Octane]]/Table9[[#This Row],[Plank]]</f>
        <v>0.98011869703251964</v>
      </c>
      <c r="Q314" s="4">
        <f>Table9[[#This Row],[Octane]]/Table9[[#This Row],[Batmobile]]</f>
        <v>0.99476544751575569</v>
      </c>
      <c r="R314" s="4">
        <f>Table9[[#This Row],[Octane]]/Table9[[#This Row],[Breakout]]</f>
        <v>0.97220836803807964</v>
      </c>
    </row>
    <row r="315" spans="1:18">
      <c r="A315" s="1">
        <f>Octane[[#This Row],[Degrees turned]]</f>
        <v>241.14640647578923</v>
      </c>
      <c r="B315" s="1">
        <f>Hybrid[[#This Row],[Degrees turned]]</f>
        <v>246.19635896909566</v>
      </c>
      <c r="C315" s="1">
        <f>Dominus[[#This Row],[Degrees turned]]</f>
        <v>248.03812520676814</v>
      </c>
      <c r="D315" s="1">
        <f>Plank[[#This Row],[Degrees turned]]</f>
        <v>246.04299324867023</v>
      </c>
      <c r="E315" s="1">
        <f>Batmobile[[#This Row],[Degrees turned]]</f>
        <v>242.41914702467068</v>
      </c>
      <c r="F315" s="1">
        <f>Breakout[[#This Row],[Degrees turned]]</f>
        <v>248.04629236363013</v>
      </c>
      <c r="H315" s="1">
        <v>0</v>
      </c>
      <c r="I315" s="3">
        <f>Table9[[#This Row],[Hybrid]]-Table9[[#This Row],[Octane]]</f>
        <v>5.0499524933064208</v>
      </c>
      <c r="J315" s="3">
        <f>Table9[[#This Row],[Dominus]]-Table9[[#This Row],[Octane]]</f>
        <v>6.8917187309789085</v>
      </c>
      <c r="K315" s="3">
        <f>Table9[[#This Row],[Plank]]-Table9[[#This Row],[Octane]]</f>
        <v>4.896586772880994</v>
      </c>
      <c r="L315" s="3">
        <f>Table9[[#This Row],[Batmobile]]-Table9[[#This Row],[Octane]]</f>
        <v>1.2727405488814441</v>
      </c>
      <c r="M315" s="3">
        <f>Table9[[#This Row],[Breakout]]-Table9[[#This Row],[Octane]]</f>
        <v>6.8998858878408953</v>
      </c>
      <c r="N315" s="4">
        <f>Table9[[#This Row],[Octane]]/Table9[[#This Row],[Hybrid]]</f>
        <v>0.97948811056974106</v>
      </c>
      <c r="O315" s="4">
        <f>Table9[[#This Row],[Octane]]/Table9[[#This Row],[Dominus]]</f>
        <v>0.97221508296261361</v>
      </c>
      <c r="P315" s="4">
        <f>Table9[[#This Row],[Octane]]/Table9[[#This Row],[Plank]]</f>
        <v>0.98009865386439954</v>
      </c>
      <c r="Q315" s="4">
        <f>Table9[[#This Row],[Octane]]/Table9[[#This Row],[Batmobile]]</f>
        <v>0.99474983488514657</v>
      </c>
      <c r="R315" s="4">
        <f>Table9[[#This Row],[Octane]]/Table9[[#This Row],[Breakout]]</f>
        <v>0.97218307186899688</v>
      </c>
    </row>
    <row r="316" spans="1:18">
      <c r="A316" s="1">
        <f>Octane[[#This Row],[Degrees turned]]</f>
        <v>242.0930523439734</v>
      </c>
      <c r="B316" s="1">
        <f>Hybrid[[#This Row],[Degrees turned]]</f>
        <v>247.16596082158367</v>
      </c>
      <c r="C316" s="1">
        <f>Dominus[[#This Row],[Degrees turned]]</f>
        <v>249.01580739468702</v>
      </c>
      <c r="D316" s="1">
        <f>Plank[[#This Row],[Degrees turned]]</f>
        <v>247.01365501968161</v>
      </c>
      <c r="E316" s="1">
        <f>Batmobile[[#This Row],[Degrees turned]]</f>
        <v>243.37478320721107</v>
      </c>
      <c r="F316" s="1">
        <f>Breakout[[#This Row],[Degrees turned]]</f>
        <v>249.02628605157201</v>
      </c>
      <c r="H316" s="1">
        <v>0</v>
      </c>
      <c r="I316" s="3">
        <f>Table9[[#This Row],[Hybrid]]-Table9[[#This Row],[Octane]]</f>
        <v>5.0729084776102695</v>
      </c>
      <c r="J316" s="3">
        <f>Table9[[#This Row],[Dominus]]-Table9[[#This Row],[Octane]]</f>
        <v>6.9227550507136186</v>
      </c>
      <c r="K316" s="3">
        <f>Table9[[#This Row],[Plank]]-Table9[[#This Row],[Octane]]</f>
        <v>4.92060267570821</v>
      </c>
      <c r="L316" s="3">
        <f>Table9[[#This Row],[Batmobile]]-Table9[[#This Row],[Octane]]</f>
        <v>1.2817308632376694</v>
      </c>
      <c r="M316" s="3">
        <f>Table9[[#This Row],[Breakout]]-Table9[[#This Row],[Octane]]</f>
        <v>6.9332337075986175</v>
      </c>
      <c r="N316" s="4">
        <f>Table9[[#This Row],[Octane]]/Table9[[#This Row],[Hybrid]]</f>
        <v>0.97947569940153634</v>
      </c>
      <c r="O316" s="4">
        <f>Table9[[#This Row],[Octane]]/Table9[[#This Row],[Dominus]]</f>
        <v>0.97219953575179607</v>
      </c>
      <c r="P316" s="4">
        <f>Table9[[#This Row],[Octane]]/Table9[[#This Row],[Plank]]</f>
        <v>0.98007963294451816</v>
      </c>
      <c r="Q316" s="4">
        <f>Table9[[#This Row],[Octane]]/Table9[[#This Row],[Batmobile]]</f>
        <v>0.99473350999496779</v>
      </c>
      <c r="R316" s="4">
        <f>Table9[[#This Row],[Octane]]/Table9[[#This Row],[Breakout]]</f>
        <v>0.97215862703681499</v>
      </c>
    </row>
    <row r="317" spans="1:18">
      <c r="A317" s="1">
        <f>Octane[[#This Row],[Degrees turned]]</f>
        <v>243.03932615949469</v>
      </c>
      <c r="B317" s="1">
        <f>Hybrid[[#This Row],[Degrees turned]]</f>
        <v>248.13556553755237</v>
      </c>
      <c r="C317" s="1">
        <f>Dominus[[#This Row],[Degrees turned]]</f>
        <v>249.99351388982006</v>
      </c>
      <c r="D317" s="1">
        <f>Plank[[#This Row],[Degrees turned]]</f>
        <v>247.98441948430229</v>
      </c>
      <c r="E317" s="1">
        <f>Batmobile[[#This Row],[Degrees turned]]</f>
        <v>244.33002619075916</v>
      </c>
      <c r="F317" s="1">
        <f>Breakout[[#This Row],[Degrees turned]]</f>
        <v>250.00653480852787</v>
      </c>
      <c r="H317" s="1">
        <v>0</v>
      </c>
      <c r="I317" s="3">
        <f>Table9[[#This Row],[Hybrid]]-Table9[[#This Row],[Octane]]</f>
        <v>5.0962393780576747</v>
      </c>
      <c r="J317" s="3">
        <f>Table9[[#This Row],[Dominus]]-Table9[[#This Row],[Octane]]</f>
        <v>6.9541877303253727</v>
      </c>
      <c r="K317" s="3">
        <f>Table9[[#This Row],[Plank]]-Table9[[#This Row],[Octane]]</f>
        <v>4.9450933248076012</v>
      </c>
      <c r="L317" s="3">
        <f>Table9[[#This Row],[Batmobile]]-Table9[[#This Row],[Octane]]</f>
        <v>1.2907000312644641</v>
      </c>
      <c r="M317" s="3">
        <f>Table9[[#This Row],[Breakout]]-Table9[[#This Row],[Octane]]</f>
        <v>6.9672086490331822</v>
      </c>
      <c r="N317" s="4">
        <f>Table9[[#This Row],[Octane]]/Table9[[#This Row],[Hybrid]]</f>
        <v>0.97946187453210365</v>
      </c>
      <c r="O317" s="4">
        <f>Table9[[#This Row],[Octane]]/Table9[[#This Row],[Dominus]]</f>
        <v>0.97218252736992894</v>
      </c>
      <c r="P317" s="4">
        <f>Table9[[#This Row],[Octane]]/Table9[[#This Row],[Plank]]</f>
        <v>0.98005885476558885</v>
      </c>
      <c r="Q317" s="4">
        <f>Table9[[#This Row],[Octane]]/Table9[[#This Row],[Batmobile]]</f>
        <v>0.99471739085290833</v>
      </c>
      <c r="R317" s="4">
        <f>Table9[[#This Row],[Octane]]/Table9[[#This Row],[Breakout]]</f>
        <v>0.97213189385481802</v>
      </c>
    </row>
    <row r="318" spans="1:18">
      <c r="A318" s="1">
        <f>Octane[[#This Row],[Degrees turned]]</f>
        <v>243.98586186101966</v>
      </c>
      <c r="B318" s="1">
        <f>Hybrid[[#This Row],[Degrees turned]]</f>
        <v>249.1051256664725</v>
      </c>
      <c r="C318" s="1">
        <f>Dominus[[#This Row],[Degrees turned]]</f>
        <v>250.97074606143525</v>
      </c>
      <c r="D318" s="1">
        <f>Plank[[#This Row],[Degrees turned]]</f>
        <v>248.95513388380766</v>
      </c>
      <c r="E318" s="1">
        <f>Batmobile[[#This Row],[Degrees turned]]</f>
        <v>245.28574977800321</v>
      </c>
      <c r="F318" s="1">
        <f>Breakout[[#This Row],[Degrees turned]]</f>
        <v>250.98620166885308</v>
      </c>
      <c r="H318" s="1">
        <v>0</v>
      </c>
      <c r="I318" s="3">
        <f>Table9[[#This Row],[Hybrid]]-Table9[[#This Row],[Octane]]</f>
        <v>5.1192638054528459</v>
      </c>
      <c r="J318" s="3">
        <f>Table9[[#This Row],[Dominus]]-Table9[[#This Row],[Octane]]</f>
        <v>6.9848842004155927</v>
      </c>
      <c r="K318" s="3">
        <f>Table9[[#This Row],[Plank]]-Table9[[#This Row],[Octane]]</f>
        <v>4.9692720227880045</v>
      </c>
      <c r="L318" s="3">
        <f>Table9[[#This Row],[Batmobile]]-Table9[[#This Row],[Octane]]</f>
        <v>1.2998879169835504</v>
      </c>
      <c r="M318" s="3">
        <f>Table9[[#This Row],[Breakout]]-Table9[[#This Row],[Octane]]</f>
        <v>7.0003398078334271</v>
      </c>
      <c r="N318" s="4">
        <f>Table9[[#This Row],[Octane]]/Table9[[#This Row],[Hybrid]]</f>
        <v>0.9794493839026539</v>
      </c>
      <c r="O318" s="4">
        <f>Table9[[#This Row],[Octane]]/Table9[[#This Row],[Dominus]]</f>
        <v>0.97216853234876321</v>
      </c>
      <c r="P318" s="4">
        <f>Table9[[#This Row],[Octane]]/Table9[[#This Row],[Plank]]</f>
        <v>0.98003948765681104</v>
      </c>
      <c r="Q318" s="4">
        <f>Table9[[#This Row],[Octane]]/Table9[[#This Row],[Batmobile]]</f>
        <v>0.99470051595675646</v>
      </c>
      <c r="R318" s="4">
        <f>Table9[[#This Row],[Octane]]/Table9[[#This Row],[Breakout]]</f>
        <v>0.97210866668650753</v>
      </c>
    </row>
    <row r="319" spans="1:18">
      <c r="A319" s="1">
        <f>Octane[[#This Row],[Degrees turned]]</f>
        <v>244.93273135654181</v>
      </c>
      <c r="B319" s="1">
        <f>Hybrid[[#This Row],[Degrees turned]]</f>
        <v>250.0747037997632</v>
      </c>
      <c r="C319" s="1">
        <f>Dominus[[#This Row],[Degrees turned]]</f>
        <v>251.94815602042434</v>
      </c>
      <c r="D319" s="1">
        <f>Plank[[#This Row],[Degrees turned]]</f>
        <v>249.92585865419204</v>
      </c>
      <c r="E319" s="1">
        <f>Batmobile[[#This Row],[Degrees turned]]</f>
        <v>246.24120852874074</v>
      </c>
      <c r="F319" s="1">
        <f>Breakout[[#This Row],[Degrees turned]]</f>
        <v>251.96627696785299</v>
      </c>
      <c r="H319" s="1">
        <v>0</v>
      </c>
      <c r="I319" s="3">
        <f>Table9[[#This Row],[Hybrid]]-Table9[[#This Row],[Octane]]</f>
        <v>5.1419724432213911</v>
      </c>
      <c r="J319" s="3">
        <f>Table9[[#This Row],[Dominus]]-Table9[[#This Row],[Octane]]</f>
        <v>7.0154246638825271</v>
      </c>
      <c r="K319" s="3">
        <f>Table9[[#This Row],[Plank]]-Table9[[#This Row],[Octane]]</f>
        <v>4.9931272976502328</v>
      </c>
      <c r="L319" s="3">
        <f>Table9[[#This Row],[Batmobile]]-Table9[[#This Row],[Octane]]</f>
        <v>1.3084771721989341</v>
      </c>
      <c r="M319" s="3">
        <f>Table9[[#This Row],[Breakout]]-Table9[[#This Row],[Octane]]</f>
        <v>7.0335456113111832</v>
      </c>
      <c r="N319" s="4">
        <f>Table9[[#This Row],[Octane]]/Table9[[#This Row],[Hybrid]]</f>
        <v>0.97943825438922194</v>
      </c>
      <c r="O319" s="4">
        <f>Table9[[#This Row],[Octane]]/Table9[[#This Row],[Dominus]]</f>
        <v>0.97215528474312862</v>
      </c>
      <c r="P319" s="4">
        <f>Table9[[#This Row],[Octane]]/Table9[[#This Row],[Plank]]</f>
        <v>0.98002156589743306</v>
      </c>
      <c r="Q319" s="4">
        <f>Table9[[#This Row],[Octane]]/Table9[[#This Row],[Batmobile]]</f>
        <v>0.99468619740774944</v>
      </c>
      <c r="R319" s="4">
        <f>Table9[[#This Row],[Octane]]/Table9[[#This Row],[Breakout]]</f>
        <v>0.97208536913767807</v>
      </c>
    </row>
    <row r="320" spans="1:18">
      <c r="A320" s="1">
        <f>Octane[[#This Row],[Degrees turned]]</f>
        <v>245.87941737939224</v>
      </c>
      <c r="B320" s="1">
        <f>Hybrid[[#This Row],[Degrees turned]]</f>
        <v>251.04392524909042</v>
      </c>
      <c r="C320" s="1">
        <f>Dominus[[#This Row],[Degrees turned]]</f>
        <v>252.92591883222147</v>
      </c>
      <c r="D320" s="1">
        <f>Plank[[#This Row],[Degrees turned]]</f>
        <v>250.89679022138733</v>
      </c>
      <c r="E320" s="1">
        <f>Batmobile[[#This Row],[Degrees turned]]</f>
        <v>247.19658099508769</v>
      </c>
      <c r="F320" s="1">
        <f>Breakout[[#This Row],[Degrees turned]]</f>
        <v>252.94659436965622</v>
      </c>
      <c r="H320" s="1">
        <v>0</v>
      </c>
      <c r="I320" s="3">
        <f>Table9[[#This Row],[Hybrid]]-Table9[[#This Row],[Octane]]</f>
        <v>5.1645078696981841</v>
      </c>
      <c r="J320" s="3">
        <f>Table9[[#This Row],[Dominus]]-Table9[[#This Row],[Octane]]</f>
        <v>7.0465014528292329</v>
      </c>
      <c r="K320" s="3">
        <f>Table9[[#This Row],[Plank]]-Table9[[#This Row],[Octane]]</f>
        <v>5.0173728419950976</v>
      </c>
      <c r="L320" s="3">
        <f>Table9[[#This Row],[Batmobile]]-Table9[[#This Row],[Octane]]</f>
        <v>1.3171636156954492</v>
      </c>
      <c r="M320" s="3">
        <f>Table9[[#This Row],[Breakout]]-Table9[[#This Row],[Octane]]</f>
        <v>7.067176990263988</v>
      </c>
      <c r="N320" s="4">
        <f>Table9[[#This Row],[Octane]]/Table9[[#This Row],[Hybrid]]</f>
        <v>0.97942787157835476</v>
      </c>
      <c r="O320" s="4">
        <f>Table9[[#This Row],[Octane]]/Table9[[#This Row],[Dominus]]</f>
        <v>0.97214005790563707</v>
      </c>
      <c r="P320" s="4">
        <f>Table9[[#This Row],[Octane]]/Table9[[#This Row],[Plank]]</f>
        <v>0.98000224380085588</v>
      </c>
      <c r="Q320" s="4">
        <f>Table9[[#This Row],[Octane]]/Table9[[#This Row],[Batmobile]]</f>
        <v>0.99467159452451481</v>
      </c>
      <c r="R320" s="4">
        <f>Table9[[#This Row],[Octane]]/Table9[[#This Row],[Breakout]]</f>
        <v>0.97206059639634435</v>
      </c>
    </row>
    <row r="321" spans="1:18">
      <c r="A321" s="1">
        <f>Octane[[#This Row],[Degrees turned]]</f>
        <v>246.82587385103318</v>
      </c>
      <c r="B321" s="1">
        <f>Hybrid[[#This Row],[Degrees turned]]</f>
        <v>252.01341856896539</v>
      </c>
      <c r="C321" s="1">
        <f>Dominus[[#This Row],[Degrees turned]]</f>
        <v>253.90353629696295</v>
      </c>
      <c r="D321" s="1">
        <f>Plank[[#This Row],[Degrees turned]]</f>
        <v>251.86728817329586</v>
      </c>
      <c r="E321" s="1">
        <f>Batmobile[[#This Row],[Degrees turned]]</f>
        <v>248.15183439006984</v>
      </c>
      <c r="F321" s="1">
        <f>Breakout[[#This Row],[Degrees turned]]</f>
        <v>253.92666669121425</v>
      </c>
      <c r="H321" s="1">
        <v>0</v>
      </c>
      <c r="I321" s="3">
        <f>Table9[[#This Row],[Hybrid]]-Table9[[#This Row],[Octane]]</f>
        <v>5.1875447179322123</v>
      </c>
      <c r="J321" s="3">
        <f>Table9[[#This Row],[Dominus]]-Table9[[#This Row],[Octane]]</f>
        <v>7.077662445929775</v>
      </c>
      <c r="K321" s="3">
        <f>Table9[[#This Row],[Plank]]-Table9[[#This Row],[Octane]]</f>
        <v>5.0414143222626819</v>
      </c>
      <c r="L321" s="3">
        <f>Table9[[#This Row],[Batmobile]]-Table9[[#This Row],[Octane]]</f>
        <v>1.3259605390366573</v>
      </c>
      <c r="M321" s="3">
        <f>Table9[[#This Row],[Breakout]]-Table9[[#This Row],[Octane]]</f>
        <v>7.1007928401810716</v>
      </c>
      <c r="N321" s="4">
        <f>Table9[[#This Row],[Octane]]/Table9[[#This Row],[Hybrid]]</f>
        <v>0.97941560117159954</v>
      </c>
      <c r="O321" s="4">
        <f>Table9[[#This Row],[Octane]]/Table9[[#This Row],[Dominus]]</f>
        <v>0.97212460074738061</v>
      </c>
      <c r="P321" s="4">
        <f>Table9[[#This Row],[Octane]]/Table9[[#This Row],[Plank]]</f>
        <v>0.97998384641838054</v>
      </c>
      <c r="Q321" s="4">
        <f>Table9[[#This Row],[Octane]]/Table9[[#This Row],[Batmobile]]</f>
        <v>0.99465665630763633</v>
      </c>
      <c r="R321" s="4">
        <f>Table9[[#This Row],[Octane]]/Table9[[#This Row],[Breakout]]</f>
        <v>0.97203604909752961</v>
      </c>
    </row>
    <row r="322" spans="1:18">
      <c r="A322" s="1">
        <f>Octane[[#This Row],[Degrees turned]]</f>
        <v>247.77228876576194</v>
      </c>
      <c r="B322" s="1">
        <f>Hybrid[[#This Row],[Degrees turned]]</f>
        <v>252.98256427845342</v>
      </c>
      <c r="C322" s="1">
        <f>Dominus[[#This Row],[Degrees turned]]</f>
        <v>254.88096179446131</v>
      </c>
      <c r="D322" s="1">
        <f>Plank[[#This Row],[Degrees turned]]</f>
        <v>252.83813308617999</v>
      </c>
      <c r="E322" s="1">
        <f>Batmobile[[#This Row],[Degrees turned]]</f>
        <v>249.10713377386026</v>
      </c>
      <c r="F322" s="1">
        <f>Breakout[[#This Row],[Degrees turned]]</f>
        <v>254.90654469556301</v>
      </c>
      <c r="H322" s="1">
        <v>0</v>
      </c>
      <c r="I322" s="3">
        <f>Table9[[#This Row],[Hybrid]]-Table9[[#This Row],[Octane]]</f>
        <v>5.2102755126914815</v>
      </c>
      <c r="J322" s="3">
        <f>Table9[[#This Row],[Dominus]]-Table9[[#This Row],[Octane]]</f>
        <v>7.1086730286993713</v>
      </c>
      <c r="K322" s="3">
        <f>Table9[[#This Row],[Plank]]-Table9[[#This Row],[Octane]]</f>
        <v>5.0658443204180514</v>
      </c>
      <c r="L322" s="3">
        <f>Table9[[#This Row],[Batmobile]]-Table9[[#This Row],[Octane]]</f>
        <v>1.3348450080983127</v>
      </c>
      <c r="M322" s="3">
        <f>Table9[[#This Row],[Breakout]]-Table9[[#This Row],[Octane]]</f>
        <v>7.1342559298010713</v>
      </c>
      <c r="N322" s="4">
        <f>Table9[[#This Row],[Octane]]/Table9[[#This Row],[Hybrid]]</f>
        <v>0.97940460629153625</v>
      </c>
      <c r="O322" s="4">
        <f>Table9[[#This Row],[Octane]]/Table9[[#This Row],[Dominus]]</f>
        <v>0.97210983127711248</v>
      </c>
      <c r="P322" s="4">
        <f>Table9[[#This Row],[Octane]]/Table9[[#This Row],[Plank]]</f>
        <v>0.97996408113529554</v>
      </c>
      <c r="Q322" s="4">
        <f>Table9[[#This Row],[Octane]]/Table9[[#This Row],[Batmobile]]</f>
        <v>0.99464148220937709</v>
      </c>
      <c r="R322" s="4">
        <f>Table9[[#This Row],[Octane]]/Table9[[#This Row],[Breakout]]</f>
        <v>0.97201226850286804</v>
      </c>
    </row>
    <row r="323" spans="1:18">
      <c r="A323" s="1">
        <f>Octane[[#This Row],[Degrees turned]]</f>
        <v>248.71870922853088</v>
      </c>
      <c r="B323" s="1">
        <f>Hybrid[[#This Row],[Degrees turned]]</f>
        <v>253.9520169333102</v>
      </c>
      <c r="C323" s="1">
        <f>Dominus[[#This Row],[Degrees turned]]</f>
        <v>255.85826449637972</v>
      </c>
      <c r="D323" s="1">
        <f>Plank[[#This Row],[Degrees turned]]</f>
        <v>253.80882587909656</v>
      </c>
      <c r="E323" s="1">
        <f>Batmobile[[#This Row],[Degrees turned]]</f>
        <v>250.06255509115584</v>
      </c>
      <c r="F323" s="1">
        <f>Breakout[[#This Row],[Degrees turned]]</f>
        <v>255.88632921146919</v>
      </c>
      <c r="H323" s="1">
        <v>0</v>
      </c>
      <c r="I323" s="3">
        <f>Table9[[#This Row],[Hybrid]]-Table9[[#This Row],[Octane]]</f>
        <v>5.2333077047793211</v>
      </c>
      <c r="J323" s="3">
        <f>Table9[[#This Row],[Dominus]]-Table9[[#This Row],[Octane]]</f>
        <v>7.1395552678488343</v>
      </c>
      <c r="K323" s="3">
        <f>Table9[[#This Row],[Plank]]-Table9[[#This Row],[Octane]]</f>
        <v>5.0901166505656761</v>
      </c>
      <c r="L323" s="3">
        <f>Table9[[#This Row],[Batmobile]]-Table9[[#This Row],[Octane]]</f>
        <v>1.3438458626249599</v>
      </c>
      <c r="M323" s="3">
        <f>Table9[[#This Row],[Breakout]]-Table9[[#This Row],[Octane]]</f>
        <v>7.1676199829383052</v>
      </c>
      <c r="N323" s="4">
        <f>Table9[[#This Row],[Octane]]/Table9[[#This Row],[Hybrid]]</f>
        <v>0.97939253340857058</v>
      </c>
      <c r="O323" s="4">
        <f>Table9[[#This Row],[Octane]]/Table9[[#This Row],[Dominus]]</f>
        <v>0.97209566287842208</v>
      </c>
      <c r="P323" s="4">
        <f>Table9[[#This Row],[Octane]]/Table9[[#This Row],[Plank]]</f>
        <v>0.97994507624809557</v>
      </c>
      <c r="Q323" s="4">
        <f>Table9[[#This Row],[Octane]]/Table9[[#This Row],[Batmobile]]</f>
        <v>0.99462596124343727</v>
      </c>
      <c r="R323" s="4">
        <f>Table9[[#This Row],[Octane]]/Table9[[#This Row],[Breakout]]</f>
        <v>0.97198904683565623</v>
      </c>
    </row>
    <row r="324" spans="1:18">
      <c r="A324" s="1">
        <f>Octane[[#This Row],[Degrees turned]]</f>
        <v>249.66509680944318</v>
      </c>
      <c r="B324" s="1">
        <f>Hybrid[[#This Row],[Degrees turned]]</f>
        <v>254.92126313248431</v>
      </c>
      <c r="C324" s="1">
        <f>Dominus[[#This Row],[Degrees turned]]</f>
        <v>256.83551505430239</v>
      </c>
      <c r="D324" s="1">
        <f>Plank[[#This Row],[Degrees turned]]</f>
        <v>254.77917294414465</v>
      </c>
      <c r="E324" s="1">
        <f>Batmobile[[#This Row],[Degrees turned]]</f>
        <v>251.01804831611292</v>
      </c>
      <c r="F324" s="1">
        <f>Breakout[[#This Row],[Degrees turned]]</f>
        <v>256.86615723958266</v>
      </c>
      <c r="H324" s="1">
        <v>0</v>
      </c>
      <c r="I324" s="3">
        <f>Table9[[#This Row],[Hybrid]]-Table9[[#This Row],[Octane]]</f>
        <v>5.2561663230411284</v>
      </c>
      <c r="J324" s="3">
        <f>Table9[[#This Row],[Dominus]]-Table9[[#This Row],[Octane]]</f>
        <v>7.1704182448592064</v>
      </c>
      <c r="K324" s="3">
        <f>Table9[[#This Row],[Plank]]-Table9[[#This Row],[Octane]]</f>
        <v>5.1140761347014632</v>
      </c>
      <c r="L324" s="3">
        <f>Table9[[#This Row],[Batmobile]]-Table9[[#This Row],[Octane]]</f>
        <v>1.35295150666974</v>
      </c>
      <c r="M324" s="3">
        <f>Table9[[#This Row],[Breakout]]-Table9[[#This Row],[Octane]]</f>
        <v>7.2010604301394778</v>
      </c>
      <c r="N324" s="4">
        <f>Table9[[#This Row],[Octane]]/Table9[[#This Row],[Hybrid]]</f>
        <v>0.97938121654328436</v>
      </c>
      <c r="O324" s="4">
        <f>Table9[[#This Row],[Octane]]/Table9[[#This Row],[Dominus]]</f>
        <v>0.97208167163585935</v>
      </c>
      <c r="P324" s="4">
        <f>Table9[[#This Row],[Octane]]/Table9[[#This Row],[Plank]]</f>
        <v>0.97992741684649931</v>
      </c>
      <c r="Q324" s="4">
        <f>Table9[[#This Row],[Octane]]/Table9[[#This Row],[Batmobile]]</f>
        <v>0.99461014251466917</v>
      </c>
      <c r="R324" s="4">
        <f>Table9[[#This Row],[Octane]]/Table9[[#This Row],[Breakout]]</f>
        <v>0.97196570966169382</v>
      </c>
    </row>
    <row r="325" spans="1:18">
      <c r="A325" s="1">
        <f>Octane[[#This Row],[Degrees turned]]</f>
        <v>250.61162774922406</v>
      </c>
      <c r="B325" s="1">
        <f>Hybrid[[#This Row],[Degrees turned]]</f>
        <v>255.89048463905715</v>
      </c>
      <c r="C325" s="1">
        <f>Dominus[[#This Row],[Degrees turned]]</f>
        <v>257.8128009242854</v>
      </c>
      <c r="D325" s="1">
        <f>Plank[[#This Row],[Degrees turned]]</f>
        <v>255.75006522986979</v>
      </c>
      <c r="E325" s="1">
        <f>Batmobile[[#This Row],[Degrees turned]]</f>
        <v>251.97378636887674</v>
      </c>
      <c r="F325" s="1">
        <f>Breakout[[#This Row],[Degrees turned]]</f>
        <v>257.84603822490527</v>
      </c>
      <c r="H325" s="1">
        <v>0</v>
      </c>
      <c r="I325" s="3">
        <f>Table9[[#This Row],[Hybrid]]-Table9[[#This Row],[Octane]]</f>
        <v>5.2788568898330936</v>
      </c>
      <c r="J325" s="3">
        <f>Table9[[#This Row],[Dominus]]-Table9[[#This Row],[Octane]]</f>
        <v>7.2011731750613421</v>
      </c>
      <c r="K325" s="3">
        <f>Table9[[#This Row],[Plank]]-Table9[[#This Row],[Octane]]</f>
        <v>5.1384374806457345</v>
      </c>
      <c r="L325" s="3">
        <f>Table9[[#This Row],[Batmobile]]-Table9[[#This Row],[Octane]]</f>
        <v>1.3621586196526891</v>
      </c>
      <c r="M325" s="3">
        <f>Table9[[#This Row],[Breakout]]-Table9[[#This Row],[Octane]]</f>
        <v>7.2344104756812158</v>
      </c>
      <c r="N325" s="4">
        <f>Table9[[#This Row],[Octane]]/Table9[[#This Row],[Hybrid]]</f>
        <v>0.97937064014990982</v>
      </c>
      <c r="O325" s="4">
        <f>Table9[[#This Row],[Octane]]/Table9[[#This Row],[Dominus]]</f>
        <v>0.97206820937810534</v>
      </c>
      <c r="P325" s="4">
        <f>Table9[[#This Row],[Octane]]/Table9[[#This Row],[Plank]]</f>
        <v>0.97990836297137496</v>
      </c>
      <c r="Q325" s="4">
        <f>Table9[[#This Row],[Octane]]/Table9[[#This Row],[Batmobile]]</f>
        <v>0.9945940463121884</v>
      </c>
      <c r="R325" s="4">
        <f>Table9[[#This Row],[Octane]]/Table9[[#This Row],[Breakout]]</f>
        <v>0.97194290621843482</v>
      </c>
    </row>
    <row r="326" spans="1:18">
      <c r="A326" s="1">
        <f>Octane[[#This Row],[Degrees turned]]</f>
        <v>251.55826352921952</v>
      </c>
      <c r="B326" s="1">
        <f>Hybrid[[#This Row],[Degrees turned]]</f>
        <v>256.85963218454691</v>
      </c>
      <c r="C326" s="1">
        <f>Dominus[[#This Row],[Degrees turned]]</f>
        <v>258.79016085179433</v>
      </c>
      <c r="D326" s="1">
        <f>Plank[[#This Row],[Degrees turned]]</f>
        <v>256.72089855249112</v>
      </c>
      <c r="E326" s="1">
        <f>Batmobile[[#This Row],[Degrees turned]]</f>
        <v>252.9291475821712</v>
      </c>
      <c r="F326" s="1">
        <f>Breakout[[#This Row],[Degrees turned]]</f>
        <v>258.82600792475301</v>
      </c>
      <c r="H326" s="1">
        <v>0</v>
      </c>
      <c r="I326" s="3">
        <f>Table9[[#This Row],[Hybrid]]-Table9[[#This Row],[Octane]]</f>
        <v>5.3013686553273942</v>
      </c>
      <c r="J326" s="3">
        <f>Table9[[#This Row],[Dominus]]-Table9[[#This Row],[Octane]]</f>
        <v>7.2318973225748096</v>
      </c>
      <c r="K326" s="3">
        <f>Table9[[#This Row],[Plank]]-Table9[[#This Row],[Octane]]</f>
        <v>5.162635023271605</v>
      </c>
      <c r="L326" s="3">
        <f>Table9[[#This Row],[Batmobile]]-Table9[[#This Row],[Octane]]</f>
        <v>1.3708840529516806</v>
      </c>
      <c r="M326" s="3">
        <f>Table9[[#This Row],[Breakout]]-Table9[[#This Row],[Octane]]</f>
        <v>7.2677443955334979</v>
      </c>
      <c r="N326" s="4">
        <f>Table9[[#This Row],[Octane]]/Table9[[#This Row],[Hybrid]]</f>
        <v>0.97936083373537453</v>
      </c>
      <c r="O326" s="4">
        <f>Table9[[#This Row],[Octane]]/Table9[[#This Row],[Dominus]]</f>
        <v>0.97205497574261945</v>
      </c>
      <c r="P326" s="4">
        <f>Table9[[#This Row],[Octane]]/Table9[[#This Row],[Plank]]</f>
        <v>0.97989008665682897</v>
      </c>
      <c r="Q326" s="4">
        <f>Table9[[#This Row],[Octane]]/Table9[[#This Row],[Batmobile]]</f>
        <v>0.99457996808174787</v>
      </c>
      <c r="R326" s="4">
        <f>Table9[[#This Row],[Octane]]/Table9[[#This Row],[Breakout]]</f>
        <v>0.97192034736460331</v>
      </c>
    </row>
    <row r="327" spans="1:18">
      <c r="A327" s="1">
        <f>Octane[[#This Row],[Degrees turned]]</f>
        <v>252.50516331001401</v>
      </c>
      <c r="B327" s="1">
        <f>Hybrid[[#This Row],[Degrees turned]]</f>
        <v>257.82879219236469</v>
      </c>
      <c r="C327" s="1">
        <f>Dominus[[#This Row],[Degrees turned]]</f>
        <v>259.76780324035184</v>
      </c>
      <c r="D327" s="1">
        <f>Plank[[#This Row],[Degrees turned]]</f>
        <v>257.69170947001504</v>
      </c>
      <c r="E327" s="1">
        <f>Batmobile[[#This Row],[Degrees turned]]</f>
        <v>253.88489971493033</v>
      </c>
      <c r="F327" s="1">
        <f>Breakout[[#This Row],[Degrees turned]]</f>
        <v>259.80614433836712</v>
      </c>
      <c r="H327" s="1">
        <v>0</v>
      </c>
      <c r="I327" s="3">
        <f>Table9[[#This Row],[Hybrid]]-Table9[[#This Row],[Octane]]</f>
        <v>5.3236288823506754</v>
      </c>
      <c r="J327" s="3">
        <f>Table9[[#This Row],[Dominus]]-Table9[[#This Row],[Octane]]</f>
        <v>7.2626399303378264</v>
      </c>
      <c r="K327" s="3">
        <f>Table9[[#This Row],[Plank]]-Table9[[#This Row],[Octane]]</f>
        <v>5.1865461600010292</v>
      </c>
      <c r="L327" s="3">
        <f>Table9[[#This Row],[Batmobile]]-Table9[[#This Row],[Octane]]</f>
        <v>1.379736404916315</v>
      </c>
      <c r="M327" s="3">
        <f>Table9[[#This Row],[Breakout]]-Table9[[#This Row],[Octane]]</f>
        <v>7.3009810283531067</v>
      </c>
      <c r="N327" s="4">
        <f>Table9[[#This Row],[Octane]]/Table9[[#This Row],[Hybrid]]</f>
        <v>0.97935207764391674</v>
      </c>
      <c r="O327" s="4">
        <f>Table9[[#This Row],[Octane]]/Table9[[#This Row],[Dominus]]</f>
        <v>0.97204180102482518</v>
      </c>
      <c r="P327" s="4">
        <f>Table9[[#This Row],[Octane]]/Table9[[#This Row],[Plank]]</f>
        <v>0.97987305772984312</v>
      </c>
      <c r="Q327" s="4">
        <f>Table9[[#This Row],[Octane]]/Table9[[#This Row],[Batmobile]]</f>
        <v>0.99456550426407586</v>
      </c>
      <c r="R327" s="4">
        <f>Table9[[#This Row],[Octane]]/Table9[[#This Row],[Breakout]]</f>
        <v>0.97189835118431833</v>
      </c>
    </row>
    <row r="328" spans="1:18">
      <c r="A328" s="1">
        <f>Octane[[#This Row],[Degrees turned]]</f>
        <v>253.45170186760879</v>
      </c>
      <c r="B328" s="1">
        <f>Hybrid[[#This Row],[Degrees turned]]</f>
        <v>258.79813650657167</v>
      </c>
      <c r="C328" s="1">
        <f>Dominus[[#This Row],[Degrees turned]]</f>
        <v>260.74511534607427</v>
      </c>
      <c r="D328" s="1">
        <f>Plank[[#This Row],[Degrees turned]]</f>
        <v>258.66272117409051</v>
      </c>
      <c r="E328" s="1">
        <f>Batmobile[[#This Row],[Degrees turned]]</f>
        <v>254.84042386054466</v>
      </c>
      <c r="F328" s="1">
        <f>Breakout[[#This Row],[Degrees turned]]</f>
        <v>260.78597160330366</v>
      </c>
      <c r="H328" s="1">
        <v>0</v>
      </c>
      <c r="I328" s="3">
        <f>Table9[[#This Row],[Hybrid]]-Table9[[#This Row],[Octane]]</f>
        <v>5.3464346389628759</v>
      </c>
      <c r="J328" s="3">
        <f>Table9[[#This Row],[Dominus]]-Table9[[#This Row],[Octane]]</f>
        <v>7.2934134784654816</v>
      </c>
      <c r="K328" s="3">
        <f>Table9[[#This Row],[Plank]]-Table9[[#This Row],[Octane]]</f>
        <v>5.2110193064817167</v>
      </c>
      <c r="L328" s="3">
        <f>Table9[[#This Row],[Batmobile]]-Table9[[#This Row],[Octane]]</f>
        <v>1.3887219929358707</v>
      </c>
      <c r="M328" s="3">
        <f>Table9[[#This Row],[Breakout]]-Table9[[#This Row],[Octane]]</f>
        <v>7.3342697356948747</v>
      </c>
      <c r="N328" s="4">
        <f>Table9[[#This Row],[Octane]]/Table9[[#This Row],[Hybrid]]</f>
        <v>0.97934129390909619</v>
      </c>
      <c r="O328" s="4">
        <f>Table9[[#This Row],[Octane]]/Table9[[#This Row],[Dominus]]</f>
        <v>0.97202857100971851</v>
      </c>
      <c r="P328" s="4">
        <f>Table9[[#This Row],[Octane]]/Table9[[#This Row],[Plank]]</f>
        <v>0.9798539995140062</v>
      </c>
      <c r="Q328" s="4">
        <f>Table9[[#This Row],[Octane]]/Table9[[#This Row],[Batmobile]]</f>
        <v>0.9945506212401537</v>
      </c>
      <c r="R328" s="4">
        <f>Table9[[#This Row],[Octane]]/Table9[[#This Row],[Breakout]]</f>
        <v>0.97187628732249665</v>
      </c>
    </row>
    <row r="329" spans="1:18">
      <c r="A329" s="1">
        <f>Octane[[#This Row],[Degrees turned]]</f>
        <v>254.39796904546455</v>
      </c>
      <c r="B329" s="1">
        <f>Hybrid[[#This Row],[Degrees turned]]</f>
        <v>259.76751638302983</v>
      </c>
      <c r="C329" s="1">
        <f>Dominus[[#This Row],[Degrees turned]]</f>
        <v>261.72259350969267</v>
      </c>
      <c r="D329" s="1">
        <f>Plank[[#This Row],[Degrees turned]]</f>
        <v>259.63315187196048</v>
      </c>
      <c r="E329" s="1">
        <f>Batmobile[[#This Row],[Degrees turned]]</f>
        <v>255.7957525905129</v>
      </c>
      <c r="F329" s="1">
        <f>Breakout[[#This Row],[Degrees turned]]</f>
        <v>261.76620211241863</v>
      </c>
      <c r="H329" s="1">
        <v>0</v>
      </c>
      <c r="I329" s="3">
        <f>Table9[[#This Row],[Hybrid]]-Table9[[#This Row],[Octane]]</f>
        <v>5.3695473375652796</v>
      </c>
      <c r="J329" s="3">
        <f>Table9[[#This Row],[Dominus]]-Table9[[#This Row],[Octane]]</f>
        <v>7.3246244642281226</v>
      </c>
      <c r="K329" s="3">
        <f>Table9[[#This Row],[Plank]]-Table9[[#This Row],[Octane]]</f>
        <v>5.2351828264959295</v>
      </c>
      <c r="L329" s="3">
        <f>Table9[[#This Row],[Batmobile]]-Table9[[#This Row],[Octane]]</f>
        <v>1.3977835450483553</v>
      </c>
      <c r="M329" s="3">
        <f>Table9[[#This Row],[Breakout]]-Table9[[#This Row],[Octane]]</f>
        <v>7.3682330669540761</v>
      </c>
      <c r="N329" s="4">
        <f>Table9[[#This Row],[Octane]]/Table9[[#This Row],[Hybrid]]</f>
        <v>0.97932941188209299</v>
      </c>
      <c r="O329" s="4">
        <f>Table9[[#This Row],[Octane]]/Table9[[#This Row],[Dominus]]</f>
        <v>0.97201378617716905</v>
      </c>
      <c r="P329" s="4">
        <f>Table9[[#This Row],[Octane]]/Table9[[#This Row],[Plank]]</f>
        <v>0.97983623127959529</v>
      </c>
      <c r="Q329" s="4">
        <f>Table9[[#This Row],[Octane]]/Table9[[#This Row],[Batmobile]]</f>
        <v>0.99453554826109258</v>
      </c>
      <c r="R329" s="4">
        <f>Table9[[#This Row],[Octane]]/Table9[[#This Row],[Breakout]]</f>
        <v>0.97185185479449443</v>
      </c>
    </row>
    <row r="330" spans="1:18">
      <c r="A330" s="1">
        <f>Octane[[#This Row],[Degrees turned]]</f>
        <v>255.34469268253105</v>
      </c>
      <c r="B330" s="1">
        <f>Hybrid[[#This Row],[Degrees turned]]</f>
        <v>260.73720272513231</v>
      </c>
      <c r="C330" s="1">
        <f>Dominus[[#This Row],[Degrees turned]]</f>
        <v>262.69998616603164</v>
      </c>
      <c r="D330" s="1">
        <f>Plank[[#This Row],[Degrees turned]]</f>
        <v>260.60392391267459</v>
      </c>
      <c r="E330" s="1">
        <f>Batmobile[[#This Row],[Degrees turned]]</f>
        <v>256.75157460318655</v>
      </c>
      <c r="F330" s="1">
        <f>Breakout[[#This Row],[Degrees turned]]</f>
        <v>262.74614665059596</v>
      </c>
      <c r="H330" s="1">
        <v>0</v>
      </c>
      <c r="I330" s="3">
        <f>Table9[[#This Row],[Hybrid]]-Table9[[#This Row],[Octane]]</f>
        <v>5.3925100426012591</v>
      </c>
      <c r="J330" s="3">
        <f>Table9[[#This Row],[Dominus]]-Table9[[#This Row],[Octane]]</f>
        <v>7.3552934835005885</v>
      </c>
      <c r="K330" s="3">
        <f>Table9[[#This Row],[Plank]]-Table9[[#This Row],[Octane]]</f>
        <v>5.2592312301435413</v>
      </c>
      <c r="L330" s="3">
        <f>Table9[[#This Row],[Batmobile]]-Table9[[#This Row],[Octane]]</f>
        <v>1.4068819206555077</v>
      </c>
      <c r="M330" s="3">
        <f>Table9[[#This Row],[Breakout]]-Table9[[#This Row],[Octane]]</f>
        <v>7.4014539680649136</v>
      </c>
      <c r="N330" s="4">
        <f>Table9[[#This Row],[Octane]]/Table9[[#This Row],[Hybrid]]</f>
        <v>0.9793182177831139</v>
      </c>
      <c r="O330" s="4">
        <f>Table9[[#This Row],[Octane]]/Table9[[#This Row],[Dominus]]</f>
        <v>0.97200116531847891</v>
      </c>
      <c r="P330" s="4">
        <f>Table9[[#This Row],[Octane]]/Table9[[#This Row],[Plank]]</f>
        <v>0.97981906353833015</v>
      </c>
      <c r="Q330" s="4">
        <f>Table9[[#This Row],[Octane]]/Table9[[#This Row],[Batmobile]]</f>
        <v>0.99452045455678373</v>
      </c>
      <c r="R330" s="4">
        <f>Table9[[#This Row],[Octane]]/Table9[[#This Row],[Breakout]]</f>
        <v>0.97183039956088302</v>
      </c>
    </row>
    <row r="331" spans="1:18">
      <c r="A331" s="1">
        <f>Octane[[#This Row],[Degrees turned]]</f>
        <v>256.29126112936086</v>
      </c>
      <c r="B331" s="1">
        <f>Hybrid[[#This Row],[Degrees turned]]</f>
        <v>261.70660241166007</v>
      </c>
      <c r="C331" s="1">
        <f>Dominus[[#This Row],[Degrees turned]]</f>
        <v>263.67785273524123</v>
      </c>
      <c r="D331" s="1">
        <f>Plank[[#This Row],[Degrees turned]]</f>
        <v>261.5742669188275</v>
      </c>
      <c r="E331" s="1">
        <f>Batmobile[[#This Row],[Degrees turned]]</f>
        <v>257.70745239603463</v>
      </c>
      <c r="F331" s="1">
        <f>Breakout[[#This Row],[Degrees turned]]</f>
        <v>263.72595357469703</v>
      </c>
      <c r="H331" s="1">
        <v>0</v>
      </c>
      <c r="I331" s="3">
        <f>Table9[[#This Row],[Hybrid]]-Table9[[#This Row],[Octane]]</f>
        <v>5.4153412822992095</v>
      </c>
      <c r="J331" s="3">
        <f>Table9[[#This Row],[Dominus]]-Table9[[#This Row],[Octane]]</f>
        <v>7.3865916058803691</v>
      </c>
      <c r="K331" s="3">
        <f>Table9[[#This Row],[Plank]]-Table9[[#This Row],[Octane]]</f>
        <v>5.2830057894666425</v>
      </c>
      <c r="L331" s="3">
        <f>Table9[[#This Row],[Batmobile]]-Table9[[#This Row],[Octane]]</f>
        <v>1.4161912666737635</v>
      </c>
      <c r="M331" s="3">
        <f>Table9[[#This Row],[Breakout]]-Table9[[#This Row],[Octane]]</f>
        <v>7.434692445336168</v>
      </c>
      <c r="N331" s="4">
        <f>Table9[[#This Row],[Octane]]/Table9[[#This Row],[Hybrid]]</f>
        <v>0.97930758631079173</v>
      </c>
      <c r="O331" s="4">
        <f>Table9[[#This Row],[Octane]]/Table9[[#This Row],[Dominus]]</f>
        <v>0.97198630249277229</v>
      </c>
      <c r="P331" s="4">
        <f>Table9[[#This Row],[Octane]]/Table9[[#This Row],[Plank]]</f>
        <v>0.97980303700475979</v>
      </c>
      <c r="Q331" s="4">
        <f>Table9[[#This Row],[Octane]]/Table9[[#This Row],[Batmobile]]</f>
        <v>0.99450465536209087</v>
      </c>
      <c r="R331" s="4">
        <f>Table9[[#This Row],[Octane]]/Table9[[#This Row],[Breakout]]</f>
        <v>0.97180902241678546</v>
      </c>
    </row>
    <row r="332" spans="1:18">
      <c r="A332" s="1">
        <f>Octane[[#This Row],[Degrees turned]]</f>
        <v>257.23784156466741</v>
      </c>
      <c r="B332" s="1">
        <f>Hybrid[[#This Row],[Degrees turned]]</f>
        <v>262.67564170843423</v>
      </c>
      <c r="C332" s="1">
        <f>Dominus[[#This Row],[Degrees turned]]</f>
        <v>264.65551216967805</v>
      </c>
      <c r="D332" s="1">
        <f>Plank[[#This Row],[Degrees turned]]</f>
        <v>262.54505170111321</v>
      </c>
      <c r="E332" s="1">
        <f>Batmobile[[#This Row],[Degrees turned]]</f>
        <v>258.66278742707254</v>
      </c>
      <c r="F332" s="1">
        <f>Breakout[[#This Row],[Degrees turned]]</f>
        <v>264.70571688374105</v>
      </c>
      <c r="H332" s="1">
        <v>0</v>
      </c>
      <c r="I332" s="3">
        <f>Table9[[#This Row],[Hybrid]]-Table9[[#This Row],[Octane]]</f>
        <v>5.4378001437668217</v>
      </c>
      <c r="J332" s="3">
        <f>Table9[[#This Row],[Dominus]]-Table9[[#This Row],[Octane]]</f>
        <v>7.4176706050106418</v>
      </c>
      <c r="K332" s="3">
        <f>Table9[[#This Row],[Plank]]-Table9[[#This Row],[Octane]]</f>
        <v>5.3072101364458035</v>
      </c>
      <c r="L332" s="3">
        <f>Table9[[#This Row],[Batmobile]]-Table9[[#This Row],[Octane]]</f>
        <v>1.4249458624051385</v>
      </c>
      <c r="M332" s="3">
        <f>Table9[[#This Row],[Breakout]]-Table9[[#This Row],[Octane]]</f>
        <v>7.4678753190736415</v>
      </c>
      <c r="N332" s="4">
        <f>Table9[[#This Row],[Octane]]/Table9[[#This Row],[Hybrid]]</f>
        <v>0.97929842253967847</v>
      </c>
      <c r="O332" s="4">
        <f>Table9[[#This Row],[Octane]]/Table9[[#This Row],[Dominus]]</f>
        <v>0.97197235551906824</v>
      </c>
      <c r="P332" s="4">
        <f>Table9[[#This Row],[Octane]]/Table9[[#This Row],[Plank]]</f>
        <v>0.97978552594284796</v>
      </c>
      <c r="Q332" s="4">
        <f>Table9[[#This Row],[Octane]]/Table9[[#This Row],[Batmobile]]</f>
        <v>0.99449110605905422</v>
      </c>
      <c r="R332" s="4">
        <f>Table9[[#This Row],[Octane]]/Table9[[#This Row],[Breakout]]</f>
        <v>0.97178800893690731</v>
      </c>
    </row>
    <row r="333" spans="1:18">
      <c r="A333" s="1">
        <f>Octane[[#This Row],[Degrees turned]]</f>
        <v>258.18427577745609</v>
      </c>
      <c r="B333" s="1">
        <f>Hybrid[[#This Row],[Degrees turned]]</f>
        <v>263.64521792919555</v>
      </c>
      <c r="C333" s="1">
        <f>Dominus[[#This Row],[Degrees turned]]</f>
        <v>265.63330273157118</v>
      </c>
      <c r="D333" s="1">
        <f>Plank[[#This Row],[Degrees turned]]</f>
        <v>263.51556491030357</v>
      </c>
      <c r="E333" s="1">
        <f>Batmobile[[#This Row],[Degrees turned]]</f>
        <v>259.61818784893899</v>
      </c>
      <c r="F333" s="1">
        <f>Breakout[[#This Row],[Degrees turned]]</f>
        <v>265.68538392550215</v>
      </c>
      <c r="H333" s="1">
        <v>0</v>
      </c>
      <c r="I333" s="3">
        <f>Table9[[#This Row],[Hybrid]]-Table9[[#This Row],[Octane]]</f>
        <v>5.4609421517394594</v>
      </c>
      <c r="J333" s="3">
        <f>Table9[[#This Row],[Dominus]]-Table9[[#This Row],[Octane]]</f>
        <v>7.4490269541150838</v>
      </c>
      <c r="K333" s="3">
        <f>Table9[[#This Row],[Plank]]-Table9[[#This Row],[Octane]]</f>
        <v>5.3312891328474734</v>
      </c>
      <c r="L333" s="3">
        <f>Table9[[#This Row],[Batmobile]]-Table9[[#This Row],[Octane]]</f>
        <v>1.4339120714828937</v>
      </c>
      <c r="M333" s="3">
        <f>Table9[[#This Row],[Breakout]]-Table9[[#This Row],[Octane]]</f>
        <v>7.5011081480460575</v>
      </c>
      <c r="N333" s="4">
        <f>Table9[[#This Row],[Octane]]/Table9[[#This Row],[Hybrid]]</f>
        <v>0.97928677715214218</v>
      </c>
      <c r="O333" s="4">
        <f>Table9[[#This Row],[Octane]]/Table9[[#This Row],[Dominus]]</f>
        <v>0.97195748094265688</v>
      </c>
      <c r="P333" s="4">
        <f>Table9[[#This Row],[Octane]]/Table9[[#This Row],[Plank]]</f>
        <v>0.9797685987366167</v>
      </c>
      <c r="Q333" s="4">
        <f>Table9[[#This Row],[Octane]]/Table9[[#This Row],[Batmobile]]</f>
        <v>0.99447684276913129</v>
      </c>
      <c r="R333" s="4">
        <f>Table9[[#This Row],[Octane]]/Table9[[#This Row],[Breakout]]</f>
        <v>0.97176695218526077</v>
      </c>
    </row>
    <row r="334" spans="1:18">
      <c r="A334" s="1">
        <f>Octane[[#This Row],[Degrees turned]]</f>
        <v>259.13086816503414</v>
      </c>
      <c r="B334" s="1">
        <f>Hybrid[[#This Row],[Degrees turned]]</f>
        <v>264.61459164106719</v>
      </c>
      <c r="C334" s="1">
        <f>Dominus[[#This Row],[Degrees turned]]</f>
        <v>266.61107480502</v>
      </c>
      <c r="D334" s="1">
        <f>Plank[[#This Row],[Degrees turned]]</f>
        <v>264.48609792498956</v>
      </c>
      <c r="E334" s="1">
        <f>Batmobile[[#This Row],[Degrees turned]]</f>
        <v>260.57377739626065</v>
      </c>
      <c r="F334" s="1">
        <f>Breakout[[#This Row],[Degrees turned]]</f>
        <v>266.66525072480971</v>
      </c>
      <c r="H334" s="1">
        <v>0</v>
      </c>
      <c r="I334" s="3">
        <f>Table9[[#This Row],[Hybrid]]-Table9[[#This Row],[Octane]]</f>
        <v>5.4837234760330489</v>
      </c>
      <c r="J334" s="3">
        <f>Table9[[#This Row],[Dominus]]-Table9[[#This Row],[Octane]]</f>
        <v>7.4802066399858518</v>
      </c>
      <c r="K334" s="3">
        <f>Table9[[#This Row],[Plank]]-Table9[[#This Row],[Octane]]</f>
        <v>5.3552297599554208</v>
      </c>
      <c r="L334" s="3">
        <f>Table9[[#This Row],[Batmobile]]-Table9[[#This Row],[Octane]]</f>
        <v>1.4429092312265084</v>
      </c>
      <c r="M334" s="3">
        <f>Table9[[#This Row],[Breakout]]-Table9[[#This Row],[Octane]]</f>
        <v>7.5343825597755654</v>
      </c>
      <c r="N334" s="4">
        <f>Table9[[#This Row],[Octane]]/Table9[[#This Row],[Hybrid]]</f>
        <v>0.97927656429668331</v>
      </c>
      <c r="O334" s="4">
        <f>Table9[[#This Row],[Octane]]/Table9[[#This Row],[Dominus]]</f>
        <v>0.97194337615023563</v>
      </c>
      <c r="P334" s="4">
        <f>Table9[[#This Row],[Octane]]/Table9[[#This Row],[Plank]]</f>
        <v>0.97975232043585814</v>
      </c>
      <c r="Q334" s="4">
        <f>Table9[[#This Row],[Octane]]/Table9[[#This Row],[Batmobile]]</f>
        <v>0.9944625693128275</v>
      </c>
      <c r="R334" s="4">
        <f>Table9[[#This Row],[Octane]]/Table9[[#This Row],[Breakout]]</f>
        <v>0.97174591537781274</v>
      </c>
    </row>
    <row r="335" spans="1:18">
      <c r="A335" s="1">
        <f>Octane[[#This Row],[Degrees turned]]</f>
        <v>260.07754620246931</v>
      </c>
      <c r="B335" s="1">
        <f>Hybrid[[#This Row],[Degrees turned]]</f>
        <v>265.58405579947117</v>
      </c>
      <c r="C335" s="1">
        <f>Dominus[[#This Row],[Degrees turned]]</f>
        <v>267.58837771260573</v>
      </c>
      <c r="D335" s="1">
        <f>Plank[[#This Row],[Degrees turned]]</f>
        <v>265.45647470595662</v>
      </c>
      <c r="E335" s="1">
        <f>Batmobile[[#This Row],[Degrees turned]]</f>
        <v>261.52956612644954</v>
      </c>
      <c r="F335" s="1">
        <f>Breakout[[#This Row],[Degrees turned]]</f>
        <v>267.64516617063879</v>
      </c>
      <c r="H335" s="1">
        <v>0</v>
      </c>
      <c r="I335" s="3">
        <f>Table9[[#This Row],[Hybrid]]-Table9[[#This Row],[Octane]]</f>
        <v>5.506509597001866</v>
      </c>
      <c r="J335" s="3">
        <f>Table9[[#This Row],[Dominus]]-Table9[[#This Row],[Octane]]</f>
        <v>7.5108315101364269</v>
      </c>
      <c r="K335" s="3">
        <f>Table9[[#This Row],[Plank]]-Table9[[#This Row],[Octane]]</f>
        <v>5.378928503487316</v>
      </c>
      <c r="L335" s="3">
        <f>Table9[[#This Row],[Batmobile]]-Table9[[#This Row],[Octane]]</f>
        <v>1.4520199239802309</v>
      </c>
      <c r="M335" s="3">
        <f>Table9[[#This Row],[Breakout]]-Table9[[#This Row],[Octane]]</f>
        <v>7.5676199681694811</v>
      </c>
      <c r="N335" s="4">
        <f>Table9[[#This Row],[Octane]]/Table9[[#This Row],[Hybrid]]</f>
        <v>0.97926641499458256</v>
      </c>
      <c r="O335" s="4">
        <f>Table9[[#This Row],[Octane]]/Table9[[#This Row],[Dominus]]</f>
        <v>0.9719313986117768</v>
      </c>
      <c r="P335" s="4">
        <f>Table9[[#This Row],[Octane]]/Table9[[#This Row],[Plank]]</f>
        <v>0.97973706043732589</v>
      </c>
      <c r="Q335" s="4">
        <f>Table9[[#This Row],[Octane]]/Table9[[#This Row],[Batmobile]]</f>
        <v>0.99444797027928311</v>
      </c>
      <c r="R335" s="4">
        <f>Table9[[#This Row],[Octane]]/Table9[[#This Row],[Breakout]]</f>
        <v>0.9717251759990887</v>
      </c>
    </row>
    <row r="336" spans="1:18">
      <c r="A336" s="1">
        <f>Octane[[#This Row],[Degrees turned]]</f>
        <v>261.024394599326</v>
      </c>
      <c r="B336" s="1">
        <f>Hybrid[[#This Row],[Degrees turned]]</f>
        <v>266.55343149087957</v>
      </c>
      <c r="C336" s="1">
        <f>Dominus[[#This Row],[Degrees turned]]</f>
        <v>268.56580131870834</v>
      </c>
      <c r="D336" s="1">
        <f>Plank[[#This Row],[Degrees turned]]</f>
        <v>266.42688643183078</v>
      </c>
      <c r="E336" s="1">
        <f>Batmobile[[#This Row],[Degrees turned]]</f>
        <v>262.48507923327639</v>
      </c>
      <c r="F336" s="1">
        <f>Breakout[[#This Row],[Degrees turned]]</f>
        <v>268.62532837328354</v>
      </c>
      <c r="H336" s="1">
        <v>0</v>
      </c>
      <c r="I336" s="3">
        <f>Table9[[#This Row],[Hybrid]]-Table9[[#This Row],[Octane]]</f>
        <v>5.5290368915535737</v>
      </c>
      <c r="J336" s="3">
        <f>Table9[[#This Row],[Dominus]]-Table9[[#This Row],[Octane]]</f>
        <v>7.5414067193823371</v>
      </c>
      <c r="K336" s="3">
        <f>Table9[[#This Row],[Plank]]-Table9[[#This Row],[Octane]]</f>
        <v>5.4024918325047793</v>
      </c>
      <c r="L336" s="3">
        <f>Table9[[#This Row],[Batmobile]]-Table9[[#This Row],[Octane]]</f>
        <v>1.4606846339503932</v>
      </c>
      <c r="M336" s="3">
        <f>Table9[[#This Row],[Breakout]]-Table9[[#This Row],[Octane]]</f>
        <v>7.6009337739575358</v>
      </c>
      <c r="N336" s="4">
        <f>Table9[[#This Row],[Octane]]/Table9[[#This Row],[Hybrid]]</f>
        <v>0.97925730364591923</v>
      </c>
      <c r="O336" s="4">
        <f>Table9[[#This Row],[Octane]]/Table9[[#This Row],[Dominus]]</f>
        <v>0.97191970577656339</v>
      </c>
      <c r="P336" s="4">
        <f>Table9[[#This Row],[Octane]]/Table9[[#This Row],[Plank]]</f>
        <v>0.97972242251951891</v>
      </c>
      <c r="Q336" s="4">
        <f>Table9[[#This Row],[Octane]]/Table9[[#This Row],[Batmobile]]</f>
        <v>0.9944351707982142</v>
      </c>
      <c r="R336" s="4">
        <f>Table9[[#This Row],[Octane]]/Table9[[#This Row],[Breakout]]</f>
        <v>0.97170432952102259</v>
      </c>
    </row>
    <row r="337" spans="1:18">
      <c r="A337" s="1">
        <f>Octane[[#This Row],[Degrees turned]]</f>
        <v>261.97087465600521</v>
      </c>
      <c r="B337" s="1">
        <f>Hybrid[[#This Row],[Degrees turned]]</f>
        <v>267.52291359060177</v>
      </c>
      <c r="C337" s="1">
        <f>Dominus[[#This Row],[Degrees turned]]</f>
        <v>269.54351970017251</v>
      </c>
      <c r="D337" s="1">
        <f>Plank[[#This Row],[Degrees turned]]</f>
        <v>267.39727949386361</v>
      </c>
      <c r="E337" s="1">
        <f>Batmobile[[#This Row],[Degrees turned]]</f>
        <v>263.44106749862027</v>
      </c>
      <c r="F337" s="1">
        <f>Breakout[[#This Row],[Degrees turned]]</f>
        <v>269.60508415905116</v>
      </c>
      <c r="H337" s="1">
        <v>0</v>
      </c>
      <c r="I337" s="3">
        <f>Table9[[#This Row],[Hybrid]]-Table9[[#This Row],[Octane]]</f>
        <v>5.5520389345965668</v>
      </c>
      <c r="J337" s="3">
        <f>Table9[[#This Row],[Dominus]]-Table9[[#This Row],[Octane]]</f>
        <v>7.5726450441673023</v>
      </c>
      <c r="K337" s="3">
        <f>Table9[[#This Row],[Plank]]-Table9[[#This Row],[Octane]]</f>
        <v>5.4264048378583993</v>
      </c>
      <c r="L337" s="3">
        <f>Table9[[#This Row],[Batmobile]]-Table9[[#This Row],[Octane]]</f>
        <v>1.470192842615063</v>
      </c>
      <c r="M337" s="3">
        <f>Table9[[#This Row],[Breakout]]-Table9[[#This Row],[Octane]]</f>
        <v>7.6342095030459518</v>
      </c>
      <c r="N337" s="4">
        <f>Table9[[#This Row],[Octane]]/Table9[[#This Row],[Hybrid]]</f>
        <v>0.97924649197304636</v>
      </c>
      <c r="O337" s="4">
        <f>Table9[[#This Row],[Octane]]/Table9[[#This Row],[Dominus]]</f>
        <v>0.97190566832179548</v>
      </c>
      <c r="P337" s="4">
        <f>Table9[[#This Row],[Octane]]/Table9[[#This Row],[Plank]]</f>
        <v>0.97970658172689851</v>
      </c>
      <c r="Q337" s="4">
        <f>Table9[[#This Row],[Octane]]/Table9[[#This Row],[Batmobile]]</f>
        <v>0.9944192723762677</v>
      </c>
      <c r="R337" s="4">
        <f>Table9[[#This Row],[Octane]]/Table9[[#This Row],[Breakout]]</f>
        <v>0.9716837331652759</v>
      </c>
    </row>
    <row r="338" spans="1:18">
      <c r="A338" s="1">
        <f>Octane[[#This Row],[Degrees turned]]</f>
        <v>262.91767464516596</v>
      </c>
      <c r="B338" s="1">
        <f>Hybrid[[#This Row],[Degrees turned]]</f>
        <v>268.49247310425403</v>
      </c>
      <c r="C338" s="1">
        <f>Dominus[[#This Row],[Degrees turned]]</f>
        <v>270.52099807130747</v>
      </c>
      <c r="D338" s="1">
        <f>Plank[[#This Row],[Degrees turned]]</f>
        <v>268.36799792379111</v>
      </c>
      <c r="E338" s="1">
        <f>Batmobile[[#This Row],[Degrees turned]]</f>
        <v>264.39676817530585</v>
      </c>
      <c r="F338" s="1">
        <f>Breakout[[#This Row],[Degrees turned]]</f>
        <v>270.58532814250617</v>
      </c>
      <c r="H338" s="1">
        <v>0</v>
      </c>
      <c r="I338" s="3">
        <f>Table9[[#This Row],[Hybrid]]-Table9[[#This Row],[Octane]]</f>
        <v>5.5747984590880719</v>
      </c>
      <c r="J338" s="3">
        <f>Table9[[#This Row],[Dominus]]-Table9[[#This Row],[Octane]]</f>
        <v>7.6033234261415146</v>
      </c>
      <c r="K338" s="3">
        <f>Table9[[#This Row],[Plank]]-Table9[[#This Row],[Octane]]</f>
        <v>5.4503232786251488</v>
      </c>
      <c r="L338" s="3">
        <f>Table9[[#This Row],[Batmobile]]-Table9[[#This Row],[Octane]]</f>
        <v>1.4790935301398918</v>
      </c>
      <c r="M338" s="3">
        <f>Table9[[#This Row],[Breakout]]-Table9[[#This Row],[Octane]]</f>
        <v>7.6676534973402113</v>
      </c>
      <c r="N338" s="4">
        <f>Table9[[#This Row],[Octane]]/Table9[[#This Row],[Hybrid]]</f>
        <v>0.9792366676256008</v>
      </c>
      <c r="O338" s="4">
        <f>Table9[[#This Row],[Octane]]/Table9[[#This Row],[Dominus]]</f>
        <v>0.97189377726553661</v>
      </c>
      <c r="P338" s="4">
        <f>Table9[[#This Row],[Octane]]/Table9[[#This Row],[Plank]]</f>
        <v>0.97969085986111915</v>
      </c>
      <c r="Q338" s="4">
        <f>Table9[[#This Row],[Octane]]/Table9[[#This Row],[Batmobile]]</f>
        <v>0.99440578059880369</v>
      </c>
      <c r="R338" s="4">
        <f>Table9[[#This Row],[Octane]]/Table9[[#This Row],[Breakout]]</f>
        <v>0.97166271523302261</v>
      </c>
    </row>
    <row r="339" spans="1:18">
      <c r="A339" s="1">
        <f>Octane[[#This Row],[Degrees turned]]</f>
        <v>263.86433389105076</v>
      </c>
      <c r="B339" s="1">
        <f>Hybrid[[#This Row],[Degrees turned]]</f>
        <v>269.46180439174174</v>
      </c>
      <c r="C339" s="1">
        <f>Dominus[[#This Row],[Degrees turned]]</f>
        <v>271.49820937598145</v>
      </c>
      <c r="D339" s="1">
        <f>Plank[[#This Row],[Degrees turned]]</f>
        <v>269.33881521369216</v>
      </c>
      <c r="E339" s="1">
        <f>Batmobile[[#This Row],[Degrees turned]]</f>
        <v>265.35239036967926</v>
      </c>
      <c r="F339" s="1">
        <f>Breakout[[#This Row],[Degrees turned]]</f>
        <v>271.5652057977494</v>
      </c>
      <c r="H339" s="1">
        <v>0</v>
      </c>
      <c r="I339" s="3">
        <f>Table9[[#This Row],[Hybrid]]-Table9[[#This Row],[Octane]]</f>
        <v>5.5974705006909744</v>
      </c>
      <c r="J339" s="3">
        <f>Table9[[#This Row],[Dominus]]-Table9[[#This Row],[Octane]]</f>
        <v>7.6338754849306838</v>
      </c>
      <c r="K339" s="3">
        <f>Table9[[#This Row],[Plank]]-Table9[[#This Row],[Octane]]</f>
        <v>5.4744813226413953</v>
      </c>
      <c r="L339" s="3">
        <f>Table9[[#This Row],[Batmobile]]-Table9[[#This Row],[Octane]]</f>
        <v>1.4880564786284936</v>
      </c>
      <c r="M339" s="3">
        <f>Table9[[#This Row],[Breakout]]-Table9[[#This Row],[Octane]]</f>
        <v>7.7008719066986373</v>
      </c>
      <c r="N339" s="4">
        <f>Table9[[#This Row],[Octane]]/Table9[[#This Row],[Hybrid]]</f>
        <v>0.97922722104037641</v>
      </c>
      <c r="O339" s="4">
        <f>Table9[[#This Row],[Octane]]/Table9[[#This Row],[Dominus]]</f>
        <v>0.97188240945501414</v>
      </c>
      <c r="P339" s="4">
        <f>Table9[[#This Row],[Octane]]/Table9[[#This Row],[Plank]]</f>
        <v>0.97967436918329809</v>
      </c>
      <c r="Q339" s="4">
        <f>Table9[[#This Row],[Octane]]/Table9[[#This Row],[Batmobile]]</f>
        <v>0.99439214971248091</v>
      </c>
      <c r="R339" s="4">
        <f>Table9[[#This Row],[Octane]]/Table9[[#This Row],[Breakout]]</f>
        <v>0.97164264146403967</v>
      </c>
    </row>
    <row r="340" spans="1:18">
      <c r="A340" s="1">
        <f>Octane[[#This Row],[Degrees turned]]</f>
        <v>264.81061149297068</v>
      </c>
      <c r="B340" s="1">
        <f>Hybrid[[#This Row],[Degrees turned]]</f>
        <v>270.43122960631166</v>
      </c>
      <c r="C340" s="1">
        <f>Dominus[[#This Row],[Degrees turned]]</f>
        <v>272.47593182780452</v>
      </c>
      <c r="D340" s="1">
        <f>Plank[[#This Row],[Degrees turned]]</f>
        <v>270.30937458014381</v>
      </c>
      <c r="E340" s="1">
        <f>Batmobile[[#This Row],[Degrees turned]]</f>
        <v>266.30797713022423</v>
      </c>
      <c r="F340" s="1">
        <f>Breakout[[#This Row],[Degrees turned]]</f>
        <v>272.5449880509949</v>
      </c>
      <c r="H340" s="1">
        <v>0</v>
      </c>
      <c r="I340" s="3">
        <f>Table9[[#This Row],[Hybrid]]-Table9[[#This Row],[Octane]]</f>
        <v>5.6206181133409814</v>
      </c>
      <c r="J340" s="3">
        <f>Table9[[#This Row],[Dominus]]-Table9[[#This Row],[Octane]]</f>
        <v>7.6653203348338366</v>
      </c>
      <c r="K340" s="3">
        <f>Table9[[#This Row],[Plank]]-Table9[[#This Row],[Octane]]</f>
        <v>5.4987630871731312</v>
      </c>
      <c r="L340" s="3">
        <f>Table9[[#This Row],[Batmobile]]-Table9[[#This Row],[Octane]]</f>
        <v>1.4973656372535515</v>
      </c>
      <c r="M340" s="3">
        <f>Table9[[#This Row],[Breakout]]-Table9[[#This Row],[Octane]]</f>
        <v>7.7343765580242234</v>
      </c>
      <c r="N340" s="4">
        <f>Table9[[#This Row],[Octane]]/Table9[[#This Row],[Hybrid]]</f>
        <v>0.97921609082825467</v>
      </c>
      <c r="O340" s="4">
        <f>Table9[[#This Row],[Octane]]/Table9[[#This Row],[Dominus]]</f>
        <v>0.97186789936485818</v>
      </c>
      <c r="P340" s="4">
        <f>Table9[[#This Row],[Octane]]/Table9[[#This Row],[Plank]]</f>
        <v>0.97965751984845495</v>
      </c>
      <c r="Q340" s="4">
        <f>Table9[[#This Row],[Octane]]/Table9[[#This Row],[Batmobile]]</f>
        <v>0.99437731586793088</v>
      </c>
      <c r="R340" s="4">
        <f>Table9[[#This Row],[Octane]]/Table9[[#This Row],[Breakout]]</f>
        <v>0.9716216518478884</v>
      </c>
    </row>
    <row r="341" spans="1:18">
      <c r="A341" s="1">
        <f>Octane[[#This Row],[Degrees turned]]</f>
        <v>265.75748853001517</v>
      </c>
      <c r="B341" s="1">
        <f>Hybrid[[#This Row],[Degrees turned]]</f>
        <v>271.40056270078446</v>
      </c>
      <c r="C341" s="1">
        <f>Dominus[[#This Row],[Degrees turned]]</f>
        <v>273.45363191525877</v>
      </c>
      <c r="D341" s="1">
        <f>Plank[[#This Row],[Degrees turned]]</f>
        <v>271.28019748889466</v>
      </c>
      <c r="E341" s="1">
        <f>Batmobile[[#This Row],[Degrees turned]]</f>
        <v>267.26347083235686</v>
      </c>
      <c r="F341" s="1">
        <f>Breakout[[#This Row],[Degrees turned]]</f>
        <v>273.52479824201799</v>
      </c>
      <c r="H341" s="1">
        <v>0</v>
      </c>
      <c r="I341" s="3">
        <f>Table9[[#This Row],[Hybrid]]-Table9[[#This Row],[Octane]]</f>
        <v>5.643074170769296</v>
      </c>
      <c r="J341" s="3">
        <f>Table9[[#This Row],[Dominus]]-Table9[[#This Row],[Octane]]</f>
        <v>7.6961433852436016</v>
      </c>
      <c r="K341" s="3">
        <f>Table9[[#This Row],[Plank]]-Table9[[#This Row],[Octane]]</f>
        <v>5.5227089588794911</v>
      </c>
      <c r="L341" s="3">
        <f>Table9[[#This Row],[Batmobile]]-Table9[[#This Row],[Octane]]</f>
        <v>1.5059823023416925</v>
      </c>
      <c r="M341" s="3">
        <f>Table9[[#This Row],[Breakout]]-Table9[[#This Row],[Octane]]</f>
        <v>7.7673097120028274</v>
      </c>
      <c r="N341" s="4">
        <f>Table9[[#This Row],[Octane]]/Table9[[#This Row],[Hybrid]]</f>
        <v>0.97920758116853757</v>
      </c>
      <c r="O341" s="4">
        <f>Table9[[#This Row],[Octane]]/Table9[[#This Row],[Dominus]]</f>
        <v>0.97185576460864642</v>
      </c>
      <c r="P341" s="4">
        <f>Table9[[#This Row],[Octane]]/Table9[[#This Row],[Plank]]</f>
        <v>0.97964204903269592</v>
      </c>
      <c r="Q341" s="4">
        <f>Table9[[#This Row],[Octane]]/Table9[[#This Row],[Batmobile]]</f>
        <v>0.99436517718769601</v>
      </c>
      <c r="R341" s="4">
        <f>Table9[[#This Row],[Octane]]/Table9[[#This Row],[Breakout]]</f>
        <v>0.97160290488495227</v>
      </c>
    </row>
    <row r="342" spans="1:18">
      <c r="A342" s="1">
        <f>Octane[[#This Row],[Degrees turned]]</f>
        <v>266.70431614787594</v>
      </c>
      <c r="B342" s="1">
        <f>Hybrid[[#This Row],[Degrees turned]]</f>
        <v>272.37022827752105</v>
      </c>
      <c r="C342" s="1">
        <f>Dominus[[#This Row],[Degrees turned]]</f>
        <v>274.43112222499207</v>
      </c>
      <c r="D342" s="1">
        <f>Plank[[#This Row],[Degrees turned]]</f>
        <v>272.25087460727462</v>
      </c>
      <c r="E342" s="1">
        <f>Batmobile[[#This Row],[Degrees turned]]</f>
        <v>268.21921048066559</v>
      </c>
      <c r="F342" s="1">
        <f>Breakout[[#This Row],[Degrees turned]]</f>
        <v>274.50455386278838</v>
      </c>
      <c r="H342" s="1">
        <v>0</v>
      </c>
      <c r="I342" s="3">
        <f>Table9[[#This Row],[Hybrid]]-Table9[[#This Row],[Octane]]</f>
        <v>5.6659121296451076</v>
      </c>
      <c r="J342" s="3">
        <f>Table9[[#This Row],[Dominus]]-Table9[[#This Row],[Octane]]</f>
        <v>7.7268060771161231</v>
      </c>
      <c r="K342" s="3">
        <f>Table9[[#This Row],[Plank]]-Table9[[#This Row],[Octane]]</f>
        <v>5.5465584593986819</v>
      </c>
      <c r="L342" s="3">
        <f>Table9[[#This Row],[Batmobile]]-Table9[[#This Row],[Octane]]</f>
        <v>1.5148943327896518</v>
      </c>
      <c r="M342" s="3">
        <f>Table9[[#This Row],[Breakout]]-Table9[[#This Row],[Octane]]</f>
        <v>7.8002377149124413</v>
      </c>
      <c r="N342" s="4">
        <f>Table9[[#This Row],[Octane]]/Table9[[#This Row],[Hybrid]]</f>
        <v>0.97919775532929376</v>
      </c>
      <c r="O342" s="4">
        <f>Table9[[#This Row],[Octane]]/Table9[[#This Row],[Dominus]]</f>
        <v>0.9718442791237748</v>
      </c>
      <c r="P342" s="4">
        <f>Table9[[#This Row],[Octane]]/Table9[[#This Row],[Plank]]</f>
        <v>0.97962703162147902</v>
      </c>
      <c r="Q342" s="4">
        <f>Table9[[#This Row],[Octane]]/Table9[[#This Row],[Batmobile]]</f>
        <v>0.99435202896140484</v>
      </c>
      <c r="R342" s="4">
        <f>Table9[[#This Row],[Octane]]/Table9[[#This Row],[Breakout]]</f>
        <v>0.97158430486799352</v>
      </c>
    </row>
    <row r="343" spans="1:18">
      <c r="A343" s="1">
        <f>Octane[[#This Row],[Degrees turned]]</f>
        <v>267.65118535345982</v>
      </c>
      <c r="B343" s="1">
        <f>Hybrid[[#This Row],[Degrees turned]]</f>
        <v>273.33984285115639</v>
      </c>
      <c r="C343" s="1">
        <f>Dominus[[#This Row],[Degrees turned]]</f>
        <v>275.40888773347183</v>
      </c>
      <c r="D343" s="1">
        <f>Plank[[#This Row],[Degrees turned]]</f>
        <v>273.22150092052135</v>
      </c>
      <c r="E343" s="1">
        <f>Batmobile[[#This Row],[Degrees turned]]</f>
        <v>269.17499087516637</v>
      </c>
      <c r="F343" s="1">
        <f>Breakout[[#This Row],[Degrees turned]]</f>
        <v>275.48432436600837</v>
      </c>
      <c r="H343" s="1">
        <v>0</v>
      </c>
      <c r="I343" s="3">
        <f>Table9[[#This Row],[Hybrid]]-Table9[[#This Row],[Octane]]</f>
        <v>5.6886574976965676</v>
      </c>
      <c r="J343" s="3">
        <f>Table9[[#This Row],[Dominus]]-Table9[[#This Row],[Octane]]</f>
        <v>7.757702380012006</v>
      </c>
      <c r="K343" s="3">
        <f>Table9[[#This Row],[Plank]]-Table9[[#This Row],[Octane]]</f>
        <v>5.5703155670615274</v>
      </c>
      <c r="L343" s="3">
        <f>Table9[[#This Row],[Batmobile]]-Table9[[#This Row],[Octane]]</f>
        <v>1.5238055217065494</v>
      </c>
      <c r="M343" s="3">
        <f>Table9[[#This Row],[Breakout]]-Table9[[#This Row],[Octane]]</f>
        <v>7.8331390125485427</v>
      </c>
      <c r="N343" s="4">
        <f>Table9[[#This Row],[Octane]]/Table9[[#This Row],[Hybrid]]</f>
        <v>0.97918833405931882</v>
      </c>
      <c r="O343" s="4">
        <f>Table9[[#This Row],[Octane]]/Table9[[#This Row],[Dominus]]</f>
        <v>0.97183205508051884</v>
      </c>
      <c r="P343" s="4">
        <f>Table9[[#This Row],[Octane]]/Table9[[#This Row],[Plank]]</f>
        <v>0.97961245528520136</v>
      </c>
      <c r="Q343" s="4">
        <f>Table9[[#This Row],[Octane]]/Table9[[#This Row],[Batmobile]]</f>
        <v>0.99433897808725757</v>
      </c>
      <c r="R343" s="4">
        <f>Table9[[#This Row],[Octane]]/Table9[[#This Row],[Breakout]]</f>
        <v>0.97156593562782378</v>
      </c>
    </row>
    <row r="344" spans="1:18">
      <c r="A344" s="1">
        <f>Octane[[#This Row],[Degrees turned]]</f>
        <v>268.5974596624481</v>
      </c>
      <c r="B344" s="1">
        <f>Hybrid[[#This Row],[Degrees turned]]</f>
        <v>274.30934642415298</v>
      </c>
      <c r="C344" s="1">
        <f>Dominus[[#This Row],[Degrees turned]]</f>
        <v>276.38661460569864</v>
      </c>
      <c r="D344" s="1">
        <f>Plank[[#This Row],[Degrees turned]]</f>
        <v>274.19201795893622</v>
      </c>
      <c r="E344" s="1">
        <f>Batmobile[[#This Row],[Degrees turned]]</f>
        <v>270.13042637688164</v>
      </c>
      <c r="F344" s="1">
        <f>Breakout[[#This Row],[Degrees turned]]</f>
        <v>276.46431449416792</v>
      </c>
      <c r="H344" s="1">
        <v>0</v>
      </c>
      <c r="I344" s="3">
        <f>Table9[[#This Row],[Hybrid]]-Table9[[#This Row],[Octane]]</f>
        <v>5.711886761704875</v>
      </c>
      <c r="J344" s="3">
        <f>Table9[[#This Row],[Dominus]]-Table9[[#This Row],[Octane]]</f>
        <v>7.7891549432505371</v>
      </c>
      <c r="K344" s="3">
        <f>Table9[[#This Row],[Plank]]-Table9[[#This Row],[Octane]]</f>
        <v>5.5945582964881169</v>
      </c>
      <c r="L344" s="3">
        <f>Table9[[#This Row],[Batmobile]]-Table9[[#This Row],[Octane]]</f>
        <v>1.5329667144335417</v>
      </c>
      <c r="M344" s="3">
        <f>Table9[[#This Row],[Breakout]]-Table9[[#This Row],[Octane]]</f>
        <v>7.8668548317198201</v>
      </c>
      <c r="N344" s="4">
        <f>Table9[[#This Row],[Octane]]/Table9[[#This Row],[Hybrid]]</f>
        <v>0.97917720691560828</v>
      </c>
      <c r="O344" s="4">
        <f>Table9[[#This Row],[Octane]]/Table9[[#This Row],[Dominus]]</f>
        <v>0.97181790097048382</v>
      </c>
      <c r="P344" s="4">
        <f>Table9[[#This Row],[Octane]]/Table9[[#This Row],[Plank]]</f>
        <v>0.97959620291599458</v>
      </c>
      <c r="Q344" s="4">
        <f>Table9[[#This Row],[Octane]]/Table9[[#This Row],[Batmobile]]</f>
        <v>0.99432508682937193</v>
      </c>
      <c r="R344" s="4">
        <f>Table9[[#This Row],[Octane]]/Table9[[#This Row],[Breakout]]</f>
        <v>0.9715447729805079</v>
      </c>
    </row>
    <row r="345" spans="1:18">
      <c r="A345" s="1">
        <f>Octane[[#This Row],[Degrees turned]]</f>
        <v>269.54387481493563</v>
      </c>
      <c r="B345" s="1">
        <f>Hybrid[[#This Row],[Degrees turned]]</f>
        <v>275.27880698291239</v>
      </c>
      <c r="C345" s="1">
        <f>Dominus[[#This Row],[Degrees turned]]</f>
        <v>277.3640073149968</v>
      </c>
      <c r="D345" s="1">
        <f>Plank[[#This Row],[Degrees turned]]</f>
        <v>275.16246504247113</v>
      </c>
      <c r="E345" s="1">
        <f>Batmobile[[#This Row],[Degrees turned]]</f>
        <v>271.0860334980859</v>
      </c>
      <c r="F345" s="1">
        <f>Breakout[[#This Row],[Degrees turned]]</f>
        <v>277.44446668869671</v>
      </c>
      <c r="H345" s="1">
        <v>0</v>
      </c>
      <c r="I345" s="3">
        <f>Table9[[#This Row],[Hybrid]]-Table9[[#This Row],[Octane]]</f>
        <v>5.7349321679767513</v>
      </c>
      <c r="J345" s="3">
        <f>Table9[[#This Row],[Dominus]]-Table9[[#This Row],[Octane]]</f>
        <v>7.8201325000611632</v>
      </c>
      <c r="K345" s="3">
        <f>Table9[[#This Row],[Plank]]-Table9[[#This Row],[Octane]]</f>
        <v>5.618590227535492</v>
      </c>
      <c r="L345" s="3">
        <f>Table9[[#This Row],[Batmobile]]-Table9[[#This Row],[Octane]]</f>
        <v>1.5421586831502623</v>
      </c>
      <c r="M345" s="3">
        <f>Table9[[#This Row],[Breakout]]-Table9[[#This Row],[Octane]]</f>
        <v>7.9005918737610727</v>
      </c>
      <c r="N345" s="4">
        <f>Table9[[#This Row],[Octane]]/Table9[[#This Row],[Hybrid]]</f>
        <v>0.97916682279020217</v>
      </c>
      <c r="O345" s="4">
        <f>Table9[[#This Row],[Octane]]/Table9[[#This Row],[Dominus]]</f>
        <v>0.97180552525266917</v>
      </c>
      <c r="P345" s="4">
        <f>Table9[[#This Row],[Octane]]/Table9[[#This Row],[Plank]]</f>
        <v>0.97958082608880437</v>
      </c>
      <c r="Q345" s="4">
        <f>Table9[[#This Row],[Octane]]/Table9[[#This Row],[Batmobile]]</f>
        <v>0.99431118356320203</v>
      </c>
      <c r="R345" s="4">
        <f>Table9[[#This Row],[Octane]]/Table9[[#This Row],[Breakout]]</f>
        <v>0.97152369997479227</v>
      </c>
    </row>
    <row r="346" spans="1:18">
      <c r="A346" s="1">
        <f>Octane[[#This Row],[Degrees turned]]</f>
        <v>270.49049752091747</v>
      </c>
      <c r="B346" s="1">
        <f>Hybrid[[#This Row],[Degrees turned]]</f>
        <v>276.24839586781087</v>
      </c>
      <c r="C346" s="1">
        <f>Dominus[[#This Row],[Degrees turned]]</f>
        <v>278.3416025513759</v>
      </c>
      <c r="D346" s="1">
        <f>Plank[[#This Row],[Degrees turned]]</f>
        <v>276.13307090237993</v>
      </c>
      <c r="E346" s="1">
        <f>Batmobile[[#This Row],[Degrees turned]]</f>
        <v>272.04142598525652</v>
      </c>
      <c r="F346" s="1">
        <f>Breakout[[#This Row],[Degrees turned]]</f>
        <v>278.42441608372718</v>
      </c>
      <c r="H346" s="1">
        <v>0</v>
      </c>
      <c r="I346" s="3">
        <f>Table9[[#This Row],[Hybrid]]-Table9[[#This Row],[Octane]]</f>
        <v>5.7578983468933984</v>
      </c>
      <c r="J346" s="3">
        <f>Table9[[#This Row],[Dominus]]-Table9[[#This Row],[Octane]]</f>
        <v>7.8511050304584273</v>
      </c>
      <c r="K346" s="3">
        <f>Table9[[#This Row],[Plank]]-Table9[[#This Row],[Octane]]</f>
        <v>5.642573381462455</v>
      </c>
      <c r="L346" s="3">
        <f>Table9[[#This Row],[Batmobile]]-Table9[[#This Row],[Octane]]</f>
        <v>1.5509284643390515</v>
      </c>
      <c r="M346" s="3">
        <f>Table9[[#This Row],[Breakout]]-Table9[[#This Row],[Octane]]</f>
        <v>7.9339185628097084</v>
      </c>
      <c r="N346" s="4">
        <f>Table9[[#This Row],[Octane]]/Table9[[#This Row],[Hybrid]]</f>
        <v>0.97915680802849392</v>
      </c>
      <c r="O346" s="4">
        <f>Table9[[#This Row],[Octane]]/Table9[[#This Row],[Dominus]]</f>
        <v>0.97179327503149915</v>
      </c>
      <c r="P346" s="4">
        <f>Table9[[#This Row],[Octane]]/Table9[[#This Row],[Plank]]</f>
        <v>0.97956574573620248</v>
      </c>
      <c r="Q346" s="4">
        <f>Table9[[#This Row],[Octane]]/Table9[[#This Row],[Batmobile]]</f>
        <v>0.99429892539813736</v>
      </c>
      <c r="R346" s="4">
        <f>Table9[[#This Row],[Octane]]/Table9[[#This Row],[Breakout]]</f>
        <v>0.97150422842074369</v>
      </c>
    </row>
    <row r="347" spans="1:18">
      <c r="A347" s="1">
        <f>Octane[[#This Row],[Degrees turned]]</f>
        <v>271.43731976651986</v>
      </c>
      <c r="B347" s="1">
        <f>Hybrid[[#This Row],[Degrees turned]]</f>
        <v>277.21748468826218</v>
      </c>
      <c r="C347" s="1">
        <f>Dominus[[#This Row],[Degrees turned]]</f>
        <v>279.31889588228114</v>
      </c>
      <c r="D347" s="1">
        <f>Plank[[#This Row],[Degrees turned]]</f>
        <v>277.10374763820607</v>
      </c>
      <c r="E347" s="1">
        <f>Batmobile[[#This Row],[Degrees turned]]</f>
        <v>272.99728065288309</v>
      </c>
      <c r="F347" s="1">
        <f>Breakout[[#This Row],[Degrees turned]]</f>
        <v>279.40450786735187</v>
      </c>
      <c r="H347" s="1">
        <v>0</v>
      </c>
      <c r="I347" s="3">
        <f>Table9[[#This Row],[Hybrid]]-Table9[[#This Row],[Octane]]</f>
        <v>5.7801649217423119</v>
      </c>
      <c r="J347" s="3">
        <f>Table9[[#This Row],[Dominus]]-Table9[[#This Row],[Octane]]</f>
        <v>7.8815761157612769</v>
      </c>
      <c r="K347" s="3">
        <f>Table9[[#This Row],[Plank]]-Table9[[#This Row],[Octane]]</f>
        <v>5.66642787168621</v>
      </c>
      <c r="L347" s="3">
        <f>Table9[[#This Row],[Batmobile]]-Table9[[#This Row],[Octane]]</f>
        <v>1.5599608863632284</v>
      </c>
      <c r="M347" s="3">
        <f>Table9[[#This Row],[Breakout]]-Table9[[#This Row],[Octane]]</f>
        <v>7.9671881008320042</v>
      </c>
      <c r="N347" s="4">
        <f>Table9[[#This Row],[Octane]]/Table9[[#This Row],[Hybrid]]</f>
        <v>0.97914934937007225</v>
      </c>
      <c r="O347" s="4">
        <f>Table9[[#This Row],[Octane]]/Table9[[#This Row],[Dominus]]</f>
        <v>0.9717828753014871</v>
      </c>
      <c r="P347" s="4">
        <f>Table9[[#This Row],[Octane]]/Table9[[#This Row],[Plank]]</f>
        <v>0.97955124057331611</v>
      </c>
      <c r="Q347" s="4">
        <f>Table9[[#This Row],[Octane]]/Table9[[#This Row],[Batmobile]]</f>
        <v>0.99428580064009242</v>
      </c>
      <c r="R347" s="4">
        <f>Table9[[#This Row],[Octane]]/Table9[[#This Row],[Breakout]]</f>
        <v>0.97148511252862657</v>
      </c>
    </row>
    <row r="348" spans="1:18">
      <c r="A348" s="1">
        <f>Octane[[#This Row],[Degrees turned]]</f>
        <v>272.38387293341265</v>
      </c>
      <c r="B348" s="1">
        <f>Hybrid[[#This Row],[Degrees turned]]</f>
        <v>278.18673777205919</v>
      </c>
      <c r="C348" s="1">
        <f>Dominus[[#This Row],[Degrees turned]]</f>
        <v>280.29667411791547</v>
      </c>
      <c r="D348" s="1">
        <f>Plank[[#This Row],[Degrees turned]]</f>
        <v>278.07459578286927</v>
      </c>
      <c r="E348" s="1">
        <f>Batmobile[[#This Row],[Degrees turned]]</f>
        <v>273.95289686027979</v>
      </c>
      <c r="F348" s="1">
        <f>Breakout[[#This Row],[Degrees turned]]</f>
        <v>280.38450950449112</v>
      </c>
      <c r="H348" s="1">
        <v>0</v>
      </c>
      <c r="I348" s="3">
        <f>Table9[[#This Row],[Hybrid]]-Table9[[#This Row],[Octane]]</f>
        <v>5.802864838646542</v>
      </c>
      <c r="J348" s="3">
        <f>Table9[[#This Row],[Dominus]]-Table9[[#This Row],[Octane]]</f>
        <v>7.9128011845028254</v>
      </c>
      <c r="K348" s="3">
        <f>Table9[[#This Row],[Plank]]-Table9[[#This Row],[Octane]]</f>
        <v>5.6907228494566198</v>
      </c>
      <c r="L348" s="3">
        <f>Table9[[#This Row],[Batmobile]]-Table9[[#This Row],[Octane]]</f>
        <v>1.5690239268671462</v>
      </c>
      <c r="M348" s="3">
        <f>Table9[[#This Row],[Breakout]]-Table9[[#This Row],[Octane]]</f>
        <v>8.0006365710784735</v>
      </c>
      <c r="N348" s="4">
        <f>Table9[[#This Row],[Octane]]/Table9[[#This Row],[Hybrid]]</f>
        <v>0.97914039725574087</v>
      </c>
      <c r="O348" s="4">
        <f>Table9[[#This Row],[Octane]]/Table9[[#This Row],[Dominus]]</f>
        <v>0.97176990697658416</v>
      </c>
      <c r="P348" s="4">
        <f>Table9[[#This Row],[Octane]]/Table9[[#This Row],[Plank]]</f>
        <v>0.97953526522825496</v>
      </c>
      <c r="Q348" s="4">
        <f>Table9[[#This Row],[Octane]]/Table9[[#This Row],[Batmobile]]</f>
        <v>0.99427265071897608</v>
      </c>
      <c r="R348" s="4">
        <f>Table9[[#This Row],[Octane]]/Table9[[#This Row],[Breakout]]</f>
        <v>0.97146548293549606</v>
      </c>
    </row>
    <row r="349" spans="1:18">
      <c r="A349" s="1">
        <f>Octane[[#This Row],[Degrees turned]]</f>
        <v>273.33027308010736</v>
      </c>
      <c r="B349" s="1">
        <f>Hybrid[[#This Row],[Degrees turned]]</f>
        <v>279.15632556188064</v>
      </c>
      <c r="C349" s="1">
        <f>Dominus[[#This Row],[Degrees turned]]</f>
        <v>281.27416208566541</v>
      </c>
      <c r="D349" s="1">
        <f>Plank[[#This Row],[Degrees turned]]</f>
        <v>279.04521709927349</v>
      </c>
      <c r="E349" s="1">
        <f>Batmobile[[#This Row],[Degrees turned]]</f>
        <v>274.90849739861466</v>
      </c>
      <c r="F349" s="1">
        <f>Breakout[[#This Row],[Degrees turned]]</f>
        <v>281.36435725753546</v>
      </c>
      <c r="H349" s="1">
        <v>0</v>
      </c>
      <c r="I349" s="3">
        <f>Table9[[#This Row],[Hybrid]]-Table9[[#This Row],[Octane]]</f>
        <v>5.8260524817732744</v>
      </c>
      <c r="J349" s="3">
        <f>Table9[[#This Row],[Dominus]]-Table9[[#This Row],[Octane]]</f>
        <v>7.9438890055580487</v>
      </c>
      <c r="K349" s="3">
        <f>Table9[[#This Row],[Plank]]-Table9[[#This Row],[Octane]]</f>
        <v>5.7149440191661256</v>
      </c>
      <c r="L349" s="3">
        <f>Table9[[#This Row],[Batmobile]]-Table9[[#This Row],[Octane]]</f>
        <v>1.5782243185072957</v>
      </c>
      <c r="M349" s="3">
        <f>Table9[[#This Row],[Breakout]]-Table9[[#This Row],[Octane]]</f>
        <v>8.0340841774280989</v>
      </c>
      <c r="N349" s="4">
        <f>Table9[[#This Row],[Octane]]/Table9[[#This Row],[Hybrid]]</f>
        <v>0.97912978518381522</v>
      </c>
      <c r="O349" s="4">
        <f>Table9[[#This Row],[Octane]]/Table9[[#This Row],[Dominus]]</f>
        <v>0.97175748761758418</v>
      </c>
      <c r="P349" s="4">
        <f>Table9[[#This Row],[Octane]]/Table9[[#This Row],[Plank]]</f>
        <v>0.97951964889929299</v>
      </c>
      <c r="Q349" s="4">
        <f>Table9[[#This Row],[Octane]]/Table9[[#This Row],[Batmobile]]</f>
        <v>0.99425909226727582</v>
      </c>
      <c r="R349" s="4">
        <f>Table9[[#This Row],[Octane]]/Table9[[#This Row],[Breakout]]</f>
        <v>0.97144597753696849</v>
      </c>
    </row>
    <row r="350" spans="1:18">
      <c r="A350" s="1">
        <f>Octane[[#This Row],[Degrees turned]]</f>
        <v>274.27704488970585</v>
      </c>
      <c r="B350" s="1">
        <f>Hybrid[[#This Row],[Degrees turned]]</f>
        <v>280.12564712431879</v>
      </c>
      <c r="C350" s="1">
        <f>Dominus[[#This Row],[Degrees turned]]</f>
        <v>282.25166725900817</v>
      </c>
      <c r="D350" s="1">
        <f>Plank[[#This Row],[Degrees turned]]</f>
        <v>280.01612083357577</v>
      </c>
      <c r="E350" s="1">
        <f>Batmobile[[#This Row],[Degrees turned]]</f>
        <v>275.86388796085896</v>
      </c>
      <c r="F350" s="1">
        <f>Breakout[[#This Row],[Degrees turned]]</f>
        <v>282.34401611092204</v>
      </c>
      <c r="H350" s="1">
        <v>0</v>
      </c>
      <c r="I350" s="3">
        <f>Table9[[#This Row],[Hybrid]]-Table9[[#This Row],[Octane]]</f>
        <v>5.8486022346129403</v>
      </c>
      <c r="J350" s="3">
        <f>Table9[[#This Row],[Dominus]]-Table9[[#This Row],[Octane]]</f>
        <v>7.9746223693023239</v>
      </c>
      <c r="K350" s="3">
        <f>Table9[[#This Row],[Plank]]-Table9[[#This Row],[Octane]]</f>
        <v>5.7390759438699206</v>
      </c>
      <c r="L350" s="3">
        <f>Table9[[#This Row],[Batmobile]]-Table9[[#This Row],[Octane]]</f>
        <v>1.5868430711531119</v>
      </c>
      <c r="M350" s="3">
        <f>Table9[[#This Row],[Breakout]]-Table9[[#This Row],[Octane]]</f>
        <v>8.0669712212161926</v>
      </c>
      <c r="N350" s="4">
        <f>Table9[[#This Row],[Octane]]/Table9[[#This Row],[Hybrid]]</f>
        <v>0.97912150388708485</v>
      </c>
      <c r="O350" s="4">
        <f>Table9[[#This Row],[Octane]]/Table9[[#This Row],[Dominus]]</f>
        <v>0.97174641182195598</v>
      </c>
      <c r="P350" s="4">
        <f>Table9[[#This Row],[Octane]]/Table9[[#This Row],[Plank]]</f>
        <v>0.97950448021783409</v>
      </c>
      <c r="Q350" s="4">
        <f>Table9[[#This Row],[Octane]]/Table9[[#This Row],[Batmobile]]</f>
        <v>0.99424773179671033</v>
      </c>
      <c r="R350" s="4">
        <f>Table9[[#This Row],[Octane]]/Table9[[#This Row],[Breakout]]</f>
        <v>0.97142857379330116</v>
      </c>
    </row>
    <row r="351" spans="1:18">
      <c r="A351" s="1">
        <f>Octane[[#This Row],[Degrees turned]]</f>
        <v>275.22373763723101</v>
      </c>
      <c r="B351" s="1">
        <f>Hybrid[[#This Row],[Degrees turned]]</f>
        <v>281.09528728141504</v>
      </c>
      <c r="C351" s="1">
        <f>Dominus[[#This Row],[Degrees turned]]</f>
        <v>283.22899005348381</v>
      </c>
      <c r="D351" s="1">
        <f>Plank[[#This Row],[Degrees turned]]</f>
        <v>280.98677243739309</v>
      </c>
      <c r="E351" s="1">
        <f>Batmobile[[#This Row],[Degrees turned]]</f>
        <v>276.81952588608567</v>
      </c>
      <c r="F351" s="1">
        <f>Breakout[[#This Row],[Degrees turned]]</f>
        <v>283.32376561596612</v>
      </c>
      <c r="H351" s="1">
        <v>0</v>
      </c>
      <c r="I351" s="3">
        <f>Table9[[#This Row],[Hybrid]]-Table9[[#This Row],[Octane]]</f>
        <v>5.8715496441840287</v>
      </c>
      <c r="J351" s="3">
        <f>Table9[[#This Row],[Dominus]]-Table9[[#This Row],[Octane]]</f>
        <v>8.0052524162528016</v>
      </c>
      <c r="K351" s="3">
        <f>Table9[[#This Row],[Plank]]-Table9[[#This Row],[Octane]]</f>
        <v>5.7630348001620746</v>
      </c>
      <c r="L351" s="3">
        <f>Table9[[#This Row],[Batmobile]]-Table9[[#This Row],[Octane]]</f>
        <v>1.5957882488546602</v>
      </c>
      <c r="M351" s="3">
        <f>Table9[[#This Row],[Breakout]]-Table9[[#This Row],[Octane]]</f>
        <v>8.1000279787351133</v>
      </c>
      <c r="N351" s="4">
        <f>Table9[[#This Row],[Octane]]/Table9[[#This Row],[Hybrid]]</f>
        <v>0.979111888708736</v>
      </c>
      <c r="O351" s="4">
        <f>Table9[[#This Row],[Octane]]/Table9[[#This Row],[Dominus]]</f>
        <v>0.97173575905933529</v>
      </c>
      <c r="P351" s="4">
        <f>Table9[[#This Row],[Octane]]/Table9[[#This Row],[Plank]]</f>
        <v>0.97949001388865686</v>
      </c>
      <c r="Q351" s="4">
        <f>Table9[[#This Row],[Octane]]/Table9[[#This Row],[Batmobile]]</f>
        <v>0.99423527569543146</v>
      </c>
      <c r="R351" s="4">
        <f>Table9[[#This Row],[Octane]]/Table9[[#This Row],[Breakout]]</f>
        <v>0.97141070054209866</v>
      </c>
    </row>
    <row r="352" spans="1:18">
      <c r="A352" s="1">
        <f>Octane[[#This Row],[Degrees turned]]</f>
        <v>276.17034292872603</v>
      </c>
      <c r="B352" s="1">
        <f>Hybrid[[#This Row],[Degrees turned]]</f>
        <v>282.06479915765931</v>
      </c>
      <c r="C352" s="1">
        <f>Dominus[[#This Row],[Degrees turned]]</f>
        <v>284.20650269504648</v>
      </c>
      <c r="D352" s="1">
        <f>Plank[[#This Row],[Degrees turned]]</f>
        <v>281.95723818919339</v>
      </c>
      <c r="E352" s="1">
        <f>Batmobile[[#This Row],[Degrees turned]]</f>
        <v>277.77521990741633</v>
      </c>
      <c r="F352" s="1">
        <f>Breakout[[#This Row],[Degrees turned]]</f>
        <v>284.30357480679351</v>
      </c>
      <c r="H352" s="1">
        <v>0</v>
      </c>
      <c r="I352" s="3">
        <f>Table9[[#This Row],[Hybrid]]-Table9[[#This Row],[Octane]]</f>
        <v>5.8944562289332794</v>
      </c>
      <c r="J352" s="3">
        <f>Table9[[#This Row],[Dominus]]-Table9[[#This Row],[Octane]]</f>
        <v>8.036159766320452</v>
      </c>
      <c r="K352" s="3">
        <f>Table9[[#This Row],[Plank]]-Table9[[#This Row],[Octane]]</f>
        <v>5.7868952604673609</v>
      </c>
      <c r="L352" s="3">
        <f>Table9[[#This Row],[Batmobile]]-Table9[[#This Row],[Octane]]</f>
        <v>1.6048769786902994</v>
      </c>
      <c r="M352" s="3">
        <f>Table9[[#This Row],[Breakout]]-Table9[[#This Row],[Octane]]</f>
        <v>8.1332318780674768</v>
      </c>
      <c r="N352" s="4">
        <f>Table9[[#This Row],[Octane]]/Table9[[#This Row],[Hybrid]]</f>
        <v>0.97910247486912183</v>
      </c>
      <c r="O352" s="4">
        <f>Table9[[#This Row],[Octane]]/Table9[[#This Row],[Dominus]]</f>
        <v>0.97172422273904391</v>
      </c>
      <c r="P352" s="4">
        <f>Table9[[#This Row],[Octane]]/Table9[[#This Row],[Plank]]</f>
        <v>0.97947598260774438</v>
      </c>
      <c r="Q352" s="4">
        <f>Table9[[#This Row],[Octane]]/Table9[[#This Row],[Batmobile]]</f>
        <v>0.99422238967455334</v>
      </c>
      <c r="R352" s="4">
        <f>Table9[[#This Row],[Octane]]/Table9[[#This Row],[Breakout]]</f>
        <v>0.97139243893224125</v>
      </c>
    </row>
    <row r="353" spans="1:18">
      <c r="A353" s="1">
        <f>Octane[[#This Row],[Degrees turned]]</f>
        <v>277.11689557112675</v>
      </c>
      <c r="B353" s="1">
        <f>Hybrid[[#This Row],[Degrees turned]]</f>
        <v>283.03418808887506</v>
      </c>
      <c r="C353" s="1">
        <f>Dominus[[#This Row],[Degrees turned]]</f>
        <v>285.18397430652078</v>
      </c>
      <c r="D353" s="1">
        <f>Plank[[#This Row],[Degrees turned]]</f>
        <v>282.92826387021807</v>
      </c>
      <c r="E353" s="1">
        <f>Batmobile[[#This Row],[Degrees turned]]</f>
        <v>278.73100417633509</v>
      </c>
      <c r="F353" s="1">
        <f>Breakout[[#This Row],[Degrees turned]]</f>
        <v>285.28354621875866</v>
      </c>
      <c r="H353" s="1">
        <v>0</v>
      </c>
      <c r="I353" s="3">
        <f>Table9[[#This Row],[Hybrid]]-Table9[[#This Row],[Octane]]</f>
        <v>5.917292517748308</v>
      </c>
      <c r="J353" s="3">
        <f>Table9[[#This Row],[Dominus]]-Table9[[#This Row],[Octane]]</f>
        <v>8.0670787353940341</v>
      </c>
      <c r="K353" s="3">
        <f>Table9[[#This Row],[Plank]]-Table9[[#This Row],[Octane]]</f>
        <v>5.8113682990913276</v>
      </c>
      <c r="L353" s="3">
        <f>Table9[[#This Row],[Batmobile]]-Table9[[#This Row],[Octane]]</f>
        <v>1.6141086052083438</v>
      </c>
      <c r="M353" s="3">
        <f>Table9[[#This Row],[Breakout]]-Table9[[#This Row],[Octane]]</f>
        <v>8.1666506476319114</v>
      </c>
      <c r="N353" s="4">
        <f>Table9[[#This Row],[Octane]]/Table9[[#This Row],[Hybrid]]</f>
        <v>0.97909336480619713</v>
      </c>
      <c r="O353" s="4">
        <f>Table9[[#This Row],[Octane]]/Table9[[#This Row],[Dominus]]</f>
        <v>0.97171272069192993</v>
      </c>
      <c r="P353" s="4">
        <f>Table9[[#This Row],[Octane]]/Table9[[#This Row],[Plank]]</f>
        <v>0.9794599230928831</v>
      </c>
      <c r="Q353" s="4">
        <f>Table9[[#This Row],[Octane]]/Table9[[#This Row],[Batmobile]]</f>
        <v>0.99420908122518292</v>
      </c>
      <c r="R353" s="4">
        <f>Table9[[#This Row],[Octane]]/Table9[[#This Row],[Breakout]]</f>
        <v>0.97137356585798451</v>
      </c>
    </row>
    <row r="354" spans="1:18">
      <c r="A354" s="1">
        <f>Octane[[#This Row],[Degrees turned]]</f>
        <v>278.06362178093894</v>
      </c>
      <c r="B354" s="1">
        <f>Hybrid[[#This Row],[Degrees turned]]</f>
        <v>284.00368954833567</v>
      </c>
      <c r="C354" s="1">
        <f>Dominus[[#This Row],[Degrees turned]]</f>
        <v>286.16178446570564</v>
      </c>
      <c r="D354" s="1">
        <f>Plank[[#This Row],[Degrees turned]]</f>
        <v>283.89935221613729</v>
      </c>
      <c r="E354" s="1">
        <f>Batmobile[[#This Row],[Degrees turned]]</f>
        <v>279.68640340861248</v>
      </c>
      <c r="F354" s="1">
        <f>Breakout[[#This Row],[Degrees turned]]</f>
        <v>286.26369658015983</v>
      </c>
      <c r="H354" s="1">
        <v>0</v>
      </c>
      <c r="I354" s="3">
        <f>Table9[[#This Row],[Hybrid]]-Table9[[#This Row],[Octane]]</f>
        <v>5.9400677673967266</v>
      </c>
      <c r="J354" s="3">
        <f>Table9[[#This Row],[Dominus]]-Table9[[#This Row],[Octane]]</f>
        <v>8.0981626847666917</v>
      </c>
      <c r="K354" s="3">
        <f>Table9[[#This Row],[Plank]]-Table9[[#This Row],[Octane]]</f>
        <v>5.835730435198343</v>
      </c>
      <c r="L354" s="3">
        <f>Table9[[#This Row],[Batmobile]]-Table9[[#This Row],[Octane]]</f>
        <v>1.6227816276735325</v>
      </c>
      <c r="M354" s="3">
        <f>Table9[[#This Row],[Breakout]]-Table9[[#This Row],[Octane]]</f>
        <v>8.2000747992208858</v>
      </c>
      <c r="N354" s="4">
        <f>Table9[[#This Row],[Octane]]/Table9[[#This Row],[Hybrid]]</f>
        <v>0.97908454014508228</v>
      </c>
      <c r="O354" s="4">
        <f>Table9[[#This Row],[Octane]]/Table9[[#This Row],[Dominus]]</f>
        <v>0.97170075417342394</v>
      </c>
      <c r="P354" s="4">
        <f>Table9[[#This Row],[Octane]]/Table9[[#This Row],[Plank]]</f>
        <v>0.97944436861287554</v>
      </c>
      <c r="Q354" s="4">
        <f>Table9[[#This Row],[Octane]]/Table9[[#This Row],[Batmobile]]</f>
        <v>0.99419785299572572</v>
      </c>
      <c r="R354" s="4">
        <f>Table9[[#This Row],[Octane]]/Table9[[#This Row],[Breakout]]</f>
        <v>0.9713548211066132</v>
      </c>
    </row>
    <row r="355" spans="1:18">
      <c r="A355" s="1">
        <f>Octane[[#This Row],[Degrees turned]]</f>
        <v>279.01039675891553</v>
      </c>
      <c r="B355" s="1">
        <f>Hybrid[[#This Row],[Degrees turned]]</f>
        <v>284.97307036991214</v>
      </c>
      <c r="C355" s="1">
        <f>Dominus[[#This Row],[Degrees turned]]</f>
        <v>287.13906741167079</v>
      </c>
      <c r="D355" s="1">
        <f>Plank[[#This Row],[Degrees turned]]</f>
        <v>284.86976947372875</v>
      </c>
      <c r="E355" s="1">
        <f>Batmobile[[#This Row],[Degrees turned]]</f>
        <v>280.64216084445303</v>
      </c>
      <c r="F355" s="1">
        <f>Breakout[[#This Row],[Degrees turned]]</f>
        <v>287.24338717447239</v>
      </c>
      <c r="H355" s="1">
        <v>0</v>
      </c>
      <c r="I355" s="3">
        <f>Table9[[#This Row],[Hybrid]]-Table9[[#This Row],[Octane]]</f>
        <v>5.9626736109966032</v>
      </c>
      <c r="J355" s="3">
        <f>Table9[[#This Row],[Dominus]]-Table9[[#This Row],[Octane]]</f>
        <v>8.128670652755261</v>
      </c>
      <c r="K355" s="3">
        <f>Table9[[#This Row],[Plank]]-Table9[[#This Row],[Octane]]</f>
        <v>5.8593727148132189</v>
      </c>
      <c r="L355" s="3">
        <f>Table9[[#This Row],[Batmobile]]-Table9[[#This Row],[Octane]]</f>
        <v>1.6317640855374975</v>
      </c>
      <c r="M355" s="3">
        <f>Table9[[#This Row],[Breakout]]-Table9[[#This Row],[Octane]]</f>
        <v>8.2329904155568556</v>
      </c>
      <c r="N355" s="4">
        <f>Table9[[#This Row],[Octane]]/Table9[[#This Row],[Hybrid]]</f>
        <v>0.97907636113385488</v>
      </c>
      <c r="O355" s="4">
        <f>Table9[[#This Row],[Octane]]/Table9[[#This Row],[Dominus]]</f>
        <v>0.97169082310523358</v>
      </c>
      <c r="P355" s="4">
        <f>Table9[[#This Row],[Octane]]/Table9[[#This Row],[Plank]]</f>
        <v>0.97943139868565943</v>
      </c>
      <c r="Q355" s="4">
        <f>Table9[[#This Row],[Octane]]/Table9[[#This Row],[Batmobile]]</f>
        <v>0.99418560603785433</v>
      </c>
      <c r="R355" s="4">
        <f>Table9[[#This Row],[Octane]]/Table9[[#This Row],[Breakout]]</f>
        <v>0.97133792879779646</v>
      </c>
    </row>
    <row r="356" spans="1:18">
      <c r="A356" s="1">
        <f>Octane[[#This Row],[Degrees turned]]</f>
        <v>279.95686907435032</v>
      </c>
      <c r="B356" s="1">
        <f>Hybrid[[#This Row],[Degrees turned]]</f>
        <v>285.94259917920425</v>
      </c>
      <c r="C356" s="1">
        <f>Dominus[[#This Row],[Degrees turned]]</f>
        <v>288.11680279632338</v>
      </c>
      <c r="D356" s="1">
        <f>Plank[[#This Row],[Degrees turned]]</f>
        <v>285.84027695721818</v>
      </c>
      <c r="E356" s="1">
        <f>Batmobile[[#This Row],[Degrees turned]]</f>
        <v>281.59763275912439</v>
      </c>
      <c r="F356" s="1">
        <f>Breakout[[#This Row],[Degrees turned]]</f>
        <v>288.22356282249649</v>
      </c>
      <c r="H356" s="1">
        <v>0</v>
      </c>
      <c r="I356" s="3">
        <f>Table9[[#This Row],[Hybrid]]-Table9[[#This Row],[Octane]]</f>
        <v>5.9857301048539284</v>
      </c>
      <c r="J356" s="3">
        <f>Table9[[#This Row],[Dominus]]-Table9[[#This Row],[Octane]]</f>
        <v>8.1599337219730614</v>
      </c>
      <c r="K356" s="3">
        <f>Table9[[#This Row],[Plank]]-Table9[[#This Row],[Octane]]</f>
        <v>5.8834078828678571</v>
      </c>
      <c r="L356" s="3">
        <f>Table9[[#This Row],[Batmobile]]-Table9[[#This Row],[Octane]]</f>
        <v>1.6407636847740719</v>
      </c>
      <c r="M356" s="3">
        <f>Table9[[#This Row],[Breakout]]-Table9[[#This Row],[Octane]]</f>
        <v>8.2666937481461673</v>
      </c>
      <c r="N356" s="4">
        <f>Table9[[#This Row],[Octane]]/Table9[[#This Row],[Hybrid]]</f>
        <v>0.97906667239496348</v>
      </c>
      <c r="O356" s="4">
        <f>Table9[[#This Row],[Octane]]/Table9[[#This Row],[Dominus]]</f>
        <v>0.97167838306278331</v>
      </c>
      <c r="P356" s="4">
        <f>Table9[[#This Row],[Octane]]/Table9[[#This Row],[Plank]]</f>
        <v>0.97941714881647546</v>
      </c>
      <c r="Q356" s="4">
        <f>Table9[[#This Row],[Octane]]/Table9[[#This Row],[Batmobile]]</f>
        <v>0.99417337543395623</v>
      </c>
      <c r="R356" s="4">
        <f>Table9[[#This Row],[Octane]]/Table9[[#This Row],[Breakout]]</f>
        <v>0.9713184665847836</v>
      </c>
    </row>
    <row r="357" spans="1:18">
      <c r="A357" s="1">
        <f>Octane[[#This Row],[Degrees turned]]</f>
        <v>280.9035490763348</v>
      </c>
      <c r="B357" s="1">
        <f>Hybrid[[#This Row],[Degrees turned]]</f>
        <v>286.91242426795111</v>
      </c>
      <c r="C357" s="1">
        <f>Dominus[[#This Row],[Degrees turned]]</f>
        <v>289.09420993103981</v>
      </c>
      <c r="D357" s="1">
        <f>Plank[[#This Row],[Degrees turned]]</f>
        <v>286.81094648589567</v>
      </c>
      <c r="E357" s="1">
        <f>Batmobile[[#This Row],[Degrees turned]]</f>
        <v>282.55349757593615</v>
      </c>
      <c r="F357" s="1">
        <f>Breakout[[#This Row],[Degrees turned]]</f>
        <v>289.20338826166085</v>
      </c>
      <c r="H357" s="1">
        <v>0</v>
      </c>
      <c r="I357" s="3">
        <f>Table9[[#This Row],[Hybrid]]-Table9[[#This Row],[Octane]]</f>
        <v>6.0088751916163119</v>
      </c>
      <c r="J357" s="3">
        <f>Table9[[#This Row],[Dominus]]-Table9[[#This Row],[Octane]]</f>
        <v>8.1906608547050155</v>
      </c>
      <c r="K357" s="3">
        <f>Table9[[#This Row],[Plank]]-Table9[[#This Row],[Octane]]</f>
        <v>5.9073974095608719</v>
      </c>
      <c r="L357" s="3">
        <f>Table9[[#This Row],[Batmobile]]-Table9[[#This Row],[Octane]]</f>
        <v>1.6499484996013507</v>
      </c>
      <c r="M357" s="3">
        <f>Table9[[#This Row],[Breakout]]-Table9[[#This Row],[Octane]]</f>
        <v>8.29983918532605</v>
      </c>
      <c r="N357" s="4">
        <f>Table9[[#This Row],[Octane]]/Table9[[#This Row],[Hybrid]]</f>
        <v>0.97905676198251856</v>
      </c>
      <c r="O357" s="4">
        <f>Table9[[#This Row],[Octane]]/Table9[[#This Row],[Dominus]]</f>
        <v>0.97166784884187474</v>
      </c>
      <c r="P357" s="4">
        <f>Table9[[#This Row],[Octane]]/Table9[[#This Row],[Plank]]</f>
        <v>0.97940316615547529</v>
      </c>
      <c r="Q357" s="4">
        <f>Table9[[#This Row],[Octane]]/Table9[[#This Row],[Batmobile]]</f>
        <v>0.99416058016001752</v>
      </c>
      <c r="R357" s="4">
        <f>Table9[[#This Row],[Octane]]/Table9[[#This Row],[Breakout]]</f>
        <v>0.97130103061649942</v>
      </c>
    </row>
    <row r="358" spans="1:18">
      <c r="A358" s="1">
        <f>Octane[[#This Row],[Degrees turned]]</f>
        <v>281.84978696934661</v>
      </c>
      <c r="B358" s="1">
        <f>Hybrid[[#This Row],[Degrees turned]]</f>
        <v>287.8817046611158</v>
      </c>
      <c r="C358" s="1">
        <f>Dominus[[#This Row],[Degrees turned]]</f>
        <v>290.0720730097139</v>
      </c>
      <c r="D358" s="1">
        <f>Plank[[#This Row],[Degrees turned]]</f>
        <v>287.78188281583851</v>
      </c>
      <c r="E358" s="1">
        <f>Batmobile[[#This Row],[Degrees turned]]</f>
        <v>283.50920874387765</v>
      </c>
      <c r="F358" s="1">
        <f>Breakout[[#This Row],[Degrees turned]]</f>
        <v>290.18309902209262</v>
      </c>
      <c r="H358" s="1">
        <v>0</v>
      </c>
      <c r="I358" s="3">
        <f>Table9[[#This Row],[Hybrid]]-Table9[[#This Row],[Octane]]</f>
        <v>6.0319176917691948</v>
      </c>
      <c r="J358" s="3">
        <f>Table9[[#This Row],[Dominus]]-Table9[[#This Row],[Octane]]</f>
        <v>8.2222860403672939</v>
      </c>
      <c r="K358" s="3">
        <f>Table9[[#This Row],[Plank]]-Table9[[#This Row],[Octane]]</f>
        <v>5.9320958464919045</v>
      </c>
      <c r="L358" s="3">
        <f>Table9[[#This Row],[Batmobile]]-Table9[[#This Row],[Octane]]</f>
        <v>1.6594217745310402</v>
      </c>
      <c r="M358" s="3">
        <f>Table9[[#This Row],[Breakout]]-Table9[[#This Row],[Octane]]</f>
        <v>8.3333120527460096</v>
      </c>
      <c r="N358" s="4">
        <f>Table9[[#This Row],[Octane]]/Table9[[#This Row],[Hybrid]]</f>
        <v>0.97904723504791746</v>
      </c>
      <c r="O358" s="4">
        <f>Table9[[#This Row],[Octane]]/Table9[[#This Row],[Dominus]]</f>
        <v>0.97165433419682579</v>
      </c>
      <c r="P358" s="4">
        <f>Table9[[#This Row],[Octane]]/Table9[[#This Row],[Plank]]</f>
        <v>0.97938683356836587</v>
      </c>
      <c r="Q358" s="4">
        <f>Table9[[#This Row],[Octane]]/Table9[[#This Row],[Batmobile]]</f>
        <v>0.99414685053129914</v>
      </c>
      <c r="R358" s="4">
        <f>Table9[[#This Row],[Octane]]/Table9[[#This Row],[Breakout]]</f>
        <v>0.97128257269003948</v>
      </c>
    </row>
    <row r="359" spans="1:18">
      <c r="A359" s="1">
        <f>Octane[[#This Row],[Degrees turned]]</f>
        <v>282.79660260876727</v>
      </c>
      <c r="B359" s="1">
        <f>Hybrid[[#This Row],[Degrees turned]]</f>
        <v>288.85134519174284</v>
      </c>
      <c r="C359" s="1">
        <f>Dominus[[#This Row],[Degrees turned]]</f>
        <v>291.04968818306509</v>
      </c>
      <c r="D359" s="1">
        <f>Plank[[#This Row],[Degrees turned]]</f>
        <v>288.7525204576454</v>
      </c>
      <c r="E359" s="1">
        <f>Batmobile[[#This Row],[Degrees turned]]</f>
        <v>284.46480013867722</v>
      </c>
      <c r="F359" s="1">
        <f>Breakout[[#This Row],[Degrees turned]]</f>
        <v>291.1632140023292</v>
      </c>
      <c r="H359" s="1">
        <v>0</v>
      </c>
      <c r="I359" s="3">
        <f>Table9[[#This Row],[Hybrid]]-Table9[[#This Row],[Octane]]</f>
        <v>6.0547425829755639</v>
      </c>
      <c r="J359" s="3">
        <f>Table9[[#This Row],[Dominus]]-Table9[[#This Row],[Octane]]</f>
        <v>8.2530855742978133</v>
      </c>
      <c r="K359" s="3">
        <f>Table9[[#This Row],[Plank]]-Table9[[#This Row],[Octane]]</f>
        <v>5.9559178488781299</v>
      </c>
      <c r="L359" s="3">
        <f>Table9[[#This Row],[Batmobile]]-Table9[[#This Row],[Octane]]</f>
        <v>1.6681975299099463</v>
      </c>
      <c r="M359" s="3">
        <f>Table9[[#This Row],[Breakout]]-Table9[[#This Row],[Octane]]</f>
        <v>8.3666113935619251</v>
      </c>
      <c r="N359" s="4">
        <f>Table9[[#This Row],[Octane]]/Table9[[#This Row],[Hybrid]]</f>
        <v>0.97903855154644903</v>
      </c>
      <c r="O359" s="4">
        <f>Table9[[#This Row],[Octane]]/Table9[[#This Row],[Dominus]]</f>
        <v>0.97164372301575264</v>
      </c>
      <c r="P359" s="4">
        <f>Table9[[#This Row],[Octane]]/Table9[[#This Row],[Plank]]</f>
        <v>0.97937362472390344</v>
      </c>
      <c r="Q359" s="4">
        <f>Table9[[#This Row],[Octane]]/Table9[[#This Row],[Batmobile]]</f>
        <v>0.99413566272840548</v>
      </c>
      <c r="R359" s="4">
        <f>Table9[[#This Row],[Octane]]/Table9[[#This Row],[Breakout]]</f>
        <v>0.97126487484955781</v>
      </c>
    </row>
    <row r="360" spans="1:18">
      <c r="A360" s="1">
        <f>Octane[[#This Row],[Degrees turned]]</f>
        <v>283.74310293876681</v>
      </c>
      <c r="B360" s="1">
        <f>Hybrid[[#This Row],[Degrees turned]]</f>
        <v>289.82060336212578</v>
      </c>
      <c r="C360" s="1">
        <f>Dominus[[#This Row],[Degrees turned]]</f>
        <v>292.02743871240449</v>
      </c>
      <c r="D360" s="1">
        <f>Plank[[#This Row],[Degrees turned]]</f>
        <v>289.72353777866215</v>
      </c>
      <c r="E360" s="1">
        <f>Batmobile[[#This Row],[Degrees turned]]</f>
        <v>285.42039874180529</v>
      </c>
      <c r="F360" s="1">
        <f>Breakout[[#This Row],[Degrees turned]]</f>
        <v>292.14350700953815</v>
      </c>
      <c r="H360" s="1">
        <v>0</v>
      </c>
      <c r="I360" s="3">
        <f>Table9[[#This Row],[Hybrid]]-Table9[[#This Row],[Octane]]</f>
        <v>6.0775004233589698</v>
      </c>
      <c r="J360" s="3">
        <f>Table9[[#This Row],[Dominus]]-Table9[[#This Row],[Octane]]</f>
        <v>8.2843357736376788</v>
      </c>
      <c r="K360" s="3">
        <f>Table9[[#This Row],[Plank]]-Table9[[#This Row],[Octane]]</f>
        <v>5.980434839895338</v>
      </c>
      <c r="L360" s="3">
        <f>Table9[[#This Row],[Batmobile]]-Table9[[#This Row],[Octane]]</f>
        <v>1.6772958030384757</v>
      </c>
      <c r="M360" s="3">
        <f>Table9[[#This Row],[Breakout]]-Table9[[#This Row],[Octane]]</f>
        <v>8.4004040707713443</v>
      </c>
      <c r="N360" s="4">
        <f>Table9[[#This Row],[Octane]]/Table9[[#This Row],[Hybrid]]</f>
        <v>0.97903012983598947</v>
      </c>
      <c r="O360" s="4">
        <f>Table9[[#This Row],[Octane]]/Table9[[#This Row],[Dominus]]</f>
        <v>0.97163165279891284</v>
      </c>
      <c r="P360" s="4">
        <f>Table9[[#This Row],[Octane]]/Table9[[#This Row],[Plank]]</f>
        <v>0.9793581326331029</v>
      </c>
      <c r="Q360" s="4">
        <f>Table9[[#This Row],[Octane]]/Table9[[#This Row],[Batmobile]]</f>
        <v>0.99412342001331244</v>
      </c>
      <c r="R360" s="4">
        <f>Table9[[#This Row],[Octane]]/Table9[[#This Row],[Breakout]]</f>
        <v>0.97124562460155217</v>
      </c>
    </row>
    <row r="361" spans="1:18">
      <c r="A361" s="1">
        <f>Octane[[#This Row],[Degrees turned]]</f>
        <v>284.68945326307943</v>
      </c>
      <c r="B361" s="1">
        <f>Hybrid[[#This Row],[Degrees turned]]</f>
        <v>290.78982819261682</v>
      </c>
      <c r="C361" s="1">
        <f>Dominus[[#This Row],[Degrees turned]]</f>
        <v>293.00499612873085</v>
      </c>
      <c r="D361" s="1">
        <f>Plank[[#This Row],[Degrees turned]]</f>
        <v>290.69425263851997</v>
      </c>
      <c r="E361" s="1">
        <f>Batmobile[[#This Row],[Degrees turned]]</f>
        <v>286.37614815343881</v>
      </c>
      <c r="F361" s="1">
        <f>Breakout[[#This Row],[Degrees turned]]</f>
        <v>293.12373313618662</v>
      </c>
      <c r="H361" s="1">
        <v>0</v>
      </c>
      <c r="I361" s="3">
        <f>Table9[[#This Row],[Hybrid]]-Table9[[#This Row],[Octane]]</f>
        <v>6.100374929537395</v>
      </c>
      <c r="J361" s="3">
        <f>Table9[[#This Row],[Dominus]]-Table9[[#This Row],[Octane]]</f>
        <v>8.3155428656514232</v>
      </c>
      <c r="K361" s="3">
        <f>Table9[[#This Row],[Plank]]-Table9[[#This Row],[Octane]]</f>
        <v>6.0047993754405411</v>
      </c>
      <c r="L361" s="3">
        <f>Table9[[#This Row],[Batmobile]]-Table9[[#This Row],[Octane]]</f>
        <v>1.6866948903593766</v>
      </c>
      <c r="M361" s="3">
        <f>Table9[[#This Row],[Breakout]]-Table9[[#This Row],[Octane]]</f>
        <v>8.4342798731071866</v>
      </c>
      <c r="N361" s="4">
        <f>Table9[[#This Row],[Octane]]/Table9[[#This Row],[Hybrid]]</f>
        <v>0.97902136065950507</v>
      </c>
      <c r="O361" s="4">
        <f>Table9[[#This Row],[Octane]]/Table9[[#This Row],[Dominus]]</f>
        <v>0.97161979155468725</v>
      </c>
      <c r="P361" s="4">
        <f>Table9[[#This Row],[Octane]]/Table9[[#This Row],[Plank]]</f>
        <v>0.97934324699942543</v>
      </c>
      <c r="Q361" s="4">
        <f>Table9[[#This Row],[Octane]]/Table9[[#This Row],[Batmobile]]</f>
        <v>0.99411021168754721</v>
      </c>
      <c r="R361" s="4">
        <f>Table9[[#This Row],[Octane]]/Table9[[#This Row],[Breakout]]</f>
        <v>0.97122621296178502</v>
      </c>
    </row>
    <row r="362" spans="1:18">
      <c r="A362" s="1">
        <f>Octane[[#This Row],[Degrees turned]]</f>
        <v>285.63574880881583</v>
      </c>
      <c r="B362" s="1">
        <f>Hybrid[[#This Row],[Degrees turned]]</f>
        <v>291.75942403139857</v>
      </c>
      <c r="C362" s="1">
        <f>Dominus[[#This Row],[Degrees turned]]</f>
        <v>293.98280394327043</v>
      </c>
      <c r="D362" s="1">
        <f>Plank[[#This Row],[Degrees turned]]</f>
        <v>291.6648413323104</v>
      </c>
      <c r="E362" s="1">
        <f>Batmobile[[#This Row],[Degrees turned]]</f>
        <v>287.33190182636395</v>
      </c>
      <c r="F362" s="1">
        <f>Breakout[[#This Row],[Degrees turned]]</f>
        <v>294.10333187867246</v>
      </c>
      <c r="H362" s="1">
        <v>0</v>
      </c>
      <c r="I362" s="3">
        <f>Table9[[#This Row],[Hybrid]]-Table9[[#This Row],[Octane]]</f>
        <v>6.1236752225827331</v>
      </c>
      <c r="J362" s="3">
        <f>Table9[[#This Row],[Dominus]]-Table9[[#This Row],[Octane]]</f>
        <v>8.3470551344545925</v>
      </c>
      <c r="K362" s="3">
        <f>Table9[[#This Row],[Plank]]-Table9[[#This Row],[Octane]]</f>
        <v>6.0290925234945689</v>
      </c>
      <c r="L362" s="3">
        <f>Table9[[#This Row],[Batmobile]]-Table9[[#This Row],[Octane]]</f>
        <v>1.696153017548113</v>
      </c>
      <c r="M362" s="3">
        <f>Table9[[#This Row],[Breakout]]-Table9[[#This Row],[Octane]]</f>
        <v>8.4675830698566301</v>
      </c>
      <c r="N362" s="4">
        <f>Table9[[#This Row],[Octane]]/Table9[[#This Row],[Hybrid]]</f>
        <v>0.97901121705695537</v>
      </c>
      <c r="O362" s="4">
        <f>Table9[[#This Row],[Octane]]/Table9[[#This Row],[Dominus]]</f>
        <v>0.9716069952987274</v>
      </c>
      <c r="P362" s="4">
        <f>Table9[[#This Row],[Octane]]/Table9[[#This Row],[Plank]]</f>
        <v>0.97932869626673558</v>
      </c>
      <c r="Q362" s="4">
        <f>Table9[[#This Row],[Octane]]/Table9[[#This Row],[Batmobile]]</f>
        <v>0.99409688584258527</v>
      </c>
      <c r="R362" s="4">
        <f>Table9[[#This Row],[Octane]]/Table9[[#This Row],[Breakout]]</f>
        <v>0.97120881624914812</v>
      </c>
    </row>
    <row r="363" spans="1:18">
      <c r="A363" s="1">
        <f>Octane[[#This Row],[Degrees turned]]</f>
        <v>286.58215986630387</v>
      </c>
      <c r="B363" s="1">
        <f>Hybrid[[#This Row],[Degrees turned]]</f>
        <v>292.72901716419068</v>
      </c>
      <c r="C363" s="1">
        <f>Dominus[[#This Row],[Degrees turned]]</f>
        <v>294.96000970550836</v>
      </c>
      <c r="D363" s="1">
        <f>Plank[[#This Row],[Degrees turned]]</f>
        <v>292.6354339383397</v>
      </c>
      <c r="E363" s="1">
        <f>Batmobile[[#This Row],[Degrees turned]]</f>
        <v>288.28716499919017</v>
      </c>
      <c r="F363" s="1">
        <f>Breakout[[#This Row],[Degrees turned]]</f>
        <v>295.08317651662242</v>
      </c>
      <c r="H363" s="1">
        <v>0</v>
      </c>
      <c r="I363" s="3">
        <f>Table9[[#This Row],[Hybrid]]-Table9[[#This Row],[Octane]]</f>
        <v>6.146857297886811</v>
      </c>
      <c r="J363" s="3">
        <f>Table9[[#This Row],[Dominus]]-Table9[[#This Row],[Octane]]</f>
        <v>8.3778498392044867</v>
      </c>
      <c r="K363" s="3">
        <f>Table9[[#This Row],[Plank]]-Table9[[#This Row],[Octane]]</f>
        <v>6.0532740720358333</v>
      </c>
      <c r="L363" s="3">
        <f>Table9[[#This Row],[Batmobile]]-Table9[[#This Row],[Octane]]</f>
        <v>1.7050051328862992</v>
      </c>
      <c r="M363" s="3">
        <f>Table9[[#This Row],[Breakout]]-Table9[[#This Row],[Octane]]</f>
        <v>8.5010166503185474</v>
      </c>
      <c r="N363" s="4">
        <f>Table9[[#This Row],[Octane]]/Table9[[#This Row],[Hybrid]]</f>
        <v>0.9790015443038943</v>
      </c>
      <c r="O363" s="4">
        <f>Table9[[#This Row],[Octane]]/Table9[[#This Row],[Dominus]]</f>
        <v>0.97159665865359501</v>
      </c>
      <c r="P363" s="4">
        <f>Table9[[#This Row],[Octane]]/Table9[[#This Row],[Plank]]</f>
        <v>0.97931462369211486</v>
      </c>
      <c r="Q363" s="4">
        <f>Table9[[#This Row],[Octane]]/Table9[[#This Row],[Batmobile]]</f>
        <v>0.99408574040092601</v>
      </c>
      <c r="R363" s="4">
        <f>Table9[[#This Row],[Octane]]/Table9[[#This Row],[Breakout]]</f>
        <v>0.97119111719390183</v>
      </c>
    </row>
    <row r="364" spans="1:18">
      <c r="A364" s="1">
        <f>Octane[[#This Row],[Degrees turned]]</f>
        <v>287.52847472157953</v>
      </c>
      <c r="B364" s="1">
        <f>Hybrid[[#This Row],[Degrees turned]]</f>
        <v>293.69847087423392</v>
      </c>
      <c r="C364" s="1">
        <f>Dominus[[#This Row],[Degrees turned]]</f>
        <v>295.93734384561486</v>
      </c>
      <c r="D364" s="1">
        <f>Plank[[#This Row],[Degrees turned]]</f>
        <v>293.6059246563039</v>
      </c>
      <c r="E364" s="1">
        <f>Batmobile[[#This Row],[Degrees turned]]</f>
        <v>289.24270194947343</v>
      </c>
      <c r="F364" s="1">
        <f>Breakout[[#This Row],[Degrees turned]]</f>
        <v>296.06331259001092</v>
      </c>
      <c r="H364" s="1">
        <v>0</v>
      </c>
      <c r="I364" s="3">
        <f>Table9[[#This Row],[Hybrid]]-Table9[[#This Row],[Octane]]</f>
        <v>6.1699961526543916</v>
      </c>
      <c r="J364" s="3">
        <f>Table9[[#This Row],[Dominus]]-Table9[[#This Row],[Octane]]</f>
        <v>8.4088691240353342</v>
      </c>
      <c r="K364" s="3">
        <f>Table9[[#This Row],[Plank]]-Table9[[#This Row],[Octane]]</f>
        <v>6.0774499347243705</v>
      </c>
      <c r="L364" s="3">
        <f>Table9[[#This Row],[Batmobile]]-Table9[[#This Row],[Octane]]</f>
        <v>1.7142272278939004</v>
      </c>
      <c r="M364" s="3">
        <f>Table9[[#This Row],[Breakout]]-Table9[[#This Row],[Octane]]</f>
        <v>8.5348378684313957</v>
      </c>
      <c r="N364" s="4">
        <f>Table9[[#This Row],[Octane]]/Table9[[#This Row],[Hybrid]]</f>
        <v>0.97899207260327725</v>
      </c>
      <c r="O364" s="4">
        <f>Table9[[#This Row],[Octane]]/Table9[[#This Row],[Dominus]]</f>
        <v>0.97158564372186129</v>
      </c>
      <c r="P364" s="4">
        <f>Table9[[#This Row],[Octane]]/Table9[[#This Row],[Plank]]</f>
        <v>0.97930065634118713</v>
      </c>
      <c r="Q364" s="4">
        <f>Table9[[#This Row],[Octane]]/Table9[[#This Row],[Batmobile]]</f>
        <v>0.99407339505425674</v>
      </c>
      <c r="R364" s="4">
        <f>Table9[[#This Row],[Octane]]/Table9[[#This Row],[Breakout]]</f>
        <v>0.97117225436084187</v>
      </c>
    </row>
    <row r="365" spans="1:18">
      <c r="A365" s="1">
        <f>Octane[[#This Row],[Degrees turned]]</f>
        <v>288.47492879754412</v>
      </c>
      <c r="B365" s="1">
        <f>Hybrid[[#This Row],[Degrees turned]]</f>
        <v>294.66820192060374</v>
      </c>
      <c r="C365" s="1">
        <f>Dominus[[#This Row],[Degrees turned]]</f>
        <v>296.91506084460343</v>
      </c>
      <c r="D365" s="1">
        <f>Plank[[#This Row],[Degrees turned]]</f>
        <v>294.57652761918177</v>
      </c>
      <c r="E365" s="1">
        <f>Batmobile[[#This Row],[Degrees turned]]</f>
        <v>290.19852164957598</v>
      </c>
      <c r="F365" s="1">
        <f>Breakout[[#This Row],[Degrees turned]]</f>
        <v>297.04305027015602</v>
      </c>
      <c r="H365" s="1">
        <v>0</v>
      </c>
      <c r="I365" s="3">
        <f>Table9[[#This Row],[Hybrid]]-Table9[[#This Row],[Octane]]</f>
        <v>6.1932731230596119</v>
      </c>
      <c r="J365" s="3">
        <f>Table9[[#This Row],[Dominus]]-Table9[[#This Row],[Octane]]</f>
        <v>8.4401320470593078</v>
      </c>
      <c r="K365" s="3">
        <f>Table9[[#This Row],[Plank]]-Table9[[#This Row],[Octane]]</f>
        <v>6.1015988216376513</v>
      </c>
      <c r="L365" s="3">
        <f>Table9[[#This Row],[Batmobile]]-Table9[[#This Row],[Octane]]</f>
        <v>1.7235928520318566</v>
      </c>
      <c r="M365" s="3">
        <f>Table9[[#This Row],[Breakout]]-Table9[[#This Row],[Octane]]</f>
        <v>8.5681214726118924</v>
      </c>
      <c r="N365" s="4">
        <f>Table9[[#This Row],[Octane]]/Table9[[#This Row],[Hybrid]]</f>
        <v>0.97898221429155652</v>
      </c>
      <c r="O365" s="4">
        <f>Table9[[#This Row],[Octane]]/Table9[[#This Row],[Dominus]]</f>
        <v>0.97157391739223153</v>
      </c>
      <c r="P365" s="4">
        <f>Table9[[#This Row],[Octane]]/Table9[[#This Row],[Plank]]</f>
        <v>0.97928688048925072</v>
      </c>
      <c r="Q365" s="4">
        <f>Table9[[#This Row],[Octane]]/Table9[[#This Row],[Batmobile]]</f>
        <v>0.99406064220370793</v>
      </c>
      <c r="R365" s="4">
        <f>Table9[[#This Row],[Octane]]/Table9[[#This Row],[Breakout]]</f>
        <v>0.97115528720561106</v>
      </c>
    </row>
    <row r="366" spans="1:18">
      <c r="A366" s="1">
        <f>Octane[[#This Row],[Degrees turned]]</f>
        <v>289.42169950967252</v>
      </c>
      <c r="B366" s="1">
        <f>Hybrid[[#This Row],[Degrees turned]]</f>
        <v>295.63781901521446</v>
      </c>
      <c r="C366" s="1">
        <f>Dominus[[#This Row],[Degrees turned]]</f>
        <v>297.89234863558664</v>
      </c>
      <c r="D366" s="1">
        <f>Plank[[#This Row],[Degrees turned]]</f>
        <v>295.54731530502357</v>
      </c>
      <c r="E366" s="1">
        <f>Batmobile[[#This Row],[Degrees turned]]</f>
        <v>291.15396648617195</v>
      </c>
      <c r="F366" s="1">
        <f>Breakout[[#This Row],[Degrees turned]]</f>
        <v>298.0230786491295</v>
      </c>
      <c r="H366" s="1">
        <v>0</v>
      </c>
      <c r="I366" s="3">
        <f>Table9[[#This Row],[Hybrid]]-Table9[[#This Row],[Octane]]</f>
        <v>6.2161195055419398</v>
      </c>
      <c r="J366" s="3">
        <f>Table9[[#This Row],[Dominus]]-Table9[[#This Row],[Octane]]</f>
        <v>8.4706491259141217</v>
      </c>
      <c r="K366" s="3">
        <f>Table9[[#This Row],[Plank]]-Table9[[#This Row],[Octane]]</f>
        <v>6.1256157953510524</v>
      </c>
      <c r="L366" s="3">
        <f>Table9[[#This Row],[Batmobile]]-Table9[[#This Row],[Octane]]</f>
        <v>1.7322669764994316</v>
      </c>
      <c r="M366" s="3">
        <f>Table9[[#This Row],[Breakout]]-Table9[[#This Row],[Octane]]</f>
        <v>8.6013791394569807</v>
      </c>
      <c r="N366" s="4">
        <f>Table9[[#This Row],[Octane]]/Table9[[#This Row],[Hybrid]]</f>
        <v>0.97897386901903094</v>
      </c>
      <c r="O366" s="4">
        <f>Table9[[#This Row],[Octane]]/Table9[[#This Row],[Dominus]]</f>
        <v>0.97156473080053385</v>
      </c>
      <c r="P366" s="4">
        <f>Table9[[#This Row],[Octane]]/Table9[[#This Row],[Plank]]</f>
        <v>0.97927365440951808</v>
      </c>
      <c r="Q366" s="4">
        <f>Table9[[#This Row],[Octane]]/Table9[[#This Row],[Batmobile]]</f>
        <v>0.99405034045249152</v>
      </c>
      <c r="R366" s="4">
        <f>Table9[[#This Row],[Octane]]/Table9[[#This Row],[Breakout]]</f>
        <v>0.97113854679159395</v>
      </c>
    </row>
    <row r="367" spans="1:18">
      <c r="A367" s="1">
        <f>Octane[[#This Row],[Degrees turned]]</f>
        <v>290.36792607302812</v>
      </c>
      <c r="B367" s="1">
        <f>Hybrid[[#This Row],[Degrees turned]]</f>
        <v>296.60704048790041</v>
      </c>
      <c r="C367" s="1">
        <f>Dominus[[#This Row],[Degrees turned]]</f>
        <v>298.87016185526812</v>
      </c>
      <c r="D367" s="1">
        <f>Plank[[#This Row],[Degrees turned]]</f>
        <v>296.51821426015022</v>
      </c>
      <c r="E367" s="1">
        <f>Batmobile[[#This Row],[Degrees turned]]</f>
        <v>292.10920727896712</v>
      </c>
      <c r="F367" s="1">
        <f>Breakout[[#This Row],[Degrees turned]]</f>
        <v>299.00297058774396</v>
      </c>
      <c r="H367" s="1">
        <v>0</v>
      </c>
      <c r="I367" s="3">
        <f>Table9[[#This Row],[Hybrid]]-Table9[[#This Row],[Octane]]</f>
        <v>6.2391144148722901</v>
      </c>
      <c r="J367" s="3">
        <f>Table9[[#This Row],[Dominus]]-Table9[[#This Row],[Octane]]</f>
        <v>8.5022357822400068</v>
      </c>
      <c r="K367" s="3">
        <f>Table9[[#This Row],[Plank]]-Table9[[#This Row],[Octane]]</f>
        <v>6.1502881871221007</v>
      </c>
      <c r="L367" s="3">
        <f>Table9[[#This Row],[Batmobile]]-Table9[[#This Row],[Octane]]</f>
        <v>1.7412812059390035</v>
      </c>
      <c r="M367" s="3">
        <f>Table9[[#This Row],[Breakout]]-Table9[[#This Row],[Octane]]</f>
        <v>8.6350445147158439</v>
      </c>
      <c r="N367" s="4">
        <f>Table9[[#This Row],[Octane]]/Table9[[#This Row],[Hybrid]]</f>
        <v>0.97896504949913077</v>
      </c>
      <c r="O367" s="4">
        <f>Table9[[#This Row],[Octane]]/Table9[[#This Row],[Dominus]]</f>
        <v>0.97155207555862555</v>
      </c>
      <c r="P367" s="4">
        <f>Table9[[#This Row],[Octane]]/Table9[[#This Row],[Plank]]</f>
        <v>0.97925831233515337</v>
      </c>
      <c r="Q367" s="4">
        <f>Table9[[#This Row],[Octane]]/Table9[[#This Row],[Batmobile]]</f>
        <v>0.99403893762144901</v>
      </c>
      <c r="R367" s="4">
        <f>Table9[[#This Row],[Octane]]/Table9[[#This Row],[Breakout]]</f>
        <v>0.9711205393787824</v>
      </c>
    </row>
    <row r="368" spans="1:18">
      <c r="A368" s="1">
        <f>Octane[[#This Row],[Degrees turned]]</f>
        <v>291.31449021036889</v>
      </c>
      <c r="B368" s="1">
        <f>Hybrid[[#This Row],[Degrees turned]]</f>
        <v>297.57657657902581</v>
      </c>
      <c r="C368" s="1">
        <f>Dominus[[#This Row],[Degrees turned]]</f>
        <v>299.84771599674553</v>
      </c>
      <c r="D368" s="1">
        <f>Plank[[#This Row],[Degrees turned]]</f>
        <v>297.4887660091855</v>
      </c>
      <c r="E368" s="1">
        <f>Batmobile[[#This Row],[Degrees turned]]</f>
        <v>293.06511165558777</v>
      </c>
      <c r="F368" s="1">
        <f>Breakout[[#This Row],[Degrees turned]]</f>
        <v>299.98264587984249</v>
      </c>
      <c r="H368" s="1">
        <v>0</v>
      </c>
      <c r="I368" s="3">
        <f>Table9[[#This Row],[Hybrid]]-Table9[[#This Row],[Octane]]</f>
        <v>6.2620863686569237</v>
      </c>
      <c r="J368" s="3">
        <f>Table9[[#This Row],[Dominus]]-Table9[[#This Row],[Octane]]</f>
        <v>8.5332257863766472</v>
      </c>
      <c r="K368" s="3">
        <f>Table9[[#This Row],[Plank]]-Table9[[#This Row],[Octane]]</f>
        <v>6.174275798816609</v>
      </c>
      <c r="L368" s="3">
        <f>Table9[[#This Row],[Batmobile]]-Table9[[#This Row],[Octane]]</f>
        <v>1.7506214452188829</v>
      </c>
      <c r="M368" s="3">
        <f>Table9[[#This Row],[Breakout]]-Table9[[#This Row],[Octane]]</f>
        <v>8.6681556694736059</v>
      </c>
      <c r="N368" s="4">
        <f>Table9[[#This Row],[Octane]]/Table9[[#This Row],[Hybrid]]</f>
        <v>0.9789563868210106</v>
      </c>
      <c r="O368" s="4">
        <f>Table9[[#This Row],[Octane]]/Table9[[#This Row],[Dominus]]</f>
        <v>0.97154146811487052</v>
      </c>
      <c r="P368" s="4">
        <f>Table9[[#This Row],[Octane]]/Table9[[#This Row],[Plank]]</f>
        <v>0.97924534804576124</v>
      </c>
      <c r="Q368" s="4">
        <f>Table9[[#This Row],[Octane]]/Table9[[#This Row],[Batmobile]]</f>
        <v>0.99402651023409361</v>
      </c>
      <c r="R368" s="4">
        <f>Table9[[#This Row],[Octane]]/Table9[[#This Row],[Breakout]]</f>
        <v>0.97110447624711727</v>
      </c>
    </row>
    <row r="369" spans="1:18">
      <c r="A369" s="1">
        <f>Octane[[#This Row],[Degrees turned]]</f>
        <v>292.26080686535829</v>
      </c>
      <c r="B369" s="1">
        <f>Hybrid[[#This Row],[Degrees turned]]</f>
        <v>298.54573087941327</v>
      </c>
      <c r="C369" s="1">
        <f>Dominus[[#This Row],[Degrees turned]]</f>
        <v>300.82528889164718</v>
      </c>
      <c r="D369" s="1">
        <f>Plank[[#This Row],[Degrees turned]]</f>
        <v>298.45959899900294</v>
      </c>
      <c r="E369" s="1">
        <f>Batmobile[[#This Row],[Degrees turned]]</f>
        <v>294.02080547050031</v>
      </c>
      <c r="F369" s="1">
        <f>Breakout[[#This Row],[Degrees turned]]</f>
        <v>300.96286904781851</v>
      </c>
      <c r="H369" s="1">
        <v>0</v>
      </c>
      <c r="I369" s="3">
        <f>Table9[[#This Row],[Hybrid]]-Table9[[#This Row],[Octane]]</f>
        <v>6.2849240140549796</v>
      </c>
      <c r="J369" s="3">
        <f>Table9[[#This Row],[Dominus]]-Table9[[#This Row],[Octane]]</f>
        <v>8.5644820262888857</v>
      </c>
      <c r="K369" s="3">
        <f>Table9[[#This Row],[Plank]]-Table9[[#This Row],[Octane]]</f>
        <v>6.1987921336446448</v>
      </c>
      <c r="L369" s="3">
        <f>Table9[[#This Row],[Batmobile]]-Table9[[#This Row],[Octane]]</f>
        <v>1.759998605142016</v>
      </c>
      <c r="M369" s="3">
        <f>Table9[[#This Row],[Breakout]]-Table9[[#This Row],[Octane]]</f>
        <v>8.7020621824602244</v>
      </c>
      <c r="N369" s="4">
        <f>Table9[[#This Row],[Octane]]/Table9[[#This Row],[Hybrid]]</f>
        <v>0.97894820336053123</v>
      </c>
      <c r="O369" s="4">
        <f>Table9[[#This Row],[Octane]]/Table9[[#This Row],[Dominus]]</f>
        <v>0.97153004636729967</v>
      </c>
      <c r="P369" s="4">
        <f>Table9[[#This Row],[Octane]]/Table9[[#This Row],[Plank]]</f>
        <v>0.97923071613566914</v>
      </c>
      <c r="Q369" s="4">
        <f>Table9[[#This Row],[Octane]]/Table9[[#This Row],[Batmobile]]</f>
        <v>0.99401403379490227</v>
      </c>
      <c r="R369" s="4">
        <f>Table9[[#This Row],[Octane]]/Table9[[#This Row],[Breakout]]</f>
        <v>0.97108592760963619</v>
      </c>
    </row>
    <row r="370" spans="1:18">
      <c r="A370" s="1">
        <f>Octane[[#This Row],[Degrees turned]]</f>
        <v>293.20742126193028</v>
      </c>
      <c r="B370" s="1">
        <f>Hybrid[[#This Row],[Degrees turned]]</f>
        <v>299.51531547636404</v>
      </c>
      <c r="C370" s="1">
        <f>Dominus[[#This Row],[Degrees turned]]</f>
        <v>301.80256269570003</v>
      </c>
      <c r="D370" s="1">
        <f>Plank[[#This Row],[Degrees turned]]</f>
        <v>299.43007124742144</v>
      </c>
      <c r="E370" s="1">
        <f>Batmobile[[#This Row],[Degrees turned]]</f>
        <v>294.97638287247992</v>
      </c>
      <c r="F370" s="1">
        <f>Breakout[[#This Row],[Degrees turned]]</f>
        <v>301.9431754433478</v>
      </c>
      <c r="H370" s="1">
        <v>0</v>
      </c>
      <c r="I370" s="3">
        <f>Table9[[#This Row],[Hybrid]]-Table9[[#This Row],[Octane]]</f>
        <v>6.3078942144337589</v>
      </c>
      <c r="J370" s="3">
        <f>Table9[[#This Row],[Dominus]]-Table9[[#This Row],[Octane]]</f>
        <v>8.5951414337697543</v>
      </c>
      <c r="K370" s="3">
        <f>Table9[[#This Row],[Plank]]-Table9[[#This Row],[Octane]]</f>
        <v>6.2226499854911594</v>
      </c>
      <c r="L370" s="3">
        <f>Table9[[#This Row],[Batmobile]]-Table9[[#This Row],[Octane]]</f>
        <v>1.7689616105496384</v>
      </c>
      <c r="M370" s="3">
        <f>Table9[[#This Row],[Breakout]]-Table9[[#This Row],[Octane]]</f>
        <v>8.7357541814175192</v>
      </c>
      <c r="N370" s="4">
        <f>Table9[[#This Row],[Octane]]/Table9[[#This Row],[Hybrid]]</f>
        <v>0.97893966054990755</v>
      </c>
      <c r="O370" s="4">
        <f>Table9[[#This Row],[Octane]]/Table9[[#This Row],[Dominus]]</f>
        <v>0.97152064794613413</v>
      </c>
      <c r="P370" s="4">
        <f>Table9[[#This Row],[Octane]]/Table9[[#This Row],[Plank]]</f>
        <v>0.97921835318821626</v>
      </c>
      <c r="Q370" s="4">
        <f>Table9[[#This Row],[Octane]]/Table9[[#This Row],[Batmobile]]</f>
        <v>0.99400303985924743</v>
      </c>
      <c r="R370" s="4">
        <f>Table9[[#This Row],[Octane]]/Table9[[#This Row],[Breakout]]</f>
        <v>0.97106821782412978</v>
      </c>
    </row>
    <row r="371" spans="1:18">
      <c r="A371" s="1">
        <f>Octane[[#This Row],[Degrees turned]]</f>
        <v>294.15406185448632</v>
      </c>
      <c r="B371" s="1">
        <f>Hybrid[[#This Row],[Degrees turned]]</f>
        <v>300.48465331542633</v>
      </c>
      <c r="C371" s="1">
        <f>Dominus[[#This Row],[Degrees turned]]</f>
        <v>302.77999370590896</v>
      </c>
      <c r="D371" s="1">
        <f>Plank[[#This Row],[Degrees turned]]</f>
        <v>300.40111858377571</v>
      </c>
      <c r="E371" s="1">
        <f>Batmobile[[#This Row],[Degrees turned]]</f>
        <v>295.93202541804811</v>
      </c>
      <c r="F371" s="1">
        <f>Breakout[[#This Row],[Degrees turned]]</f>
        <v>302.92351227224697</v>
      </c>
      <c r="H371" s="1">
        <v>0</v>
      </c>
      <c r="I371" s="3">
        <f>Table9[[#This Row],[Hybrid]]-Table9[[#This Row],[Octane]]</f>
        <v>6.3305914609400133</v>
      </c>
      <c r="J371" s="3">
        <f>Table9[[#This Row],[Dominus]]-Table9[[#This Row],[Octane]]</f>
        <v>8.6259318514226493</v>
      </c>
      <c r="K371" s="3">
        <f>Table9[[#This Row],[Plank]]-Table9[[#This Row],[Octane]]</f>
        <v>6.2470567292893975</v>
      </c>
      <c r="L371" s="3">
        <f>Table9[[#This Row],[Batmobile]]-Table9[[#This Row],[Octane]]</f>
        <v>1.7779635635617979</v>
      </c>
      <c r="M371" s="3">
        <f>Table9[[#This Row],[Breakout]]-Table9[[#This Row],[Octane]]</f>
        <v>8.7694504177606518</v>
      </c>
      <c r="N371" s="4">
        <f>Table9[[#This Row],[Octane]]/Table9[[#This Row],[Hybrid]]</f>
        <v>0.97893206394705745</v>
      </c>
      <c r="O371" s="4">
        <f>Table9[[#This Row],[Octane]]/Table9[[#This Row],[Dominus]]</f>
        <v>0.97151089229560839</v>
      </c>
      <c r="P371" s="4">
        <f>Table9[[#This Row],[Octane]]/Table9[[#This Row],[Plank]]</f>
        <v>0.9792042827312335</v>
      </c>
      <c r="Q371" s="4">
        <f>Table9[[#This Row],[Octane]]/Table9[[#This Row],[Batmobile]]</f>
        <v>0.99399198663595079</v>
      </c>
      <c r="R371" s="4">
        <f>Table9[[#This Row],[Octane]]/Table9[[#This Row],[Breakout]]</f>
        <v>0.97105061158184625</v>
      </c>
    </row>
    <row r="372" spans="1:18">
      <c r="A372" s="1">
        <f>Octane[[#This Row],[Degrees turned]]</f>
        <v>295.10050067117606</v>
      </c>
      <c r="B372" s="1">
        <f>Hybrid[[#This Row],[Degrees turned]]</f>
        <v>301.45375066955273</v>
      </c>
      <c r="C372" s="1">
        <f>Dominus[[#This Row],[Degrees turned]]</f>
        <v>303.75747238800585</v>
      </c>
      <c r="D372" s="1">
        <f>Plank[[#This Row],[Degrees turned]]</f>
        <v>301.37194522626874</v>
      </c>
      <c r="E372" s="1">
        <f>Batmobile[[#This Row],[Degrees turned]]</f>
        <v>296.88783039119426</v>
      </c>
      <c r="F372" s="1">
        <f>Breakout[[#This Row],[Degrees turned]]</f>
        <v>303.90324580713707</v>
      </c>
      <c r="H372" s="1">
        <v>0</v>
      </c>
      <c r="I372" s="3">
        <f>Table9[[#This Row],[Hybrid]]-Table9[[#This Row],[Octane]]</f>
        <v>6.3532499983766684</v>
      </c>
      <c r="J372" s="3">
        <f>Table9[[#This Row],[Dominus]]-Table9[[#This Row],[Octane]]</f>
        <v>8.6569717168297871</v>
      </c>
      <c r="K372" s="3">
        <f>Table9[[#This Row],[Plank]]-Table9[[#This Row],[Octane]]</f>
        <v>6.2714445550926712</v>
      </c>
      <c r="L372" s="3">
        <f>Table9[[#This Row],[Batmobile]]-Table9[[#This Row],[Octane]]</f>
        <v>1.7873297200181923</v>
      </c>
      <c r="M372" s="3">
        <f>Table9[[#This Row],[Breakout]]-Table9[[#This Row],[Octane]]</f>
        <v>8.8027451359610041</v>
      </c>
      <c r="N372" s="4">
        <f>Table9[[#This Row],[Octane]]/Table9[[#This Row],[Hybrid]]</f>
        <v>0.97892462779359823</v>
      </c>
      <c r="O372" s="4">
        <f>Table9[[#This Row],[Octane]]/Table9[[#This Row],[Dominus]]</f>
        <v>0.97150038269421812</v>
      </c>
      <c r="P372" s="4">
        <f>Table9[[#This Row],[Octane]]/Table9[[#This Row],[Plank]]</f>
        <v>0.97919035048075198</v>
      </c>
      <c r="Q372" s="4">
        <f>Table9[[#This Row],[Octane]]/Table9[[#This Row],[Batmobile]]</f>
        <v>0.99397978112587804</v>
      </c>
      <c r="R372" s="4">
        <f>Table9[[#This Row],[Octane]]/Table9[[#This Row],[Breakout]]</f>
        <v>0.9710343826286495</v>
      </c>
    </row>
    <row r="373" spans="1:18">
      <c r="A373" s="1">
        <f>Octane[[#This Row],[Degrees turned]]</f>
        <v>296.04679904128392</v>
      </c>
      <c r="B373" s="1">
        <f>Hybrid[[#This Row],[Degrees turned]]</f>
        <v>302.4234055660155</v>
      </c>
      <c r="C373" s="1">
        <f>Dominus[[#This Row],[Degrees turned]]</f>
        <v>304.73504693261884</v>
      </c>
      <c r="D373" s="1">
        <f>Plank[[#This Row],[Degrees turned]]</f>
        <v>302.34279504208217</v>
      </c>
      <c r="E373" s="1">
        <f>Batmobile[[#This Row],[Degrees turned]]</f>
        <v>297.84369084246703</v>
      </c>
      <c r="F373" s="1">
        <f>Breakout[[#This Row],[Degrees turned]]</f>
        <v>304.88312180842809</v>
      </c>
      <c r="H373" s="1">
        <v>0</v>
      </c>
      <c r="I373" s="3">
        <f>Table9[[#This Row],[Hybrid]]-Table9[[#This Row],[Octane]]</f>
        <v>6.3766065247315851</v>
      </c>
      <c r="J373" s="3">
        <f>Table9[[#This Row],[Dominus]]-Table9[[#This Row],[Octane]]</f>
        <v>8.6882478913349246</v>
      </c>
      <c r="K373" s="3">
        <f>Table9[[#This Row],[Plank]]-Table9[[#This Row],[Octane]]</f>
        <v>6.2959960007982545</v>
      </c>
      <c r="L373" s="3">
        <f>Table9[[#This Row],[Batmobile]]-Table9[[#This Row],[Octane]]</f>
        <v>1.7968918011831079</v>
      </c>
      <c r="M373" s="3">
        <f>Table9[[#This Row],[Breakout]]-Table9[[#This Row],[Octane]]</f>
        <v>8.8363227671441678</v>
      </c>
      <c r="N373" s="4">
        <f>Table9[[#This Row],[Octane]]/Table9[[#This Row],[Hybrid]]</f>
        <v>0.9789149701796489</v>
      </c>
      <c r="O373" s="4">
        <f>Table9[[#This Row],[Octane]]/Table9[[#This Row],[Dominus]]</f>
        <v>0.97148917402580215</v>
      </c>
      <c r="P373" s="4">
        <f>Table9[[#This Row],[Octane]]/Table9[[#This Row],[Plank]]</f>
        <v>0.97917596812610685</v>
      </c>
      <c r="Q373" s="4">
        <f>Table9[[#This Row],[Octane]]/Table9[[#This Row],[Batmobile]]</f>
        <v>0.9939669972659132</v>
      </c>
      <c r="R373" s="4">
        <f>Table9[[#This Row],[Octane]]/Table9[[#This Row],[Breakout]]</f>
        <v>0.97101734358159575</v>
      </c>
    </row>
    <row r="374" spans="1:18">
      <c r="A374" s="1">
        <f>Octane[[#This Row],[Degrees turned]]</f>
        <v>296.99316698874497</v>
      </c>
      <c r="B374" s="1">
        <f>Hybrid[[#This Row],[Degrees turned]]</f>
        <v>303.39314504180629</v>
      </c>
      <c r="C374" s="1">
        <f>Dominus[[#This Row],[Degrees turned]]</f>
        <v>305.71297308921015</v>
      </c>
      <c r="D374" s="1">
        <f>Plank[[#This Row],[Degrees turned]]</f>
        <v>303.31343683210167</v>
      </c>
      <c r="E374" s="1">
        <f>Batmobile[[#This Row],[Degrees turned]]</f>
        <v>298.79919694661731</v>
      </c>
      <c r="F374" s="1">
        <f>Breakout[[#This Row],[Degrees turned]]</f>
        <v>305.86324331802604</v>
      </c>
      <c r="H374" s="1">
        <v>0</v>
      </c>
      <c r="I374" s="3">
        <f>Table9[[#This Row],[Hybrid]]-Table9[[#This Row],[Octane]]</f>
        <v>6.399978053061318</v>
      </c>
      <c r="J374" s="3">
        <f>Table9[[#This Row],[Dominus]]-Table9[[#This Row],[Octane]]</f>
        <v>8.7198061004651777</v>
      </c>
      <c r="K374" s="3">
        <f>Table9[[#This Row],[Plank]]-Table9[[#This Row],[Octane]]</f>
        <v>6.3202698433566979</v>
      </c>
      <c r="L374" s="3">
        <f>Table9[[#This Row],[Batmobile]]-Table9[[#This Row],[Octane]]</f>
        <v>1.8060299578723402</v>
      </c>
      <c r="M374" s="3">
        <f>Table9[[#This Row],[Breakout]]-Table9[[#This Row],[Octane]]</f>
        <v>8.870076329281062</v>
      </c>
      <c r="N374" s="4">
        <f>Table9[[#This Row],[Octane]]/Table9[[#This Row],[Hybrid]]</f>
        <v>0.97890533073125485</v>
      </c>
      <c r="O374" s="4">
        <f>Table9[[#This Row],[Octane]]/Table9[[#This Row],[Dominus]]</f>
        <v>0.97147714729815982</v>
      </c>
      <c r="P374" s="4">
        <f>Table9[[#This Row],[Octane]]/Table9[[#This Row],[Plank]]</f>
        <v>0.97916257878527402</v>
      </c>
      <c r="Q374" s="4">
        <f>Table9[[#This Row],[Octane]]/Table9[[#This Row],[Batmobile]]</f>
        <v>0.99395570678794365</v>
      </c>
      <c r="R374" s="4">
        <f>Table9[[#This Row],[Octane]]/Table9[[#This Row],[Breakout]]</f>
        <v>0.97099986179098263</v>
      </c>
    </row>
    <row r="375" spans="1:18">
      <c r="A375" s="1">
        <f>Octane[[#This Row],[Degrees turned]]</f>
        <v>297.93967272399777</v>
      </c>
      <c r="B375" s="1">
        <f>Hybrid[[#This Row],[Degrees turned]]</f>
        <v>304.36222689945288</v>
      </c>
      <c r="C375" s="1">
        <f>Dominus[[#This Row],[Degrees turned]]</f>
        <v>306.69034848501985</v>
      </c>
      <c r="D375" s="1">
        <f>Plank[[#This Row],[Degrees turned]]</f>
        <v>304.28424236050733</v>
      </c>
      <c r="E375" s="1">
        <f>Batmobile[[#This Row],[Degrees turned]]</f>
        <v>299.75486207003775</v>
      </c>
      <c r="F375" s="1">
        <f>Breakout[[#This Row],[Degrees turned]]</f>
        <v>306.84298689238653</v>
      </c>
      <c r="H375" s="1">
        <v>0</v>
      </c>
      <c r="I375" s="3">
        <f>Table9[[#This Row],[Hybrid]]-Table9[[#This Row],[Octane]]</f>
        <v>6.4225541754551045</v>
      </c>
      <c r="J375" s="3">
        <f>Table9[[#This Row],[Dominus]]-Table9[[#This Row],[Octane]]</f>
        <v>8.7506757610220802</v>
      </c>
      <c r="K375" s="3">
        <f>Table9[[#This Row],[Plank]]-Table9[[#This Row],[Octane]]</f>
        <v>6.3445696365095614</v>
      </c>
      <c r="L375" s="3">
        <f>Table9[[#This Row],[Batmobile]]-Table9[[#This Row],[Octane]]</f>
        <v>1.815189346039972</v>
      </c>
      <c r="M375" s="3">
        <f>Table9[[#This Row],[Breakout]]-Table9[[#This Row],[Octane]]</f>
        <v>8.9033141683887607</v>
      </c>
      <c r="N375" s="4">
        <f>Table9[[#This Row],[Octane]]/Table9[[#This Row],[Hybrid]]</f>
        <v>0.97889832046216163</v>
      </c>
      <c r="O375" s="4">
        <f>Table9[[#This Row],[Octane]]/Table9[[#This Row],[Dominus]]</f>
        <v>0.97146739111860414</v>
      </c>
      <c r="P375" s="4">
        <f>Table9[[#This Row],[Octane]]/Table9[[#This Row],[Plank]]</f>
        <v>0.97914920080221346</v>
      </c>
      <c r="Q375" s="4">
        <f>Table9[[#This Row],[Octane]]/Table9[[#This Row],[Batmobile]]</f>
        <v>0.99394442067259658</v>
      </c>
      <c r="R375" s="4">
        <f>Table9[[#This Row],[Octane]]/Table9[[#This Row],[Breakout]]</f>
        <v>0.97098413667993899</v>
      </c>
    </row>
    <row r="376" spans="1:18">
      <c r="A376" s="1">
        <f>Octane[[#This Row],[Degrees turned]]</f>
        <v>298.88638209897482</v>
      </c>
      <c r="B376" s="1">
        <f>Hybrid[[#This Row],[Degrees turned]]</f>
        <v>305.33134667187011</v>
      </c>
      <c r="C376" s="1">
        <f>Dominus[[#This Row],[Degrees turned]]</f>
        <v>307.66819388780249</v>
      </c>
      <c r="D376" s="1">
        <f>Plank[[#This Row],[Degrees turned]]</f>
        <v>305.25528590488966</v>
      </c>
      <c r="E376" s="1">
        <f>Batmobile[[#This Row],[Degrees turned]]</f>
        <v>300.7103279154062</v>
      </c>
      <c r="F376" s="1">
        <f>Breakout[[#This Row],[Degrees turned]]</f>
        <v>307.82324492327768</v>
      </c>
      <c r="H376" s="1">
        <v>0</v>
      </c>
      <c r="I376" s="3">
        <f>Table9[[#This Row],[Hybrid]]-Table9[[#This Row],[Octane]]</f>
        <v>6.4449645728952873</v>
      </c>
      <c r="J376" s="3">
        <f>Table9[[#This Row],[Dominus]]-Table9[[#This Row],[Octane]]</f>
        <v>8.7818117888276674</v>
      </c>
      <c r="K376" s="3">
        <f>Table9[[#This Row],[Plank]]-Table9[[#This Row],[Octane]]</f>
        <v>6.3689038059148402</v>
      </c>
      <c r="L376" s="3">
        <f>Table9[[#This Row],[Batmobile]]-Table9[[#This Row],[Octane]]</f>
        <v>1.823945816431376</v>
      </c>
      <c r="M376" s="3">
        <f>Table9[[#This Row],[Breakout]]-Table9[[#This Row],[Octane]]</f>
        <v>8.9368628243028638</v>
      </c>
      <c r="N376" s="4">
        <f>Table9[[#This Row],[Octane]]/Table9[[#This Row],[Hybrid]]</f>
        <v>0.97889190008446303</v>
      </c>
      <c r="O376" s="4">
        <f>Table9[[#This Row],[Octane]]/Table9[[#This Row],[Dominus]]</f>
        <v>0.97145687476544895</v>
      </c>
      <c r="P376" s="4">
        <f>Table9[[#This Row],[Octane]]/Table9[[#This Row],[Plank]]</f>
        <v>0.97913581156494944</v>
      </c>
      <c r="Q376" s="4">
        <f>Table9[[#This Row],[Octane]]/Table9[[#This Row],[Batmobile]]</f>
        <v>0.99393454215864352</v>
      </c>
      <c r="R376" s="4">
        <f>Table9[[#This Row],[Octane]]/Table9[[#This Row],[Breakout]]</f>
        <v>0.97096755046380501</v>
      </c>
    </row>
    <row r="377" spans="1:18">
      <c r="A377" s="1">
        <f>Octane[[#This Row],[Degrees turned]]</f>
        <v>299.83318835763941</v>
      </c>
      <c r="B377" s="1">
        <f>Hybrid[[#This Row],[Degrees turned]]</f>
        <v>306.30062646883232</v>
      </c>
      <c r="C377" s="1">
        <f>Dominus[[#This Row],[Degrees turned]]</f>
        <v>308.64559252913313</v>
      </c>
      <c r="D377" s="1">
        <f>Plank[[#This Row],[Degrees turned]]</f>
        <v>306.22550938381147</v>
      </c>
      <c r="E377" s="1">
        <f>Batmobile[[#This Row],[Degrees turned]]</f>
        <v>301.66611829819254</v>
      </c>
      <c r="F377" s="1">
        <f>Breakout[[#This Row],[Degrees turned]]</f>
        <v>308.80308803007142</v>
      </c>
      <c r="H377" s="1">
        <v>0</v>
      </c>
      <c r="I377" s="3">
        <f>Table9[[#This Row],[Hybrid]]-Table9[[#This Row],[Octane]]</f>
        <v>6.4674381111929051</v>
      </c>
      <c r="J377" s="3">
        <f>Table9[[#This Row],[Dominus]]-Table9[[#This Row],[Octane]]</f>
        <v>8.8124041714937107</v>
      </c>
      <c r="K377" s="3">
        <f>Table9[[#This Row],[Plank]]-Table9[[#This Row],[Octane]]</f>
        <v>6.3923210261720556</v>
      </c>
      <c r="L377" s="3">
        <f>Table9[[#This Row],[Batmobile]]-Table9[[#This Row],[Octane]]</f>
        <v>1.8329299405531287</v>
      </c>
      <c r="M377" s="3">
        <f>Table9[[#This Row],[Breakout]]-Table9[[#This Row],[Octane]]</f>
        <v>8.9698996724320068</v>
      </c>
      <c r="N377" s="4">
        <f>Table9[[#This Row],[Octane]]/Table9[[#This Row],[Hybrid]]</f>
        <v>0.97888532522524563</v>
      </c>
      <c r="O377" s="4">
        <f>Table9[[#This Row],[Octane]]/Table9[[#This Row],[Dominus]]</f>
        <v>0.97144814510622923</v>
      </c>
      <c r="P377" s="4">
        <f>Table9[[#This Row],[Octane]]/Table9[[#This Row],[Plank]]</f>
        <v>0.979125445691854</v>
      </c>
      <c r="Q377" s="4">
        <f>Table9[[#This Row],[Octane]]/Table9[[#This Row],[Batmobile]]</f>
        <v>0.9939239781023691</v>
      </c>
      <c r="R377" s="4">
        <f>Table9[[#This Row],[Octane]]/Table9[[#This Row],[Breakout]]</f>
        <v>0.97095268790978373</v>
      </c>
    </row>
    <row r="378" spans="1:18">
      <c r="A378" s="1">
        <f>Octane[[#This Row],[Degrees turned]]</f>
        <v>300.7795487879248</v>
      </c>
      <c r="B378" s="1">
        <f>Hybrid[[#This Row],[Degrees turned]]</f>
        <v>307.27011522403399</v>
      </c>
      <c r="C378" s="1">
        <f>Dominus[[#This Row],[Degrees turned]]</f>
        <v>309.62294852882303</v>
      </c>
      <c r="D378" s="1">
        <f>Plank[[#This Row],[Degrees turned]]</f>
        <v>307.19623615312605</v>
      </c>
      <c r="E378" s="1">
        <f>Batmobile[[#This Row],[Degrees turned]]</f>
        <v>302.62163347688943</v>
      </c>
      <c r="F378" s="1">
        <f>Breakout[[#This Row],[Degrees turned]]</f>
        <v>309.78278230456345</v>
      </c>
      <c r="H378" s="1">
        <v>0</v>
      </c>
      <c r="I378" s="3">
        <f>Table9[[#This Row],[Hybrid]]-Table9[[#This Row],[Octane]]</f>
        <v>6.4905664361091908</v>
      </c>
      <c r="J378" s="3">
        <f>Table9[[#This Row],[Dominus]]-Table9[[#This Row],[Octane]]</f>
        <v>8.843399740898235</v>
      </c>
      <c r="K378" s="3">
        <f>Table9[[#This Row],[Plank]]-Table9[[#This Row],[Octane]]</f>
        <v>6.4166873652012555</v>
      </c>
      <c r="L378" s="3">
        <f>Table9[[#This Row],[Batmobile]]-Table9[[#This Row],[Octane]]</f>
        <v>1.8420846889646327</v>
      </c>
      <c r="M378" s="3">
        <f>Table9[[#This Row],[Breakout]]-Table9[[#This Row],[Octane]]</f>
        <v>9.0032335166386588</v>
      </c>
      <c r="N378" s="4">
        <f>Table9[[#This Row],[Octane]]/Table9[[#This Row],[Hybrid]]</f>
        <v>0.97887667522962052</v>
      </c>
      <c r="O378" s="4">
        <f>Table9[[#This Row],[Octane]]/Table9[[#This Row],[Dominus]]</f>
        <v>0.97143816444188735</v>
      </c>
      <c r="P378" s="4">
        <f>Table9[[#This Row],[Octane]]/Table9[[#This Row],[Plank]]</f>
        <v>0.97911208989551957</v>
      </c>
      <c r="Q378" s="4">
        <f>Table9[[#This Row],[Octane]]/Table9[[#This Row],[Batmobile]]</f>
        <v>0.99391291142077154</v>
      </c>
      <c r="R378" s="4">
        <f>Table9[[#This Row],[Octane]]/Table9[[#This Row],[Breakout]]</f>
        <v>0.97093694668999675</v>
      </c>
    </row>
    <row r="379" spans="1:18">
      <c r="A379" s="1">
        <f>Octane[[#This Row],[Degrees turned]]</f>
        <v>301.72631271433335</v>
      </c>
      <c r="B379" s="1">
        <f>Hybrid[[#This Row],[Degrees turned]]</f>
        <v>308.23936244259249</v>
      </c>
      <c r="C379" s="1">
        <f>Dominus[[#This Row],[Degrees turned]]</f>
        <v>310.60069015440109</v>
      </c>
      <c r="D379" s="1">
        <f>Plank[[#This Row],[Degrees turned]]</f>
        <v>308.16712944507964</v>
      </c>
      <c r="E379" s="1">
        <f>Batmobile[[#This Row],[Degrees turned]]</f>
        <v>303.57711425219611</v>
      </c>
      <c r="F379" s="1">
        <f>Breakout[[#This Row],[Degrees turned]]</f>
        <v>310.76307251714252</v>
      </c>
      <c r="H379" s="1">
        <v>0</v>
      </c>
      <c r="I379" s="3">
        <f>Table9[[#This Row],[Hybrid]]-Table9[[#This Row],[Octane]]</f>
        <v>6.5130497282591477</v>
      </c>
      <c r="J379" s="3">
        <f>Table9[[#This Row],[Dominus]]-Table9[[#This Row],[Octane]]</f>
        <v>8.8743774400677466</v>
      </c>
      <c r="K379" s="3">
        <f>Table9[[#This Row],[Plank]]-Table9[[#This Row],[Octane]]</f>
        <v>6.4408167307462918</v>
      </c>
      <c r="L379" s="3">
        <f>Table9[[#This Row],[Batmobile]]-Table9[[#This Row],[Octane]]</f>
        <v>1.8508015378627647</v>
      </c>
      <c r="M379" s="3">
        <f>Table9[[#This Row],[Breakout]]-Table9[[#This Row],[Octane]]</f>
        <v>9.036759802809172</v>
      </c>
      <c r="N379" s="4">
        <f>Table9[[#This Row],[Octane]]/Table9[[#This Row],[Hybrid]]</f>
        <v>0.97887015572363134</v>
      </c>
      <c r="O379" s="4">
        <f>Table9[[#This Row],[Octane]]/Table9[[#This Row],[Dominus]]</f>
        <v>0.97142833959687513</v>
      </c>
      <c r="P379" s="4">
        <f>Table9[[#This Row],[Octane]]/Table9[[#This Row],[Plank]]</f>
        <v>0.97909959851219575</v>
      </c>
      <c r="Q379" s="4">
        <f>Table9[[#This Row],[Octane]]/Table9[[#This Row],[Batmobile]]</f>
        <v>0.99390335617880199</v>
      </c>
      <c r="R379" s="4">
        <f>Table9[[#This Row],[Octane]]/Table9[[#This Row],[Breakout]]</f>
        <v>0.9709207412270302</v>
      </c>
    </row>
    <row r="380" spans="1:18">
      <c r="A380" s="1">
        <f>Octane[[#This Row],[Degrees turned]]</f>
        <v>302.67285132629297</v>
      </c>
      <c r="B380" s="1">
        <f>Hybrid[[#This Row],[Degrees turned]]</f>
        <v>309.20880547220355</v>
      </c>
      <c r="C380" s="1">
        <f>Dominus[[#This Row],[Degrees turned]]</f>
        <v>311.5785374727746</v>
      </c>
      <c r="D380" s="1">
        <f>Plank[[#This Row],[Degrees turned]]</f>
        <v>309.13784033753228</v>
      </c>
      <c r="E380" s="1">
        <f>Batmobile[[#This Row],[Degrees turned]]</f>
        <v>304.53244680495476</v>
      </c>
      <c r="F380" s="1">
        <f>Breakout[[#This Row],[Degrees turned]]</f>
        <v>311.7433414439094</v>
      </c>
      <c r="H380" s="1">
        <v>0</v>
      </c>
      <c r="I380" s="3">
        <f>Table9[[#This Row],[Hybrid]]-Table9[[#This Row],[Octane]]</f>
        <v>6.5359541459105799</v>
      </c>
      <c r="J380" s="3">
        <f>Table9[[#This Row],[Dominus]]-Table9[[#This Row],[Octane]]</f>
        <v>8.9056861464816279</v>
      </c>
      <c r="K380" s="3">
        <f>Table9[[#This Row],[Plank]]-Table9[[#This Row],[Octane]]</f>
        <v>6.4649890112393109</v>
      </c>
      <c r="L380" s="3">
        <f>Table9[[#This Row],[Batmobile]]-Table9[[#This Row],[Octane]]</f>
        <v>1.8595954786617881</v>
      </c>
      <c r="M380" s="3">
        <f>Table9[[#This Row],[Breakout]]-Table9[[#This Row],[Octane]]</f>
        <v>9.0704901176164299</v>
      </c>
      <c r="N380" s="4">
        <f>Table9[[#This Row],[Octane]]/Table9[[#This Row],[Hybrid]]</f>
        <v>0.97886232852932731</v>
      </c>
      <c r="O380" s="4">
        <f>Table9[[#This Row],[Octane]]/Table9[[#This Row],[Dominus]]</f>
        <v>0.97141752375270773</v>
      </c>
      <c r="P380" s="4">
        <f>Table9[[#This Row],[Octane]]/Table9[[#This Row],[Plank]]</f>
        <v>0.97908703443040002</v>
      </c>
      <c r="Q380" s="4">
        <f>Table9[[#This Row],[Octane]]/Table9[[#This Row],[Batmobile]]</f>
        <v>0.99389360477620037</v>
      </c>
      <c r="R380" s="4">
        <f>Table9[[#This Row],[Octane]]/Table9[[#This Row],[Breakout]]</f>
        <v>0.9709039812186383</v>
      </c>
    </row>
    <row r="381" spans="1:18">
      <c r="A381" s="1">
        <f>Octane[[#This Row],[Degrees turned]]</f>
        <v>303.61965459753833</v>
      </c>
      <c r="B381" s="1">
        <f>Hybrid[[#This Row],[Degrees turned]]</f>
        <v>310.17814119115661</v>
      </c>
      <c r="C381" s="1">
        <f>Dominus[[#This Row],[Degrees turned]]</f>
        <v>312.55622433460809</v>
      </c>
      <c r="D381" s="1">
        <f>Plank[[#This Row],[Degrees turned]]</f>
        <v>310.10881730614045</v>
      </c>
      <c r="E381" s="1">
        <f>Batmobile[[#This Row],[Degrees turned]]</f>
        <v>305.48774736008136</v>
      </c>
      <c r="F381" s="1">
        <f>Breakout[[#This Row],[Degrees turned]]</f>
        <v>312.72366026057756</v>
      </c>
      <c r="H381" s="1">
        <v>0</v>
      </c>
      <c r="I381" s="3">
        <f>Table9[[#This Row],[Hybrid]]-Table9[[#This Row],[Octane]]</f>
        <v>6.5584865936182837</v>
      </c>
      <c r="J381" s="3">
        <f>Table9[[#This Row],[Dominus]]-Table9[[#This Row],[Octane]]</f>
        <v>8.9365697370697603</v>
      </c>
      <c r="K381" s="3">
        <f>Table9[[#This Row],[Plank]]-Table9[[#This Row],[Octane]]</f>
        <v>6.4891627086021231</v>
      </c>
      <c r="L381" s="3">
        <f>Table9[[#This Row],[Batmobile]]-Table9[[#This Row],[Octane]]</f>
        <v>1.8680927625430286</v>
      </c>
      <c r="M381" s="3">
        <f>Table9[[#This Row],[Breakout]]-Table9[[#This Row],[Octane]]</f>
        <v>9.1040056630392314</v>
      </c>
      <c r="N381" s="4">
        <f>Table9[[#This Row],[Octane]]/Table9[[#This Row],[Hybrid]]</f>
        <v>0.97885574216019167</v>
      </c>
      <c r="O381" s="4">
        <f>Table9[[#This Row],[Octane]]/Table9[[#This Row],[Dominus]]</f>
        <v>0.97140812103136143</v>
      </c>
      <c r="P381" s="4">
        <f>Table9[[#This Row],[Octane]]/Table9[[#This Row],[Plank]]</f>
        <v>0.97907456239080104</v>
      </c>
      <c r="Q381" s="4">
        <f>Table9[[#This Row],[Octane]]/Table9[[#This Row],[Batmobile]]</f>
        <v>0.99388488481555659</v>
      </c>
      <c r="R381" s="4">
        <f>Table9[[#This Row],[Octane]]/Table9[[#This Row],[Breakout]]</f>
        <v>0.970888017697627</v>
      </c>
    </row>
    <row r="382" spans="1:18">
      <c r="A382" s="1">
        <f>Octane[[#This Row],[Degrees turned]]</f>
        <v>304.56651481509584</v>
      </c>
      <c r="B382" s="1">
        <f>Hybrid[[#This Row],[Degrees turned]]</f>
        <v>311.14711968560374</v>
      </c>
      <c r="C382" s="1">
        <f>Dominus[[#This Row],[Degrees turned]]</f>
        <v>313.5339984733684</v>
      </c>
      <c r="D382" s="1">
        <f>Plank[[#This Row],[Degrees turned]]</f>
        <v>311.0796398870005</v>
      </c>
      <c r="E382" s="1">
        <f>Batmobile[[#This Row],[Degrees turned]]</f>
        <v>306.44302680031552</v>
      </c>
      <c r="F382" s="1">
        <f>Breakout[[#This Row],[Degrees turned]]</f>
        <v>313.70336690349586</v>
      </c>
      <c r="H382" s="1">
        <v>0</v>
      </c>
      <c r="I382" s="3">
        <f>Table9[[#This Row],[Hybrid]]-Table9[[#This Row],[Octane]]</f>
        <v>6.5806048705078979</v>
      </c>
      <c r="J382" s="3">
        <f>Table9[[#This Row],[Dominus]]-Table9[[#This Row],[Octane]]</f>
        <v>8.9674836582725561</v>
      </c>
      <c r="K382" s="3">
        <f>Table9[[#This Row],[Plank]]-Table9[[#This Row],[Octane]]</f>
        <v>6.5131250719046534</v>
      </c>
      <c r="L382" s="3">
        <f>Table9[[#This Row],[Batmobile]]-Table9[[#This Row],[Octane]]</f>
        <v>1.876511985219679</v>
      </c>
      <c r="M382" s="3">
        <f>Table9[[#This Row],[Breakout]]-Table9[[#This Row],[Octane]]</f>
        <v>9.1368520884000191</v>
      </c>
      <c r="N382" s="4">
        <f>Table9[[#This Row],[Octane]]/Table9[[#This Row],[Hybrid]]</f>
        <v>0.97885050365512871</v>
      </c>
      <c r="O382" s="4">
        <f>Table9[[#This Row],[Octane]]/Table9[[#This Row],[Dominus]]</f>
        <v>0.97139868817437269</v>
      </c>
      <c r="P382" s="4">
        <f>Table9[[#This Row],[Octane]]/Table9[[#This Row],[Plank]]</f>
        <v>0.97906283717484521</v>
      </c>
      <c r="Q382" s="4">
        <f>Table9[[#This Row],[Octane]]/Table9[[#This Row],[Batmobile]]</f>
        <v>0.99387647353306408</v>
      </c>
      <c r="R382" s="4">
        <f>Table9[[#This Row],[Octane]]/Table9[[#This Row],[Breakout]]</f>
        <v>0.9708742300773241</v>
      </c>
    </row>
    <row r="383" spans="1:18">
      <c r="A383" s="1">
        <f>Octane[[#This Row],[Degrees turned]]</f>
        <v>305.5130877591597</v>
      </c>
      <c r="B383" s="1">
        <f>Hybrid[[#This Row],[Degrees turned]]</f>
        <v>312.11666920832056</v>
      </c>
      <c r="C383" s="1">
        <f>Dominus[[#This Row],[Degrees turned]]</f>
        <v>314.51191438467743</v>
      </c>
      <c r="D383" s="1">
        <f>Plank[[#This Row],[Degrees turned]]</f>
        <v>312.05048765856787</v>
      </c>
      <c r="E383" s="1">
        <f>Batmobile[[#This Row],[Degrees turned]]</f>
        <v>307.39851225078178</v>
      </c>
      <c r="F383" s="1">
        <f>Breakout[[#This Row],[Degrees turned]]</f>
        <v>314.68312033482056</v>
      </c>
      <c r="H383" s="1">
        <v>0</v>
      </c>
      <c r="I383" s="3">
        <f>Table9[[#This Row],[Hybrid]]-Table9[[#This Row],[Octane]]</f>
        <v>6.6035814491608562</v>
      </c>
      <c r="J383" s="3">
        <f>Table9[[#This Row],[Dominus]]-Table9[[#This Row],[Octane]]</f>
        <v>8.9988266255177223</v>
      </c>
      <c r="K383" s="3">
        <f>Table9[[#This Row],[Plank]]-Table9[[#This Row],[Octane]]</f>
        <v>6.5373998994081717</v>
      </c>
      <c r="L383" s="3">
        <f>Table9[[#This Row],[Batmobile]]-Table9[[#This Row],[Octane]]</f>
        <v>1.885424491622075</v>
      </c>
      <c r="M383" s="3">
        <f>Table9[[#This Row],[Breakout]]-Table9[[#This Row],[Octane]]</f>
        <v>9.1700325756608549</v>
      </c>
      <c r="N383" s="4">
        <f>Table9[[#This Row],[Octane]]/Table9[[#This Row],[Hybrid]]</f>
        <v>0.97884258644079869</v>
      </c>
      <c r="O383" s="4">
        <f>Table9[[#This Row],[Octane]]/Table9[[#This Row],[Dominus]]</f>
        <v>0.97138796270048033</v>
      </c>
      <c r="P383" s="4">
        <f>Table9[[#This Row],[Octane]]/Table9[[#This Row],[Plank]]</f>
        <v>0.97905018528103982</v>
      </c>
      <c r="Q383" s="4">
        <f>Table9[[#This Row],[Octane]]/Table9[[#This Row],[Batmobile]]</f>
        <v>0.99386651393392589</v>
      </c>
      <c r="R383" s="4">
        <f>Table9[[#This Row],[Octane]]/Table9[[#This Row],[Breakout]]</f>
        <v>0.97085947105804715</v>
      </c>
    </row>
    <row r="384" spans="1:18">
      <c r="A384" s="1">
        <f>Octane[[#This Row],[Degrees turned]]</f>
        <v>306.45956192391941</v>
      </c>
      <c r="B384" s="1">
        <f>Hybrid[[#This Row],[Degrees turned]]</f>
        <v>313.08631445070165</v>
      </c>
      <c r="C384" s="1">
        <f>Dominus[[#This Row],[Degrees turned]]</f>
        <v>315.48916245768356</v>
      </c>
      <c r="D384" s="1">
        <f>Plank[[#This Row],[Degrees turned]]</f>
        <v>313.02113481554215</v>
      </c>
      <c r="E384" s="1">
        <f>Batmobile[[#This Row],[Degrees turned]]</f>
        <v>308.35414328317813</v>
      </c>
      <c r="F384" s="1">
        <f>Breakout[[#This Row],[Degrees turned]]</f>
        <v>315.66313384497175</v>
      </c>
      <c r="H384" s="1">
        <v>0</v>
      </c>
      <c r="I384" s="3">
        <f>Table9[[#This Row],[Hybrid]]-Table9[[#This Row],[Octane]]</f>
        <v>6.6267525267822407</v>
      </c>
      <c r="J384" s="3">
        <f>Table9[[#This Row],[Dominus]]-Table9[[#This Row],[Octane]]</f>
        <v>9.0296005337641532</v>
      </c>
      <c r="K384" s="3">
        <f>Table9[[#This Row],[Plank]]-Table9[[#This Row],[Octane]]</f>
        <v>6.5615728916227454</v>
      </c>
      <c r="L384" s="3">
        <f>Table9[[#This Row],[Batmobile]]-Table9[[#This Row],[Octane]]</f>
        <v>1.8945813592587228</v>
      </c>
      <c r="M384" s="3">
        <f>Table9[[#This Row],[Breakout]]-Table9[[#This Row],[Octane]]</f>
        <v>9.2035719210523439</v>
      </c>
      <c r="N384" s="4">
        <f>Table9[[#This Row],[Octane]]/Table9[[#This Row],[Hybrid]]</f>
        <v>0.97883410350143019</v>
      </c>
      <c r="O384" s="4">
        <f>Table9[[#This Row],[Octane]]/Table9[[#This Row],[Dominus]]</f>
        <v>0.97137904686353438</v>
      </c>
      <c r="P384" s="4">
        <f>Table9[[#This Row],[Octane]]/Table9[[#This Row],[Plank]]</f>
        <v>0.97903792376355236</v>
      </c>
      <c r="Q384" s="4">
        <f>Table9[[#This Row],[Octane]]/Table9[[#This Row],[Batmobile]]</f>
        <v>0.99385582648870452</v>
      </c>
      <c r="R384" s="4">
        <f>Table9[[#This Row],[Octane]]/Table9[[#This Row],[Breakout]]</f>
        <v>0.97084369083919575</v>
      </c>
    </row>
    <row r="385" spans="1:18">
      <c r="A385" s="1">
        <f>Octane[[#This Row],[Degrees turned]]</f>
        <v>307.40615690126026</v>
      </c>
      <c r="B385" s="1">
        <f>Hybrid[[#This Row],[Degrees turned]]</f>
        <v>314.0557946322117</v>
      </c>
      <c r="C385" s="1">
        <f>Dominus[[#This Row],[Degrees turned]]</f>
        <v>316.46670770684403</v>
      </c>
      <c r="D385" s="1">
        <f>Plank[[#This Row],[Degrees turned]]</f>
        <v>313.99178722249707</v>
      </c>
      <c r="E385" s="1">
        <f>Batmobile[[#This Row],[Degrees turned]]</f>
        <v>309.30999005062796</v>
      </c>
      <c r="F385" s="1">
        <f>Breakout[[#This Row],[Degrees turned]]</f>
        <v>316.6434728465137</v>
      </c>
      <c r="H385" s="1">
        <v>0</v>
      </c>
      <c r="I385" s="3">
        <f>Table9[[#This Row],[Hybrid]]-Table9[[#This Row],[Octane]]</f>
        <v>6.6496377309514401</v>
      </c>
      <c r="J385" s="3">
        <f>Table9[[#This Row],[Dominus]]-Table9[[#This Row],[Octane]]</f>
        <v>9.0605508055837731</v>
      </c>
      <c r="K385" s="3">
        <f>Table9[[#This Row],[Plank]]-Table9[[#This Row],[Octane]]</f>
        <v>6.5856303212368061</v>
      </c>
      <c r="L385" s="3">
        <f>Table9[[#This Row],[Batmobile]]-Table9[[#This Row],[Octane]]</f>
        <v>1.9038331493676992</v>
      </c>
      <c r="M385" s="3">
        <f>Table9[[#This Row],[Breakout]]-Table9[[#This Row],[Octane]]</f>
        <v>9.2373159452534424</v>
      </c>
      <c r="N385" s="4">
        <f>Table9[[#This Row],[Octane]]/Table9[[#This Row],[Hybrid]]</f>
        <v>0.9788265720785736</v>
      </c>
      <c r="O385" s="4">
        <f>Table9[[#This Row],[Octane]]/Table9[[#This Row],[Dominus]]</f>
        <v>0.97136965568594047</v>
      </c>
      <c r="P385" s="4">
        <f>Table9[[#This Row],[Octane]]/Table9[[#This Row],[Plank]]</f>
        <v>0.97902610644854171</v>
      </c>
      <c r="Q385" s="4">
        <f>Table9[[#This Row],[Octane]]/Table9[[#This Row],[Batmobile]]</f>
        <v>0.99384490249068236</v>
      </c>
      <c r="R385" s="4">
        <f>Table9[[#This Row],[Octane]]/Table9[[#This Row],[Breakout]]</f>
        <v>0.97082739188585443</v>
      </c>
    </row>
    <row r="386" spans="1:18">
      <c r="A386" s="1">
        <f>Octane[[#This Row],[Degrees turned]]</f>
        <v>308.35278309220308</v>
      </c>
      <c r="B386" s="1">
        <f>Hybrid[[#This Row],[Degrees turned]]</f>
        <v>315.02537394752187</v>
      </c>
      <c r="C386" s="1">
        <f>Dominus[[#This Row],[Degrees turned]]</f>
        <v>317.4438750989836</v>
      </c>
      <c r="D386" s="1">
        <f>Plank[[#This Row],[Degrees turned]]</f>
        <v>314.96237711211438</v>
      </c>
      <c r="E386" s="1">
        <f>Batmobile[[#This Row],[Degrees turned]]</f>
        <v>310.26525088759684</v>
      </c>
      <c r="F386" s="1">
        <f>Breakout[[#This Row],[Degrees turned]]</f>
        <v>317.62350076735311</v>
      </c>
      <c r="H386" s="1">
        <v>0</v>
      </c>
      <c r="I386" s="3">
        <f>Table9[[#This Row],[Hybrid]]-Table9[[#This Row],[Octane]]</f>
        <v>6.6725908553187878</v>
      </c>
      <c r="J386" s="3">
        <f>Table9[[#This Row],[Dominus]]-Table9[[#This Row],[Octane]]</f>
        <v>9.0910920067805137</v>
      </c>
      <c r="K386" s="3">
        <f>Table9[[#This Row],[Plank]]-Table9[[#This Row],[Octane]]</f>
        <v>6.6095940199112988</v>
      </c>
      <c r="L386" s="3">
        <f>Table9[[#This Row],[Batmobile]]-Table9[[#This Row],[Octane]]</f>
        <v>1.9124677953937521</v>
      </c>
      <c r="M386" s="3">
        <f>Table9[[#This Row],[Breakout]]-Table9[[#This Row],[Octane]]</f>
        <v>9.2707176751500242</v>
      </c>
      <c r="N386" s="4">
        <f>Table9[[#This Row],[Octane]]/Table9[[#This Row],[Hybrid]]</f>
        <v>0.97881887807415047</v>
      </c>
      <c r="O386" s="4">
        <f>Table9[[#This Row],[Octane]]/Table9[[#This Row],[Dominus]]</f>
        <v>0.97136157689624414</v>
      </c>
      <c r="P386" s="4">
        <f>Table9[[#This Row],[Octane]]/Table9[[#This Row],[Plank]]</f>
        <v>0.97901465539943355</v>
      </c>
      <c r="Q386" s="4">
        <f>Table9[[#This Row],[Octane]]/Table9[[#This Row],[Batmobile]]</f>
        <v>0.99383602324165332</v>
      </c>
      <c r="R386" s="4">
        <f>Table9[[#This Row],[Octane]]/Table9[[#This Row],[Breakout]]</f>
        <v>0.97081224263081067</v>
      </c>
    </row>
    <row r="387" spans="1:18">
      <c r="A387" s="1">
        <f>Octane[[#This Row],[Degrees turned]]</f>
        <v>309.29966449576722</v>
      </c>
      <c r="B387" s="1">
        <f>Hybrid[[#This Row],[Degrees turned]]</f>
        <v>315.99492963236253</v>
      </c>
      <c r="C387" s="1">
        <f>Dominus[[#This Row],[Degrees turned]]</f>
        <v>318.42132622583944</v>
      </c>
      <c r="D387" s="1">
        <f>Plank[[#This Row],[Degrees turned]]</f>
        <v>315.93329210347883</v>
      </c>
      <c r="E387" s="1">
        <f>Batmobile[[#This Row],[Degrees turned]]</f>
        <v>311.22099675113009</v>
      </c>
      <c r="F387" s="1">
        <f>Breakout[[#This Row],[Degrees turned]]</f>
        <v>318.60384337278924</v>
      </c>
      <c r="H387" s="1">
        <v>0</v>
      </c>
      <c r="I387" s="3">
        <f>Table9[[#This Row],[Hybrid]]-Table9[[#This Row],[Octane]]</f>
        <v>6.6952651365953102</v>
      </c>
      <c r="J387" s="3">
        <f>Table9[[#This Row],[Dominus]]-Table9[[#This Row],[Octane]]</f>
        <v>9.1216617300722191</v>
      </c>
      <c r="K387" s="3">
        <f>Table9[[#This Row],[Plank]]-Table9[[#This Row],[Octane]]</f>
        <v>6.6336276077116167</v>
      </c>
      <c r="L387" s="3">
        <f>Table9[[#This Row],[Batmobile]]-Table9[[#This Row],[Octane]]</f>
        <v>1.92133225536287</v>
      </c>
      <c r="M387" s="3">
        <f>Table9[[#This Row],[Breakout]]-Table9[[#This Row],[Octane]]</f>
        <v>9.3041788770220251</v>
      </c>
      <c r="N387" s="4">
        <f>Table9[[#This Row],[Octane]]/Table9[[#This Row],[Hybrid]]</f>
        <v>0.97881211212982189</v>
      </c>
      <c r="O387" s="4">
        <f>Table9[[#This Row],[Octane]]/Table9[[#This Row],[Dominus]]</f>
        <v>0.97135348364323215</v>
      </c>
      <c r="P387" s="4">
        <f>Table9[[#This Row],[Octane]]/Table9[[#This Row],[Plank]]</f>
        <v>0.97900307509998385</v>
      </c>
      <c r="Q387" s="4">
        <f>Table9[[#This Row],[Octane]]/Table9[[#This Row],[Batmobile]]</f>
        <v>0.99382646969381927</v>
      </c>
      <c r="R387" s="4">
        <f>Table9[[#This Row],[Octane]]/Table9[[#This Row],[Breakout]]</f>
        <v>0.97079702875355622</v>
      </c>
    </row>
    <row r="388" spans="1:18">
      <c r="A388" s="1">
        <f>Octane[[#This Row],[Degrees turned]]</f>
        <v>310.24586258422795</v>
      </c>
      <c r="B388" s="1">
        <f>Hybrid[[#This Row],[Degrees turned]]</f>
        <v>316.96414908701155</v>
      </c>
      <c r="C388" s="1">
        <f>Dominus[[#This Row],[Degrees turned]]</f>
        <v>319.39854865100523</v>
      </c>
      <c r="D388" s="1">
        <f>Plank[[#This Row],[Degrees turned]]</f>
        <v>316.90427233152872</v>
      </c>
      <c r="E388" s="1">
        <f>Batmobile[[#This Row],[Degrees turned]]</f>
        <v>312.17646134848633</v>
      </c>
      <c r="F388" s="1">
        <f>Breakout[[#This Row],[Degrees turned]]</f>
        <v>319.5840218035479</v>
      </c>
      <c r="H388" s="1">
        <v>0</v>
      </c>
      <c r="I388" s="3">
        <f>Table9[[#This Row],[Hybrid]]-Table9[[#This Row],[Octane]]</f>
        <v>6.7182865027835987</v>
      </c>
      <c r="J388" s="3">
        <f>Table9[[#This Row],[Dominus]]-Table9[[#This Row],[Octane]]</f>
        <v>9.152686066777278</v>
      </c>
      <c r="K388" s="3">
        <f>Table9[[#This Row],[Plank]]-Table9[[#This Row],[Octane]]</f>
        <v>6.658409747300766</v>
      </c>
      <c r="L388" s="3">
        <f>Table9[[#This Row],[Batmobile]]-Table9[[#This Row],[Octane]]</f>
        <v>1.9305987642583773</v>
      </c>
      <c r="M388" s="3">
        <f>Table9[[#This Row],[Breakout]]-Table9[[#This Row],[Octane]]</f>
        <v>9.3381592193199481</v>
      </c>
      <c r="N388" s="4">
        <f>Table9[[#This Row],[Octane]]/Table9[[#This Row],[Hybrid]]</f>
        <v>0.97880427006607829</v>
      </c>
      <c r="O388" s="4">
        <f>Table9[[#This Row],[Octane]]/Table9[[#This Row],[Dominus]]</f>
        <v>0.97134399606562372</v>
      </c>
      <c r="P388" s="4">
        <f>Table9[[#This Row],[Octane]]/Table9[[#This Row],[Plank]]</f>
        <v>0.97898920800810452</v>
      </c>
      <c r="Q388" s="4">
        <f>Table9[[#This Row],[Octane]]/Table9[[#This Row],[Batmobile]]</f>
        <v>0.99381568118262698</v>
      </c>
      <c r="R388" s="4">
        <f>Table9[[#This Row],[Octane]]/Table9[[#This Row],[Breakout]]</f>
        <v>0.97078026877995727</v>
      </c>
    </row>
    <row r="389" spans="1:18">
      <c r="A389" s="1">
        <f>Octane[[#This Row],[Degrees turned]]</f>
        <v>311.19230801937056</v>
      </c>
      <c r="B389" s="1">
        <f>Hybrid[[#This Row],[Degrees turned]]</f>
        <v>317.9334817772833</v>
      </c>
      <c r="C389" s="1">
        <f>Dominus[[#This Row],[Degrees turned]]</f>
        <v>320.37633330932141</v>
      </c>
      <c r="D389" s="1">
        <f>Plank[[#This Row],[Degrees turned]]</f>
        <v>317.87482583579123</v>
      </c>
      <c r="E389" s="1">
        <f>Batmobile[[#This Row],[Degrees turned]]</f>
        <v>313.13257477026485</v>
      </c>
      <c r="F389" s="1">
        <f>Breakout[[#This Row],[Degrees turned]]</f>
        <v>320.56392443612555</v>
      </c>
      <c r="H389" s="1">
        <v>0</v>
      </c>
      <c r="I389" s="3">
        <f>Table9[[#This Row],[Hybrid]]-Table9[[#This Row],[Octane]]</f>
        <v>6.7411737579127475</v>
      </c>
      <c r="J389" s="3">
        <f>Table9[[#This Row],[Dominus]]-Table9[[#This Row],[Octane]]</f>
        <v>9.1840252899508528</v>
      </c>
      <c r="K389" s="3">
        <f>Table9[[#This Row],[Plank]]-Table9[[#This Row],[Octane]]</f>
        <v>6.6825178164206704</v>
      </c>
      <c r="L389" s="3">
        <f>Table9[[#This Row],[Batmobile]]-Table9[[#This Row],[Octane]]</f>
        <v>1.9402667508942955</v>
      </c>
      <c r="M389" s="3">
        <f>Table9[[#This Row],[Breakout]]-Table9[[#This Row],[Octane]]</f>
        <v>9.3716164167549891</v>
      </c>
      <c r="N389" s="4">
        <f>Table9[[#This Row],[Octane]]/Table9[[#This Row],[Hybrid]]</f>
        <v>0.97879690518837825</v>
      </c>
      <c r="O389" s="4">
        <f>Table9[[#This Row],[Octane]]/Table9[[#This Row],[Dominus]]</f>
        <v>0.97133363380782645</v>
      </c>
      <c r="P389" s="4">
        <f>Table9[[#This Row],[Octane]]/Table9[[#This Row],[Plank]]</f>
        <v>0.97897751796214039</v>
      </c>
      <c r="Q389" s="4">
        <f>Table9[[#This Row],[Octane]]/Table9[[#This Row],[Batmobile]]</f>
        <v>0.99380368921273099</v>
      </c>
      <c r="R389" s="4">
        <f>Table9[[#This Row],[Octane]]/Table9[[#This Row],[Breakout]]</f>
        <v>0.9707652180973273</v>
      </c>
    </row>
    <row r="390" spans="1:18">
      <c r="A390" s="1">
        <f>Octane[[#This Row],[Degrees turned]]</f>
        <v>312.13918571078301</v>
      </c>
      <c r="B390" s="1">
        <f>Hybrid[[#This Row],[Degrees turned]]</f>
        <v>318.90317978900345</v>
      </c>
      <c r="C390" s="1">
        <f>Dominus[[#This Row],[Degrees turned]]</f>
        <v>321.35388558596873</v>
      </c>
      <c r="D390" s="1">
        <f>Plank[[#This Row],[Degrees turned]]</f>
        <v>318.84575948373953</v>
      </c>
      <c r="E390" s="1">
        <f>Batmobile[[#This Row],[Degrees turned]]</f>
        <v>314.08834409058852</v>
      </c>
      <c r="F390" s="1">
        <f>Breakout[[#This Row],[Degrees turned]]</f>
        <v>321.54362212678728</v>
      </c>
      <c r="H390" s="1">
        <v>0</v>
      </c>
      <c r="I390" s="3">
        <f>Table9[[#This Row],[Hybrid]]-Table9[[#This Row],[Octane]]</f>
        <v>6.7639940782204349</v>
      </c>
      <c r="J390" s="3">
        <f>Table9[[#This Row],[Dominus]]-Table9[[#This Row],[Octane]]</f>
        <v>9.2146998751857154</v>
      </c>
      <c r="K390" s="3">
        <f>Table9[[#This Row],[Plank]]-Table9[[#This Row],[Octane]]</f>
        <v>6.7065737729565171</v>
      </c>
      <c r="L390" s="3">
        <f>Table9[[#This Row],[Batmobile]]-Table9[[#This Row],[Octane]]</f>
        <v>1.9491583798055103</v>
      </c>
      <c r="M390" s="3">
        <f>Table9[[#This Row],[Breakout]]-Table9[[#This Row],[Octane]]</f>
        <v>9.4044364160042733</v>
      </c>
      <c r="N390" s="4">
        <f>Table9[[#This Row],[Octane]]/Table9[[#This Row],[Hybrid]]</f>
        <v>0.97878981927149267</v>
      </c>
      <c r="O390" s="4">
        <f>Table9[[#This Row],[Octane]]/Table9[[#This Row],[Dominus]]</f>
        <v>0.97132538211453934</v>
      </c>
      <c r="P390" s="4">
        <f>Table9[[#This Row],[Octane]]/Table9[[#This Row],[Plank]]</f>
        <v>0.97896608760356263</v>
      </c>
      <c r="Q390" s="4">
        <f>Table9[[#This Row],[Octane]]/Table9[[#This Row],[Batmobile]]</f>
        <v>0.99379423523197241</v>
      </c>
      <c r="R390" s="4">
        <f>Table9[[#This Row],[Octane]]/Table9[[#This Row],[Breakout]]</f>
        <v>0.97075222219056789</v>
      </c>
    </row>
    <row r="391" spans="1:18">
      <c r="A391" s="1">
        <f>Octane[[#This Row],[Degrees turned]]</f>
        <v>313.08558381666171</v>
      </c>
      <c r="B391" s="1">
        <f>Hybrid[[#This Row],[Degrees turned]]</f>
        <v>319.87241764140816</v>
      </c>
      <c r="C391" s="1">
        <f>Dominus[[#This Row],[Degrees turned]]</f>
        <v>322.33140884064329</v>
      </c>
      <c r="D391" s="1">
        <f>Plank[[#This Row],[Degrees turned]]</f>
        <v>319.81623568810403</v>
      </c>
      <c r="E391" s="1">
        <f>Batmobile[[#This Row],[Degrees turned]]</f>
        <v>315.04388625172857</v>
      </c>
      <c r="F391" s="1">
        <f>Breakout[[#This Row],[Degrees turned]]</f>
        <v>322.52335231486705</v>
      </c>
      <c r="H391" s="1">
        <v>0</v>
      </c>
      <c r="I391" s="3">
        <f>Table9[[#This Row],[Hybrid]]-Table9[[#This Row],[Octane]]</f>
        <v>6.7868338247464521</v>
      </c>
      <c r="J391" s="3">
        <f>Table9[[#This Row],[Dominus]]-Table9[[#This Row],[Octane]]</f>
        <v>9.2458250239815811</v>
      </c>
      <c r="K391" s="3">
        <f>Table9[[#This Row],[Plank]]-Table9[[#This Row],[Octane]]</f>
        <v>6.7306518714423191</v>
      </c>
      <c r="L391" s="3">
        <f>Table9[[#This Row],[Batmobile]]-Table9[[#This Row],[Octane]]</f>
        <v>1.9583024350668552</v>
      </c>
      <c r="M391" s="3">
        <f>Table9[[#This Row],[Breakout]]-Table9[[#This Row],[Octane]]</f>
        <v>9.4377684982053438</v>
      </c>
      <c r="N391" s="4">
        <f>Table9[[#This Row],[Octane]]/Table9[[#This Row],[Hybrid]]</f>
        <v>0.97878268506303412</v>
      </c>
      <c r="O391" s="4">
        <f>Table9[[#This Row],[Octane]]/Table9[[#This Row],[Dominus]]</f>
        <v>0.97131578006239971</v>
      </c>
      <c r="P391" s="4">
        <f>Table9[[#This Row],[Octane]]/Table9[[#This Row],[Plank]]</f>
        <v>0.97895462731289762</v>
      </c>
      <c r="Q391" s="4">
        <f>Table9[[#This Row],[Octane]]/Table9[[#This Row],[Batmobile]]</f>
        <v>0.99378403289025541</v>
      </c>
      <c r="R391" s="4">
        <f>Table9[[#This Row],[Octane]]/Table9[[#This Row],[Breakout]]</f>
        <v>0.97073772044576911</v>
      </c>
    </row>
    <row r="392" spans="1:18">
      <c r="A392" s="1">
        <f>Octane[[#This Row],[Degrees turned]]</f>
        <v>314.03255446128912</v>
      </c>
      <c r="B392" s="1">
        <f>Hybrid[[#This Row],[Degrees turned]]</f>
        <v>320.84215318371326</v>
      </c>
      <c r="C392" s="1">
        <f>Dominus[[#This Row],[Degrees turned]]</f>
        <v>323.30882465963765</v>
      </c>
      <c r="D392" s="1">
        <f>Plank[[#This Row],[Degrees turned]]</f>
        <v>320.78722660585811</v>
      </c>
      <c r="E392" s="1">
        <f>Batmobile[[#This Row],[Degrees turned]]</f>
        <v>315.99952983852955</v>
      </c>
      <c r="F392" s="1">
        <f>Breakout[[#This Row],[Degrees turned]]</f>
        <v>323.50317782210135</v>
      </c>
      <c r="H392" s="1">
        <v>0</v>
      </c>
      <c r="I392" s="3">
        <f>Table9[[#This Row],[Hybrid]]-Table9[[#This Row],[Octane]]</f>
        <v>6.8095987224241412</v>
      </c>
      <c r="J392" s="3">
        <f>Table9[[#This Row],[Dominus]]-Table9[[#This Row],[Octane]]</f>
        <v>9.2762701983485272</v>
      </c>
      <c r="K392" s="3">
        <f>Table9[[#This Row],[Plank]]-Table9[[#This Row],[Octane]]</f>
        <v>6.7546721445689855</v>
      </c>
      <c r="L392" s="3">
        <f>Table9[[#This Row],[Batmobile]]-Table9[[#This Row],[Octane]]</f>
        <v>1.9669753772404306</v>
      </c>
      <c r="M392" s="3">
        <f>Table9[[#This Row],[Breakout]]-Table9[[#This Row],[Octane]]</f>
        <v>9.4706233608122261</v>
      </c>
      <c r="N392" s="4">
        <f>Table9[[#This Row],[Octane]]/Table9[[#This Row],[Hybrid]]</f>
        <v>0.97877586017032814</v>
      </c>
      <c r="O392" s="4">
        <f>Table9[[#This Row],[Octane]]/Table9[[#This Row],[Dominus]]</f>
        <v>0.97130832971195857</v>
      </c>
      <c r="P392" s="4">
        <f>Table9[[#This Row],[Octane]]/Table9[[#This Row],[Plank]]</f>
        <v>0.97894345041092223</v>
      </c>
      <c r="Q392" s="4">
        <f>Table9[[#This Row],[Octane]]/Table9[[#This Row],[Batmobile]]</f>
        <v>0.99377538511451102</v>
      </c>
      <c r="R392" s="4">
        <f>Table9[[#This Row],[Octane]]/Table9[[#This Row],[Breakout]]</f>
        <v>0.97072479032641756</v>
      </c>
    </row>
    <row r="393" spans="1:18">
      <c r="A393" s="1">
        <f>Octane[[#This Row],[Degrees turned]]</f>
        <v>314.97916941869511</v>
      </c>
      <c r="B393" s="1">
        <f>Hybrid[[#This Row],[Degrees turned]]</f>
        <v>321.81172376659157</v>
      </c>
      <c r="C393" s="1">
        <f>Dominus[[#This Row],[Degrees turned]]</f>
        <v>324.28620042156871</v>
      </c>
      <c r="D393" s="1">
        <f>Plank[[#This Row],[Degrees turned]]</f>
        <v>321.75806951421021</v>
      </c>
      <c r="E393" s="1">
        <f>Batmobile[[#This Row],[Degrees turned]]</f>
        <v>316.95521677103477</v>
      </c>
      <c r="F393" s="1">
        <f>Breakout[[#This Row],[Degrees turned]]</f>
        <v>324.4830127361115</v>
      </c>
      <c r="H393" s="1">
        <v>0</v>
      </c>
      <c r="I393" s="3">
        <f>Table9[[#This Row],[Hybrid]]-Table9[[#This Row],[Octane]]</f>
        <v>6.8325543478964619</v>
      </c>
      <c r="J393" s="3">
        <f>Table9[[#This Row],[Dominus]]-Table9[[#This Row],[Octane]]</f>
        <v>9.3070310028736003</v>
      </c>
      <c r="K393" s="3">
        <f>Table9[[#This Row],[Plank]]-Table9[[#This Row],[Octane]]</f>
        <v>6.7789000955150982</v>
      </c>
      <c r="L393" s="3">
        <f>Table9[[#This Row],[Batmobile]]-Table9[[#This Row],[Octane]]</f>
        <v>1.9760473523396627</v>
      </c>
      <c r="M393" s="3">
        <f>Table9[[#This Row],[Breakout]]-Table9[[#This Row],[Octane]]</f>
        <v>9.503843317416397</v>
      </c>
      <c r="N393" s="4">
        <f>Table9[[#This Row],[Octane]]/Table9[[#This Row],[Hybrid]]</f>
        <v>0.97876847285758894</v>
      </c>
      <c r="O393" s="4">
        <f>Table9[[#This Row],[Octane]]/Table9[[#This Row],[Dominus]]</f>
        <v>0.97129994742059778</v>
      </c>
      <c r="P393" s="4">
        <f>Table9[[#This Row],[Octane]]/Table9[[#This Row],[Plank]]</f>
        <v>0.9789316858292012</v>
      </c>
      <c r="Q393" s="4">
        <f>Table9[[#This Row],[Octane]]/Table9[[#This Row],[Batmobile]]</f>
        <v>0.99376553138178148</v>
      </c>
      <c r="R393" s="4">
        <f>Table9[[#This Row],[Octane]]/Table9[[#This Row],[Breakout]]</f>
        <v>0.97071081398906556</v>
      </c>
    </row>
    <row r="394" spans="1:18">
      <c r="A394" s="1">
        <f>Octane[[#This Row],[Degrees turned]]</f>
        <v>315.92576711942183</v>
      </c>
      <c r="B394" s="1">
        <f>Hybrid[[#This Row],[Degrees turned]]</f>
        <v>322.7810213203303</v>
      </c>
      <c r="C394" s="1">
        <f>Dominus[[#This Row],[Degrees turned]]</f>
        <v>325.26377258384781</v>
      </c>
      <c r="D394" s="1">
        <f>Plank[[#This Row],[Degrees turned]]</f>
        <v>322.7286560071995</v>
      </c>
      <c r="E394" s="1">
        <f>Batmobile[[#This Row],[Degrees turned]]</f>
        <v>317.91085428397622</v>
      </c>
      <c r="F394" s="1">
        <f>Breakout[[#This Row],[Degrees turned]]</f>
        <v>325.46293504920095</v>
      </c>
      <c r="H394" s="1">
        <v>0</v>
      </c>
      <c r="I394" s="3">
        <f>Table9[[#This Row],[Hybrid]]-Table9[[#This Row],[Octane]]</f>
        <v>6.8552542009084618</v>
      </c>
      <c r="J394" s="3">
        <f>Table9[[#This Row],[Dominus]]-Table9[[#This Row],[Octane]]</f>
        <v>9.3380054644259758</v>
      </c>
      <c r="K394" s="3">
        <f>Table9[[#This Row],[Plank]]-Table9[[#This Row],[Octane]]</f>
        <v>6.8028888877776694</v>
      </c>
      <c r="L394" s="3">
        <f>Table9[[#This Row],[Batmobile]]-Table9[[#This Row],[Octane]]</f>
        <v>1.9850871645543862</v>
      </c>
      <c r="M394" s="3">
        <f>Table9[[#This Row],[Breakout]]-Table9[[#This Row],[Octane]]</f>
        <v>9.5371679297791161</v>
      </c>
      <c r="N394" s="4">
        <f>Table9[[#This Row],[Octane]]/Table9[[#This Row],[Hybrid]]</f>
        <v>0.97876190436207444</v>
      </c>
      <c r="O394" s="4">
        <f>Table9[[#This Row],[Octane]]/Table9[[#This Row],[Dominus]]</f>
        <v>0.97129097596622516</v>
      </c>
      <c r="P394" s="4">
        <f>Table9[[#This Row],[Octane]]/Table9[[#This Row],[Plank]]</f>
        <v>0.97892071633197053</v>
      </c>
      <c r="Q394" s="4">
        <f>Table9[[#This Row],[Octane]]/Table9[[#This Row],[Batmobile]]</f>
        <v>0.9937558370914219</v>
      </c>
      <c r="R394" s="4">
        <f>Table9[[#This Row],[Octane]]/Table9[[#This Row],[Breakout]]</f>
        <v>0.97069660811503045</v>
      </c>
    </row>
    <row r="395" spans="1:18">
      <c r="A395" s="1">
        <f>Octane[[#This Row],[Degrees turned]]</f>
        <v>316.87212865292355</v>
      </c>
      <c r="B395" s="1">
        <f>Hybrid[[#This Row],[Degrees turned]]</f>
        <v>323.75027391760864</v>
      </c>
      <c r="C395" s="1">
        <f>Dominus[[#This Row],[Degrees turned]]</f>
        <v>326.24161256874265</v>
      </c>
      <c r="D395" s="1">
        <f>Plank[[#This Row],[Degrees turned]]</f>
        <v>323.69904496496122</v>
      </c>
      <c r="E395" s="1">
        <f>Batmobile[[#This Row],[Degrees turned]]</f>
        <v>318.86665543950932</v>
      </c>
      <c r="F395" s="1">
        <f>Breakout[[#This Row],[Degrees turned]]</f>
        <v>326.44317943625822</v>
      </c>
      <c r="H395" s="1">
        <v>0</v>
      </c>
      <c r="I395" s="3">
        <f>Table9[[#This Row],[Hybrid]]-Table9[[#This Row],[Octane]]</f>
        <v>6.878145264685088</v>
      </c>
      <c r="J395" s="3">
        <f>Table9[[#This Row],[Dominus]]-Table9[[#This Row],[Octane]]</f>
        <v>9.369483915819103</v>
      </c>
      <c r="K395" s="3">
        <f>Table9[[#This Row],[Plank]]-Table9[[#This Row],[Octane]]</f>
        <v>6.8269163120376675</v>
      </c>
      <c r="L395" s="3">
        <f>Table9[[#This Row],[Batmobile]]-Table9[[#This Row],[Octane]]</f>
        <v>1.9945267865857659</v>
      </c>
      <c r="M395" s="3">
        <f>Table9[[#This Row],[Breakout]]-Table9[[#This Row],[Octane]]</f>
        <v>9.5710507833346696</v>
      </c>
      <c r="N395" s="4">
        <f>Table9[[#This Row],[Octane]]/Table9[[#This Row],[Hybrid]]</f>
        <v>0.9787547816363068</v>
      </c>
      <c r="O395" s="4">
        <f>Table9[[#This Row],[Octane]]/Table9[[#This Row],[Dominus]]</f>
        <v>0.97128053701658046</v>
      </c>
      <c r="P395" s="4">
        <f>Table9[[#This Row],[Octane]]/Table9[[#This Row],[Plank]]</f>
        <v>0.97890968040150794</v>
      </c>
      <c r="Q395" s="4">
        <f>Table9[[#This Row],[Octane]]/Table9[[#This Row],[Batmobile]]</f>
        <v>0.99374495027133958</v>
      </c>
      <c r="R395" s="4">
        <f>Table9[[#This Row],[Octane]]/Table9[[#This Row],[Breakout]]</f>
        <v>0.9706808063814869</v>
      </c>
    </row>
    <row r="396" spans="1:18">
      <c r="A396" s="1">
        <f>Octane[[#This Row],[Degrees turned]]</f>
        <v>317.81845886049206</v>
      </c>
      <c r="B396" s="1">
        <f>Hybrid[[#This Row],[Degrees turned]]</f>
        <v>324.71939468575999</v>
      </c>
      <c r="C396" s="1">
        <f>Dominus[[#This Row],[Degrees turned]]</f>
        <v>327.21867421775386</v>
      </c>
      <c r="D396" s="1">
        <f>Plank[[#This Row],[Degrees turned]]</f>
        <v>324.66948143855024</v>
      </c>
      <c r="E396" s="1">
        <f>Batmobile[[#This Row],[Degrees turned]]</f>
        <v>319.8219500895184</v>
      </c>
      <c r="F396" s="1">
        <f>Breakout[[#This Row],[Degrees turned]]</f>
        <v>327.42286272904198</v>
      </c>
      <c r="H396" s="1">
        <v>0</v>
      </c>
      <c r="I396" s="3">
        <f>Table9[[#This Row],[Hybrid]]-Table9[[#This Row],[Octane]]</f>
        <v>6.9009358252679363</v>
      </c>
      <c r="J396" s="3">
        <f>Table9[[#This Row],[Dominus]]-Table9[[#This Row],[Octane]]</f>
        <v>9.4002153572617999</v>
      </c>
      <c r="K396" s="3">
        <f>Table9[[#This Row],[Plank]]-Table9[[#This Row],[Octane]]</f>
        <v>6.8510225780581777</v>
      </c>
      <c r="L396" s="3">
        <f>Table9[[#This Row],[Batmobile]]-Table9[[#This Row],[Octane]]</f>
        <v>2.0034912290263378</v>
      </c>
      <c r="M396" s="3">
        <f>Table9[[#This Row],[Breakout]]-Table9[[#This Row],[Octane]]</f>
        <v>9.6044038685499231</v>
      </c>
      <c r="N396" s="4">
        <f>Table9[[#This Row],[Octane]]/Table9[[#This Row],[Hybrid]]</f>
        <v>0.97874800231151526</v>
      </c>
      <c r="O396" s="4">
        <f>Table9[[#This Row],[Octane]]/Table9[[#This Row],[Dominus]]</f>
        <v>0.97127237502647468</v>
      </c>
      <c r="P396" s="4">
        <f>Table9[[#This Row],[Octane]]/Table9[[#This Row],[Plank]]</f>
        <v>0.97889847069178615</v>
      </c>
      <c r="Q396" s="4">
        <f>Table9[[#This Row],[Octane]]/Table9[[#This Row],[Batmobile]]</f>
        <v>0.9937356043621598</v>
      </c>
      <c r="R396" s="4">
        <f>Table9[[#This Row],[Octane]]/Table9[[#This Row],[Breakout]]</f>
        <v>0.97066666698684989</v>
      </c>
    </row>
    <row r="397" spans="1:18">
      <c r="A397" s="1">
        <f>Octane[[#This Row],[Degrees turned]]</f>
        <v>318.76483565330864</v>
      </c>
      <c r="B397" s="1">
        <f>Hybrid[[#This Row],[Degrees turned]]</f>
        <v>325.68844998902568</v>
      </c>
      <c r="C397" s="1">
        <f>Dominus[[#This Row],[Degrees turned]]</f>
        <v>328.19614794245263</v>
      </c>
      <c r="D397" s="1">
        <f>Plank[[#This Row],[Degrees turned]]</f>
        <v>325.63987126627461</v>
      </c>
      <c r="E397" s="1">
        <f>Batmobile[[#This Row],[Degrees turned]]</f>
        <v>320.77754086894123</v>
      </c>
      <c r="F397" s="1">
        <f>Breakout[[#This Row],[Degrees turned]]</f>
        <v>328.40285292802537</v>
      </c>
      <c r="H397" s="1">
        <v>0</v>
      </c>
      <c r="I397" s="3">
        <f>Table9[[#This Row],[Hybrid]]-Table9[[#This Row],[Octane]]</f>
        <v>6.9236143357170477</v>
      </c>
      <c r="J397" s="3">
        <f>Table9[[#This Row],[Dominus]]-Table9[[#This Row],[Octane]]</f>
        <v>9.4313122891439889</v>
      </c>
      <c r="K397" s="3">
        <f>Table9[[#This Row],[Plank]]-Table9[[#This Row],[Octane]]</f>
        <v>6.8750356129659735</v>
      </c>
      <c r="L397" s="3">
        <f>Table9[[#This Row],[Batmobile]]-Table9[[#This Row],[Octane]]</f>
        <v>2.0127052156325931</v>
      </c>
      <c r="M397" s="3">
        <f>Table9[[#This Row],[Breakout]]-Table9[[#This Row],[Octane]]</f>
        <v>9.6380172747167308</v>
      </c>
      <c r="N397" s="4">
        <f>Table9[[#This Row],[Octane]]/Table9[[#This Row],[Hybrid]]</f>
        <v>0.97874160309967906</v>
      </c>
      <c r="O397" s="4">
        <f>Table9[[#This Row],[Octane]]/Table9[[#This Row],[Dominus]]</f>
        <v>0.97126318407979084</v>
      </c>
      <c r="P397" s="4">
        <f>Table9[[#This Row],[Octane]]/Table9[[#This Row],[Plank]]</f>
        <v>0.97888761107099109</v>
      </c>
      <c r="Q397" s="4">
        <f>Table9[[#This Row],[Octane]]/Table9[[#This Row],[Batmobile]]</f>
        <v>0.99372554197472662</v>
      </c>
      <c r="R397" s="4">
        <f>Table9[[#This Row],[Octane]]/Table9[[#This Row],[Breakout]]</f>
        <v>0.9706518466913896</v>
      </c>
    </row>
    <row r="398" spans="1:18">
      <c r="A398" s="1">
        <f>Octane[[#This Row],[Degrees turned]]</f>
        <v>319.71129779308944</v>
      </c>
      <c r="B398" s="1">
        <f>Hybrid[[#This Row],[Degrees turned]]</f>
        <v>326.6576666147966</v>
      </c>
      <c r="C398" s="1">
        <f>Dominus[[#This Row],[Degrees turned]]</f>
        <v>329.1737861524735</v>
      </c>
      <c r="D398" s="1">
        <f>Plank[[#This Row],[Degrees turned]]</f>
        <v>326.61043668201893</v>
      </c>
      <c r="E398" s="1">
        <f>Batmobile[[#This Row],[Degrees turned]]</f>
        <v>321.73335204500256</v>
      </c>
      <c r="F398" s="1">
        <f>Breakout[[#This Row],[Degrees turned]]</f>
        <v>329.38322281537569</v>
      </c>
      <c r="H398" s="1">
        <v>0</v>
      </c>
      <c r="I398" s="3">
        <f>Table9[[#This Row],[Hybrid]]-Table9[[#This Row],[Octane]]</f>
        <v>6.9463688217071535</v>
      </c>
      <c r="J398" s="3">
        <f>Table9[[#This Row],[Dominus]]-Table9[[#This Row],[Octane]]</f>
        <v>9.4624883593840536</v>
      </c>
      <c r="K398" s="3">
        <f>Table9[[#This Row],[Plank]]-Table9[[#This Row],[Octane]]</f>
        <v>6.8991388889294853</v>
      </c>
      <c r="L398" s="3">
        <f>Table9[[#This Row],[Batmobile]]-Table9[[#This Row],[Octane]]</f>
        <v>2.0220542519131186</v>
      </c>
      <c r="M398" s="3">
        <f>Table9[[#This Row],[Breakout]]-Table9[[#This Row],[Octane]]</f>
        <v>9.6719250222862456</v>
      </c>
      <c r="N398" s="4">
        <f>Table9[[#This Row],[Octane]]/Table9[[#This Row],[Hybrid]]</f>
        <v>0.97873501977255439</v>
      </c>
      <c r="O398" s="4">
        <f>Table9[[#This Row],[Octane]]/Table9[[#This Row],[Dominus]]</f>
        <v>0.9712538216667076</v>
      </c>
      <c r="P398" s="4">
        <f>Table9[[#This Row],[Octane]]/Table9[[#This Row],[Plank]]</f>
        <v>0.97887655104038718</v>
      </c>
      <c r="Q398" s="4">
        <f>Table9[[#This Row],[Octane]]/Table9[[#This Row],[Batmobile]]</f>
        <v>0.99371512390909889</v>
      </c>
      <c r="R398" s="4">
        <f>Table9[[#This Row],[Octane]]/Table9[[#This Row],[Breakout]]</f>
        <v>0.97063625481705995</v>
      </c>
    </row>
    <row r="399" spans="1:18">
      <c r="A399" s="1">
        <f>Octane[[#This Row],[Degrees turned]]</f>
        <v>320.65777787545443</v>
      </c>
      <c r="B399" s="1">
        <f>Hybrid[[#This Row],[Degrees turned]]</f>
        <v>327.62695641923409</v>
      </c>
      <c r="C399" s="1">
        <f>Dominus[[#This Row],[Degrees turned]]</f>
        <v>330.15133976660007</v>
      </c>
      <c r="D399" s="1">
        <f>Plank[[#This Row],[Degrees turned]]</f>
        <v>327.58109457343892</v>
      </c>
      <c r="E399" s="1">
        <f>Batmobile[[#This Row],[Degrees turned]]</f>
        <v>322.68884538775814</v>
      </c>
      <c r="F399" s="1">
        <f>Breakout[[#This Row],[Degrees turned]]</f>
        <v>330.36340543399876</v>
      </c>
      <c r="H399" s="1">
        <v>0</v>
      </c>
      <c r="I399" s="3">
        <f>Table9[[#This Row],[Hybrid]]-Table9[[#This Row],[Octane]]</f>
        <v>6.9691785437796625</v>
      </c>
      <c r="J399" s="3">
        <f>Table9[[#This Row],[Dominus]]-Table9[[#This Row],[Octane]]</f>
        <v>9.4935618911456459</v>
      </c>
      <c r="K399" s="3">
        <f>Table9[[#This Row],[Plank]]-Table9[[#This Row],[Octane]]</f>
        <v>6.9233166979844896</v>
      </c>
      <c r="L399" s="3">
        <f>Table9[[#This Row],[Batmobile]]-Table9[[#This Row],[Octane]]</f>
        <v>2.0310675123037072</v>
      </c>
      <c r="M399" s="3">
        <f>Table9[[#This Row],[Breakout]]-Table9[[#This Row],[Octane]]</f>
        <v>9.7056275585443359</v>
      </c>
      <c r="N399" s="4">
        <f>Table9[[#This Row],[Octane]]/Table9[[#This Row],[Hybrid]]</f>
        <v>0.97872831155302786</v>
      </c>
      <c r="O399" s="4">
        <f>Table9[[#This Row],[Octane]]/Table9[[#This Row],[Dominus]]</f>
        <v>0.97124481791333306</v>
      </c>
      <c r="P399" s="4">
        <f>Table9[[#This Row],[Octane]]/Table9[[#This Row],[Plank]]</f>
        <v>0.97886533498827299</v>
      </c>
      <c r="Q399" s="4">
        <f>Table9[[#This Row],[Octane]]/Table9[[#This Row],[Batmobile]]</f>
        <v>0.99370580191619862</v>
      </c>
      <c r="R399" s="4">
        <f>Table9[[#This Row],[Octane]]/Table9[[#This Row],[Breakout]]</f>
        <v>0.97062135999659516</v>
      </c>
    </row>
    <row r="400" spans="1:18">
      <c r="A400" s="1">
        <f>Octane[[#This Row],[Degrees turned]]</f>
        <v>321.60448235582373</v>
      </c>
      <c r="B400" s="1">
        <f>Hybrid[[#This Row],[Degrees turned]]</f>
        <v>328.5965578504497</v>
      </c>
      <c r="C400" s="1">
        <f>Dominus[[#This Row],[Degrees turned]]</f>
        <v>331.12838317771025</v>
      </c>
      <c r="D400" s="1">
        <f>Plank[[#This Row],[Degrees turned]]</f>
        <v>328.55191899796125</v>
      </c>
      <c r="E400" s="1">
        <f>Batmobile[[#This Row],[Degrees turned]]</f>
        <v>323.64468892338471</v>
      </c>
      <c r="F400" s="1">
        <f>Breakout[[#This Row],[Degrees turned]]</f>
        <v>331.34297541427048</v>
      </c>
      <c r="H400" s="1">
        <v>0</v>
      </c>
      <c r="I400" s="3">
        <f>Table9[[#This Row],[Hybrid]]-Table9[[#This Row],[Octane]]</f>
        <v>6.9920754946259649</v>
      </c>
      <c r="J400" s="3">
        <f>Table9[[#This Row],[Dominus]]-Table9[[#This Row],[Octane]]</f>
        <v>9.5239008218865138</v>
      </c>
      <c r="K400" s="3">
        <f>Table9[[#This Row],[Plank]]-Table9[[#This Row],[Octane]]</f>
        <v>6.947436642137518</v>
      </c>
      <c r="L400" s="3">
        <f>Table9[[#This Row],[Batmobile]]-Table9[[#This Row],[Octane]]</f>
        <v>2.040206567560972</v>
      </c>
      <c r="M400" s="3">
        <f>Table9[[#This Row],[Breakout]]-Table9[[#This Row],[Octane]]</f>
        <v>9.7384930584467497</v>
      </c>
      <c r="N400" s="4">
        <f>Table9[[#This Row],[Octane]]/Table9[[#This Row],[Hybrid]]</f>
        <v>0.97872139763007437</v>
      </c>
      <c r="O400" s="4">
        <f>Table9[[#This Row],[Octane]]/Table9[[#This Row],[Dominus]]</f>
        <v>0.97123804147959369</v>
      </c>
      <c r="P400" s="4">
        <f>Table9[[#This Row],[Octane]]/Table9[[#This Row],[Plank]]</f>
        <v>0.97885437204772308</v>
      </c>
      <c r="Q400" s="4">
        <f>Table9[[#This Row],[Octane]]/Table9[[#This Row],[Batmobile]]</f>
        <v>0.9936961531043571</v>
      </c>
      <c r="R400" s="4">
        <f>Table9[[#This Row],[Octane]]/Table9[[#This Row],[Breakout]]</f>
        <v>0.97060902514601088</v>
      </c>
    </row>
    <row r="401" spans="1:18">
      <c r="A401" s="1">
        <f>Octane[[#This Row],[Degrees turned]]</f>
        <v>322.55074056829926</v>
      </c>
      <c r="B401" s="1">
        <f>Hybrid[[#This Row],[Degrees turned]]</f>
        <v>329.56589482428876</v>
      </c>
      <c r="C401" s="1">
        <f>Dominus[[#This Row],[Degrees turned]]</f>
        <v>332.1061299424822</v>
      </c>
      <c r="D401" s="1">
        <f>Plank[[#This Row],[Degrees turned]]</f>
        <v>329.52266020796213</v>
      </c>
      <c r="E401" s="1">
        <f>Batmobile[[#This Row],[Degrees turned]]</f>
        <v>324.60034611448435</v>
      </c>
      <c r="F401" s="1">
        <f>Breakout[[#This Row],[Degrees turned]]</f>
        <v>332.32315345487643</v>
      </c>
      <c r="H401" s="1">
        <v>0</v>
      </c>
      <c r="I401" s="3">
        <f>Table9[[#This Row],[Hybrid]]-Table9[[#This Row],[Octane]]</f>
        <v>7.0151542559895006</v>
      </c>
      <c r="J401" s="3">
        <f>Table9[[#This Row],[Dominus]]-Table9[[#This Row],[Octane]]</f>
        <v>9.555389374182937</v>
      </c>
      <c r="K401" s="3">
        <f>Table9[[#This Row],[Plank]]-Table9[[#This Row],[Octane]]</f>
        <v>6.9719196396628718</v>
      </c>
      <c r="L401" s="3">
        <f>Table9[[#This Row],[Batmobile]]-Table9[[#This Row],[Octane]]</f>
        <v>2.0496055461850915</v>
      </c>
      <c r="M401" s="3">
        <f>Table9[[#This Row],[Breakout]]-Table9[[#This Row],[Octane]]</f>
        <v>9.7724128865771718</v>
      </c>
      <c r="N401" s="4">
        <f>Table9[[#This Row],[Octane]]/Table9[[#This Row],[Hybrid]]</f>
        <v>0.97871395564237706</v>
      </c>
      <c r="O401" s="4">
        <f>Table9[[#This Row],[Octane]]/Table9[[#This Row],[Dominus]]</f>
        <v>0.97122790423700445</v>
      </c>
      <c r="P401" s="4">
        <f>Table9[[#This Row],[Octane]]/Table9[[#This Row],[Plank]]</f>
        <v>0.97884236660609958</v>
      </c>
      <c r="Q401" s="4">
        <f>Table9[[#This Row],[Octane]]/Table9[[#This Row],[Batmobile]]</f>
        <v>0.99368575674450388</v>
      </c>
      <c r="R401" s="4">
        <f>Table9[[#This Row],[Octane]]/Table9[[#This Row],[Breakout]]</f>
        <v>0.97059364421352579</v>
      </c>
    </row>
    <row r="402" spans="1:18">
      <c r="A402" s="1">
        <f>Octane[[#This Row],[Degrees turned]]</f>
        <v>323.49735549768587</v>
      </c>
      <c r="B402" s="1">
        <f>Hybrid[[#This Row],[Degrees turned]]</f>
        <v>330.53486814667707</v>
      </c>
      <c r="C402" s="1">
        <f>Dominus[[#This Row],[Degrees turned]]</f>
        <v>333.08350552461775</v>
      </c>
      <c r="D402" s="1">
        <f>Plank[[#This Row],[Degrees turned]]</f>
        <v>330.49371544587063</v>
      </c>
      <c r="E402" s="1">
        <f>Batmobile[[#This Row],[Degrees turned]]</f>
        <v>325.5558781692709</v>
      </c>
      <c r="F402" s="1">
        <f>Breakout[[#This Row],[Degrees turned]]</f>
        <v>333.30301840290002</v>
      </c>
      <c r="H402" s="1">
        <v>0</v>
      </c>
      <c r="I402" s="3">
        <f>Table9[[#This Row],[Hybrid]]-Table9[[#This Row],[Octane]]</f>
        <v>7.0375126489911963</v>
      </c>
      <c r="J402" s="3">
        <f>Table9[[#This Row],[Dominus]]-Table9[[#This Row],[Octane]]</f>
        <v>9.5861500269318753</v>
      </c>
      <c r="K402" s="3">
        <f>Table9[[#This Row],[Plank]]-Table9[[#This Row],[Octane]]</f>
        <v>6.9963599481847609</v>
      </c>
      <c r="L402" s="3">
        <f>Table9[[#This Row],[Batmobile]]-Table9[[#This Row],[Octane]]</f>
        <v>2.058522671585024</v>
      </c>
      <c r="M402" s="3">
        <f>Table9[[#This Row],[Breakout]]-Table9[[#This Row],[Octane]]</f>
        <v>9.8056629052141489</v>
      </c>
      <c r="N402" s="4">
        <f>Table9[[#This Row],[Octane]]/Table9[[#This Row],[Hybrid]]</f>
        <v>0.97870871327902309</v>
      </c>
      <c r="O402" s="4">
        <f>Table9[[#This Row],[Octane]]/Table9[[#This Row],[Dominus]]</f>
        <v>0.97121997977103858</v>
      </c>
      <c r="P402" s="4">
        <f>Table9[[#This Row],[Octane]]/Table9[[#This Row],[Plank]]</f>
        <v>0.97883058097263376</v>
      </c>
      <c r="Q402" s="4">
        <f>Table9[[#This Row],[Octane]]/Table9[[#This Row],[Batmobile]]</f>
        <v>0.99367689908362</v>
      </c>
      <c r="R402" s="4">
        <f>Table9[[#This Row],[Octane]]/Table9[[#This Row],[Breakout]]</f>
        <v>0.97058033571912938</v>
      </c>
    </row>
    <row r="403" spans="1:18">
      <c r="A403" s="1">
        <f>Octane[[#This Row],[Degrees turned]]</f>
        <v>324.44441803063029</v>
      </c>
      <c r="B403" s="1">
        <f>Hybrid[[#This Row],[Degrees turned]]</f>
        <v>331.50453041374385</v>
      </c>
      <c r="C403" s="1">
        <f>Dominus[[#This Row],[Degrees turned]]</f>
        <v>334.06074252728621</v>
      </c>
      <c r="D403" s="1">
        <f>Plank[[#This Row],[Degrees turned]]</f>
        <v>331.46449957825439</v>
      </c>
      <c r="E403" s="1">
        <f>Batmobile[[#This Row],[Degrees turned]]</f>
        <v>326.51118967926845</v>
      </c>
      <c r="F403" s="1">
        <f>Breakout[[#This Row],[Degrees turned]]</f>
        <v>334.28280272513422</v>
      </c>
      <c r="H403" s="1">
        <v>0</v>
      </c>
      <c r="I403" s="3">
        <f>Table9[[#This Row],[Hybrid]]-Table9[[#This Row],[Octane]]</f>
        <v>7.0601123831135624</v>
      </c>
      <c r="J403" s="3">
        <f>Table9[[#This Row],[Dominus]]-Table9[[#This Row],[Octane]]</f>
        <v>9.6163244966559205</v>
      </c>
      <c r="K403" s="3">
        <f>Table9[[#This Row],[Plank]]-Table9[[#This Row],[Octane]]</f>
        <v>7.0200815476241019</v>
      </c>
      <c r="L403" s="3">
        <f>Table9[[#This Row],[Batmobile]]-Table9[[#This Row],[Octane]]</f>
        <v>2.0667716486381664</v>
      </c>
      <c r="M403" s="3">
        <f>Table9[[#This Row],[Breakout]]-Table9[[#This Row],[Octane]]</f>
        <v>9.8383846945039295</v>
      </c>
      <c r="N403" s="4">
        <f>Table9[[#This Row],[Octane]]/Table9[[#This Row],[Hybrid]]</f>
        <v>0.97870281780372059</v>
      </c>
      <c r="O403" s="4">
        <f>Table9[[#This Row],[Octane]]/Table9[[#This Row],[Dominus]]</f>
        <v>0.97121384445264336</v>
      </c>
      <c r="P403" s="4">
        <f>Table9[[#This Row],[Octane]]/Table9[[#This Row],[Plank]]</f>
        <v>0.97882101535290733</v>
      </c>
      <c r="Q403" s="4">
        <f>Table9[[#This Row],[Octane]]/Table9[[#This Row],[Batmobile]]</f>
        <v>0.99367013531552062</v>
      </c>
      <c r="R403" s="4">
        <f>Table9[[#This Row],[Octane]]/Table9[[#This Row],[Breakout]]</f>
        <v>0.97056867833373528</v>
      </c>
    </row>
    <row r="404" spans="1:18">
      <c r="A404" s="1">
        <f>Octane[[#This Row],[Degrees turned]]</f>
        <v>325.3908812876461</v>
      </c>
      <c r="B404" s="1">
        <f>Hybrid[[#This Row],[Degrees turned]]</f>
        <v>332.47396784740971</v>
      </c>
      <c r="C404" s="1">
        <f>Dominus[[#This Row],[Degrees turned]]</f>
        <v>335.03791045377301</v>
      </c>
      <c r="D404" s="1">
        <f>Plank[[#This Row],[Degrees turned]]</f>
        <v>332.4350801749091</v>
      </c>
      <c r="E404" s="1">
        <f>Batmobile[[#This Row],[Degrees turned]]</f>
        <v>327.4663382066019</v>
      </c>
      <c r="F404" s="1">
        <f>Breakout[[#This Row],[Degrees turned]]</f>
        <v>335.26241442049155</v>
      </c>
      <c r="H404" s="1">
        <v>0</v>
      </c>
      <c r="I404" s="3">
        <f>Table9[[#This Row],[Hybrid]]-Table9[[#This Row],[Octane]]</f>
        <v>7.0830865597636148</v>
      </c>
      <c r="J404" s="3">
        <f>Table9[[#This Row],[Dominus]]-Table9[[#This Row],[Octane]]</f>
        <v>9.647029166126913</v>
      </c>
      <c r="K404" s="3">
        <f>Table9[[#This Row],[Plank]]-Table9[[#This Row],[Octane]]</f>
        <v>7.0441988872630077</v>
      </c>
      <c r="L404" s="3">
        <f>Table9[[#This Row],[Batmobile]]-Table9[[#This Row],[Octane]]</f>
        <v>2.0754569189558083</v>
      </c>
      <c r="M404" s="3">
        <f>Table9[[#This Row],[Breakout]]-Table9[[#This Row],[Octane]]</f>
        <v>9.8715331328454567</v>
      </c>
      <c r="N404" s="4">
        <f>Table9[[#This Row],[Octane]]/Table9[[#This Row],[Hybrid]]</f>
        <v>0.97869581607960832</v>
      </c>
      <c r="O404" s="4">
        <f>Table9[[#This Row],[Octane]]/Table9[[#This Row],[Dominus]]</f>
        <v>0.97120615648222897</v>
      </c>
      <c r="P404" s="4">
        <f>Table9[[#This Row],[Octane]]/Table9[[#This Row],[Plank]]</f>
        <v>0.97881030219928433</v>
      </c>
      <c r="Q404" s="4">
        <f>Table9[[#This Row],[Octane]]/Table9[[#This Row],[Batmobile]]</f>
        <v>0.99366207552714503</v>
      </c>
      <c r="R404" s="4">
        <f>Table9[[#This Row],[Octane]]/Table9[[#This Row],[Breakout]]</f>
        <v>0.97055580134173813</v>
      </c>
    </row>
    <row r="405" spans="1:18">
      <c r="A405" s="1">
        <f>Octane[[#This Row],[Degrees turned]]</f>
        <v>326.33729905257906</v>
      </c>
      <c r="B405" s="1">
        <f>Hybrid[[#This Row],[Degrees turned]]</f>
        <v>333.44325069617179</v>
      </c>
      <c r="C405" s="1">
        <f>Dominus[[#This Row],[Degrees turned]]</f>
        <v>336.01576793015454</v>
      </c>
      <c r="D405" s="1">
        <f>Plank[[#This Row],[Degrees turned]]</f>
        <v>333.40567951149325</v>
      </c>
      <c r="E405" s="1">
        <f>Batmobile[[#This Row],[Degrees turned]]</f>
        <v>328.42155279823976</v>
      </c>
      <c r="F405" s="1">
        <f>Breakout[[#This Row],[Degrees turned]]</f>
        <v>336.24277319598571</v>
      </c>
      <c r="H405" s="1">
        <v>0</v>
      </c>
      <c r="I405" s="3">
        <f>Table9[[#This Row],[Hybrid]]-Table9[[#This Row],[Octane]]</f>
        <v>7.1059516435927321</v>
      </c>
      <c r="J405" s="3">
        <f>Table9[[#This Row],[Dominus]]-Table9[[#This Row],[Octane]]</f>
        <v>9.678468877575483</v>
      </c>
      <c r="K405" s="3">
        <f>Table9[[#This Row],[Plank]]-Table9[[#This Row],[Octane]]</f>
        <v>7.0683804589141914</v>
      </c>
      <c r="L405" s="3">
        <f>Table9[[#This Row],[Batmobile]]-Table9[[#This Row],[Octane]]</f>
        <v>2.0842537456607033</v>
      </c>
      <c r="M405" s="3">
        <f>Table9[[#This Row],[Breakout]]-Table9[[#This Row],[Octane]]</f>
        <v>9.90547414340665</v>
      </c>
      <c r="N405" s="4">
        <f>Table9[[#This Row],[Octane]]/Table9[[#This Row],[Hybrid]]</f>
        <v>0.97868917235914432</v>
      </c>
      <c r="O405" s="4">
        <f>Table9[[#This Row],[Octane]]/Table9[[#This Row],[Dominus]]</f>
        <v>0.9711963848089793</v>
      </c>
      <c r="P405" s="4">
        <f>Table9[[#This Row],[Octane]]/Table9[[#This Row],[Plank]]</f>
        <v>0.97879945995739848</v>
      </c>
      <c r="Q405" s="4">
        <f>Table9[[#This Row],[Octane]]/Table9[[#This Row],[Batmobile]]</f>
        <v>0.99365372422150033</v>
      </c>
      <c r="R405" s="4">
        <f>Table9[[#This Row],[Octane]]/Table9[[#This Row],[Breakout]]</f>
        <v>0.97054070768791501</v>
      </c>
    </row>
    <row r="406" spans="1:18">
      <c r="A406" s="1">
        <f>Octane[[#This Row],[Degrees turned]]</f>
        <v>327.28419377800748</v>
      </c>
      <c r="B406" s="1">
        <f>Hybrid[[#This Row],[Degrees turned]]</f>
        <v>334.41261071495268</v>
      </c>
      <c r="C406" s="1">
        <f>Dominus[[#This Row],[Degrees turned]]</f>
        <v>336.99300735713553</v>
      </c>
      <c r="D406" s="1">
        <f>Plank[[#This Row],[Degrees turned]]</f>
        <v>334.3762092321715</v>
      </c>
      <c r="E406" s="1">
        <f>Batmobile[[#This Row],[Degrees turned]]</f>
        <v>329.37706320419198</v>
      </c>
      <c r="F406" s="1">
        <f>Breakout[[#This Row],[Degrees turned]]</f>
        <v>337.22311427694774</v>
      </c>
      <c r="H406" s="1">
        <v>0</v>
      </c>
      <c r="I406" s="3">
        <f>Table9[[#This Row],[Hybrid]]-Table9[[#This Row],[Octane]]</f>
        <v>7.1284169369452002</v>
      </c>
      <c r="J406" s="3">
        <f>Table9[[#This Row],[Dominus]]-Table9[[#This Row],[Octane]]</f>
        <v>9.7088135791280479</v>
      </c>
      <c r="K406" s="3">
        <f>Table9[[#This Row],[Plank]]-Table9[[#This Row],[Octane]]</f>
        <v>7.0920154541640272</v>
      </c>
      <c r="L406" s="3">
        <f>Table9[[#This Row],[Batmobile]]-Table9[[#This Row],[Octane]]</f>
        <v>2.0928694261845067</v>
      </c>
      <c r="M406" s="3">
        <f>Table9[[#This Row],[Breakout]]-Table9[[#This Row],[Octane]]</f>
        <v>9.9389204989402629</v>
      </c>
      <c r="N406" s="4">
        <f>Table9[[#This Row],[Octane]]/Table9[[#This Row],[Hybrid]]</f>
        <v>0.97868376757172793</v>
      </c>
      <c r="O406" s="4">
        <f>Table9[[#This Row],[Octane]]/Table9[[#This Row],[Dominus]]</f>
        <v>0.97118986635577598</v>
      </c>
      <c r="P406" s="4">
        <f>Table9[[#This Row],[Octane]]/Table9[[#This Row],[Plank]]</f>
        <v>0.97879031085839086</v>
      </c>
      <c r="Q406" s="4">
        <f>Table9[[#This Row],[Octane]]/Table9[[#This Row],[Batmobile]]</f>
        <v>0.99364597702758961</v>
      </c>
      <c r="R406" s="4">
        <f>Table9[[#This Row],[Octane]]/Table9[[#This Row],[Breakout]]</f>
        <v>0.97052716709454911</v>
      </c>
    </row>
    <row r="407" spans="1:18">
      <c r="A407" s="1">
        <f>Octane[[#This Row],[Degrees turned]]</f>
        <v>328.23101004550296</v>
      </c>
      <c r="B407" s="1">
        <f>Hybrid[[#This Row],[Degrees turned]]</f>
        <v>335.38210622012491</v>
      </c>
      <c r="C407" s="1">
        <f>Dominus[[#This Row],[Degrees turned]]</f>
        <v>337.97022068387247</v>
      </c>
      <c r="D407" s="1">
        <f>Plank[[#This Row],[Degrees turned]]</f>
        <v>335.34658009706095</v>
      </c>
      <c r="E407" s="1">
        <f>Batmobile[[#This Row],[Degrees turned]]</f>
        <v>330.33294287827232</v>
      </c>
      <c r="F407" s="1">
        <f>Breakout[[#This Row],[Degrees turned]]</f>
        <v>338.20278896956506</v>
      </c>
      <c r="H407" s="1">
        <v>0</v>
      </c>
      <c r="I407" s="3">
        <f>Table9[[#This Row],[Hybrid]]-Table9[[#This Row],[Octane]]</f>
        <v>7.151096174621955</v>
      </c>
      <c r="J407" s="3">
        <f>Table9[[#This Row],[Dominus]]-Table9[[#This Row],[Octane]]</f>
        <v>9.7392106383695136</v>
      </c>
      <c r="K407" s="3">
        <f>Table9[[#This Row],[Plank]]-Table9[[#This Row],[Octane]]</f>
        <v>7.1155700515579952</v>
      </c>
      <c r="L407" s="3">
        <f>Table9[[#This Row],[Batmobile]]-Table9[[#This Row],[Octane]]</f>
        <v>2.1019328327693643</v>
      </c>
      <c r="M407" s="3">
        <f>Table9[[#This Row],[Breakout]]-Table9[[#This Row],[Octane]]</f>
        <v>9.9717789240621073</v>
      </c>
      <c r="N407" s="4">
        <f>Table9[[#This Row],[Octane]]/Table9[[#This Row],[Hybrid]]</f>
        <v>0.9786777647286633</v>
      </c>
      <c r="O407" s="4">
        <f>Table9[[#This Row],[Octane]]/Table9[[#This Row],[Dominus]]</f>
        <v>0.97118322845526883</v>
      </c>
      <c r="P407" s="4">
        <f>Table9[[#This Row],[Octane]]/Table9[[#This Row],[Plank]]</f>
        <v>0.97878144441044101</v>
      </c>
      <c r="Q407" s="4">
        <f>Table9[[#This Row],[Octane]]/Table9[[#This Row],[Batmobile]]</f>
        <v>0.99363692638568013</v>
      </c>
      <c r="R407" s="4">
        <f>Table9[[#This Row],[Octane]]/Table9[[#This Row],[Breakout]]</f>
        <v>0.97051538529754855</v>
      </c>
    </row>
    <row r="408" spans="1:18">
      <c r="A408" s="1">
        <f>Octane[[#This Row],[Degrees turned]]</f>
        <v>329.17764312876642</v>
      </c>
      <c r="B408" s="1">
        <f>Hybrid[[#This Row],[Degrees turned]]</f>
        <v>336.35165869079771</v>
      </c>
      <c r="C408" s="1">
        <f>Dominus[[#This Row],[Degrees turned]]</f>
        <v>338.94765610843393</v>
      </c>
      <c r="D408" s="1">
        <f>Plank[[#This Row],[Degrees turned]]</f>
        <v>336.31717667056233</v>
      </c>
      <c r="E408" s="1">
        <f>Batmobile[[#This Row],[Degrees turned]]</f>
        <v>331.28877464824581</v>
      </c>
      <c r="F408" s="1">
        <f>Breakout[[#This Row],[Degrees turned]]</f>
        <v>339.18258252378786</v>
      </c>
      <c r="H408" s="1">
        <v>0</v>
      </c>
      <c r="I408" s="3">
        <f>Table9[[#This Row],[Hybrid]]-Table9[[#This Row],[Octane]]</f>
        <v>7.1740155620312862</v>
      </c>
      <c r="J408" s="3">
        <f>Table9[[#This Row],[Dominus]]-Table9[[#This Row],[Octane]]</f>
        <v>9.7700129796675128</v>
      </c>
      <c r="K408" s="3">
        <f>Table9[[#This Row],[Plank]]-Table9[[#This Row],[Octane]]</f>
        <v>7.1395335417959132</v>
      </c>
      <c r="L408" s="3">
        <f>Table9[[#This Row],[Batmobile]]-Table9[[#This Row],[Octane]]</f>
        <v>2.111131519479386</v>
      </c>
      <c r="M408" s="3">
        <f>Table9[[#This Row],[Breakout]]-Table9[[#This Row],[Octane]]</f>
        <v>10.004939395021438</v>
      </c>
      <c r="N408" s="4">
        <f>Table9[[#This Row],[Octane]]/Table9[[#This Row],[Hybrid]]</f>
        <v>0.97867108611875098</v>
      </c>
      <c r="O408" s="4">
        <f>Table9[[#This Row],[Octane]]/Table9[[#This Row],[Dominus]]</f>
        <v>0.97117545200978772</v>
      </c>
      <c r="P408" s="4">
        <f>Table9[[#This Row],[Octane]]/Table9[[#This Row],[Plank]]</f>
        <v>0.97877142757775526</v>
      </c>
      <c r="Q408" s="4">
        <f>Table9[[#This Row],[Octane]]/Table9[[#This Row],[Batmobile]]</f>
        <v>0.99362751870563393</v>
      </c>
      <c r="R408" s="4">
        <f>Table9[[#This Row],[Octane]]/Table9[[#This Row],[Breakout]]</f>
        <v>0.97050279138575823</v>
      </c>
    </row>
    <row r="409" spans="1:18">
      <c r="A409" s="1">
        <f>Octane[[#This Row],[Degrees turned]]</f>
        <v>330.1238302048497</v>
      </c>
      <c r="B409" s="1">
        <f>Hybrid[[#This Row],[Degrees turned]]</f>
        <v>337.32133287328986</v>
      </c>
      <c r="C409" s="1">
        <f>Dominus[[#This Row],[Degrees turned]]</f>
        <v>339.92537553944334</v>
      </c>
      <c r="D409" s="1">
        <f>Plank[[#This Row],[Degrees turned]]</f>
        <v>337.28808210413058</v>
      </c>
      <c r="E409" s="1">
        <f>Batmobile[[#This Row],[Degrees turned]]</f>
        <v>332.24462271910232</v>
      </c>
      <c r="F409" s="1">
        <f>Breakout[[#This Row],[Degrees turned]]</f>
        <v>340.16271717245485</v>
      </c>
      <c r="H409" s="1">
        <v>0</v>
      </c>
      <c r="I409" s="3">
        <f>Table9[[#This Row],[Hybrid]]-Table9[[#This Row],[Octane]]</f>
        <v>7.1975026684401655</v>
      </c>
      <c r="J409" s="3">
        <f>Table9[[#This Row],[Dominus]]-Table9[[#This Row],[Octane]]</f>
        <v>9.8015453345936407</v>
      </c>
      <c r="K409" s="3">
        <f>Table9[[#This Row],[Plank]]-Table9[[#This Row],[Octane]]</f>
        <v>7.1642518992808846</v>
      </c>
      <c r="L409" s="3">
        <f>Table9[[#This Row],[Batmobile]]-Table9[[#This Row],[Octane]]</f>
        <v>2.1207925142526278</v>
      </c>
      <c r="M409" s="3">
        <f>Table9[[#This Row],[Breakout]]-Table9[[#This Row],[Octane]]</f>
        <v>10.038886967605151</v>
      </c>
      <c r="N409" s="4">
        <f>Table9[[#This Row],[Octane]]/Table9[[#This Row],[Hybrid]]</f>
        <v>0.97866277057803575</v>
      </c>
      <c r="O409" s="4">
        <f>Table9[[#This Row],[Octane]]/Table9[[#This Row],[Dominus]]</f>
        <v>0.97116559680477188</v>
      </c>
      <c r="P409" s="4">
        <f>Table9[[#This Row],[Octane]]/Table9[[#This Row],[Plank]]</f>
        <v>0.97875924979445594</v>
      </c>
      <c r="Q409" s="4">
        <f>Table9[[#This Row],[Octane]]/Table9[[#This Row],[Batmobile]]</f>
        <v>0.99361677399954296</v>
      </c>
      <c r="R409" s="4">
        <f>Table9[[#This Row],[Octane]]/Table9[[#This Row],[Breakout]]</f>
        <v>0.97048798571738926</v>
      </c>
    </row>
    <row r="410" spans="1:18">
      <c r="A410" s="1">
        <f>Octane[[#This Row],[Degrees turned]]</f>
        <v>331.07028279673301</v>
      </c>
      <c r="B410" s="1">
        <f>Hybrid[[#This Row],[Degrees turned]]</f>
        <v>338.2904896058742</v>
      </c>
      <c r="C410" s="1">
        <f>Dominus[[#This Row],[Degrees turned]]</f>
        <v>340.90258453566565</v>
      </c>
      <c r="D410" s="1">
        <f>Plank[[#This Row],[Degrees turned]]</f>
        <v>338.25903649141247</v>
      </c>
      <c r="E410" s="1">
        <f>Batmobile[[#This Row],[Degrees turned]]</f>
        <v>333.20055865812026</v>
      </c>
      <c r="F410" s="1">
        <f>Breakout[[#This Row],[Degrees turned]]</f>
        <v>341.14296746205832</v>
      </c>
      <c r="H410" s="1">
        <v>0</v>
      </c>
      <c r="I410" s="3">
        <f>Table9[[#This Row],[Hybrid]]-Table9[[#This Row],[Octane]]</f>
        <v>7.2202068091411888</v>
      </c>
      <c r="J410" s="3">
        <f>Table9[[#This Row],[Dominus]]-Table9[[#This Row],[Octane]]</f>
        <v>9.8323017389326424</v>
      </c>
      <c r="K410" s="3">
        <f>Table9[[#This Row],[Plank]]-Table9[[#This Row],[Octane]]</f>
        <v>7.1887536946794626</v>
      </c>
      <c r="L410" s="3">
        <f>Table9[[#This Row],[Batmobile]]-Table9[[#This Row],[Octane]]</f>
        <v>2.130275861387247</v>
      </c>
      <c r="M410" s="3">
        <f>Table9[[#This Row],[Breakout]]-Table9[[#This Row],[Octane]]</f>
        <v>10.072684665325312</v>
      </c>
      <c r="N410" s="4">
        <f>Table9[[#This Row],[Octane]]/Table9[[#This Row],[Hybrid]]</f>
        <v>0.97865678453581983</v>
      </c>
      <c r="O410" s="4">
        <f>Table9[[#This Row],[Octane]]/Table9[[#This Row],[Dominus]]</f>
        <v>0.9711580311063791</v>
      </c>
      <c r="P410" s="4">
        <f>Table9[[#This Row],[Octane]]/Table9[[#This Row],[Plank]]</f>
        <v>0.97874778522033079</v>
      </c>
      <c r="Q410" s="4">
        <f>Table9[[#This Row],[Octane]]/Table9[[#This Row],[Batmobile]]</f>
        <v>0.993606625781282</v>
      </c>
      <c r="R410" s="4">
        <f>Table9[[#This Row],[Octane]]/Table9[[#This Row],[Breakout]]</f>
        <v>0.97047371446563502</v>
      </c>
    </row>
    <row r="411" spans="1:18">
      <c r="A411" s="1">
        <f>Octane[[#This Row],[Degrees turned]]</f>
        <v>332.01674285492197</v>
      </c>
      <c r="B411" s="1">
        <f>Hybrid[[#This Row],[Degrees turned]]</f>
        <v>339.25991614550719</v>
      </c>
      <c r="C411" s="1">
        <f>Dominus[[#This Row],[Degrees turned]]</f>
        <v>341.88022146795532</v>
      </c>
      <c r="D411" s="1">
        <f>Plank[[#This Row],[Degrees turned]]</f>
        <v>339.22955862063446</v>
      </c>
      <c r="E411" s="1">
        <f>Batmobile[[#This Row],[Degrees turned]]</f>
        <v>334.1559723210122</v>
      </c>
      <c r="F411" s="1">
        <f>Breakout[[#This Row],[Degrees turned]]</f>
        <v>342.12297169196415</v>
      </c>
      <c r="H411" s="1">
        <v>0</v>
      </c>
      <c r="I411" s="3">
        <f>Table9[[#This Row],[Hybrid]]-Table9[[#This Row],[Octane]]</f>
        <v>7.2431732905852186</v>
      </c>
      <c r="J411" s="3">
        <f>Table9[[#This Row],[Dominus]]-Table9[[#This Row],[Octane]]</f>
        <v>9.8634786130333509</v>
      </c>
      <c r="K411" s="3">
        <f>Table9[[#This Row],[Plank]]-Table9[[#This Row],[Octane]]</f>
        <v>7.2128157657124916</v>
      </c>
      <c r="L411" s="3">
        <f>Table9[[#This Row],[Batmobile]]-Table9[[#This Row],[Octane]]</f>
        <v>2.139229466090228</v>
      </c>
      <c r="M411" s="3">
        <f>Table9[[#This Row],[Breakout]]-Table9[[#This Row],[Octane]]</f>
        <v>10.106228837042181</v>
      </c>
      <c r="N411" s="4">
        <f>Table9[[#This Row],[Octane]]/Table9[[#This Row],[Hybrid]]</f>
        <v>0.97865007639900892</v>
      </c>
      <c r="O411" s="4">
        <f>Table9[[#This Row],[Octane]]/Table9[[#This Row],[Dominus]]</f>
        <v>0.97114931489548639</v>
      </c>
      <c r="P411" s="4">
        <f>Table9[[#This Row],[Octane]]/Table9[[#This Row],[Plank]]</f>
        <v>0.97873765542412916</v>
      </c>
      <c r="Q411" s="4">
        <f>Table9[[#This Row],[Octane]]/Table9[[#This Row],[Batmobile]]</f>
        <v>0.99359811093235484</v>
      </c>
      <c r="R411" s="4">
        <f>Table9[[#This Row],[Octane]]/Table9[[#This Row],[Breakout]]</f>
        <v>0.97046024478548754</v>
      </c>
    </row>
    <row r="412" spans="1:18">
      <c r="A412" s="1">
        <f>Octane[[#This Row],[Degrees turned]]</f>
        <v>332.96344550709489</v>
      </c>
      <c r="B412" s="1">
        <f>Hybrid[[#This Row],[Degrees turned]]</f>
        <v>340.22897115190261</v>
      </c>
      <c r="C412" s="1">
        <f>Dominus[[#This Row],[Degrees turned]]</f>
        <v>342.85746647786709</v>
      </c>
      <c r="D412" s="1">
        <f>Plank[[#This Row],[Degrees turned]]</f>
        <v>340.20044439201104</v>
      </c>
      <c r="E412" s="1">
        <f>Batmobile[[#This Row],[Degrees turned]]</f>
        <v>335.11142793343106</v>
      </c>
      <c r="F412" s="1">
        <f>Breakout[[#This Row],[Degrees turned]]</f>
        <v>343.10324395945054</v>
      </c>
      <c r="H412" s="1">
        <v>0</v>
      </c>
      <c r="I412" s="3">
        <f>Table9[[#This Row],[Hybrid]]-Table9[[#This Row],[Octane]]</f>
        <v>7.2655256448077239</v>
      </c>
      <c r="J412" s="3">
        <f>Table9[[#This Row],[Dominus]]-Table9[[#This Row],[Octane]]</f>
        <v>9.8940209707722033</v>
      </c>
      <c r="K412" s="3">
        <f>Table9[[#This Row],[Plank]]-Table9[[#This Row],[Octane]]</f>
        <v>7.2369988849161473</v>
      </c>
      <c r="L412" s="3">
        <f>Table9[[#This Row],[Batmobile]]-Table9[[#This Row],[Octane]]</f>
        <v>2.1479824263361706</v>
      </c>
      <c r="M412" s="3">
        <f>Table9[[#This Row],[Breakout]]-Table9[[#This Row],[Octane]]</f>
        <v>10.139798452355649</v>
      </c>
      <c r="N412" s="4">
        <f>Table9[[#This Row],[Octane]]/Table9[[#This Row],[Hybrid]]</f>
        <v>0.97864518820896096</v>
      </c>
      <c r="O412" s="4">
        <f>Table9[[#This Row],[Octane]]/Table9[[#This Row],[Dominus]]</f>
        <v>0.97114246607369448</v>
      </c>
      <c r="P412" s="4">
        <f>Table9[[#This Row],[Octane]]/Table9[[#This Row],[Plank]]</f>
        <v>0.97872725034839458</v>
      </c>
      <c r="Q412" s="4">
        <f>Table9[[#This Row],[Octane]]/Table9[[#This Row],[Batmobile]]</f>
        <v>0.99359024417763853</v>
      </c>
      <c r="R412" s="4">
        <f>Table9[[#This Row],[Octane]]/Table9[[#This Row],[Breakout]]</f>
        <v>0.97044680098228975</v>
      </c>
    </row>
    <row r="413" spans="1:18">
      <c r="A413" s="1">
        <f>Octane[[#This Row],[Degrees turned]]</f>
        <v>333.90977547886348</v>
      </c>
      <c r="B413" s="1">
        <f>Hybrid[[#This Row],[Degrees turned]]</f>
        <v>341.19856948271422</v>
      </c>
      <c r="C413" s="1">
        <f>Dominus[[#This Row],[Degrees turned]]</f>
        <v>343.83530316431603</v>
      </c>
      <c r="D413" s="1">
        <f>Plank[[#This Row],[Degrees turned]]</f>
        <v>341.17086874088642</v>
      </c>
      <c r="E413" s="1">
        <f>Batmobile[[#This Row],[Degrees turned]]</f>
        <v>336.06733569183302</v>
      </c>
      <c r="F413" s="1">
        <f>Breakout[[#This Row],[Degrees turned]]</f>
        <v>344.08339098212366</v>
      </c>
      <c r="H413" s="1">
        <v>0</v>
      </c>
      <c r="I413" s="3">
        <f>Table9[[#This Row],[Hybrid]]-Table9[[#This Row],[Octane]]</f>
        <v>7.2887940038507395</v>
      </c>
      <c r="J413" s="3">
        <f>Table9[[#This Row],[Dominus]]-Table9[[#This Row],[Octane]]</f>
        <v>9.9255276854525505</v>
      </c>
      <c r="K413" s="3">
        <f>Table9[[#This Row],[Plank]]-Table9[[#This Row],[Octane]]</f>
        <v>7.2610932620229391</v>
      </c>
      <c r="L413" s="3">
        <f>Table9[[#This Row],[Batmobile]]-Table9[[#This Row],[Octane]]</f>
        <v>2.1575602129695426</v>
      </c>
      <c r="M413" s="3">
        <f>Table9[[#This Row],[Breakout]]-Table9[[#This Row],[Octane]]</f>
        <v>10.17361550326018</v>
      </c>
      <c r="N413" s="4">
        <f>Table9[[#This Row],[Octane]]/Table9[[#This Row],[Hybrid]]</f>
        <v>0.97863767713064809</v>
      </c>
      <c r="O413" s="4">
        <f>Table9[[#This Row],[Octane]]/Table9[[#This Row],[Dominus]]</f>
        <v>0.97113290114741591</v>
      </c>
      <c r="P413" s="4">
        <f>Table9[[#This Row],[Octane]]/Table9[[#This Row],[Plank]]</f>
        <v>0.978717135818716</v>
      </c>
      <c r="Q413" s="4">
        <f>Table9[[#This Row],[Octane]]/Table9[[#This Row],[Batmobile]]</f>
        <v>0.99357997643975737</v>
      </c>
      <c r="R413" s="4">
        <f>Table9[[#This Row],[Octane]]/Table9[[#This Row],[Breakout]]</f>
        <v>0.97043270390290726</v>
      </c>
    </row>
    <row r="414" spans="1:18">
      <c r="A414" s="1">
        <f>Octane[[#This Row],[Degrees turned]]</f>
        <v>334.8563101786288</v>
      </c>
      <c r="B414" s="1">
        <f>Hybrid[[#This Row],[Degrees turned]]</f>
        <v>342.16777042358746</v>
      </c>
      <c r="C414" s="1">
        <f>Dominus[[#This Row],[Degrees turned]]</f>
        <v>344.81304679981673</v>
      </c>
      <c r="D414" s="1">
        <f>Plank[[#This Row],[Degrees turned]]</f>
        <v>342.14196716065811</v>
      </c>
      <c r="E414" s="1">
        <f>Batmobile[[#This Row],[Degrees turned]]</f>
        <v>337.02274451075516</v>
      </c>
      <c r="F414" s="1">
        <f>Breakout[[#This Row],[Degrees turned]]</f>
        <v>345.06320974623378</v>
      </c>
      <c r="H414" s="1">
        <v>0</v>
      </c>
      <c r="I414" s="3">
        <f>Table9[[#This Row],[Hybrid]]-Table9[[#This Row],[Octane]]</f>
        <v>7.3114602449586528</v>
      </c>
      <c r="J414" s="3">
        <f>Table9[[#This Row],[Dominus]]-Table9[[#This Row],[Octane]]</f>
        <v>9.9567366211879289</v>
      </c>
      <c r="K414" s="3">
        <f>Table9[[#This Row],[Plank]]-Table9[[#This Row],[Octane]]</f>
        <v>7.2856569820293089</v>
      </c>
      <c r="L414" s="3">
        <f>Table9[[#This Row],[Batmobile]]-Table9[[#This Row],[Octane]]</f>
        <v>2.1664343321263573</v>
      </c>
      <c r="M414" s="3">
        <f>Table9[[#This Row],[Breakout]]-Table9[[#This Row],[Octane]]</f>
        <v>10.206899567604978</v>
      </c>
      <c r="N414" s="4">
        <f>Table9[[#This Row],[Octane]]/Table9[[#This Row],[Hybrid]]</f>
        <v>0.97863194351733529</v>
      </c>
      <c r="O414" s="4">
        <f>Table9[[#This Row],[Octane]]/Table9[[#This Row],[Dominus]]</f>
        <v>0.97112424627317429</v>
      </c>
      <c r="P414" s="4">
        <f>Table9[[#This Row],[Octane]]/Table9[[#This Row],[Plank]]</f>
        <v>0.97870574883727079</v>
      </c>
      <c r="Q414" s="4">
        <f>Table9[[#This Row],[Octane]]/Table9[[#This Row],[Batmobile]]</f>
        <v>0.9935718453207919</v>
      </c>
      <c r="R414" s="4">
        <f>Table9[[#This Row],[Octane]]/Table9[[#This Row],[Breakout]]</f>
        <v>0.97042020337343027</v>
      </c>
    </row>
    <row r="415" spans="1:18">
      <c r="A415" s="1">
        <f>Octane[[#This Row],[Degrees turned]]</f>
        <v>335.80259887954196</v>
      </c>
      <c r="B415" s="1">
        <f>Hybrid[[#This Row],[Degrees turned]]</f>
        <v>343.13678079070434</v>
      </c>
      <c r="C415" s="1">
        <f>Dominus[[#This Row],[Degrees turned]]</f>
        <v>345.79045236036092</v>
      </c>
      <c r="D415" s="1">
        <f>Plank[[#This Row],[Degrees turned]]</f>
        <v>343.11274207176382</v>
      </c>
      <c r="E415" s="1">
        <f>Batmobile[[#This Row],[Degrees turned]]</f>
        <v>337.97857421526487</v>
      </c>
      <c r="F415" s="1">
        <f>Breakout[[#This Row],[Degrees turned]]</f>
        <v>346.04305847489957</v>
      </c>
      <c r="H415" s="1">
        <v>0</v>
      </c>
      <c r="I415" s="3">
        <f>Table9[[#This Row],[Hybrid]]-Table9[[#This Row],[Octane]]</f>
        <v>7.3341819111623749</v>
      </c>
      <c r="J415" s="3">
        <f>Table9[[#This Row],[Dominus]]-Table9[[#This Row],[Octane]]</f>
        <v>9.9878534808189556</v>
      </c>
      <c r="K415" s="3">
        <f>Table9[[#This Row],[Plank]]-Table9[[#This Row],[Octane]]</f>
        <v>7.310143192221858</v>
      </c>
      <c r="L415" s="3">
        <f>Table9[[#This Row],[Batmobile]]-Table9[[#This Row],[Octane]]</f>
        <v>2.1759753357229101</v>
      </c>
      <c r="M415" s="3">
        <f>Table9[[#This Row],[Breakout]]-Table9[[#This Row],[Octane]]</f>
        <v>10.240459595357606</v>
      </c>
      <c r="N415" s="4">
        <f>Table9[[#This Row],[Octane]]/Table9[[#This Row],[Hybrid]]</f>
        <v>0.97862606889805892</v>
      </c>
      <c r="O415" s="4">
        <f>Table9[[#This Row],[Octane]]/Table9[[#This Row],[Dominus]]</f>
        <v>0.9711158783805568</v>
      </c>
      <c r="P415" s="4">
        <f>Table9[[#This Row],[Octane]]/Table9[[#This Row],[Plank]]</f>
        <v>0.97869463212563257</v>
      </c>
      <c r="Q415" s="4">
        <f>Table9[[#This Row],[Octane]]/Table9[[#This Row],[Batmobile]]</f>
        <v>0.99356179503160758</v>
      </c>
      <c r="R415" s="4">
        <f>Table9[[#This Row],[Octane]]/Table9[[#This Row],[Breakout]]</f>
        <v>0.97040697871389203</v>
      </c>
    </row>
    <row r="416" spans="1:18">
      <c r="A416" s="1">
        <f>Octane[[#This Row],[Degrees turned]]</f>
        <v>336.7492285347069</v>
      </c>
      <c r="B416" s="1">
        <f>Hybrid[[#This Row],[Degrees turned]]</f>
        <v>344.10659306255479</v>
      </c>
      <c r="C416" s="1">
        <f>Dominus[[#This Row],[Degrees turned]]</f>
        <v>346.76790138484165</v>
      </c>
      <c r="D416" s="1">
        <f>Plank[[#This Row],[Degrees turned]]</f>
        <v>344.08325982021256</v>
      </c>
      <c r="E416" s="1">
        <f>Batmobile[[#This Row],[Degrees turned]]</f>
        <v>338.93418411880856</v>
      </c>
      <c r="F416" s="1">
        <f>Breakout[[#This Row],[Degrees turned]]</f>
        <v>347.02269108419193</v>
      </c>
      <c r="H416" s="1">
        <v>0</v>
      </c>
      <c r="I416" s="3">
        <f>Table9[[#This Row],[Hybrid]]-Table9[[#This Row],[Octane]]</f>
        <v>7.3573645278478921</v>
      </c>
      <c r="J416" s="3">
        <f>Table9[[#This Row],[Dominus]]-Table9[[#This Row],[Octane]]</f>
        <v>10.018672850134749</v>
      </c>
      <c r="K416" s="3">
        <f>Table9[[#This Row],[Plank]]-Table9[[#This Row],[Octane]]</f>
        <v>7.3340312855056595</v>
      </c>
      <c r="L416" s="3">
        <f>Table9[[#This Row],[Batmobile]]-Table9[[#This Row],[Octane]]</f>
        <v>2.1849555841016581</v>
      </c>
      <c r="M416" s="3">
        <f>Table9[[#This Row],[Breakout]]-Table9[[#This Row],[Octane]]</f>
        <v>10.273462549485032</v>
      </c>
      <c r="N416" s="4">
        <f>Table9[[#This Row],[Octane]]/Table9[[#This Row],[Hybrid]]</f>
        <v>0.97861893763101948</v>
      </c>
      <c r="O416" s="4">
        <f>Table9[[#This Row],[Octane]]/Table9[[#This Row],[Dominus]]</f>
        <v>0.97110841917569513</v>
      </c>
      <c r="P416" s="4">
        <f>Table9[[#This Row],[Octane]]/Table9[[#This Row],[Plank]]</f>
        <v>0.97868530050157698</v>
      </c>
      <c r="Q416" s="4">
        <f>Table9[[#This Row],[Octane]]/Table9[[#This Row],[Batmobile]]</f>
        <v>0.99355345171280873</v>
      </c>
      <c r="R416" s="4">
        <f>Table9[[#This Row],[Octane]]/Table9[[#This Row],[Breakout]]</f>
        <v>0.97039541559260012</v>
      </c>
    </row>
    <row r="417" spans="1:18">
      <c r="A417" s="1">
        <f>Octane[[#This Row],[Degrees turned]]</f>
        <v>337.69557582949847</v>
      </c>
      <c r="B417" s="1">
        <f>Hybrid[[#This Row],[Degrees turned]]</f>
        <v>345.07617547475127</v>
      </c>
      <c r="C417" s="1">
        <f>Dominus[[#This Row],[Degrees turned]]</f>
        <v>347.74546149137507</v>
      </c>
      <c r="D417" s="1">
        <f>Plank[[#This Row],[Degrees turned]]</f>
        <v>345.05390069269691</v>
      </c>
      <c r="E417" s="1">
        <f>Batmobile[[#This Row],[Degrees turned]]</f>
        <v>339.88947297675873</v>
      </c>
      <c r="F417" s="1">
        <f>Breakout[[#This Row],[Degrees turned]]</f>
        <v>348.00252272504684</v>
      </c>
      <c r="H417" s="1">
        <v>0</v>
      </c>
      <c r="I417" s="3">
        <f>Table9[[#This Row],[Hybrid]]-Table9[[#This Row],[Octane]]</f>
        <v>7.3805996452528007</v>
      </c>
      <c r="J417" s="3">
        <f>Table9[[#This Row],[Dominus]]-Table9[[#This Row],[Octane]]</f>
        <v>10.049885661876601</v>
      </c>
      <c r="K417" s="3">
        <f>Table9[[#This Row],[Plank]]-Table9[[#This Row],[Octane]]</f>
        <v>7.3583248631984475</v>
      </c>
      <c r="L417" s="3">
        <f>Table9[[#This Row],[Batmobile]]-Table9[[#This Row],[Octane]]</f>
        <v>2.1938971472602589</v>
      </c>
      <c r="M417" s="3">
        <f>Table9[[#This Row],[Breakout]]-Table9[[#This Row],[Octane]]</f>
        <v>10.306946895548379</v>
      </c>
      <c r="N417" s="4">
        <f>Table9[[#This Row],[Octane]]/Table9[[#This Row],[Hybrid]]</f>
        <v>0.9786116800584721</v>
      </c>
      <c r="O417" s="4">
        <f>Table9[[#This Row],[Octane]]/Table9[[#This Row],[Dominus]]</f>
        <v>0.97109987972589007</v>
      </c>
      <c r="P417" s="4">
        <f>Table9[[#This Row],[Octane]]/Table9[[#This Row],[Plank]]</f>
        <v>0.97867485384623509</v>
      </c>
      <c r="Q417" s="4">
        <f>Table9[[#This Row],[Octane]]/Table9[[#This Row],[Batmobile]]</f>
        <v>0.99354526302904866</v>
      </c>
      <c r="R417" s="4">
        <f>Table9[[#This Row],[Octane]]/Table9[[#This Row],[Breakout]]</f>
        <v>0.97038255121014805</v>
      </c>
    </row>
    <row r="418" spans="1:18">
      <c r="A418" s="1">
        <f>Octane[[#This Row],[Degrees turned]]</f>
        <v>338.641840410714</v>
      </c>
      <c r="B418" s="1">
        <f>Hybrid[[#This Row],[Degrees turned]]</f>
        <v>346.04580348427947</v>
      </c>
      <c r="C418" s="1">
        <f>Dominus[[#This Row],[Degrees turned]]</f>
        <v>348.72308303631831</v>
      </c>
      <c r="D418" s="1">
        <f>Plank[[#This Row],[Degrees turned]]</f>
        <v>346.02441778979176</v>
      </c>
      <c r="E418" s="1">
        <f>Batmobile[[#This Row],[Degrees turned]]</f>
        <v>340.84540733656758</v>
      </c>
      <c r="F418" s="1">
        <f>Breakout[[#This Row],[Degrees turned]]</f>
        <v>348.98225531678003</v>
      </c>
      <c r="H418" s="1">
        <v>0</v>
      </c>
      <c r="I418" s="3">
        <f>Table9[[#This Row],[Hybrid]]-Table9[[#This Row],[Octane]]</f>
        <v>7.4039630735654782</v>
      </c>
      <c r="J418" s="3">
        <f>Table9[[#This Row],[Dominus]]-Table9[[#This Row],[Octane]]</f>
        <v>10.081242625604318</v>
      </c>
      <c r="K418" s="3">
        <f>Table9[[#This Row],[Plank]]-Table9[[#This Row],[Octane]]</f>
        <v>7.3825773790777589</v>
      </c>
      <c r="L418" s="3">
        <f>Table9[[#This Row],[Batmobile]]-Table9[[#This Row],[Octane]]</f>
        <v>2.2035669258535791</v>
      </c>
      <c r="M418" s="3">
        <f>Table9[[#This Row],[Breakout]]-Table9[[#This Row],[Octane]]</f>
        <v>10.34041490606603</v>
      </c>
      <c r="N418" s="4">
        <f>Table9[[#This Row],[Octane]]/Table9[[#This Row],[Hybrid]]</f>
        <v>0.9786040951833076</v>
      </c>
      <c r="O418" s="4">
        <f>Table9[[#This Row],[Octane]]/Table9[[#This Row],[Dominus]]</f>
        <v>0.97109097987484128</v>
      </c>
      <c r="P418" s="4">
        <f>Table9[[#This Row],[Octane]]/Table9[[#This Row],[Plank]]</f>
        <v>0.97866457683468266</v>
      </c>
      <c r="Q418" s="4">
        <f>Table9[[#This Row],[Octane]]/Table9[[#This Row],[Batmobile]]</f>
        <v>0.9935349959881441</v>
      </c>
      <c r="R418" s="4">
        <f>Table9[[#This Row],[Octane]]/Table9[[#This Row],[Breakout]]</f>
        <v>0.97036979746526142</v>
      </c>
    </row>
    <row r="419" spans="1:18">
      <c r="A419" s="1">
        <f>Octane[[#This Row],[Degrees turned]]</f>
        <v>339.58866722577346</v>
      </c>
      <c r="B419" s="1">
        <f>Hybrid[[#This Row],[Degrees turned]]</f>
        <v>347.01552180514892</v>
      </c>
      <c r="C419" s="1">
        <f>Dominus[[#This Row],[Degrees turned]]</f>
        <v>349.70077772821151</v>
      </c>
      <c r="D419" s="1">
        <f>Plank[[#This Row],[Degrees turned]]</f>
        <v>346.99506648630313</v>
      </c>
      <c r="E419" s="1">
        <f>Batmobile[[#This Row],[Degrees turned]]</f>
        <v>341.80115854428351</v>
      </c>
      <c r="F419" s="1">
        <f>Breakout[[#This Row],[Degrees turned]]</f>
        <v>349.96217855920906</v>
      </c>
      <c r="H419" s="1">
        <v>0</v>
      </c>
      <c r="I419" s="3">
        <f>Table9[[#This Row],[Hybrid]]-Table9[[#This Row],[Octane]]</f>
        <v>7.4268545793754583</v>
      </c>
      <c r="J419" s="3">
        <f>Table9[[#This Row],[Dominus]]-Table9[[#This Row],[Octane]]</f>
        <v>10.112110502438043</v>
      </c>
      <c r="K419" s="3">
        <f>Table9[[#This Row],[Plank]]-Table9[[#This Row],[Octane]]</f>
        <v>7.4063992605296676</v>
      </c>
      <c r="L419" s="3">
        <f>Table9[[#This Row],[Batmobile]]-Table9[[#This Row],[Octane]]</f>
        <v>2.2124913185100468</v>
      </c>
      <c r="M419" s="3">
        <f>Table9[[#This Row],[Breakout]]-Table9[[#This Row],[Octane]]</f>
        <v>10.373511333435602</v>
      </c>
      <c r="N419" s="4">
        <f>Table9[[#This Row],[Octane]]/Table9[[#This Row],[Hybrid]]</f>
        <v>0.97859791821201103</v>
      </c>
      <c r="O419" s="4">
        <f>Table9[[#This Row],[Octane]]/Table9[[#This Row],[Dominus]]</f>
        <v>0.97108353442011153</v>
      </c>
      <c r="P419" s="4">
        <f>Table9[[#This Row],[Octane]]/Table9[[#This Row],[Plank]]</f>
        <v>0.97865560644556882</v>
      </c>
      <c r="Q419" s="4">
        <f>Table9[[#This Row],[Octane]]/Table9[[#This Row],[Batmobile]]</f>
        <v>0.99352696366526971</v>
      </c>
      <c r="R419" s="4">
        <f>Table9[[#This Row],[Octane]]/Table9[[#This Row],[Breakout]]</f>
        <v>0.97035819305919502</v>
      </c>
    </row>
    <row r="420" spans="1:18">
      <c r="A420" s="1">
        <f>Octane[[#This Row],[Degrees turned]]</f>
        <v>340.53541431974423</v>
      </c>
      <c r="B420" s="1">
        <f>Hybrid[[#This Row],[Degrees turned]]</f>
        <v>347.98463306305723</v>
      </c>
      <c r="C420" s="1">
        <f>Dominus[[#This Row],[Degrees turned]]</f>
        <v>350.67805208615397</v>
      </c>
      <c r="D420" s="1">
        <f>Plank[[#This Row],[Degrees turned]]</f>
        <v>347.96570629864516</v>
      </c>
      <c r="E420" s="1">
        <f>Batmobile[[#This Row],[Degrees turned]]</f>
        <v>342.75695037446803</v>
      </c>
      <c r="F420" s="1">
        <f>Breakout[[#This Row],[Degrees turned]]</f>
        <v>350.94249293349219</v>
      </c>
      <c r="H420" s="1">
        <v>0</v>
      </c>
      <c r="I420" s="3">
        <f>Table9[[#This Row],[Hybrid]]-Table9[[#This Row],[Octane]]</f>
        <v>7.449218743312997</v>
      </c>
      <c r="J420" s="3">
        <f>Table9[[#This Row],[Dominus]]-Table9[[#This Row],[Octane]]</f>
        <v>10.142637766409734</v>
      </c>
      <c r="K420" s="3">
        <f>Table9[[#This Row],[Plank]]-Table9[[#This Row],[Octane]]</f>
        <v>7.4302919789009252</v>
      </c>
      <c r="L420" s="3">
        <f>Table9[[#This Row],[Batmobile]]-Table9[[#This Row],[Octane]]</f>
        <v>2.2215360547237992</v>
      </c>
      <c r="M420" s="3">
        <f>Table9[[#This Row],[Breakout]]-Table9[[#This Row],[Octane]]</f>
        <v>10.407078613747956</v>
      </c>
      <c r="N420" s="4">
        <f>Table9[[#This Row],[Octane]]/Table9[[#This Row],[Hybrid]]</f>
        <v>0.97859325373726158</v>
      </c>
      <c r="O420" s="4">
        <f>Table9[[#This Row],[Octane]]/Table9[[#This Row],[Dominus]]</f>
        <v>0.97107706711021113</v>
      </c>
      <c r="P420" s="4">
        <f>Table9[[#This Row],[Octane]]/Table9[[#This Row],[Plank]]</f>
        <v>0.97864648198255544</v>
      </c>
      <c r="Q420" s="4">
        <f>Table9[[#This Row],[Octane]]/Table9[[#This Row],[Batmobile]]</f>
        <v>0.99351862580088679</v>
      </c>
      <c r="R420" s="4">
        <f>Table9[[#This Row],[Octane]]/Table9[[#This Row],[Breakout]]</f>
        <v>0.97034534482628121</v>
      </c>
    </row>
    <row r="421" spans="1:18">
      <c r="A421" s="1">
        <f>Octane[[#This Row],[Degrees turned]]</f>
        <v>341.48227181244363</v>
      </c>
      <c r="B421" s="1">
        <f>Hybrid[[#This Row],[Degrees turned]]</f>
        <v>348.95396830511771</v>
      </c>
      <c r="C421" s="1">
        <f>Dominus[[#This Row],[Degrees turned]]</f>
        <v>351.65557633838807</v>
      </c>
      <c r="D421" s="1">
        <f>Plank[[#This Row],[Degrees turned]]</f>
        <v>348.93662490671238</v>
      </c>
      <c r="E421" s="1">
        <f>Batmobile[[#This Row],[Degrees turned]]</f>
        <v>343.71268856729085</v>
      </c>
      <c r="F421" s="1">
        <f>Breakout[[#This Row],[Degrees turned]]</f>
        <v>351.92214085053911</v>
      </c>
      <c r="H421" s="1">
        <v>0</v>
      </c>
      <c r="I421" s="3">
        <f>Table9[[#This Row],[Hybrid]]-Table9[[#This Row],[Octane]]</f>
        <v>7.4716964926740843</v>
      </c>
      <c r="J421" s="3">
        <f>Table9[[#This Row],[Dominus]]-Table9[[#This Row],[Octane]]</f>
        <v>10.173304525944445</v>
      </c>
      <c r="K421" s="3">
        <f>Table9[[#This Row],[Plank]]-Table9[[#This Row],[Octane]]</f>
        <v>7.4543530942687539</v>
      </c>
      <c r="L421" s="3">
        <f>Table9[[#This Row],[Batmobile]]-Table9[[#This Row],[Octane]]</f>
        <v>2.2304167548472265</v>
      </c>
      <c r="M421" s="3">
        <f>Table9[[#This Row],[Breakout]]-Table9[[#This Row],[Octane]]</f>
        <v>10.43986903809548</v>
      </c>
      <c r="N421" s="4">
        <f>Table9[[#This Row],[Octane]]/Table9[[#This Row],[Hybrid]]</f>
        <v>0.97858830341158065</v>
      </c>
      <c r="O421" s="4">
        <f>Table9[[#This Row],[Octane]]/Table9[[#This Row],[Dominus]]</f>
        <v>0.97107025962200311</v>
      </c>
      <c r="P421" s="4">
        <f>Table9[[#This Row],[Octane]]/Table9[[#This Row],[Plank]]</f>
        <v>0.97863694275067381</v>
      </c>
      <c r="Q421" s="4">
        <f>Table9[[#This Row],[Octane]]/Table9[[#This Row],[Batmobile]]</f>
        <v>0.99351081054311863</v>
      </c>
      <c r="R421" s="4">
        <f>Table9[[#This Row],[Octane]]/Table9[[#This Row],[Breakout]]</f>
        <v>0.97033471945566141</v>
      </c>
    </row>
    <row r="422" spans="1:18">
      <c r="A422" s="1">
        <f>Octane[[#This Row],[Degrees turned]]</f>
        <v>342.42918002725975</v>
      </c>
      <c r="B422" s="1">
        <f>Hybrid[[#This Row],[Degrees turned]]</f>
        <v>349.92344762990336</v>
      </c>
      <c r="C422" s="1">
        <f>Dominus[[#This Row],[Degrees turned]]</f>
        <v>352.63338889807221</v>
      </c>
      <c r="D422" s="1">
        <f>Plank[[#This Row],[Degrees turned]]</f>
        <v>349.90708618742281</v>
      </c>
      <c r="E422" s="1">
        <f>Batmobile[[#This Row],[Degrees turned]]</f>
        <v>344.6684662885641</v>
      </c>
      <c r="F422" s="1">
        <f>Breakout[[#This Row],[Degrees turned]]</f>
        <v>352.90235505623696</v>
      </c>
      <c r="H422" s="1">
        <v>0</v>
      </c>
      <c r="I422" s="3">
        <f>Table9[[#This Row],[Hybrid]]-Table9[[#This Row],[Octane]]</f>
        <v>7.4942676026436175</v>
      </c>
      <c r="J422" s="3">
        <f>Table9[[#This Row],[Dominus]]-Table9[[#This Row],[Octane]]</f>
        <v>10.204208870812465</v>
      </c>
      <c r="K422" s="3">
        <f>Table9[[#This Row],[Plank]]-Table9[[#This Row],[Octane]]</f>
        <v>7.4779061601630588</v>
      </c>
      <c r="L422" s="3">
        <f>Table9[[#This Row],[Batmobile]]-Table9[[#This Row],[Octane]]</f>
        <v>2.2392862613043576</v>
      </c>
      <c r="M422" s="3">
        <f>Table9[[#This Row],[Breakout]]-Table9[[#This Row],[Octane]]</f>
        <v>10.473175028977209</v>
      </c>
      <c r="N422" s="4">
        <f>Table9[[#This Row],[Octane]]/Table9[[#This Row],[Hybrid]]</f>
        <v>0.97858312252750224</v>
      </c>
      <c r="O422" s="4">
        <f>Table9[[#This Row],[Octane]]/Table9[[#This Row],[Dominus]]</f>
        <v>0.97106283978752228</v>
      </c>
      <c r="P422" s="4">
        <f>Table9[[#This Row],[Octane]]/Table9[[#This Row],[Plank]]</f>
        <v>0.97862888047898056</v>
      </c>
      <c r="Q422" s="4">
        <f>Table9[[#This Row],[Octane]]/Table9[[#This Row],[Batmobile]]</f>
        <v>0.99350307184925479</v>
      </c>
      <c r="R422" s="4">
        <f>Table9[[#This Row],[Octane]]/Table9[[#This Row],[Breakout]]</f>
        <v>0.97032273976378469</v>
      </c>
    </row>
    <row r="423" spans="1:18">
      <c r="A423" s="1">
        <f>Octane[[#This Row],[Degrees turned]]</f>
        <v>343.37600644293298</v>
      </c>
      <c r="B423" s="1">
        <f>Hybrid[[#This Row],[Degrees turned]]</f>
        <v>350.89267040301098</v>
      </c>
      <c r="C423" s="1">
        <f>Dominus[[#This Row],[Degrees turned]]</f>
        <v>353.61114873070591</v>
      </c>
      <c r="D423" s="1">
        <f>Plank[[#This Row],[Degrees turned]]</f>
        <v>350.87790102595767</v>
      </c>
      <c r="E423" s="1">
        <f>Batmobile[[#This Row],[Degrees turned]]</f>
        <v>345.62370466622764</v>
      </c>
      <c r="F423" s="1">
        <f>Breakout[[#This Row],[Degrees turned]]</f>
        <v>353.88204178840658</v>
      </c>
      <c r="H423" s="1">
        <v>0</v>
      </c>
      <c r="I423" s="3">
        <f>Table9[[#This Row],[Hybrid]]-Table9[[#This Row],[Octane]]</f>
        <v>7.5166639600780059</v>
      </c>
      <c r="J423" s="3">
        <f>Table9[[#This Row],[Dominus]]-Table9[[#This Row],[Octane]]</f>
        <v>10.235142287772931</v>
      </c>
      <c r="K423" s="3">
        <f>Table9[[#This Row],[Plank]]-Table9[[#This Row],[Octane]]</f>
        <v>7.5018945830246935</v>
      </c>
      <c r="L423" s="3">
        <f>Table9[[#This Row],[Batmobile]]-Table9[[#This Row],[Octane]]</f>
        <v>2.2476982232946625</v>
      </c>
      <c r="M423" s="3">
        <f>Table9[[#This Row],[Breakout]]-Table9[[#This Row],[Octane]]</f>
        <v>10.506035345473606</v>
      </c>
      <c r="N423" s="4">
        <f>Table9[[#This Row],[Octane]]/Table9[[#This Row],[Hybrid]]</f>
        <v>0.97857845263212573</v>
      </c>
      <c r="O423" s="4">
        <f>Table9[[#This Row],[Octane]]/Table9[[#This Row],[Dominus]]</f>
        <v>0.9710553744571907</v>
      </c>
      <c r="P423" s="4">
        <f>Table9[[#This Row],[Octane]]/Table9[[#This Row],[Plank]]</f>
        <v>0.97861964358231357</v>
      </c>
      <c r="Q423" s="4">
        <f>Table9[[#This Row],[Octane]]/Table9[[#This Row],[Batmobile]]</f>
        <v>0.99349668962820337</v>
      </c>
      <c r="R423" s="4">
        <f>Table9[[#This Row],[Octane]]/Table9[[#This Row],[Breakout]]</f>
        <v>0.97031204157074635</v>
      </c>
    </row>
    <row r="424" spans="1:18">
      <c r="A424" s="1">
        <f>Octane[[#This Row],[Degrees turned]]</f>
        <v>344.32243014753527</v>
      </c>
      <c r="B424" s="1">
        <f>Hybrid[[#This Row],[Degrees turned]]</f>
        <v>351.86233401078357</v>
      </c>
      <c r="C424" s="1">
        <f>Dominus[[#This Row],[Degrees turned]]</f>
        <v>354.58854127090541</v>
      </c>
      <c r="D424" s="1">
        <f>Plank[[#This Row],[Degrees turned]]</f>
        <v>351.84827175504046</v>
      </c>
      <c r="E424" s="1">
        <f>Batmobile[[#This Row],[Degrees turned]]</f>
        <v>346.5792416133105</v>
      </c>
      <c r="F424" s="1">
        <f>Breakout[[#This Row],[Degrees turned]]</f>
        <v>354.86245038141141</v>
      </c>
      <c r="H424" s="1">
        <v>0</v>
      </c>
      <c r="I424" s="3">
        <f>Table9[[#This Row],[Hybrid]]-Table9[[#This Row],[Octane]]</f>
        <v>7.5399038632482984</v>
      </c>
      <c r="J424" s="3">
        <f>Table9[[#This Row],[Dominus]]-Table9[[#This Row],[Octane]]</f>
        <v>10.266111123370138</v>
      </c>
      <c r="K424" s="3">
        <f>Table9[[#This Row],[Plank]]-Table9[[#This Row],[Octane]]</f>
        <v>7.5258416075051855</v>
      </c>
      <c r="L424" s="3">
        <f>Table9[[#This Row],[Batmobile]]-Table9[[#This Row],[Octane]]</f>
        <v>2.256811465775229</v>
      </c>
      <c r="M424" s="3">
        <f>Table9[[#This Row],[Breakout]]-Table9[[#This Row],[Octane]]</f>
        <v>10.540020233876135</v>
      </c>
      <c r="N424" s="4">
        <f>Table9[[#This Row],[Octane]]/Table9[[#This Row],[Hybrid]]</f>
        <v>0.97857143793340151</v>
      </c>
      <c r="O424" s="4">
        <f>Table9[[#This Row],[Octane]]/Table9[[#This Row],[Dominus]]</f>
        <v>0.97104782042145343</v>
      </c>
      <c r="P424" s="4">
        <f>Table9[[#This Row],[Octane]]/Table9[[#This Row],[Plank]]</f>
        <v>0.97861054831968952</v>
      </c>
      <c r="Q424" s="4">
        <f>Table9[[#This Row],[Octane]]/Table9[[#This Row],[Batmobile]]</f>
        <v>0.99348832476154691</v>
      </c>
      <c r="R424" s="4">
        <f>Table9[[#This Row],[Octane]]/Table9[[#This Row],[Breakout]]</f>
        <v>0.97029829382469868</v>
      </c>
    </row>
    <row r="425" spans="1:18">
      <c r="A425" s="1">
        <f>Octane[[#This Row],[Degrees turned]]</f>
        <v>345.26907816371192</v>
      </c>
      <c r="B425" s="1">
        <f>Hybrid[[#This Row],[Degrees turned]]</f>
        <v>352.83157097174706</v>
      </c>
      <c r="C425" s="1">
        <f>Dominus[[#This Row],[Degrees turned]]</f>
        <v>355.56582203937603</v>
      </c>
      <c r="D425" s="1">
        <f>Plank[[#This Row],[Degrees turned]]</f>
        <v>352.81913857779375</v>
      </c>
      <c r="E425" s="1">
        <f>Batmobile[[#This Row],[Degrees turned]]</f>
        <v>347.53502220681611</v>
      </c>
      <c r="F425" s="1">
        <f>Breakout[[#This Row],[Degrees turned]]</f>
        <v>355.84266495239524</v>
      </c>
      <c r="H425" s="1">
        <v>0</v>
      </c>
      <c r="I425" s="3">
        <f>Table9[[#This Row],[Hybrid]]-Table9[[#This Row],[Octane]]</f>
        <v>7.562492808035131</v>
      </c>
      <c r="J425" s="3">
        <f>Table9[[#This Row],[Dominus]]-Table9[[#This Row],[Octane]]</f>
        <v>10.296743875664106</v>
      </c>
      <c r="K425" s="3">
        <f>Table9[[#This Row],[Plank]]-Table9[[#This Row],[Octane]]</f>
        <v>7.5500604140818268</v>
      </c>
      <c r="L425" s="3">
        <f>Table9[[#This Row],[Batmobile]]-Table9[[#This Row],[Octane]]</f>
        <v>2.2659440431041844</v>
      </c>
      <c r="M425" s="3">
        <f>Table9[[#This Row],[Breakout]]-Table9[[#This Row],[Octane]]</f>
        <v>10.573586788683315</v>
      </c>
      <c r="N425" s="4">
        <f>Table9[[#This Row],[Octane]]/Table9[[#This Row],[Hybrid]]</f>
        <v>0.97856628082570107</v>
      </c>
      <c r="O425" s="4">
        <f>Table9[[#This Row],[Octane]]/Table9[[#This Row],[Dominus]]</f>
        <v>0.97104124401888148</v>
      </c>
      <c r="P425" s="4">
        <f>Table9[[#This Row],[Octane]]/Table9[[#This Row],[Plank]]</f>
        <v>0.97860076285964548</v>
      </c>
      <c r="Q425" s="4">
        <f>Table9[[#This Row],[Octane]]/Table9[[#This Row],[Batmobile]]</f>
        <v>0.9934799548295431</v>
      </c>
      <c r="R425" s="4">
        <f>Table9[[#This Row],[Octane]]/Table9[[#This Row],[Breakout]]</f>
        <v>0.97028578124520892</v>
      </c>
    </row>
    <row r="426" spans="1:18">
      <c r="A426" s="1">
        <f>Octane[[#This Row],[Degrees turned]]</f>
        <v>346.21586427236434</v>
      </c>
      <c r="B426" s="1">
        <f>Hybrid[[#This Row],[Degrees turned]]</f>
        <v>353.80075044882108</v>
      </c>
      <c r="C426" s="1">
        <f>Dominus[[#This Row],[Degrees turned]]</f>
        <v>356.54372727172898</v>
      </c>
      <c r="D426" s="1">
        <f>Plank[[#This Row],[Degrees turned]]</f>
        <v>353.78985691269634</v>
      </c>
      <c r="E426" s="1">
        <f>Batmobile[[#This Row],[Degrees turned]]</f>
        <v>348.49028978741853</v>
      </c>
      <c r="F426" s="1">
        <f>Breakout[[#This Row],[Degrees turned]]</f>
        <v>356.82270581560965</v>
      </c>
      <c r="H426" s="1">
        <v>0</v>
      </c>
      <c r="I426" s="3">
        <f>Table9[[#This Row],[Hybrid]]-Table9[[#This Row],[Octane]]</f>
        <v>7.5848861764567346</v>
      </c>
      <c r="J426" s="3">
        <f>Table9[[#This Row],[Dominus]]-Table9[[#This Row],[Octane]]</f>
        <v>10.32786299936464</v>
      </c>
      <c r="K426" s="3">
        <f>Table9[[#This Row],[Plank]]-Table9[[#This Row],[Octane]]</f>
        <v>7.5739926403319942</v>
      </c>
      <c r="L426" s="3">
        <f>Table9[[#This Row],[Batmobile]]-Table9[[#This Row],[Octane]]</f>
        <v>2.2744255150541903</v>
      </c>
      <c r="M426" s="3">
        <f>Table9[[#This Row],[Breakout]]-Table9[[#This Row],[Octane]]</f>
        <v>10.606841543245309</v>
      </c>
      <c r="N426" s="4">
        <f>Table9[[#This Row],[Octane]]/Table9[[#This Row],[Hybrid]]</f>
        <v>0.97856170127724496</v>
      </c>
      <c r="O426" s="4">
        <f>Table9[[#This Row],[Octane]]/Table9[[#This Row],[Dominus]]</f>
        <v>0.97103339027054714</v>
      </c>
      <c r="P426" s="4">
        <f>Table9[[#This Row],[Octane]]/Table9[[#This Row],[Plank]]</f>
        <v>0.97859183215023315</v>
      </c>
      <c r="Q426" s="4">
        <f>Table9[[#This Row],[Octane]]/Table9[[#This Row],[Batmobile]]</f>
        <v>0.99347348955851367</v>
      </c>
      <c r="R426" s="4">
        <f>Table9[[#This Row],[Octane]]/Table9[[#This Row],[Breakout]]</f>
        <v>0.97027419676390647</v>
      </c>
    </row>
    <row r="427" spans="1:18">
      <c r="A427" s="1">
        <f>Octane[[#This Row],[Degrees turned]]</f>
        <v>347.16238075721066</v>
      </c>
      <c r="B427" s="1">
        <f>Hybrid[[#This Row],[Degrees turned]]</f>
        <v>354.76989402837802</v>
      </c>
      <c r="C427" s="1">
        <f>Dominus[[#This Row],[Degrees turned]]</f>
        <v>357.52152665756364</v>
      </c>
      <c r="D427" s="1">
        <f>Plank[[#This Row],[Degrees turned]]</f>
        <v>354.76041398513632</v>
      </c>
      <c r="E427" s="1">
        <f>Batmobile[[#This Row],[Degrees turned]]</f>
        <v>349.44609713865322</v>
      </c>
      <c r="F427" s="1">
        <f>Breakout[[#This Row],[Degrees turned]]</f>
        <v>357.80284085793869</v>
      </c>
      <c r="H427" s="1">
        <v>0</v>
      </c>
      <c r="I427" s="3">
        <f>Table9[[#This Row],[Hybrid]]-Table9[[#This Row],[Octane]]</f>
        <v>7.6075132711673632</v>
      </c>
      <c r="J427" s="3">
        <f>Table9[[#This Row],[Dominus]]-Table9[[#This Row],[Octane]]</f>
        <v>10.359145900352985</v>
      </c>
      <c r="K427" s="3">
        <f>Table9[[#This Row],[Plank]]-Table9[[#This Row],[Octane]]</f>
        <v>7.5980332279256686</v>
      </c>
      <c r="L427" s="3">
        <f>Table9[[#This Row],[Batmobile]]-Table9[[#This Row],[Octane]]</f>
        <v>2.2837163814425594</v>
      </c>
      <c r="M427" s="3">
        <f>Table9[[#This Row],[Breakout]]-Table9[[#This Row],[Octane]]</f>
        <v>10.640460100728035</v>
      </c>
      <c r="N427" s="4">
        <f>Table9[[#This Row],[Octane]]/Table9[[#This Row],[Hybrid]]</f>
        <v>0.97855648576945242</v>
      </c>
      <c r="O427" s="4">
        <f>Table9[[#This Row],[Octane]]/Table9[[#This Row],[Dominus]]</f>
        <v>0.97102511281712267</v>
      </c>
      <c r="P427" s="4">
        <f>Table9[[#This Row],[Octane]]/Table9[[#This Row],[Plank]]</f>
        <v>0.97858263512951027</v>
      </c>
      <c r="Q427" s="4">
        <f>Table9[[#This Row],[Octane]]/Table9[[#This Row],[Batmobile]]</f>
        <v>0.99346475350521246</v>
      </c>
      <c r="R427" s="4">
        <f>Table9[[#This Row],[Octane]]/Table9[[#This Row],[Breakout]]</f>
        <v>0.97026166680171022</v>
      </c>
    </row>
    <row r="428" spans="1:18">
      <c r="A428" s="1">
        <f>Octane[[#This Row],[Degrees turned]]</f>
        <v>348.10935283051617</v>
      </c>
      <c r="B428" s="1">
        <f>Hybrid[[#This Row],[Degrees turned]]</f>
        <v>355.73947343943343</v>
      </c>
      <c r="C428" s="1">
        <f>Dominus[[#This Row],[Degrees turned]]</f>
        <v>358.49890812535438</v>
      </c>
      <c r="D428" s="1">
        <f>Plank[[#This Row],[Degrees turned]]</f>
        <v>355.73091786696648</v>
      </c>
      <c r="E428" s="1">
        <f>Batmobile[[#This Row],[Degrees turned]]</f>
        <v>350.40151840881282</v>
      </c>
      <c r="F428" s="1">
        <f>Breakout[[#This Row],[Degrees turned]]</f>
        <v>358.78280190184472</v>
      </c>
      <c r="H428" s="1">
        <v>0</v>
      </c>
      <c r="I428" s="3">
        <f>Table9[[#This Row],[Hybrid]]-Table9[[#This Row],[Octane]]</f>
        <v>7.6301206089172524</v>
      </c>
      <c r="J428" s="3">
        <f>Table9[[#This Row],[Dominus]]-Table9[[#This Row],[Octane]]</f>
        <v>10.389555294838203</v>
      </c>
      <c r="K428" s="3">
        <f>Table9[[#This Row],[Plank]]-Table9[[#This Row],[Octane]]</f>
        <v>7.6215650364503063</v>
      </c>
      <c r="L428" s="3">
        <f>Table9[[#This Row],[Batmobile]]-Table9[[#This Row],[Octane]]</f>
        <v>2.2921655782966468</v>
      </c>
      <c r="M428" s="3">
        <f>Table9[[#This Row],[Breakout]]-Table9[[#This Row],[Octane]]</f>
        <v>10.673449071328548</v>
      </c>
      <c r="N428" s="4">
        <f>Table9[[#This Row],[Octane]]/Table9[[#This Row],[Hybrid]]</f>
        <v>0.97855138049442147</v>
      </c>
      <c r="O428" s="4">
        <f>Table9[[#This Row],[Octane]]/Table9[[#This Row],[Dominus]]</f>
        <v>0.97101928329665832</v>
      </c>
      <c r="P428" s="4">
        <f>Table9[[#This Row],[Octane]]/Table9[[#This Row],[Plank]]</f>
        <v>0.97857491532602581</v>
      </c>
      <c r="Q428" s="4">
        <f>Table9[[#This Row],[Octane]]/Table9[[#This Row],[Batmobile]]</f>
        <v>0.99345845991562631</v>
      </c>
      <c r="R428" s="4">
        <f>Table9[[#This Row],[Octane]]/Table9[[#This Row],[Breakout]]</f>
        <v>0.9702509456563958</v>
      </c>
    </row>
    <row r="429" spans="1:18">
      <c r="A429" s="1">
        <f>Octane[[#This Row],[Degrees turned]]</f>
        <v>349.05605388517608</v>
      </c>
      <c r="B429" s="1">
        <f>Hybrid[[#This Row],[Degrees turned]]</f>
        <v>356.70925006442269</v>
      </c>
      <c r="C429" s="1">
        <f>Dominus[[#This Row],[Degrees turned]]</f>
        <v>359.47627305678031</v>
      </c>
      <c r="D429" s="1">
        <f>Plank[[#This Row],[Degrees turned]]</f>
        <v>356.70139253637245</v>
      </c>
      <c r="E429" s="1">
        <f>Batmobile[[#This Row],[Degrees turned]]</f>
        <v>351.35680100221822</v>
      </c>
      <c r="F429" s="1">
        <f>Breakout[[#This Row],[Degrees turned]]</f>
        <v>359.76319442862456</v>
      </c>
      <c r="H429" s="1">
        <v>0</v>
      </c>
      <c r="I429" s="3">
        <f>Table9[[#This Row],[Hybrid]]-Table9[[#This Row],[Octane]]</f>
        <v>7.6531961792466063</v>
      </c>
      <c r="J429" s="3">
        <f>Table9[[#This Row],[Dominus]]-Table9[[#This Row],[Octane]]</f>
        <v>10.420219171604231</v>
      </c>
      <c r="K429" s="3">
        <f>Table9[[#This Row],[Plank]]-Table9[[#This Row],[Octane]]</f>
        <v>7.6453386511963686</v>
      </c>
      <c r="L429" s="3">
        <f>Table9[[#This Row],[Batmobile]]-Table9[[#This Row],[Octane]]</f>
        <v>2.3007471170421354</v>
      </c>
      <c r="M429" s="3">
        <f>Table9[[#This Row],[Breakout]]-Table9[[#This Row],[Octane]]</f>
        <v>10.707140543448475</v>
      </c>
      <c r="N429" s="4">
        <f>Table9[[#This Row],[Octane]]/Table9[[#This Row],[Hybrid]]</f>
        <v>0.97854500218913743</v>
      </c>
      <c r="O429" s="4">
        <f>Table9[[#This Row],[Octane]]/Table9[[#This Row],[Dominus]]</f>
        <v>0.97101277621747706</v>
      </c>
      <c r="P429" s="4">
        <f>Table9[[#This Row],[Octane]]/Table9[[#This Row],[Plank]]</f>
        <v>0.97856655787959457</v>
      </c>
      <c r="Q429" s="4">
        <f>Table9[[#This Row],[Octane]]/Table9[[#This Row],[Batmobile]]</f>
        <v>0.99345182130962195</v>
      </c>
      <c r="R429" s="4">
        <f>Table9[[#This Row],[Octane]]/Table9[[#This Row],[Breakout]]</f>
        <v>0.97023836593275326</v>
      </c>
    </row>
    <row r="430" spans="1:18">
      <c r="A430" s="1">
        <f>Octane[[#This Row],[Degrees turned]]</f>
        <v>350.00250996250315</v>
      </c>
      <c r="B430" s="1">
        <f>Hybrid[[#This Row],[Degrees turned]]</f>
        <v>357.6783407228379</v>
      </c>
      <c r="C430" s="1">
        <f>Dominus[[#This Row],[Degrees turned]]</f>
        <v>360.45373916343334</v>
      </c>
      <c r="D430" s="1">
        <f>Plank[[#This Row],[Degrees turned]]</f>
        <v>357.67199974213861</v>
      </c>
      <c r="E430" s="1">
        <f>Batmobile[[#This Row],[Degrees turned]]</f>
        <v>352.31264790044514</v>
      </c>
      <c r="F430" s="1">
        <f>Breakout[[#This Row],[Degrees turned]]</f>
        <v>360.74287971154149</v>
      </c>
      <c r="H430" s="1">
        <v>0</v>
      </c>
      <c r="I430" s="3">
        <f>Table9[[#This Row],[Hybrid]]-Table9[[#This Row],[Octane]]</f>
        <v>7.6758307603347475</v>
      </c>
      <c r="J430" s="3">
        <f>Table9[[#This Row],[Dominus]]-Table9[[#This Row],[Octane]]</f>
        <v>10.451229200930186</v>
      </c>
      <c r="K430" s="3">
        <f>Table9[[#This Row],[Plank]]-Table9[[#This Row],[Octane]]</f>
        <v>7.6694897796354553</v>
      </c>
      <c r="L430" s="3">
        <f>Table9[[#This Row],[Batmobile]]-Table9[[#This Row],[Octane]]</f>
        <v>2.3101379379419882</v>
      </c>
      <c r="M430" s="3">
        <f>Table9[[#This Row],[Breakout]]-Table9[[#This Row],[Octane]]</f>
        <v>10.740369749038337</v>
      </c>
      <c r="N430" s="4">
        <f>Table9[[#This Row],[Octane]]/Table9[[#This Row],[Hybrid]]</f>
        <v>0.97853985023297041</v>
      </c>
      <c r="O430" s="4">
        <f>Table9[[#This Row],[Octane]]/Table9[[#This Row],[Dominus]]</f>
        <v>0.97100535223969064</v>
      </c>
      <c r="P430" s="4">
        <f>Table9[[#This Row],[Octane]]/Table9[[#This Row],[Plank]]</f>
        <v>0.97855719825660181</v>
      </c>
      <c r="Q430" s="4">
        <f>Table9[[#This Row],[Octane]]/Table9[[#This Row],[Batmobile]]</f>
        <v>0.99344293214646451</v>
      </c>
      <c r="R430" s="4">
        <f>Table9[[#This Row],[Octane]]/Table9[[#This Row],[Breakout]]</f>
        <v>0.97022707764148641</v>
      </c>
    </row>
    <row r="431" spans="1:18">
      <c r="A431" s="1">
        <f>Octane[[#This Row],[Degrees turned]]</f>
        <v>350.94881315448606</v>
      </c>
      <c r="B431" s="1">
        <f>Hybrid[[#This Row],[Degrees turned]]</f>
        <v>358.64761724312393</v>
      </c>
      <c r="C431" s="1">
        <f>Dominus[[#This Row],[Degrees turned]]</f>
        <v>361.43162092633315</v>
      </c>
      <c r="D431" s="1">
        <f>Plank[[#This Row],[Degrees turned]]</f>
        <v>358.64271958108316</v>
      </c>
      <c r="E431" s="1">
        <f>Batmobile[[#This Row],[Degrees turned]]</f>
        <v>353.26849352854839</v>
      </c>
      <c r="F431" s="1">
        <f>Breakout[[#This Row],[Degrees turned]]</f>
        <v>361.7228931057881</v>
      </c>
      <c r="H431" s="1">
        <v>0</v>
      </c>
      <c r="I431" s="3">
        <f>Table9[[#This Row],[Hybrid]]-Table9[[#This Row],[Octane]]</f>
        <v>7.6988040886378712</v>
      </c>
      <c r="J431" s="3">
        <f>Table9[[#This Row],[Dominus]]-Table9[[#This Row],[Octane]]</f>
        <v>10.482807771847092</v>
      </c>
      <c r="K431" s="3">
        <f>Table9[[#This Row],[Plank]]-Table9[[#This Row],[Octane]]</f>
        <v>7.6939064265970956</v>
      </c>
      <c r="L431" s="3">
        <f>Table9[[#This Row],[Batmobile]]-Table9[[#This Row],[Octane]]</f>
        <v>2.3196803740623295</v>
      </c>
      <c r="M431" s="3">
        <f>Table9[[#This Row],[Breakout]]-Table9[[#This Row],[Octane]]</f>
        <v>10.774079951302042</v>
      </c>
      <c r="N431" s="4">
        <f>Table9[[#This Row],[Octane]]/Table9[[#This Row],[Hybrid]]</f>
        <v>0.97853379272998509</v>
      </c>
      <c r="O431" s="4">
        <f>Table9[[#This Row],[Octane]]/Table9[[#This Row],[Dominus]]</f>
        <v>0.97099642874361647</v>
      </c>
      <c r="P431" s="4">
        <f>Table9[[#This Row],[Octane]]/Table9[[#This Row],[Plank]]</f>
        <v>0.97854715568858042</v>
      </c>
      <c r="Q431" s="4">
        <f>Table9[[#This Row],[Octane]]/Table9[[#This Row],[Batmobile]]</f>
        <v>0.99343366188449844</v>
      </c>
      <c r="R431" s="4">
        <f>Table9[[#This Row],[Octane]]/Table9[[#This Row],[Breakout]]</f>
        <v>0.97021454777497007</v>
      </c>
    </row>
    <row r="432" spans="1:18">
      <c r="A432" s="1">
        <f>Octane[[#This Row],[Degrees turned]]</f>
        <v>351.89518017282694</v>
      </c>
      <c r="B432" s="1">
        <f>Hybrid[[#This Row],[Degrees turned]]</f>
        <v>359.61719737881424</v>
      </c>
      <c r="C432" s="1">
        <f>Dominus[[#This Row],[Degrees turned]]</f>
        <v>362.40907107642971</v>
      </c>
      <c r="D432" s="1">
        <f>Plank[[#This Row],[Degrees turned]]</f>
        <v>359.61367236191001</v>
      </c>
      <c r="E432" s="1">
        <f>Batmobile[[#This Row],[Degrees turned]]</f>
        <v>354.22421370289953</v>
      </c>
      <c r="F432" s="1">
        <f>Breakout[[#This Row],[Degrees turned]]</f>
        <v>362.70327541499552</v>
      </c>
      <c r="H432" s="1">
        <v>0</v>
      </c>
      <c r="I432" s="3">
        <f>Table9[[#This Row],[Hybrid]]-Table9[[#This Row],[Octane]]</f>
        <v>7.7220172059872993</v>
      </c>
      <c r="J432" s="3">
        <f>Table9[[#This Row],[Dominus]]-Table9[[#This Row],[Octane]]</f>
        <v>10.513890903602771</v>
      </c>
      <c r="K432" s="3">
        <f>Table9[[#This Row],[Plank]]-Table9[[#This Row],[Octane]]</f>
        <v>7.7184921890830651</v>
      </c>
      <c r="L432" s="3">
        <f>Table9[[#This Row],[Batmobile]]-Table9[[#This Row],[Octane]]</f>
        <v>2.3290335300725928</v>
      </c>
      <c r="M432" s="3">
        <f>Table9[[#This Row],[Breakout]]-Table9[[#This Row],[Octane]]</f>
        <v>10.808095242168577</v>
      </c>
      <c r="N432" s="4">
        <f>Table9[[#This Row],[Octane]]/Table9[[#This Row],[Hybrid]]</f>
        <v>0.97852711921934854</v>
      </c>
      <c r="O432" s="4">
        <f>Table9[[#This Row],[Octane]]/Table9[[#This Row],[Dominus]]</f>
        <v>0.97098888592282095</v>
      </c>
      <c r="P432" s="4">
        <f>Table9[[#This Row],[Octane]]/Table9[[#This Row],[Plank]]</f>
        <v>0.9785367109698897</v>
      </c>
      <c r="Q432" s="4">
        <f>Table9[[#This Row],[Octane]]/Table9[[#This Row],[Batmobile]]</f>
        <v>0.99342497367493332</v>
      </c>
      <c r="R432" s="4">
        <f>Table9[[#This Row],[Octane]]/Table9[[#This Row],[Breakout]]</f>
        <v>0.97020127477535945</v>
      </c>
    </row>
    <row r="433" spans="1:18">
      <c r="A433" s="1">
        <f>Octane[[#This Row],[Degrees turned]]</f>
        <v>352.84133369979577</v>
      </c>
      <c r="B433" s="1">
        <f>Hybrid[[#This Row],[Degrees turned]]</f>
        <v>360.58618579106263</v>
      </c>
      <c r="C433" s="1">
        <f>Dominus[[#This Row],[Degrees turned]]</f>
        <v>363.38643567900749</v>
      </c>
      <c r="D433" s="1">
        <f>Plank[[#This Row],[Degrees turned]]</f>
        <v>360.58419736353704</v>
      </c>
      <c r="E433" s="1">
        <f>Batmobile[[#This Row],[Degrees turned]]</f>
        <v>355.18010541216057</v>
      </c>
      <c r="F433" s="1">
        <f>Breakout[[#This Row],[Degrees turned]]</f>
        <v>363.68324573122635</v>
      </c>
      <c r="H433" s="1">
        <v>0</v>
      </c>
      <c r="I433" s="3">
        <f>Table9[[#This Row],[Hybrid]]-Table9[[#This Row],[Octane]]</f>
        <v>7.7448520912668641</v>
      </c>
      <c r="J433" s="3">
        <f>Table9[[#This Row],[Dominus]]-Table9[[#This Row],[Octane]]</f>
        <v>10.545101979211722</v>
      </c>
      <c r="K433" s="3">
        <f>Table9[[#This Row],[Plank]]-Table9[[#This Row],[Octane]]</f>
        <v>7.7428636637412751</v>
      </c>
      <c r="L433" s="3">
        <f>Table9[[#This Row],[Batmobile]]-Table9[[#This Row],[Octane]]</f>
        <v>2.3387717123648031</v>
      </c>
      <c r="M433" s="3">
        <f>Table9[[#This Row],[Breakout]]-Table9[[#This Row],[Octane]]</f>
        <v>10.841912031430581</v>
      </c>
      <c r="N433" s="4">
        <f>Table9[[#This Row],[Octane]]/Table9[[#This Row],[Hybrid]]</f>
        <v>0.97852149528613797</v>
      </c>
      <c r="O433" s="4">
        <f>Table9[[#This Row],[Octane]]/Table9[[#This Row],[Dominus]]</f>
        <v>0.97098102476085102</v>
      </c>
      <c r="P433" s="4">
        <f>Table9[[#This Row],[Octane]]/Table9[[#This Row],[Plank]]</f>
        <v>0.97852689130484827</v>
      </c>
      <c r="Q433" s="4">
        <f>Table9[[#This Row],[Octane]]/Table9[[#This Row],[Batmobile]]</f>
        <v>0.99341525137042563</v>
      </c>
      <c r="R433" s="4">
        <f>Table9[[#This Row],[Octane]]/Table9[[#This Row],[Breakout]]</f>
        <v>0.97018858537287944</v>
      </c>
    </row>
    <row r="434" spans="1:18">
      <c r="A434" s="1">
        <f>Octane[[#This Row],[Degrees turned]]</f>
        <v>353.78771735944053</v>
      </c>
      <c r="B434" s="1">
        <f>Hybrid[[#This Row],[Degrees turned]]</f>
        <v>361.55572382736011</v>
      </c>
      <c r="C434" s="1">
        <f>Dominus[[#This Row],[Degrees turned]]</f>
        <v>364.36401377129772</v>
      </c>
      <c r="D434" s="1">
        <f>Plank[[#This Row],[Degrees turned]]</f>
        <v>361.55495561587014</v>
      </c>
      <c r="E434" s="1">
        <f>Batmobile[[#This Row],[Degrees turned]]</f>
        <v>356.13600766367119</v>
      </c>
      <c r="F434" s="1">
        <f>Breakout[[#This Row],[Degrees turned]]</f>
        <v>364.66317953766531</v>
      </c>
      <c r="H434" s="1">
        <v>0</v>
      </c>
      <c r="I434" s="3">
        <f>Table9[[#This Row],[Hybrid]]-Table9[[#This Row],[Octane]]</f>
        <v>7.7680064679195766</v>
      </c>
      <c r="J434" s="3">
        <f>Table9[[#This Row],[Dominus]]-Table9[[#This Row],[Octane]]</f>
        <v>10.576296411857186</v>
      </c>
      <c r="K434" s="3">
        <f>Table9[[#This Row],[Plank]]-Table9[[#This Row],[Octane]]</f>
        <v>7.7672382564296072</v>
      </c>
      <c r="L434" s="3">
        <f>Table9[[#This Row],[Batmobile]]-Table9[[#This Row],[Octane]]</f>
        <v>2.3482903042306589</v>
      </c>
      <c r="M434" s="3">
        <f>Table9[[#This Row],[Breakout]]-Table9[[#This Row],[Octane]]</f>
        <v>10.87546217822478</v>
      </c>
      <c r="N434" s="4">
        <f>Table9[[#This Row],[Octane]]/Table9[[#This Row],[Hybrid]]</f>
        <v>0.97851505049985399</v>
      </c>
      <c r="O434" s="4">
        <f>Table9[[#This Row],[Octane]]/Table9[[#This Row],[Dominus]]</f>
        <v>0.97097326845648468</v>
      </c>
      <c r="P434" s="4">
        <f>Table9[[#This Row],[Octane]]/Table9[[#This Row],[Plank]]</f>
        <v>0.9785171295932068</v>
      </c>
      <c r="Q434" s="4">
        <f>Table9[[#This Row],[Octane]]/Table9[[#This Row],[Batmobile]]</f>
        <v>0.9934061980431691</v>
      </c>
      <c r="R434" s="4">
        <f>Table9[[#This Row],[Octane]]/Table9[[#This Row],[Breakout]]</f>
        <v>0.97017669238771753</v>
      </c>
    </row>
    <row r="435" spans="1:18">
      <c r="A435" s="1">
        <f>Octane[[#This Row],[Degrees turned]]</f>
        <v>354.73417072940759</v>
      </c>
      <c r="B435" s="1">
        <f>Hybrid[[#This Row],[Degrees turned]]</f>
        <v>362.52489203106995</v>
      </c>
      <c r="C435" s="1">
        <f>Dominus[[#This Row],[Degrees turned]]</f>
        <v>365.34158974737863</v>
      </c>
      <c r="D435" s="1">
        <f>Plank[[#This Row],[Degrees turned]]</f>
        <v>362.52561486667844</v>
      </c>
      <c r="E435" s="1">
        <f>Batmobile[[#This Row],[Degrees turned]]</f>
        <v>357.09151177526985</v>
      </c>
      <c r="F435" s="1">
        <f>Breakout[[#This Row],[Degrees turned]]</f>
        <v>365.64296475108921</v>
      </c>
      <c r="H435" s="1">
        <v>0</v>
      </c>
      <c r="I435" s="3">
        <f>Table9[[#This Row],[Hybrid]]-Table9[[#This Row],[Octane]]</f>
        <v>7.7907213016623587</v>
      </c>
      <c r="J435" s="3">
        <f>Table9[[#This Row],[Dominus]]-Table9[[#This Row],[Octane]]</f>
        <v>10.60741901797104</v>
      </c>
      <c r="K435" s="3">
        <f>Table9[[#This Row],[Plank]]-Table9[[#This Row],[Octane]]</f>
        <v>7.7914441372708438</v>
      </c>
      <c r="L435" s="3">
        <f>Table9[[#This Row],[Batmobile]]-Table9[[#This Row],[Octane]]</f>
        <v>2.3573410458622561</v>
      </c>
      <c r="M435" s="3">
        <f>Table9[[#This Row],[Breakout]]-Table9[[#This Row],[Octane]]</f>
        <v>10.908794021681615</v>
      </c>
      <c r="N435" s="4">
        <f>Table9[[#This Row],[Octane]]/Table9[[#This Row],[Hybrid]]</f>
        <v>0.97850983070979125</v>
      </c>
      <c r="O435" s="4">
        <f>Table9[[#This Row],[Octane]]/Table9[[#This Row],[Dominus]]</f>
        <v>0.97096575009347907</v>
      </c>
      <c r="P435" s="4">
        <f>Table9[[#This Row],[Octane]]/Table9[[#This Row],[Plank]]</f>
        <v>0.97850787967041664</v>
      </c>
      <c r="Q435" s="4">
        <f>Table9[[#This Row],[Octane]]/Table9[[#This Row],[Batmobile]]</f>
        <v>0.99339849599296604</v>
      </c>
      <c r="R435" s="4">
        <f>Table9[[#This Row],[Octane]]/Table9[[#This Row],[Breakout]]</f>
        <v>0.97016544806459559</v>
      </c>
    </row>
    <row r="436" spans="1:18">
      <c r="A436" s="1">
        <f>Octane[[#This Row],[Degrees turned]]</f>
        <v>355.68080096023698</v>
      </c>
      <c r="B436" s="1">
        <f>Hybrid[[#This Row],[Degrees turned]]</f>
        <v>363.49448075471275</v>
      </c>
      <c r="C436" s="1">
        <f>Dominus[[#This Row],[Degrees turned]]</f>
        <v>366.31901947969715</v>
      </c>
      <c r="D436" s="1">
        <f>Plank[[#This Row],[Degrees turned]]</f>
        <v>363.49660293907493</v>
      </c>
      <c r="E436" s="1">
        <f>Batmobile[[#This Row],[Degrees turned]]</f>
        <v>358.04715444361187</v>
      </c>
      <c r="F436" s="1">
        <f>Breakout[[#This Row],[Degrees turned]]</f>
        <v>366.62323303310711</v>
      </c>
      <c r="H436" s="1">
        <v>0</v>
      </c>
      <c r="I436" s="3">
        <f>Table9[[#This Row],[Hybrid]]-Table9[[#This Row],[Octane]]</f>
        <v>7.8136797944757745</v>
      </c>
      <c r="J436" s="3">
        <f>Table9[[#This Row],[Dominus]]-Table9[[#This Row],[Octane]]</f>
        <v>10.638218519460167</v>
      </c>
      <c r="K436" s="3">
        <f>Table9[[#This Row],[Plank]]-Table9[[#This Row],[Octane]]</f>
        <v>7.8158019788379534</v>
      </c>
      <c r="L436" s="3">
        <f>Table9[[#This Row],[Batmobile]]-Table9[[#This Row],[Octane]]</f>
        <v>2.366353483374894</v>
      </c>
      <c r="M436" s="3">
        <f>Table9[[#This Row],[Breakout]]-Table9[[#This Row],[Octane]]</f>
        <v>10.942432072870133</v>
      </c>
      <c r="N436" s="4">
        <f>Table9[[#This Row],[Octane]]/Table9[[#This Row],[Hybrid]]</f>
        <v>0.97850399329791071</v>
      </c>
      <c r="O436" s="4">
        <f>Table9[[#This Row],[Octane]]/Table9[[#This Row],[Dominus]]</f>
        <v>0.97095914229468561</v>
      </c>
      <c r="P436" s="4">
        <f>Table9[[#This Row],[Octane]]/Table9[[#This Row],[Plank]]</f>
        <v>0.97849828054611021</v>
      </c>
      <c r="Q436" s="4">
        <f>Table9[[#This Row],[Octane]]/Table9[[#This Row],[Batmobile]]</f>
        <v>0.99339094458926203</v>
      </c>
      <c r="R436" s="4">
        <f>Table9[[#This Row],[Octane]]/Table9[[#This Row],[Breakout]]</f>
        <v>0.97015346795580193</v>
      </c>
    </row>
    <row r="437" spans="1:18">
      <c r="A437" s="1">
        <f>Octane[[#This Row],[Degrees turned]]</f>
        <v>356.627781518304</v>
      </c>
      <c r="B437" s="1">
        <f>Hybrid[[#This Row],[Degrees turned]]</f>
        <v>364.46403380664185</v>
      </c>
      <c r="C437" s="1">
        <f>Dominus[[#This Row],[Degrees turned]]</f>
        <v>367.29658061678037</v>
      </c>
      <c r="D437" s="1">
        <f>Plank[[#This Row],[Degrees turned]]</f>
        <v>364.46749361191848</v>
      </c>
      <c r="E437" s="1">
        <f>Batmobile[[#This Row],[Degrees turned]]</f>
        <v>359.00252258192791</v>
      </c>
      <c r="F437" s="1">
        <f>Breakout[[#This Row],[Degrees turned]]</f>
        <v>367.60362366367417</v>
      </c>
      <c r="H437" s="1">
        <v>0</v>
      </c>
      <c r="I437" s="3">
        <f>Table9[[#This Row],[Hybrid]]-Table9[[#This Row],[Octane]]</f>
        <v>7.836252288337846</v>
      </c>
      <c r="J437" s="3">
        <f>Table9[[#This Row],[Dominus]]-Table9[[#This Row],[Octane]]</f>
        <v>10.66879909847637</v>
      </c>
      <c r="K437" s="3">
        <f>Table9[[#This Row],[Plank]]-Table9[[#This Row],[Octane]]</f>
        <v>7.8397120936144802</v>
      </c>
      <c r="L437" s="3">
        <f>Table9[[#This Row],[Batmobile]]-Table9[[#This Row],[Octane]]</f>
        <v>2.374741063623901</v>
      </c>
      <c r="M437" s="3">
        <f>Table9[[#This Row],[Breakout]]-Table9[[#This Row],[Octane]]</f>
        <v>10.975842145370166</v>
      </c>
      <c r="N437" s="4">
        <f>Table9[[#This Row],[Octane]]/Table9[[#This Row],[Hybrid]]</f>
        <v>0.97849924392678156</v>
      </c>
      <c r="O437" s="4">
        <f>Table9[[#This Row],[Octane]]/Table9[[#This Row],[Dominus]]</f>
        <v>0.97095317609393239</v>
      </c>
      <c r="P437" s="4">
        <f>Table9[[#This Row],[Octane]]/Table9[[#This Row],[Plank]]</f>
        <v>0.97848995526069571</v>
      </c>
      <c r="Q437" s="4">
        <f>Table9[[#This Row],[Octane]]/Table9[[#This Row],[Batmobile]]</f>
        <v>0.99338516886582051</v>
      </c>
      <c r="R437" s="4">
        <f>Table9[[#This Row],[Octane]]/Table9[[#This Row],[Breakout]]</f>
        <v>0.97014218185342993</v>
      </c>
    </row>
    <row r="438" spans="1:18">
      <c r="A438" s="1">
        <f>Octane[[#This Row],[Degrees turned]]</f>
        <v>357.5742621700698</v>
      </c>
      <c r="B438" s="1">
        <f>Hybrid[[#This Row],[Degrees turned]]</f>
        <v>365.43347832887252</v>
      </c>
      <c r="C438" s="1">
        <f>Dominus[[#This Row],[Degrees turned]]</f>
        <v>368.27414319306877</v>
      </c>
      <c r="D438" s="1">
        <f>Plank[[#This Row],[Degrees turned]]</f>
        <v>365.43843116766993</v>
      </c>
      <c r="E438" s="1">
        <f>Batmobile[[#This Row],[Degrees turned]]</f>
        <v>359.95816351101797</v>
      </c>
      <c r="F438" s="1">
        <f>Breakout[[#This Row],[Degrees turned]]</f>
        <v>368.58323382289262</v>
      </c>
      <c r="H438" s="1">
        <v>0</v>
      </c>
      <c r="I438" s="3">
        <f>Table9[[#This Row],[Hybrid]]-Table9[[#This Row],[Octane]]</f>
        <v>7.8592161588027238</v>
      </c>
      <c r="J438" s="3">
        <f>Table9[[#This Row],[Dominus]]-Table9[[#This Row],[Octane]]</f>
        <v>10.699881022998966</v>
      </c>
      <c r="K438" s="3">
        <f>Table9[[#This Row],[Plank]]-Table9[[#This Row],[Octane]]</f>
        <v>7.8641689976001317</v>
      </c>
      <c r="L438" s="3">
        <f>Table9[[#This Row],[Batmobile]]-Table9[[#This Row],[Octane]]</f>
        <v>2.3839013409481709</v>
      </c>
      <c r="M438" s="3">
        <f>Table9[[#This Row],[Breakout]]-Table9[[#This Row],[Octane]]</f>
        <v>11.008971652822822</v>
      </c>
      <c r="N438" s="4">
        <f>Table9[[#This Row],[Octane]]/Table9[[#This Row],[Hybrid]]</f>
        <v>0.97849344237768543</v>
      </c>
      <c r="O438" s="4">
        <f>Table9[[#This Row],[Octane]]/Table9[[#This Row],[Dominus]]</f>
        <v>0.97094588034275997</v>
      </c>
      <c r="P438" s="4">
        <f>Table9[[#This Row],[Octane]]/Table9[[#This Row],[Plank]]</f>
        <v>0.97848018071752307</v>
      </c>
      <c r="Q438" s="4">
        <f>Table9[[#This Row],[Octane]]/Table9[[#This Row],[Batmobile]]</f>
        <v>0.99337728218830856</v>
      </c>
      <c r="R438" s="4">
        <f>Table9[[#This Row],[Octane]]/Table9[[#This Row],[Breakout]]</f>
        <v>0.97013165374170895</v>
      </c>
    </row>
    <row r="439" spans="1:18">
      <c r="A439" s="1">
        <f>Octane[[#This Row],[Degrees turned]]</f>
        <v>358.52112335174274</v>
      </c>
      <c r="B439" s="1">
        <f>Hybrid[[#This Row],[Degrees turned]]</f>
        <v>366.40288147559443</v>
      </c>
      <c r="C439" s="1">
        <f>Dominus[[#This Row],[Degrees turned]]</f>
        <v>369.25184993061185</v>
      </c>
      <c r="D439" s="1">
        <f>Plank[[#This Row],[Degrees turned]]</f>
        <v>366.40921138044541</v>
      </c>
      <c r="E439" s="1">
        <f>Batmobile[[#This Row],[Degrees turned]]</f>
        <v>360.91351805725475</v>
      </c>
      <c r="F439" s="1">
        <f>Breakout[[#This Row],[Degrees turned]]</f>
        <v>369.56310240994083</v>
      </c>
      <c r="H439" s="1">
        <v>0</v>
      </c>
      <c r="I439" s="3">
        <f>Table9[[#This Row],[Hybrid]]-Table9[[#This Row],[Octane]]</f>
        <v>7.8817581238516823</v>
      </c>
      <c r="J439" s="3">
        <f>Table9[[#This Row],[Dominus]]-Table9[[#This Row],[Octane]]</f>
        <v>10.73072657886911</v>
      </c>
      <c r="K439" s="3">
        <f>Table9[[#This Row],[Plank]]-Table9[[#This Row],[Octane]]</f>
        <v>7.8880880287026685</v>
      </c>
      <c r="L439" s="3">
        <f>Table9[[#This Row],[Batmobile]]-Table9[[#This Row],[Octane]]</f>
        <v>2.3923947055120038</v>
      </c>
      <c r="M439" s="3">
        <f>Table9[[#This Row],[Breakout]]-Table9[[#This Row],[Octane]]</f>
        <v>11.041979058198081</v>
      </c>
      <c r="N439" s="4">
        <f>Table9[[#This Row],[Octane]]/Table9[[#This Row],[Hybrid]]</f>
        <v>0.97848882057883957</v>
      </c>
      <c r="O439" s="4">
        <f>Table9[[#This Row],[Octane]]/Table9[[#This Row],[Dominus]]</f>
        <v>0.97093927469588692</v>
      </c>
      <c r="P439" s="4">
        <f>Table9[[#This Row],[Octane]]/Table9[[#This Row],[Plank]]</f>
        <v>0.97847191668849065</v>
      </c>
      <c r="Q439" s="4">
        <f>Table9[[#This Row],[Octane]]/Table9[[#This Row],[Batmobile]]</f>
        <v>0.993371279861198</v>
      </c>
      <c r="R439" s="4">
        <f>Table9[[#This Row],[Octane]]/Table9[[#This Row],[Breakout]]</f>
        <v>0.97012153273367185</v>
      </c>
    </row>
    <row r="440" spans="1:18">
      <c r="A440" s="1">
        <f>Octane[[#This Row],[Degrees turned]]</f>
        <v>359.46771150394045</v>
      </c>
      <c r="B440" s="1">
        <f>Hybrid[[#This Row],[Degrees turned]]</f>
        <v>367.37250789969272</v>
      </c>
      <c r="C440" s="1">
        <f>Dominus[[#This Row],[Degrees turned]]</f>
        <v>370.22904940895933</v>
      </c>
      <c r="D440" s="1">
        <f>Plank[[#This Row],[Degrees turned]]</f>
        <v>367.38010300092287</v>
      </c>
      <c r="E440" s="1">
        <f>Batmobile[[#This Row],[Degrees turned]]</f>
        <v>361.8694275136757</v>
      </c>
      <c r="F440" s="1">
        <f>Breakout[[#This Row],[Degrees turned]]</f>
        <v>370.5433053844834</v>
      </c>
      <c r="H440" s="1">
        <v>0</v>
      </c>
      <c r="I440" s="3">
        <f>Table9[[#This Row],[Hybrid]]-Table9[[#This Row],[Octane]]</f>
        <v>7.9047963957522711</v>
      </c>
      <c r="J440" s="3">
        <f>Table9[[#This Row],[Dominus]]-Table9[[#This Row],[Octane]]</f>
        <v>10.761337905018877</v>
      </c>
      <c r="K440" s="3">
        <f>Table9[[#This Row],[Plank]]-Table9[[#This Row],[Octane]]</f>
        <v>7.9123914969824227</v>
      </c>
      <c r="L440" s="3">
        <f>Table9[[#This Row],[Batmobile]]-Table9[[#This Row],[Octane]]</f>
        <v>2.401716009735253</v>
      </c>
      <c r="M440" s="3">
        <f>Table9[[#This Row],[Breakout]]-Table9[[#This Row],[Octane]]</f>
        <v>11.075593880542954</v>
      </c>
      <c r="N440" s="4">
        <f>Table9[[#This Row],[Octane]]/Table9[[#This Row],[Hybrid]]</f>
        <v>0.97848288528462612</v>
      </c>
      <c r="O440" s="4">
        <f>Table9[[#This Row],[Octane]]/Table9[[#This Row],[Dominus]]</f>
        <v>0.97093329677344742</v>
      </c>
      <c r="P440" s="4">
        <f>Table9[[#This Row],[Octane]]/Table9[[#This Row],[Plank]]</f>
        <v>0.97846265643579899</v>
      </c>
      <c r="Q440" s="4">
        <f>Table9[[#This Row],[Octane]]/Table9[[#This Row],[Batmobile]]</f>
        <v>0.99336303144966709</v>
      </c>
      <c r="R440" s="4">
        <f>Table9[[#This Row],[Octane]]/Table9[[#This Row],[Breakout]]</f>
        <v>0.9701098529656319</v>
      </c>
    </row>
    <row r="441" spans="1:18">
      <c r="A441" s="1">
        <f>Octane[[#This Row],[Degrees turned]]</f>
        <v>360.41413515684098</v>
      </c>
      <c r="B441" s="1">
        <f>Hybrid[[#This Row],[Degrees turned]]</f>
        <v>368.34210402097614</v>
      </c>
      <c r="C441" s="1">
        <f>Dominus[[#This Row],[Degrees turned]]</f>
        <v>371.20652934323243</v>
      </c>
      <c r="D441" s="1">
        <f>Plank[[#This Row],[Degrees turned]]</f>
        <v>368.35111167987378</v>
      </c>
      <c r="E441" s="1">
        <f>Batmobile[[#This Row],[Degrees turned]]</f>
        <v>362.8253258255246</v>
      </c>
      <c r="F441" s="1">
        <f>Breakout[[#This Row],[Degrees turned]]</f>
        <v>371.52353035896743</v>
      </c>
      <c r="H441" s="1">
        <v>0</v>
      </c>
      <c r="I441" s="3">
        <f>Table9[[#This Row],[Hybrid]]-Table9[[#This Row],[Octane]]</f>
        <v>7.9279688641351527</v>
      </c>
      <c r="J441" s="3">
        <f>Table9[[#This Row],[Dominus]]-Table9[[#This Row],[Octane]]</f>
        <v>10.792394186391448</v>
      </c>
      <c r="K441" s="3">
        <f>Table9[[#This Row],[Plank]]-Table9[[#This Row],[Octane]]</f>
        <v>7.9369765230327971</v>
      </c>
      <c r="L441" s="3">
        <f>Table9[[#This Row],[Batmobile]]-Table9[[#This Row],[Octane]]</f>
        <v>2.4111906686836164</v>
      </c>
      <c r="M441" s="3">
        <f>Table9[[#This Row],[Breakout]]-Table9[[#This Row],[Octane]]</f>
        <v>11.10939520212645</v>
      </c>
      <c r="N441" s="4">
        <f>Table9[[#This Row],[Octane]]/Table9[[#This Row],[Hybrid]]</f>
        <v>0.97847661514230888</v>
      </c>
      <c r="O441" s="4">
        <f>Table9[[#This Row],[Octane]]/Table9[[#This Row],[Dominus]]</f>
        <v>0.97092617361691835</v>
      </c>
      <c r="P441" s="4">
        <f>Table9[[#This Row],[Octane]]/Table9[[#This Row],[Plank]]</f>
        <v>0.97845268747300362</v>
      </c>
      <c r="Q441" s="4">
        <f>Table9[[#This Row],[Octane]]/Table9[[#This Row],[Batmobile]]</f>
        <v>0.99335440362880534</v>
      </c>
      <c r="R441" s="4">
        <f>Table9[[#This Row],[Octane]]/Table9[[#This Row],[Breakout]]</f>
        <v>0.97009773461349136</v>
      </c>
    </row>
    <row r="442" spans="1:18">
      <c r="A442" s="1">
        <f>Octane[[#This Row],[Degrees turned]]</f>
        <v>361.3603500896831</v>
      </c>
      <c r="B442" s="1">
        <f>Hybrid[[#This Row],[Degrees turned]]</f>
        <v>369.31147873058268</v>
      </c>
      <c r="C442" s="1">
        <f>Dominus[[#This Row],[Degrees turned]]</f>
        <v>372.18371109703537</v>
      </c>
      <c r="D442" s="1">
        <f>Plank[[#This Row],[Degrees turned]]</f>
        <v>369.32159252983513</v>
      </c>
      <c r="E442" s="1">
        <f>Batmobile[[#This Row],[Degrees turned]]</f>
        <v>363.78100369203622</v>
      </c>
      <c r="F442" s="1">
        <f>Breakout[[#This Row],[Degrees turned]]</f>
        <v>372.50363878879244</v>
      </c>
      <c r="H442" s="1">
        <v>0</v>
      </c>
      <c r="I442" s="3">
        <f>Table9[[#This Row],[Hybrid]]-Table9[[#This Row],[Octane]]</f>
        <v>7.9511286408995829</v>
      </c>
      <c r="J442" s="3">
        <f>Table9[[#This Row],[Dominus]]-Table9[[#This Row],[Octane]]</f>
        <v>10.823361007352275</v>
      </c>
      <c r="K442" s="3">
        <f>Table9[[#This Row],[Plank]]-Table9[[#This Row],[Octane]]</f>
        <v>7.9612424401520343</v>
      </c>
      <c r="L442" s="3">
        <f>Table9[[#This Row],[Batmobile]]-Table9[[#This Row],[Octane]]</f>
        <v>2.4206536023531271</v>
      </c>
      <c r="M442" s="3">
        <f>Table9[[#This Row],[Breakout]]-Table9[[#This Row],[Octane]]</f>
        <v>11.143288699109348</v>
      </c>
      <c r="N442" s="4">
        <f>Table9[[#This Row],[Octane]]/Table9[[#This Row],[Hybrid]]</f>
        <v>0.97847039938149327</v>
      </c>
      <c r="O442" s="4">
        <f>Table9[[#This Row],[Octane]]/Table9[[#This Row],[Dominus]]</f>
        <v>0.97091930494365342</v>
      </c>
      <c r="P442" s="4">
        <f>Table9[[#This Row],[Octane]]/Table9[[#This Row],[Plank]]</f>
        <v>0.97844360416184195</v>
      </c>
      <c r="Q442" s="4">
        <f>Table9[[#This Row],[Octane]]/Table9[[#This Row],[Batmobile]]</f>
        <v>0.99334584934951042</v>
      </c>
      <c r="R442" s="4">
        <f>Table9[[#This Row],[Octane]]/Table9[[#This Row],[Breakout]]</f>
        <v>0.97008542323145597</v>
      </c>
    </row>
    <row r="443" spans="1:18">
      <c r="A443" s="1">
        <f>Octane[[#This Row],[Degrees turned]]</f>
        <v>362.30712794430906</v>
      </c>
      <c r="B443" s="1">
        <f>Hybrid[[#This Row],[Degrees turned]]</f>
        <v>370.28089546291784</v>
      </c>
      <c r="C443" s="1">
        <f>Dominus[[#This Row],[Degrees turned]]</f>
        <v>373.16125051247559</v>
      </c>
      <c r="D443" s="1">
        <f>Plank[[#This Row],[Degrees turned]]</f>
        <v>370.29232984857885</v>
      </c>
      <c r="E443" s="1">
        <f>Batmobile[[#This Row],[Degrees turned]]</f>
        <v>364.73682413827282</v>
      </c>
      <c r="F443" s="1">
        <f>Breakout[[#This Row],[Degrees turned]]</f>
        <v>373.48349539129299</v>
      </c>
      <c r="H443" s="1">
        <v>0</v>
      </c>
      <c r="I443" s="3">
        <f>Table9[[#This Row],[Hybrid]]-Table9[[#This Row],[Octane]]</f>
        <v>7.9737675186087813</v>
      </c>
      <c r="J443" s="3">
        <f>Table9[[#This Row],[Dominus]]-Table9[[#This Row],[Octane]]</f>
        <v>10.854122568166531</v>
      </c>
      <c r="K443" s="3">
        <f>Table9[[#This Row],[Plank]]-Table9[[#This Row],[Octane]]</f>
        <v>7.9852019042697862</v>
      </c>
      <c r="L443" s="3">
        <f>Table9[[#This Row],[Batmobile]]-Table9[[#This Row],[Octane]]</f>
        <v>2.429696193963764</v>
      </c>
      <c r="M443" s="3">
        <f>Table9[[#This Row],[Breakout]]-Table9[[#This Row],[Octane]]</f>
        <v>11.176367446983932</v>
      </c>
      <c r="N443" s="4">
        <f>Table9[[#This Row],[Octane]]/Table9[[#This Row],[Hybrid]]</f>
        <v>0.97846562537707993</v>
      </c>
      <c r="O443" s="4">
        <f>Table9[[#This Row],[Octane]]/Table9[[#This Row],[Dominus]]</f>
        <v>0.97091305018069218</v>
      </c>
      <c r="P443" s="4">
        <f>Table9[[#This Row],[Octane]]/Table9[[#This Row],[Plank]]</f>
        <v>0.97843541099667086</v>
      </c>
      <c r="Q443" s="4">
        <f>Table9[[#This Row],[Octane]]/Table9[[#This Row],[Batmobile]]</f>
        <v>0.99333849495535809</v>
      </c>
      <c r="R443" s="4">
        <f>Table9[[#This Row],[Octane]]/Table9[[#This Row],[Breakout]]</f>
        <v>0.97007533777289245</v>
      </c>
    </row>
    <row r="444" spans="1:18">
      <c r="A444" s="1">
        <f>Octane[[#This Row],[Degrees turned]]</f>
        <v>363.25402498728153</v>
      </c>
      <c r="B444" s="1">
        <f>Hybrid[[#This Row],[Degrees turned]]</f>
        <v>371.25009461331035</v>
      </c>
      <c r="C444" s="1">
        <f>Dominus[[#This Row],[Degrees turned]]</f>
        <v>374.13875471766636</v>
      </c>
      <c r="D444" s="1">
        <f>Plank[[#This Row],[Degrees turned]]</f>
        <v>371.26279718957795</v>
      </c>
      <c r="E444" s="1">
        <f>Batmobile[[#This Row],[Degrees turned]]</f>
        <v>365.69256162130029</v>
      </c>
      <c r="F444" s="1">
        <f>Breakout[[#This Row],[Degrees turned]]</f>
        <v>374.46378710728504</v>
      </c>
      <c r="H444" s="1">
        <v>0</v>
      </c>
      <c r="I444" s="3">
        <f>Table9[[#This Row],[Hybrid]]-Table9[[#This Row],[Octane]]</f>
        <v>7.9960696260288273</v>
      </c>
      <c r="J444" s="3">
        <f>Table9[[#This Row],[Dominus]]-Table9[[#This Row],[Octane]]</f>
        <v>10.884729730384834</v>
      </c>
      <c r="K444" s="3">
        <f>Table9[[#This Row],[Plank]]-Table9[[#This Row],[Octane]]</f>
        <v>8.0087722022964272</v>
      </c>
      <c r="L444" s="3">
        <f>Table9[[#This Row],[Batmobile]]-Table9[[#This Row],[Octane]]</f>
        <v>2.4385366340187602</v>
      </c>
      <c r="M444" s="3">
        <f>Table9[[#This Row],[Breakout]]-Table9[[#This Row],[Octane]]</f>
        <v>11.209762120003518</v>
      </c>
      <c r="N444" s="4">
        <f>Table9[[#This Row],[Octane]]/Table9[[#This Row],[Hybrid]]</f>
        <v>0.97846177080612617</v>
      </c>
      <c r="O444" s="4">
        <f>Table9[[#This Row],[Octane]]/Table9[[#This Row],[Dominus]]</f>
        <v>0.970907238041676</v>
      </c>
      <c r="P444" s="4">
        <f>Table9[[#This Row],[Octane]]/Table9[[#This Row],[Plank]]</f>
        <v>0.97842829321191882</v>
      </c>
      <c r="Q444" s="4">
        <f>Table9[[#This Row],[Octane]]/Table9[[#This Row],[Batmobile]]</f>
        <v>0.99333173028401922</v>
      </c>
      <c r="R444" s="4">
        <f>Table9[[#This Row],[Octane]]/Table9[[#This Row],[Breakout]]</f>
        <v>0.97006449620509794</v>
      </c>
    </row>
    <row r="445" spans="1:18">
      <c r="A445" s="1">
        <f>Octane[[#This Row],[Degrees turned]]</f>
        <v>364.2009630439548</v>
      </c>
      <c r="B445" s="1">
        <f>Hybrid[[#This Row],[Degrees turned]]</f>
        <v>372.21967517528469</v>
      </c>
      <c r="C445" s="1">
        <f>Dominus[[#This Row],[Degrees turned]]</f>
        <v>375.11602516924353</v>
      </c>
      <c r="D445" s="1">
        <f>Plank[[#This Row],[Degrees turned]]</f>
        <v>372.23373162634539</v>
      </c>
      <c r="E445" s="1">
        <f>Batmobile[[#This Row],[Degrees turned]]</f>
        <v>366.64778582330308</v>
      </c>
      <c r="F445" s="1">
        <f>Breakout[[#This Row],[Degrees turned]]</f>
        <v>375.4438641528497</v>
      </c>
      <c r="H445" s="1">
        <v>0</v>
      </c>
      <c r="I445" s="3">
        <f>Table9[[#This Row],[Hybrid]]-Table9[[#This Row],[Octane]]</f>
        <v>8.0187121313298917</v>
      </c>
      <c r="J445" s="3">
        <f>Table9[[#This Row],[Dominus]]-Table9[[#This Row],[Octane]]</f>
        <v>10.915062125288728</v>
      </c>
      <c r="K445" s="3">
        <f>Table9[[#This Row],[Plank]]-Table9[[#This Row],[Octane]]</f>
        <v>8.0327685823905881</v>
      </c>
      <c r="L445" s="3">
        <f>Table9[[#This Row],[Batmobile]]-Table9[[#This Row],[Octane]]</f>
        <v>2.4468227793482811</v>
      </c>
      <c r="M445" s="3">
        <f>Table9[[#This Row],[Breakout]]-Table9[[#This Row],[Octane]]</f>
        <v>11.242901108894898</v>
      </c>
      <c r="N445" s="4">
        <f>Table9[[#This Row],[Octane]]/Table9[[#This Row],[Hybrid]]</f>
        <v>0.97845704387455135</v>
      </c>
      <c r="O445" s="4">
        <f>Table9[[#This Row],[Octane]]/Table9[[#This Row],[Dominus]]</f>
        <v>0.97090217054746164</v>
      </c>
      <c r="P445" s="4">
        <f>Table9[[#This Row],[Octane]]/Table9[[#This Row],[Plank]]</f>
        <v>0.97842009495675153</v>
      </c>
      <c r="Q445" s="4">
        <f>Table9[[#This Row],[Octane]]/Table9[[#This Row],[Batmobile]]</f>
        <v>0.99332650332565364</v>
      </c>
      <c r="R445" s="4">
        <f>Table9[[#This Row],[Octane]]/Table9[[#This Row],[Breakout]]</f>
        <v>0.97005437514803083</v>
      </c>
    </row>
    <row r="446" spans="1:18">
      <c r="A446" s="1">
        <f>Octane[[#This Row],[Degrees turned]]</f>
        <v>365.14722812698949</v>
      </c>
      <c r="B446" s="1">
        <f>Hybrid[[#This Row],[Degrees turned]]</f>
        <v>373.18898554226985</v>
      </c>
      <c r="C446" s="1">
        <f>Dominus[[#This Row],[Degrees turned]]</f>
        <v>376.09328671851387</v>
      </c>
      <c r="D446" s="1">
        <f>Plank[[#This Row],[Degrees turned]]</f>
        <v>373.20441106408947</v>
      </c>
      <c r="E446" s="1">
        <f>Batmobile[[#This Row],[Degrees turned]]</f>
        <v>367.60332986809567</v>
      </c>
      <c r="F446" s="1">
        <f>Breakout[[#This Row],[Degrees turned]]</f>
        <v>376.4240301772507</v>
      </c>
      <c r="H446" s="1">
        <v>0</v>
      </c>
      <c r="I446" s="3">
        <f>Table9[[#This Row],[Hybrid]]-Table9[[#This Row],[Octane]]</f>
        <v>8.0417574152803581</v>
      </c>
      <c r="J446" s="3">
        <f>Table9[[#This Row],[Dominus]]-Table9[[#This Row],[Octane]]</f>
        <v>10.946058591524377</v>
      </c>
      <c r="K446" s="3">
        <f>Table9[[#This Row],[Plank]]-Table9[[#This Row],[Octane]]</f>
        <v>8.0571829370999808</v>
      </c>
      <c r="L446" s="3">
        <f>Table9[[#This Row],[Batmobile]]-Table9[[#This Row],[Octane]]</f>
        <v>2.4561017411061812</v>
      </c>
      <c r="M446" s="3">
        <f>Table9[[#This Row],[Breakout]]-Table9[[#This Row],[Octane]]</f>
        <v>11.27680205026121</v>
      </c>
      <c r="N446" s="4">
        <f>Table9[[#This Row],[Octane]]/Table9[[#This Row],[Hybrid]]</f>
        <v>0.97845124661545113</v>
      </c>
      <c r="O446" s="4">
        <f>Table9[[#This Row],[Octane]]/Table9[[#This Row],[Dominus]]</f>
        <v>0.97089536299083978</v>
      </c>
      <c r="P446" s="4">
        <f>Table9[[#This Row],[Octane]]/Table9[[#This Row],[Plank]]</f>
        <v>0.97841080464690344</v>
      </c>
      <c r="Q446" s="4">
        <f>Table9[[#This Row],[Octane]]/Table9[[#This Row],[Batmobile]]</f>
        <v>0.99331860856106091</v>
      </c>
      <c r="R446" s="4">
        <f>Table9[[#This Row],[Octane]]/Table9[[#This Row],[Breakout]]</f>
        <v>0.97004228968870243</v>
      </c>
    </row>
    <row r="447" spans="1:18">
      <c r="A447" s="1">
        <f>Octane[[#This Row],[Degrees turned]]</f>
        <v>366.09373466697258</v>
      </c>
      <c r="B447" s="1">
        <f>Hybrid[[#This Row],[Degrees turned]]</f>
        <v>374.15833252887796</v>
      </c>
      <c r="C447" s="1">
        <f>Dominus[[#This Row],[Degrees turned]]</f>
        <v>377.07064896685029</v>
      </c>
      <c r="D447" s="1">
        <f>Plank[[#This Row],[Degrees turned]]</f>
        <v>374.17490498692547</v>
      </c>
      <c r="E447" s="1">
        <f>Batmobile[[#This Row],[Degrees turned]]</f>
        <v>368.55906948895569</v>
      </c>
      <c r="F447" s="1">
        <f>Breakout[[#This Row],[Degrees turned]]</f>
        <v>377.40423889699338</v>
      </c>
      <c r="H447" s="1">
        <v>0</v>
      </c>
      <c r="I447" s="3">
        <f>Table9[[#This Row],[Hybrid]]-Table9[[#This Row],[Octane]]</f>
        <v>8.0645978619053835</v>
      </c>
      <c r="J447" s="3">
        <f>Table9[[#This Row],[Dominus]]-Table9[[#This Row],[Octane]]</f>
        <v>10.976914299877706</v>
      </c>
      <c r="K447" s="3">
        <f>Table9[[#This Row],[Plank]]-Table9[[#This Row],[Octane]]</f>
        <v>8.0811703199528893</v>
      </c>
      <c r="L447" s="3">
        <f>Table9[[#This Row],[Batmobile]]-Table9[[#This Row],[Octane]]</f>
        <v>2.4653348219831059</v>
      </c>
      <c r="M447" s="3">
        <f>Table9[[#This Row],[Breakout]]-Table9[[#This Row],[Octane]]</f>
        <v>11.310504230020797</v>
      </c>
      <c r="N447" s="4">
        <f>Table9[[#This Row],[Octane]]/Table9[[#This Row],[Hybrid]]</f>
        <v>0.97844602896480204</v>
      </c>
      <c r="O447" s="4">
        <f>Table9[[#This Row],[Octane]]/Table9[[#This Row],[Dominus]]</f>
        <v>0.9708889717883008</v>
      </c>
      <c r="P447" s="4">
        <f>Table9[[#This Row],[Octane]]/Table9[[#This Row],[Plank]]</f>
        <v>0.97840269293250637</v>
      </c>
      <c r="Q447" s="4">
        <f>Table9[[#This Row],[Octane]]/Table9[[#This Row],[Batmobile]]</f>
        <v>0.99331088277002233</v>
      </c>
      <c r="R447" s="4">
        <f>Table9[[#This Row],[Octane]]/Table9[[#This Row],[Breakout]]</f>
        <v>0.97003079704913486</v>
      </c>
    </row>
    <row r="448" spans="1:18">
      <c r="A448" s="1">
        <f>Octane[[#This Row],[Degrees turned]]</f>
        <v>367.04059837021305</v>
      </c>
      <c r="B448" s="1">
        <f>Hybrid[[#This Row],[Degrees turned]]</f>
        <v>375.12754362041767</v>
      </c>
      <c r="C448" s="1">
        <f>Dominus[[#This Row],[Degrees turned]]</f>
        <v>378.04799044193925</v>
      </c>
      <c r="D448" s="1">
        <f>Plank[[#This Row],[Degrees turned]]</f>
        <v>375.1454414433739</v>
      </c>
      <c r="E448" s="1">
        <f>Batmobile[[#This Row],[Degrees turned]]</f>
        <v>369.51441925362434</v>
      </c>
      <c r="F448" s="1">
        <f>Breakout[[#This Row],[Degrees turned]]</f>
        <v>378.3845633163134</v>
      </c>
      <c r="H448" s="1">
        <v>0</v>
      </c>
      <c r="I448" s="3">
        <f>Table9[[#This Row],[Hybrid]]-Table9[[#This Row],[Octane]]</f>
        <v>8.0869452502046215</v>
      </c>
      <c r="J448" s="3">
        <f>Table9[[#This Row],[Dominus]]-Table9[[#This Row],[Octane]]</f>
        <v>11.007392071726201</v>
      </c>
      <c r="K448" s="3">
        <f>Table9[[#This Row],[Plank]]-Table9[[#This Row],[Octane]]</f>
        <v>8.1048430731608505</v>
      </c>
      <c r="L448" s="3">
        <f>Table9[[#This Row],[Batmobile]]-Table9[[#This Row],[Octane]]</f>
        <v>2.4738208834112925</v>
      </c>
      <c r="M448" s="3">
        <f>Table9[[#This Row],[Breakout]]-Table9[[#This Row],[Octane]]</f>
        <v>11.343964946100357</v>
      </c>
      <c r="N448" s="4">
        <f>Table9[[#This Row],[Octane]]/Table9[[#This Row],[Hybrid]]</f>
        <v>0.97844214484450764</v>
      </c>
      <c r="O448" s="4">
        <f>Table9[[#This Row],[Octane]]/Table9[[#This Row],[Dominus]]</f>
        <v>0.9708836117370746</v>
      </c>
      <c r="P448" s="4">
        <f>Table9[[#This Row],[Octane]]/Table9[[#This Row],[Plank]]</f>
        <v>0.97839546432450986</v>
      </c>
      <c r="Q448" s="4">
        <f>Table9[[#This Row],[Octane]]/Table9[[#This Row],[Batmobile]]</f>
        <v>0.99330521150322604</v>
      </c>
      <c r="R448" s="4">
        <f>Table9[[#This Row],[Octane]]/Table9[[#This Row],[Breakout]]</f>
        <v>0.97002001126399739</v>
      </c>
    </row>
    <row r="449" spans="1:18">
      <c r="A449" s="1">
        <f>Octane[[#This Row],[Degrees turned]]</f>
        <v>367.98685656526413</v>
      </c>
      <c r="B449" s="1">
        <f>Hybrid[[#This Row],[Degrees turned]]</f>
        <v>376.09672935817787</v>
      </c>
      <c r="C449" s="1">
        <f>Dominus[[#This Row],[Degrees turned]]</f>
        <v>379.02565070633932</v>
      </c>
      <c r="D449" s="1">
        <f>Plank[[#This Row],[Degrees turned]]</f>
        <v>376.11588839857967</v>
      </c>
      <c r="E449" s="1">
        <f>Batmobile[[#This Row],[Degrees turned]]</f>
        <v>370.47029290597669</v>
      </c>
      <c r="F449" s="1">
        <f>Breakout[[#This Row],[Degrees turned]]</f>
        <v>379.36436468602102</v>
      </c>
      <c r="H449" s="1">
        <v>0</v>
      </c>
      <c r="I449" s="3">
        <f>Table9[[#This Row],[Hybrid]]-Table9[[#This Row],[Octane]]</f>
        <v>8.109872792913734</v>
      </c>
      <c r="J449" s="3">
        <f>Table9[[#This Row],[Dominus]]-Table9[[#This Row],[Octane]]</f>
        <v>11.038794141075186</v>
      </c>
      <c r="K449" s="3">
        <f>Table9[[#This Row],[Plank]]-Table9[[#This Row],[Octane]]</f>
        <v>8.1290318333155369</v>
      </c>
      <c r="L449" s="3">
        <f>Table9[[#This Row],[Batmobile]]-Table9[[#This Row],[Octane]]</f>
        <v>2.4834363407125579</v>
      </c>
      <c r="M449" s="3">
        <f>Table9[[#This Row],[Breakout]]-Table9[[#This Row],[Octane]]</f>
        <v>11.377508120756886</v>
      </c>
      <c r="N449" s="4">
        <f>Table9[[#This Row],[Octane]]/Table9[[#This Row],[Hybrid]]</f>
        <v>0.97843673672261522</v>
      </c>
      <c r="O449" s="4">
        <f>Table9[[#This Row],[Octane]]/Table9[[#This Row],[Dominus]]</f>
        <v>0.97087586520726588</v>
      </c>
      <c r="P449" s="4">
        <f>Table9[[#This Row],[Octane]]/Table9[[#This Row],[Plank]]</f>
        <v>0.97838689594335615</v>
      </c>
      <c r="Q449" s="4">
        <f>Table9[[#This Row],[Octane]]/Table9[[#This Row],[Batmobile]]</f>
        <v>0.99329653041480759</v>
      </c>
      <c r="R449" s="4">
        <f>Table9[[#This Row],[Octane]]/Table9[[#This Row],[Breakout]]</f>
        <v>0.97000902251276711</v>
      </c>
    </row>
    <row r="450" spans="1:18">
      <c r="A450" s="1">
        <f>Octane[[#This Row],[Degrees turned]]</f>
        <v>368.93360951003092</v>
      </c>
      <c r="B450" s="1">
        <f>Hybrid[[#This Row],[Degrees turned]]</f>
        <v>377.06600005179973</v>
      </c>
      <c r="C450" s="1">
        <f>Dominus[[#This Row],[Degrees turned]]</f>
        <v>380.00343500794156</v>
      </c>
      <c r="D450" s="1">
        <f>Plank[[#This Row],[Degrees turned]]</f>
        <v>377.08647605944162</v>
      </c>
      <c r="E450" s="1">
        <f>Batmobile[[#This Row],[Degrees turned]]</f>
        <v>371.42591678956063</v>
      </c>
      <c r="F450" s="1">
        <f>Breakout[[#This Row],[Degrees turned]]</f>
        <v>380.34442215052445</v>
      </c>
      <c r="H450" s="1">
        <v>0</v>
      </c>
      <c r="I450" s="3">
        <f>Table9[[#This Row],[Hybrid]]-Table9[[#This Row],[Octane]]</f>
        <v>8.1323905417688138</v>
      </c>
      <c r="J450" s="3">
        <f>Table9[[#This Row],[Dominus]]-Table9[[#This Row],[Octane]]</f>
        <v>11.069825497910642</v>
      </c>
      <c r="K450" s="3">
        <f>Table9[[#This Row],[Plank]]-Table9[[#This Row],[Octane]]</f>
        <v>8.1528665494107031</v>
      </c>
      <c r="L450" s="3">
        <f>Table9[[#This Row],[Batmobile]]-Table9[[#This Row],[Octane]]</f>
        <v>2.4923072795297116</v>
      </c>
      <c r="M450" s="3">
        <f>Table9[[#This Row],[Breakout]]-Table9[[#This Row],[Octane]]</f>
        <v>11.410812640493532</v>
      </c>
      <c r="N450" s="4">
        <f>Table9[[#This Row],[Octane]]/Table9[[#This Row],[Hybrid]]</f>
        <v>0.97843244805776275</v>
      </c>
      <c r="O450" s="4">
        <f>Table9[[#This Row],[Octane]]/Table9[[#This Row],[Dominus]]</f>
        <v>0.97086914359687482</v>
      </c>
      <c r="P450" s="4">
        <f>Table9[[#This Row],[Octane]]/Table9[[#This Row],[Plank]]</f>
        <v>0.97837931862577454</v>
      </c>
      <c r="Q450" s="4">
        <f>Table9[[#This Row],[Octane]]/Table9[[#This Row],[Batmobile]]</f>
        <v>0.99328989398189527</v>
      </c>
      <c r="R450" s="4">
        <f>Table9[[#This Row],[Octane]]/Table9[[#This Row],[Breakout]]</f>
        <v>0.96999873804912118</v>
      </c>
    </row>
    <row r="451" spans="1:18">
      <c r="A451" s="1">
        <f>Octane[[#This Row],[Degrees turned]]</f>
        <v>369.88007521624263</v>
      </c>
      <c r="B451" s="1">
        <f>Hybrid[[#This Row],[Degrees turned]]</f>
        <v>378.03546665998817</v>
      </c>
      <c r="C451" s="1">
        <f>Dominus[[#This Row],[Degrees turned]]</f>
        <v>380.98097379687925</v>
      </c>
      <c r="D451" s="1">
        <f>Plank[[#This Row],[Degrees turned]]</f>
        <v>378.05719238642035</v>
      </c>
      <c r="E451" s="1">
        <f>Batmobile[[#This Row],[Degrees turned]]</f>
        <v>372.38134178727552</v>
      </c>
      <c r="F451" s="1">
        <f>Breakout[[#This Row],[Degrees turned]]</f>
        <v>381.3242597662769</v>
      </c>
      <c r="H451" s="1">
        <v>0</v>
      </c>
      <c r="I451" s="3">
        <f>Table9[[#This Row],[Hybrid]]-Table9[[#This Row],[Octane]]</f>
        <v>8.1553914437455433</v>
      </c>
      <c r="J451" s="3">
        <f>Table9[[#This Row],[Dominus]]-Table9[[#This Row],[Octane]]</f>
        <v>11.100898580636624</v>
      </c>
      <c r="K451" s="3">
        <f>Table9[[#This Row],[Plank]]-Table9[[#This Row],[Octane]]</f>
        <v>8.1771171701777234</v>
      </c>
      <c r="L451" s="3">
        <f>Table9[[#This Row],[Batmobile]]-Table9[[#This Row],[Octane]]</f>
        <v>2.5012665710328861</v>
      </c>
      <c r="M451" s="3">
        <f>Table9[[#This Row],[Breakout]]-Table9[[#This Row],[Octane]]</f>
        <v>11.444184550034265</v>
      </c>
      <c r="N451" s="4">
        <f>Table9[[#This Row],[Octane]]/Table9[[#This Row],[Hybrid]]</f>
        <v>0.97842691450143582</v>
      </c>
      <c r="O451" s="4">
        <f>Table9[[#This Row],[Octane]]/Table9[[#This Row],[Dominus]]</f>
        <v>0.97086232818924156</v>
      </c>
      <c r="P451" s="4">
        <f>Table9[[#This Row],[Octane]]/Table9[[#This Row],[Plank]]</f>
        <v>0.97837068746513967</v>
      </c>
      <c r="Q451" s="4">
        <f>Table9[[#This Row],[Octane]]/Table9[[#This Row],[Batmobile]]</f>
        <v>0.99328305075912815</v>
      </c>
      <c r="R451" s="4">
        <f>Table9[[#This Row],[Octane]]/Table9[[#This Row],[Breakout]]</f>
        <v>0.96998831242195638</v>
      </c>
    </row>
    <row r="452" spans="1:18">
      <c r="A452" s="1">
        <f>Octane[[#This Row],[Degrees turned]]</f>
        <v>370.82638599912821</v>
      </c>
      <c r="B452" s="1">
        <f>Hybrid[[#This Row],[Degrees turned]]</f>
        <v>379.00519881701507</v>
      </c>
      <c r="C452" s="1">
        <f>Dominus[[#This Row],[Degrees turned]]</f>
        <v>381.95822882887251</v>
      </c>
      <c r="D452" s="1">
        <f>Plank[[#This Row],[Degrees turned]]</f>
        <v>379.02815864112796</v>
      </c>
      <c r="E452" s="1">
        <f>Batmobile[[#This Row],[Degrees turned]]</f>
        <v>373.33670028566098</v>
      </c>
      <c r="F452" s="1">
        <f>Breakout[[#This Row],[Degrees turned]]</f>
        <v>382.30441825322953</v>
      </c>
      <c r="H452" s="1">
        <v>0</v>
      </c>
      <c r="I452" s="3">
        <f>Table9[[#This Row],[Hybrid]]-Table9[[#This Row],[Octane]]</f>
        <v>8.1788128178868647</v>
      </c>
      <c r="J452" s="3">
        <f>Table9[[#This Row],[Dominus]]-Table9[[#This Row],[Octane]]</f>
        <v>11.131842829744301</v>
      </c>
      <c r="K452" s="3">
        <f>Table9[[#This Row],[Plank]]-Table9[[#This Row],[Octane]]</f>
        <v>8.201772641999753</v>
      </c>
      <c r="L452" s="3">
        <f>Table9[[#This Row],[Batmobile]]-Table9[[#This Row],[Octane]]</f>
        <v>2.5103142865327754</v>
      </c>
      <c r="M452" s="3">
        <f>Table9[[#This Row],[Breakout]]-Table9[[#This Row],[Octane]]</f>
        <v>11.478032254101322</v>
      </c>
      <c r="N452" s="4">
        <f>Table9[[#This Row],[Octane]]/Table9[[#This Row],[Hybrid]]</f>
        <v>0.97842031496292059</v>
      </c>
      <c r="O452" s="4">
        <f>Table9[[#This Row],[Octane]]/Table9[[#This Row],[Dominus]]</f>
        <v>0.97085586331291829</v>
      </c>
      <c r="P452" s="4">
        <f>Table9[[#This Row],[Octane]]/Table9[[#This Row],[Plank]]</f>
        <v>0.9783610466530922</v>
      </c>
      <c r="Q452" s="4">
        <f>Table9[[#This Row],[Octane]]/Table9[[#This Row],[Batmobile]]</f>
        <v>0.99327600451653431</v>
      </c>
      <c r="R452" s="4">
        <f>Table9[[#This Row],[Octane]]/Table9[[#This Row],[Breakout]]</f>
        <v>0.96997672089026565</v>
      </c>
    </row>
  </sheetData>
  <pageMargins left="0.7" right="0.7" top="0.75" bottom="0.75" header="0.3" footer="0.3"/>
  <ignoredErrors>
    <ignoredError sqref="N2:R53" evalError="1"/>
  </ignoredErrors>
  <drawing r:id="rId1"/>
  <tableParts count="3">
    <tablePart r:id="rId2"/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octane</vt:lpstr>
      <vt:lpstr>hybrid</vt:lpstr>
      <vt:lpstr>dominus</vt:lpstr>
      <vt:lpstr>plank</vt:lpstr>
      <vt:lpstr>batmobile</vt:lpstr>
      <vt:lpstr>breakout</vt:lpstr>
      <vt:lpstr>angvel</vt:lpstr>
      <vt:lpstr>ang accel</vt:lpstr>
      <vt:lpstr>anglechange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Timo Hoth</cp:lastModifiedBy>
  <dcterms:created xsi:type="dcterms:W3CDTF">2018-07-10T22:58:24Z</dcterms:created>
  <dcterms:modified xsi:type="dcterms:W3CDTF">2018-08-15T23:43:20Z</dcterms:modified>
</cp:coreProperties>
</file>